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updateLinks="never" codeName="ThisWorkbook" defaultThemeVersion="124226"/>
  <mc:AlternateContent xmlns:mc="http://schemas.openxmlformats.org/markup-compatibility/2006">
    <mc:Choice Requires="x15">
      <x15ac:absPath xmlns:x15ac="http://schemas.microsoft.com/office/spreadsheetml/2010/11/ac" url="C:\Users\felhasználó\Munka\!PROJEKTEK\RRF-2.3.1-21-2022-00009\"/>
    </mc:Choice>
  </mc:AlternateContent>
  <xr:revisionPtr revIDLastSave="0" documentId="13_ncr:1_{7B18A728-3231-495A-9C59-225C493D4299}" xr6:coauthVersionLast="47" xr6:coauthVersionMax="47" xr10:uidLastSave="{00000000-0000-0000-0000-000000000000}"/>
  <bookViews>
    <workbookView xWindow="-28920" yWindow="-45" windowWidth="29040" windowHeight="164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 r:id="rId13"/>
    <externalReference r:id="rId14"/>
  </externalReferences>
  <definedNames>
    <definedName name="_xlnm._FilterDatabase" localSheetId="1" hidden="1">Bérköltség!$A$8:$BK$442</definedName>
    <definedName name="_xlnm._FilterDatabase" localSheetId="2" hidden="1">Dologi_felhalm.!$A$2:$N$79</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Bérköltség!$AH:$AH,Bérköltség!#REF!,Bérköltség!$AR:$AS,Bérköltség!$AW:$AW,Bérköltség!#REF!</definedName>
    <definedName name="Z_B3053EE5_F487_4331_B4B6_28A1F2EF1617_.wvu.FilterData" localSheetId="1" hidden="1">Bérköltség!$AC$9:$BK$442</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Bérköltség!$446:$481</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1" i="13" l="1"/>
  <c r="AR393" i="11"/>
  <c r="AT393" i="11" s="1"/>
  <c r="AQ393" i="11"/>
  <c r="R393" i="11" s="1"/>
  <c r="AN393" i="11"/>
  <c r="AJ393" i="11"/>
  <c r="M393" i="11"/>
  <c r="I393" i="11"/>
  <c r="J393" i="11" s="1"/>
  <c r="H393" i="11"/>
  <c r="C393" i="11"/>
  <c r="D393" i="11" s="1"/>
  <c r="M100" i="13"/>
  <c r="AU248" i="11"/>
  <c r="AU269" i="11"/>
  <c r="AU268" i="11"/>
  <c r="AU369" i="11"/>
  <c r="AU267" i="11"/>
  <c r="AU204" i="11"/>
  <c r="AU381" i="11"/>
  <c r="M16" i="11"/>
  <c r="I16" i="11"/>
  <c r="J16" i="11" s="1"/>
  <c r="H16" i="11"/>
  <c r="C16" i="11"/>
  <c r="M15" i="11"/>
  <c r="I15" i="11"/>
  <c r="J15" i="11" s="1"/>
  <c r="H15" i="11"/>
  <c r="C15" i="11"/>
  <c r="M14" i="11"/>
  <c r="I14" i="11"/>
  <c r="J14" i="11" s="1"/>
  <c r="H14" i="11"/>
  <c r="C14" i="11"/>
  <c r="M13" i="11"/>
  <c r="I13" i="11"/>
  <c r="J13" i="11" s="1"/>
  <c r="H13" i="11"/>
  <c r="C13" i="11"/>
  <c r="AR16" i="11"/>
  <c r="AT16" i="11" s="1"/>
  <c r="AQ16" i="11"/>
  <c r="R16" i="11" s="1"/>
  <c r="AN16" i="11"/>
  <c r="AR15" i="11"/>
  <c r="AT15" i="11" s="1"/>
  <c r="AQ15" i="11"/>
  <c r="R15" i="11" s="1"/>
  <c r="AN15" i="11"/>
  <c r="AR14" i="11"/>
  <c r="AT14" i="11" s="1"/>
  <c r="AQ14" i="11"/>
  <c r="R14" i="11" s="1"/>
  <c r="AN14" i="11"/>
  <c r="AJ16" i="11"/>
  <c r="AJ15" i="11"/>
  <c r="AJ14" i="11"/>
  <c r="AR13" i="11"/>
  <c r="AT13" i="11" s="1"/>
  <c r="AQ13" i="11"/>
  <c r="R13" i="11" s="1"/>
  <c r="AN13" i="11"/>
  <c r="AJ13" i="11"/>
  <c r="AU189" i="11"/>
  <c r="AU188" i="11"/>
  <c r="AU187" i="11"/>
  <c r="O393" i="11" l="1"/>
  <c r="P393" i="11" s="1"/>
  <c r="K393" i="11"/>
  <c r="L393" i="11"/>
  <c r="N393" i="11" s="1"/>
  <c r="E393" i="11"/>
  <c r="Q393" i="11"/>
  <c r="AS393" i="11"/>
  <c r="D13" i="11"/>
  <c r="E13" i="11"/>
  <c r="D16" i="11"/>
  <c r="Q13" i="11"/>
  <c r="Q14" i="11"/>
  <c r="D15" i="11"/>
  <c r="D14" i="11"/>
  <c r="AS14" i="11"/>
  <c r="Q15" i="11"/>
  <c r="E14" i="11"/>
  <c r="E16" i="11"/>
  <c r="Q16" i="11"/>
  <c r="E15" i="11"/>
  <c r="L16" i="11"/>
  <c r="N16" i="11" s="1"/>
  <c r="L15" i="11"/>
  <c r="N15" i="11" s="1"/>
  <c r="O13" i="11"/>
  <c r="P13" i="11" s="1"/>
  <c r="O14" i="11"/>
  <c r="P14" i="11" s="1"/>
  <c r="O15" i="11"/>
  <c r="P15" i="11" s="1"/>
  <c r="O16" i="11"/>
  <c r="P16" i="11" s="1"/>
  <c r="K13" i="11"/>
  <c r="L14" i="11"/>
  <c r="N14" i="11" s="1"/>
  <c r="K15" i="11"/>
  <c r="L13" i="11"/>
  <c r="N13" i="11" s="1"/>
  <c r="K14" i="11"/>
  <c r="K16" i="11"/>
  <c r="AS15" i="11"/>
  <c r="AS16" i="11"/>
  <c r="AS13" i="11"/>
  <c r="BA430" i="11"/>
  <c r="AZ430" i="11"/>
  <c r="BB417" i="11"/>
  <c r="BA417" i="11"/>
  <c r="AZ417" i="11"/>
  <c r="BA407" i="11"/>
  <c r="AZ407" i="11"/>
  <c r="BA395" i="11"/>
  <c r="AZ395" i="11"/>
  <c r="BA391" i="11"/>
  <c r="AZ391" i="11"/>
  <c r="BA381" i="11"/>
  <c r="AZ381" i="11"/>
  <c r="BB369" i="11"/>
  <c r="BA369" i="11"/>
  <c r="AZ369" i="11"/>
  <c r="BA354" i="11"/>
  <c r="AZ354" i="11"/>
  <c r="BA330" i="11"/>
  <c r="AZ330" i="11"/>
  <c r="BA318" i="11"/>
  <c r="AZ318" i="11"/>
  <c r="BA308" i="11"/>
  <c r="AZ308" i="11"/>
  <c r="BA295" i="11"/>
  <c r="AZ295" i="11"/>
  <c r="BA279" i="11"/>
  <c r="AZ279" i="11"/>
  <c r="BB267" i="11"/>
  <c r="BA267" i="11"/>
  <c r="AZ267" i="11"/>
  <c r="BA260" i="11"/>
  <c r="AZ260" i="11"/>
  <c r="BA248" i="11"/>
  <c r="AZ248" i="11"/>
  <c r="BA232" i="11"/>
  <c r="AZ232" i="11"/>
  <c r="BA224" i="11"/>
  <c r="AZ224" i="11"/>
  <c r="BB204" i="11"/>
  <c r="BA204" i="11"/>
  <c r="AZ204" i="11"/>
  <c r="BB187" i="11"/>
  <c r="BA187" i="11"/>
  <c r="AZ187" i="11"/>
  <c r="BA173" i="11"/>
  <c r="AZ173" i="11"/>
  <c r="BA165" i="11"/>
  <c r="AZ165" i="11"/>
  <c r="BA157" i="11"/>
  <c r="AZ157" i="11"/>
  <c r="BA149" i="11"/>
  <c r="AZ149" i="11"/>
  <c r="BA137" i="11"/>
  <c r="AZ137" i="11"/>
  <c r="BA124" i="11"/>
  <c r="AZ124" i="11"/>
  <c r="BA112" i="11"/>
  <c r="AZ112" i="11"/>
  <c r="BA108" i="11"/>
  <c r="AZ108" i="11"/>
  <c r="BA94" i="11"/>
  <c r="AZ94" i="11"/>
  <c r="BA77" i="11"/>
  <c r="AZ77" i="11"/>
  <c r="BA67" i="11"/>
  <c r="AZ67" i="11"/>
  <c r="BA53" i="11"/>
  <c r="AZ53" i="11"/>
  <c r="BA11" i="11"/>
  <c r="AZ11" i="11"/>
  <c r="AR177" i="11"/>
  <c r="AT177" i="11" s="1"/>
  <c r="AQ177" i="11"/>
  <c r="R177" i="11" s="1"/>
  <c r="AN177" i="11"/>
  <c r="AR176" i="11"/>
  <c r="E176" i="11" s="1"/>
  <c r="AQ176" i="11"/>
  <c r="R176" i="11" s="1"/>
  <c r="AN176" i="11"/>
  <c r="AJ177" i="11"/>
  <c r="M177" i="11"/>
  <c r="I177" i="11"/>
  <c r="J177" i="11" s="1"/>
  <c r="H177" i="11"/>
  <c r="C177" i="11"/>
  <c r="AJ176" i="11"/>
  <c r="M176" i="11"/>
  <c r="I176" i="11"/>
  <c r="J176" i="11" s="1"/>
  <c r="H176" i="11"/>
  <c r="C176" i="11"/>
  <c r="AR175" i="11"/>
  <c r="AT175" i="11" s="1"/>
  <c r="AQ175" i="11"/>
  <c r="R175" i="11" s="1"/>
  <c r="AN175" i="11"/>
  <c r="AJ175" i="11"/>
  <c r="M175" i="11"/>
  <c r="I175" i="11"/>
  <c r="J175" i="11" s="1"/>
  <c r="H175" i="11"/>
  <c r="C175" i="11"/>
  <c r="AR57" i="11"/>
  <c r="AT57" i="11" s="1"/>
  <c r="AQ57" i="11"/>
  <c r="R57" i="11" s="1"/>
  <c r="AN57" i="11"/>
  <c r="AR56" i="11"/>
  <c r="AS56" i="11" s="1"/>
  <c r="AQ56" i="11"/>
  <c r="R56" i="11" s="1"/>
  <c r="AN56" i="11"/>
  <c r="AR55" i="11"/>
  <c r="E55" i="11" s="1"/>
  <c r="AJ57" i="11"/>
  <c r="M57" i="11"/>
  <c r="I57" i="11"/>
  <c r="J57" i="11" s="1"/>
  <c r="H57" i="11"/>
  <c r="C57" i="11"/>
  <c r="AJ56" i="11"/>
  <c r="M56" i="11"/>
  <c r="I56" i="11"/>
  <c r="J56" i="11" s="1"/>
  <c r="H56" i="11"/>
  <c r="C56" i="11"/>
  <c r="D56" i="11" s="1"/>
  <c r="AQ55" i="11"/>
  <c r="R55" i="11" s="1"/>
  <c r="AN55" i="11"/>
  <c r="AJ55" i="11"/>
  <c r="M55" i="11"/>
  <c r="I55" i="11"/>
  <c r="J55" i="11" s="1"/>
  <c r="H55" i="11"/>
  <c r="K55" i="11" s="1"/>
  <c r="C55" i="11"/>
  <c r="M82" i="13"/>
  <c r="M84" i="13"/>
  <c r="M74" i="13"/>
  <c r="M73" i="13"/>
  <c r="M78" i="13"/>
  <c r="M19" i="13"/>
  <c r="M81" i="13"/>
  <c r="M80" i="13"/>
  <c r="AU422" i="11"/>
  <c r="AU421" i="11"/>
  <c r="AU420" i="11"/>
  <c r="AU419" i="11"/>
  <c r="AU418" i="11"/>
  <c r="AU417" i="11"/>
  <c r="AR90" i="11"/>
  <c r="AT90" i="11" s="1"/>
  <c r="AQ90" i="11"/>
  <c r="R90" i="11" s="1"/>
  <c r="AN90" i="11"/>
  <c r="AR89" i="11"/>
  <c r="E89" i="11" s="1"/>
  <c r="AQ89" i="11"/>
  <c r="AN89" i="11"/>
  <c r="AR88" i="11"/>
  <c r="AT88" i="11" s="1"/>
  <c r="AQ88" i="11"/>
  <c r="R88" i="11" s="1"/>
  <c r="AN88" i="11"/>
  <c r="AR87" i="11"/>
  <c r="AT87" i="11" s="1"/>
  <c r="AQ87" i="11"/>
  <c r="R87" i="11" s="1"/>
  <c r="AN87" i="11"/>
  <c r="AR86" i="11"/>
  <c r="E86" i="11" s="1"/>
  <c r="AQ86" i="11"/>
  <c r="R86" i="11" s="1"/>
  <c r="AN86" i="11"/>
  <c r="AJ90" i="11"/>
  <c r="M90" i="11"/>
  <c r="I90" i="11"/>
  <c r="J90" i="11" s="1"/>
  <c r="H90" i="11"/>
  <c r="C90" i="11"/>
  <c r="AJ89" i="11"/>
  <c r="M89" i="11"/>
  <c r="I89" i="11"/>
  <c r="J89" i="11" s="1"/>
  <c r="H89" i="11"/>
  <c r="C89" i="11"/>
  <c r="AJ88" i="11"/>
  <c r="M88" i="11"/>
  <c r="I88" i="11"/>
  <c r="J88" i="11" s="1"/>
  <c r="H88" i="11"/>
  <c r="K88" i="11" s="1"/>
  <c r="C88" i="11"/>
  <c r="AJ87" i="11"/>
  <c r="M87" i="11"/>
  <c r="I87" i="11"/>
  <c r="J87" i="11" s="1"/>
  <c r="H87" i="11"/>
  <c r="C87" i="11"/>
  <c r="D87" i="11" s="1"/>
  <c r="AJ86" i="11"/>
  <c r="M86" i="11"/>
  <c r="I86" i="11"/>
  <c r="J86" i="11" s="1"/>
  <c r="H86" i="11"/>
  <c r="C86" i="11"/>
  <c r="M85" i="11"/>
  <c r="I85" i="11"/>
  <c r="J85" i="11" s="1"/>
  <c r="H85" i="11"/>
  <c r="C85" i="11"/>
  <c r="AR85" i="11"/>
  <c r="AT85" i="11" s="1"/>
  <c r="AQ85" i="11"/>
  <c r="R85" i="11" s="1"/>
  <c r="AN85" i="11"/>
  <c r="AJ85" i="11"/>
  <c r="AR43" i="11"/>
  <c r="AT43" i="11" s="1"/>
  <c r="AQ43" i="11"/>
  <c r="R43" i="11" s="1"/>
  <c r="AN43" i="11"/>
  <c r="AR42" i="11"/>
  <c r="AT42" i="11" s="1"/>
  <c r="AQ42" i="11"/>
  <c r="AN42" i="11"/>
  <c r="AR41" i="11"/>
  <c r="E41" i="11" s="1"/>
  <c r="AQ41" i="11"/>
  <c r="R41" i="11" s="1"/>
  <c r="AN41" i="11"/>
  <c r="AR40" i="11"/>
  <c r="E40" i="11" s="1"/>
  <c r="AQ40" i="11"/>
  <c r="R40" i="11" s="1"/>
  <c r="AN40" i="11"/>
  <c r="AJ43" i="11"/>
  <c r="M43" i="11"/>
  <c r="I43" i="11"/>
  <c r="J43" i="11" s="1"/>
  <c r="H43" i="11"/>
  <c r="C43" i="11"/>
  <c r="AJ42" i="11"/>
  <c r="M42" i="11"/>
  <c r="I42" i="11"/>
  <c r="J42" i="11" s="1"/>
  <c r="H42" i="11"/>
  <c r="K42" i="11" s="1"/>
  <c r="C42" i="11"/>
  <c r="AJ41" i="11"/>
  <c r="M41" i="11"/>
  <c r="I41" i="11"/>
  <c r="J41" i="11" s="1"/>
  <c r="H41" i="11"/>
  <c r="C41" i="11"/>
  <c r="AJ40" i="11"/>
  <c r="M40" i="11"/>
  <c r="I40" i="11"/>
  <c r="J40" i="11" s="1"/>
  <c r="H40" i="11"/>
  <c r="C40" i="11"/>
  <c r="AR39" i="11"/>
  <c r="AT39" i="11" s="1"/>
  <c r="AQ39" i="11"/>
  <c r="AN39" i="11"/>
  <c r="AJ39" i="11"/>
  <c r="M39" i="11"/>
  <c r="I39" i="11"/>
  <c r="J39" i="11" s="1"/>
  <c r="H39" i="11"/>
  <c r="C39" i="11"/>
  <c r="BD429" i="11"/>
  <c r="BD428" i="11"/>
  <c r="BD427" i="11"/>
  <c r="BD426" i="11"/>
  <c r="BD425" i="11"/>
  <c r="BD424" i="11"/>
  <c r="BD423" i="11"/>
  <c r="BD416" i="11"/>
  <c r="BD415" i="11"/>
  <c r="BD414" i="11"/>
  <c r="BD413" i="11"/>
  <c r="BD412" i="11"/>
  <c r="BD411" i="11"/>
  <c r="BD410" i="11"/>
  <c r="BD406" i="11"/>
  <c r="BD405" i="11"/>
  <c r="BD404" i="11"/>
  <c r="BD403" i="11"/>
  <c r="BD402" i="11"/>
  <c r="BD401" i="11"/>
  <c r="BD400" i="11"/>
  <c r="BD394" i="11"/>
  <c r="BD390" i="11"/>
  <c r="BD389" i="11"/>
  <c r="BD388" i="11"/>
  <c r="BD387" i="11"/>
  <c r="BD386" i="11"/>
  <c r="BD385" i="11"/>
  <c r="BD384" i="11"/>
  <c r="BD368" i="11"/>
  <c r="BD367" i="11"/>
  <c r="BD366" i="11"/>
  <c r="BD365" i="11"/>
  <c r="BD364" i="11"/>
  <c r="BD363" i="11"/>
  <c r="BD362" i="11"/>
  <c r="BD361" i="11"/>
  <c r="BD360" i="11"/>
  <c r="BD353" i="11"/>
  <c r="BD352" i="11"/>
  <c r="BD351" i="11"/>
  <c r="BD350" i="11"/>
  <c r="BD349" i="11"/>
  <c r="BD348" i="11"/>
  <c r="BD347" i="11"/>
  <c r="BD346" i="11"/>
  <c r="BD345" i="11"/>
  <c r="BD344" i="11"/>
  <c r="BD343" i="11"/>
  <c r="BD342" i="11"/>
  <c r="BD341" i="11"/>
  <c r="BD340" i="11"/>
  <c r="BD339" i="11"/>
  <c r="BD338" i="11"/>
  <c r="BD337" i="11"/>
  <c r="BD336" i="11"/>
  <c r="BD335" i="11"/>
  <c r="BD317" i="11"/>
  <c r="BD316" i="11"/>
  <c r="BD315" i="11"/>
  <c r="BD314" i="11"/>
  <c r="BD313" i="11"/>
  <c r="BD307" i="11"/>
  <c r="BD306" i="11"/>
  <c r="BD305" i="11"/>
  <c r="BD304" i="11"/>
  <c r="BD303" i="11"/>
  <c r="BD302" i="11"/>
  <c r="BD301" i="11"/>
  <c r="BD300" i="11"/>
  <c r="BD299" i="11"/>
  <c r="BD298" i="11"/>
  <c r="BD294" i="11"/>
  <c r="BD293" i="11"/>
  <c r="BD292" i="11"/>
  <c r="BD291" i="11"/>
  <c r="BD290" i="11"/>
  <c r="BD289" i="11"/>
  <c r="BD288" i="11"/>
  <c r="BD287" i="11"/>
  <c r="BD286" i="11"/>
  <c r="BD285" i="11"/>
  <c r="BD278" i="11"/>
  <c r="BD277" i="11"/>
  <c r="BD276" i="11"/>
  <c r="BD275" i="11"/>
  <c r="BD274" i="11"/>
  <c r="BD273" i="11"/>
  <c r="BD272" i="11"/>
  <c r="BD271" i="11"/>
  <c r="BD270" i="11"/>
  <c r="BD259" i="11"/>
  <c r="BD258" i="11"/>
  <c r="BD257" i="11"/>
  <c r="BD256" i="11"/>
  <c r="BD255" i="11"/>
  <c r="BD254" i="11"/>
  <c r="BD253" i="11"/>
  <c r="BD243" i="11"/>
  <c r="BD242" i="11"/>
  <c r="BD241" i="11"/>
  <c r="BD240" i="11"/>
  <c r="BD239" i="11"/>
  <c r="BD238" i="11"/>
  <c r="BD237" i="11"/>
  <c r="BD236" i="11"/>
  <c r="BD231" i="11"/>
  <c r="BD230" i="11"/>
  <c r="BD229" i="11"/>
  <c r="BD228" i="11"/>
  <c r="BD227" i="11"/>
  <c r="BD223" i="11"/>
  <c r="BD222" i="11"/>
  <c r="BD221" i="11"/>
  <c r="BD220" i="11"/>
  <c r="BD219" i="11"/>
  <c r="BD218" i="11"/>
  <c r="BD217" i="11"/>
  <c r="BD216" i="11"/>
  <c r="BD215" i="11"/>
  <c r="BD214" i="11"/>
  <c r="BD213" i="11"/>
  <c r="BD212" i="11"/>
  <c r="BD211" i="11"/>
  <c r="BD210" i="11"/>
  <c r="BD203" i="11"/>
  <c r="BD202" i="11"/>
  <c r="BD201" i="11"/>
  <c r="BD200" i="11"/>
  <c r="BD199" i="11"/>
  <c r="BD198" i="11"/>
  <c r="BD197" i="11"/>
  <c r="BD196" i="11"/>
  <c r="BD195" i="11"/>
  <c r="BD194" i="11"/>
  <c r="BD193" i="11"/>
  <c r="BD192" i="11"/>
  <c r="BD191" i="11"/>
  <c r="BD190" i="11"/>
  <c r="BD186" i="11"/>
  <c r="BD185" i="11"/>
  <c r="BD184" i="11"/>
  <c r="BD183" i="11"/>
  <c r="BD182" i="11"/>
  <c r="BD181" i="11"/>
  <c r="BD180" i="11"/>
  <c r="BD179" i="11"/>
  <c r="BD178" i="11"/>
  <c r="BD172" i="11"/>
  <c r="BD171" i="11"/>
  <c r="BD170" i="11"/>
  <c r="BD169" i="11"/>
  <c r="BD168" i="11"/>
  <c r="BD164" i="11"/>
  <c r="BD163" i="11"/>
  <c r="BD162" i="11"/>
  <c r="BD161" i="11"/>
  <c r="BD160" i="11"/>
  <c r="BD159" i="11"/>
  <c r="BD158" i="11"/>
  <c r="BD156" i="11"/>
  <c r="BD155" i="11"/>
  <c r="BD154" i="11"/>
  <c r="BD153" i="11"/>
  <c r="BD152" i="11"/>
  <c r="BD148" i="11"/>
  <c r="BD142" i="11"/>
  <c r="BD136" i="11"/>
  <c r="BD135" i="11"/>
  <c r="BD134" i="11"/>
  <c r="BD133" i="11"/>
  <c r="BD132" i="11"/>
  <c r="BD131" i="11"/>
  <c r="BD130" i="11"/>
  <c r="BD123" i="11"/>
  <c r="BD122" i="11"/>
  <c r="BD121" i="11"/>
  <c r="BD120" i="11"/>
  <c r="BD119" i="11"/>
  <c r="BD118" i="11"/>
  <c r="BD117" i="11"/>
  <c r="BD116" i="11"/>
  <c r="BD115" i="11"/>
  <c r="BD111" i="11"/>
  <c r="BD107" i="11"/>
  <c r="BD106" i="11"/>
  <c r="BD105" i="11"/>
  <c r="BD104" i="11"/>
  <c r="BD103" i="11"/>
  <c r="BD102" i="11"/>
  <c r="BD101" i="11"/>
  <c r="BD93" i="11"/>
  <c r="BD92" i="11"/>
  <c r="BD91" i="11"/>
  <c r="BD84" i="11"/>
  <c r="BD83" i="11"/>
  <c r="BD82" i="11"/>
  <c r="BD81" i="11"/>
  <c r="BD80" i="11"/>
  <c r="BD66" i="11"/>
  <c r="BD65" i="11"/>
  <c r="BD64" i="11"/>
  <c r="BD63" i="11"/>
  <c r="BD62" i="11"/>
  <c r="BD61" i="11"/>
  <c r="BD60" i="11"/>
  <c r="BD59" i="11"/>
  <c r="BD58" i="11"/>
  <c r="BD52" i="11"/>
  <c r="BD51" i="11"/>
  <c r="BD50" i="11"/>
  <c r="BD49" i="11"/>
  <c r="BD48" i="11"/>
  <c r="BD47" i="11"/>
  <c r="BD46" i="11"/>
  <c r="BD45" i="11"/>
  <c r="BD44" i="11"/>
  <c r="BD38" i="11"/>
  <c r="BD37" i="11"/>
  <c r="BD36" i="11"/>
  <c r="BD22" i="11"/>
  <c r="BD21" i="11"/>
  <c r="BD20" i="11"/>
  <c r="BD19" i="11"/>
  <c r="BD18" i="11"/>
  <c r="BD17" i="11"/>
  <c r="BD10" i="11"/>
  <c r="S393" i="11" l="1"/>
  <c r="F393" i="11"/>
  <c r="F13" i="11"/>
  <c r="G13" i="11" s="1"/>
  <c r="D176" i="11"/>
  <c r="F176" i="11" s="1"/>
  <c r="D55" i="11"/>
  <c r="F55" i="11" s="1"/>
  <c r="F15" i="11"/>
  <c r="G15" i="11" s="1"/>
  <c r="F16" i="11"/>
  <c r="G16" i="11" s="1"/>
  <c r="F14" i="11"/>
  <c r="G14" i="11" s="1"/>
  <c r="S15" i="11"/>
  <c r="S14" i="11"/>
  <c r="S13" i="11"/>
  <c r="S16" i="11"/>
  <c r="L175" i="11"/>
  <c r="N175" i="11" s="1"/>
  <c r="D88" i="11"/>
  <c r="E177" i="11"/>
  <c r="E175" i="11"/>
  <c r="Q176" i="11"/>
  <c r="Q175" i="11"/>
  <c r="AS176" i="11"/>
  <c r="D177" i="11"/>
  <c r="AT176" i="11"/>
  <c r="AS175" i="11"/>
  <c r="AS177" i="11"/>
  <c r="D175" i="11"/>
  <c r="Q177" i="11"/>
  <c r="O177" i="11"/>
  <c r="P177" i="11" s="1"/>
  <c r="O176" i="11"/>
  <c r="P176" i="11" s="1"/>
  <c r="S176" i="11" s="1"/>
  <c r="O175" i="11"/>
  <c r="P175" i="11" s="1"/>
  <c r="K177" i="11"/>
  <c r="L177" i="11"/>
  <c r="N177" i="11" s="1"/>
  <c r="K175" i="11"/>
  <c r="L176" i="11"/>
  <c r="N176" i="11" s="1"/>
  <c r="K176" i="11"/>
  <c r="D57" i="11"/>
  <c r="E88" i="11"/>
  <c r="E56" i="11"/>
  <c r="F56" i="11" s="1"/>
  <c r="G56" i="11" s="1"/>
  <c r="AT56" i="11"/>
  <c r="O55" i="11"/>
  <c r="P55" i="11" s="1"/>
  <c r="L56" i="11"/>
  <c r="N56" i="11" s="1"/>
  <c r="L55" i="11"/>
  <c r="N55" i="11" s="1"/>
  <c r="O56" i="11"/>
  <c r="P56" i="11" s="1"/>
  <c r="S56" i="11" s="1"/>
  <c r="E57" i="11"/>
  <c r="AS57" i="11"/>
  <c r="Q55" i="11"/>
  <c r="Q57" i="11"/>
  <c r="Q56" i="11"/>
  <c r="AS55" i="11"/>
  <c r="AT55" i="11"/>
  <c r="O57" i="11"/>
  <c r="P57" i="11" s="1"/>
  <c r="K57" i="11"/>
  <c r="L57" i="11"/>
  <c r="N57" i="11" s="1"/>
  <c r="K56" i="11"/>
  <c r="Q88" i="11"/>
  <c r="E87" i="11"/>
  <c r="F87" i="11" s="1"/>
  <c r="Q87" i="11"/>
  <c r="D40" i="11"/>
  <c r="F40" i="11" s="1"/>
  <c r="G40" i="11" s="1"/>
  <c r="O43" i="11"/>
  <c r="P43" i="11" s="1"/>
  <c r="S43" i="11" s="1"/>
  <c r="L86" i="11"/>
  <c r="N86" i="11" s="1"/>
  <c r="O87" i="11"/>
  <c r="P87" i="11" s="1"/>
  <c r="S87" i="11" s="1"/>
  <c r="D90" i="11"/>
  <c r="O89" i="11"/>
  <c r="P89" i="11" s="1"/>
  <c r="W89" i="11" s="1"/>
  <c r="AS87" i="11"/>
  <c r="L88" i="11"/>
  <c r="N88" i="11" s="1"/>
  <c r="AS88" i="11"/>
  <c r="AS86" i="11"/>
  <c r="Q89" i="11"/>
  <c r="AT86" i="11"/>
  <c r="AS89" i="11"/>
  <c r="AT89" i="11"/>
  <c r="Q86" i="11"/>
  <c r="D86" i="11"/>
  <c r="F86" i="11" s="1"/>
  <c r="B86" i="11" s="1"/>
  <c r="A86" i="11" s="1"/>
  <c r="AS90" i="11"/>
  <c r="O90" i="11"/>
  <c r="P90" i="11" s="1"/>
  <c r="W90" i="11" s="1"/>
  <c r="O88" i="11"/>
  <c r="P88" i="11" s="1"/>
  <c r="D85" i="11"/>
  <c r="R89" i="11"/>
  <c r="E85" i="11"/>
  <c r="K87" i="11"/>
  <c r="K90" i="11"/>
  <c r="L87" i="11"/>
  <c r="N87" i="11" s="1"/>
  <c r="L90" i="11"/>
  <c r="N90" i="11" s="1"/>
  <c r="K86" i="11"/>
  <c r="O86" i="11"/>
  <c r="P86" i="11" s="1"/>
  <c r="L89" i="11"/>
  <c r="N89" i="11" s="1"/>
  <c r="Q85" i="11"/>
  <c r="E90" i="11"/>
  <c r="Q90" i="11"/>
  <c r="K89" i="11"/>
  <c r="D89" i="11"/>
  <c r="F89" i="11" s="1"/>
  <c r="L85" i="11"/>
  <c r="N85" i="11" s="1"/>
  <c r="O85" i="11"/>
  <c r="P85" i="11" s="1"/>
  <c r="K85" i="11"/>
  <c r="AS85" i="11"/>
  <c r="D42" i="11"/>
  <c r="E42" i="11"/>
  <c r="Q42" i="11"/>
  <c r="L39" i="11"/>
  <c r="N39" i="11" s="1"/>
  <c r="Q40" i="11"/>
  <c r="AT40" i="11"/>
  <c r="AS40" i="11"/>
  <c r="O41" i="11"/>
  <c r="P41" i="11" s="1"/>
  <c r="S41" i="11" s="1"/>
  <c r="Q41" i="11"/>
  <c r="O40" i="11"/>
  <c r="P40" i="11" s="1"/>
  <c r="S40" i="11" s="1"/>
  <c r="K41" i="11"/>
  <c r="L41" i="11"/>
  <c r="N41" i="11" s="1"/>
  <c r="AS41" i="11"/>
  <c r="E39" i="11"/>
  <c r="AS42" i="11"/>
  <c r="O39" i="11"/>
  <c r="P39" i="11" s="1"/>
  <c r="S39" i="11" s="1"/>
  <c r="AT41" i="11"/>
  <c r="Q39" i="11"/>
  <c r="D41" i="11"/>
  <c r="F41" i="11" s="1"/>
  <c r="G41" i="11" s="1"/>
  <c r="D43" i="11"/>
  <c r="AS43" i="11"/>
  <c r="D39" i="11"/>
  <c r="O42" i="11"/>
  <c r="P42" i="11" s="1"/>
  <c r="R39" i="11"/>
  <c r="AS39" i="11"/>
  <c r="K40" i="11"/>
  <c r="K43" i="11"/>
  <c r="L40" i="11"/>
  <c r="N40" i="11" s="1"/>
  <c r="L43" i="11"/>
  <c r="N43" i="11" s="1"/>
  <c r="R42" i="11"/>
  <c r="K39" i="11"/>
  <c r="L42" i="11"/>
  <c r="N42" i="11" s="1"/>
  <c r="E43" i="11"/>
  <c r="Q43" i="11"/>
  <c r="M147" i="11"/>
  <c r="I147" i="11"/>
  <c r="J147" i="11" s="1"/>
  <c r="H147" i="11"/>
  <c r="C147" i="11"/>
  <c r="M146" i="11"/>
  <c r="I146" i="11"/>
  <c r="J146" i="11" s="1"/>
  <c r="H146" i="11"/>
  <c r="C146" i="11"/>
  <c r="M145" i="11"/>
  <c r="I145" i="11"/>
  <c r="J145" i="11" s="1"/>
  <c r="H145" i="11"/>
  <c r="C145" i="11"/>
  <c r="M144" i="11"/>
  <c r="I144" i="11"/>
  <c r="J144" i="11" s="1"/>
  <c r="H144" i="11"/>
  <c r="K144" i="11" s="1"/>
  <c r="C144" i="11"/>
  <c r="M143" i="11"/>
  <c r="I143" i="11"/>
  <c r="J143" i="11" s="1"/>
  <c r="H143" i="11"/>
  <c r="K143" i="11" s="1"/>
  <c r="C143" i="11"/>
  <c r="AR147" i="11"/>
  <c r="AT147" i="11" s="1"/>
  <c r="AQ147" i="11"/>
  <c r="R147" i="11" s="1"/>
  <c r="AN147" i="11"/>
  <c r="AR146" i="11"/>
  <c r="AT146" i="11" s="1"/>
  <c r="AQ146" i="11"/>
  <c r="R146" i="11" s="1"/>
  <c r="AN146" i="11"/>
  <c r="AR145" i="11"/>
  <c r="AT145" i="11" s="1"/>
  <c r="AQ145" i="11"/>
  <c r="R145" i="11" s="1"/>
  <c r="AN145" i="11"/>
  <c r="AR144" i="11"/>
  <c r="E144" i="11" s="1"/>
  <c r="AQ144" i="11"/>
  <c r="R144" i="11" s="1"/>
  <c r="AN144" i="11"/>
  <c r="AJ147" i="11"/>
  <c r="AJ146" i="11"/>
  <c r="AJ145" i="11"/>
  <c r="AJ144" i="11"/>
  <c r="AR143" i="11"/>
  <c r="AT143" i="11" s="1"/>
  <c r="AQ143" i="11"/>
  <c r="R143" i="11" s="1"/>
  <c r="AN143" i="11"/>
  <c r="AJ143" i="11"/>
  <c r="I16" i="13"/>
  <c r="M18" i="13"/>
  <c r="AU266" i="11"/>
  <c r="AU416" i="11"/>
  <c r="AU380" i="11"/>
  <c r="AU368" i="11"/>
  <c r="AU247" i="11"/>
  <c r="AU203" i="11"/>
  <c r="AU186" i="11"/>
  <c r="M79" i="13"/>
  <c r="T393" i="11" l="1"/>
  <c r="U393" i="11" s="1"/>
  <c r="G393" i="11"/>
  <c r="T16" i="11"/>
  <c r="U16" i="11" s="1"/>
  <c r="T13" i="11"/>
  <c r="U13" i="11" s="1"/>
  <c r="T14" i="11"/>
  <c r="U14" i="11" s="1"/>
  <c r="T15" i="11"/>
  <c r="U15" i="11" s="1"/>
  <c r="F88" i="11"/>
  <c r="G88" i="11" s="1"/>
  <c r="F175" i="11"/>
  <c r="G175" i="11" s="1"/>
  <c r="F177" i="11"/>
  <c r="G177" i="11" s="1"/>
  <c r="T176" i="11"/>
  <c r="U176" i="11" s="1"/>
  <c r="S175" i="11"/>
  <c r="S177" i="11"/>
  <c r="G176" i="11"/>
  <c r="F57" i="11"/>
  <c r="G57" i="11" s="1"/>
  <c r="S55" i="11"/>
  <c r="G55" i="11"/>
  <c r="T56" i="11"/>
  <c r="U56" i="11" s="1"/>
  <c r="V56" i="11" s="1"/>
  <c r="S57" i="11"/>
  <c r="W87" i="11"/>
  <c r="S90" i="11"/>
  <c r="T90" i="11" s="1"/>
  <c r="F85" i="11"/>
  <c r="B89" i="11"/>
  <c r="A89" i="11" s="1"/>
  <c r="G89" i="11"/>
  <c r="S89" i="11"/>
  <c r="W88" i="11"/>
  <c r="S88" i="11"/>
  <c r="F90" i="11"/>
  <c r="B90" i="11" s="1"/>
  <c r="A90" i="11" s="1"/>
  <c r="T87" i="11"/>
  <c r="U87" i="11" s="1"/>
  <c r="V87" i="11" s="1"/>
  <c r="Z86" i="11"/>
  <c r="Y86" i="11"/>
  <c r="X86" i="11"/>
  <c r="W86" i="11"/>
  <c r="S86" i="11"/>
  <c r="G87" i="11"/>
  <c r="B87" i="11"/>
  <c r="A87" i="11" s="1"/>
  <c r="G86" i="11"/>
  <c r="W85" i="11"/>
  <c r="S85" i="11"/>
  <c r="F39" i="11"/>
  <c r="G39" i="11" s="1"/>
  <c r="F42" i="11"/>
  <c r="G42" i="11" s="1"/>
  <c r="T39" i="11"/>
  <c r="U39" i="11" s="1"/>
  <c r="S42" i="11"/>
  <c r="T43" i="11"/>
  <c r="U43" i="11" s="1"/>
  <c r="V43" i="11" s="1"/>
  <c r="T41" i="11"/>
  <c r="U41" i="11" s="1"/>
  <c r="F43" i="11"/>
  <c r="T40" i="11"/>
  <c r="U40" i="11" s="1"/>
  <c r="D145" i="11"/>
  <c r="D143" i="11"/>
  <c r="AS144" i="11"/>
  <c r="AT144" i="11"/>
  <c r="AS145" i="11"/>
  <c r="Q144" i="11"/>
  <c r="D146" i="11"/>
  <c r="D147" i="11"/>
  <c r="Q145" i="11"/>
  <c r="E147" i="11"/>
  <c r="L147" i="11"/>
  <c r="N147" i="11" s="1"/>
  <c r="E143" i="11"/>
  <c r="E146" i="11"/>
  <c r="O146" i="11"/>
  <c r="P146" i="11" s="1"/>
  <c r="S146" i="11" s="1"/>
  <c r="Q147" i="11"/>
  <c r="E145" i="11"/>
  <c r="K146" i="11"/>
  <c r="Q143" i="11"/>
  <c r="L145" i="11"/>
  <c r="N145" i="11" s="1"/>
  <c r="AS146" i="11"/>
  <c r="Q146" i="11"/>
  <c r="D144" i="11"/>
  <c r="F144" i="11" s="1"/>
  <c r="G144" i="11" s="1"/>
  <c r="O144" i="11"/>
  <c r="P144" i="11" s="1"/>
  <c r="L144" i="11"/>
  <c r="N144" i="11" s="1"/>
  <c r="O143" i="11"/>
  <c r="P143" i="11" s="1"/>
  <c r="L143" i="11"/>
  <c r="N143" i="11" s="1"/>
  <c r="O147" i="11"/>
  <c r="P147" i="11" s="1"/>
  <c r="K145" i="11"/>
  <c r="L146" i="11"/>
  <c r="N146" i="11" s="1"/>
  <c r="O145" i="11"/>
  <c r="P145" i="11" s="1"/>
  <c r="K147" i="11"/>
  <c r="AS147" i="11"/>
  <c r="AS143" i="11"/>
  <c r="M31" i="13"/>
  <c r="AR235" i="11"/>
  <c r="AT235" i="11" s="1"/>
  <c r="AQ235" i="11"/>
  <c r="R235" i="11" s="1"/>
  <c r="AN235" i="11"/>
  <c r="AR234" i="11"/>
  <c r="AT234" i="11" s="1"/>
  <c r="AQ234" i="11"/>
  <c r="AN234" i="11"/>
  <c r="AR233" i="11"/>
  <c r="AT233" i="11" s="1"/>
  <c r="AQ233" i="11"/>
  <c r="AN233" i="11"/>
  <c r="AJ235" i="11"/>
  <c r="M235" i="11"/>
  <c r="I235" i="11"/>
  <c r="J235" i="11" s="1"/>
  <c r="H235" i="11"/>
  <c r="C235" i="11"/>
  <c r="AJ234" i="11"/>
  <c r="M234" i="11"/>
  <c r="I234" i="11"/>
  <c r="J234" i="11" s="1"/>
  <c r="H234" i="11"/>
  <c r="K234" i="11" s="1"/>
  <c r="C234" i="11"/>
  <c r="AR399" i="11"/>
  <c r="AT399" i="11" s="1"/>
  <c r="AQ399" i="11"/>
  <c r="R399" i="11" s="1"/>
  <c r="AN399" i="11"/>
  <c r="AJ399" i="11"/>
  <c r="M399" i="11"/>
  <c r="I399" i="11"/>
  <c r="J399" i="11" s="1"/>
  <c r="H399" i="11"/>
  <c r="C399" i="11"/>
  <c r="AR398" i="11"/>
  <c r="Q398" i="11" s="1"/>
  <c r="AQ398" i="11"/>
  <c r="AN398" i="11"/>
  <c r="AJ398" i="11"/>
  <c r="M398" i="11"/>
  <c r="I398" i="11"/>
  <c r="J398" i="11" s="1"/>
  <c r="H398" i="11"/>
  <c r="K398" i="11" s="1"/>
  <c r="C398" i="11"/>
  <c r="AR397" i="11"/>
  <c r="AT397" i="11" s="1"/>
  <c r="AQ397" i="11"/>
  <c r="R397" i="11" s="1"/>
  <c r="AN397" i="11"/>
  <c r="AJ397" i="11"/>
  <c r="M397" i="11"/>
  <c r="I397" i="11"/>
  <c r="J397" i="11" s="1"/>
  <c r="H397" i="11"/>
  <c r="K397" i="11" s="1"/>
  <c r="C397" i="11"/>
  <c r="AR396" i="11"/>
  <c r="AS396" i="11" s="1"/>
  <c r="AQ396" i="11"/>
  <c r="R396" i="11" s="1"/>
  <c r="AN396" i="11"/>
  <c r="AJ396" i="11"/>
  <c r="M396" i="11"/>
  <c r="I396" i="11"/>
  <c r="J396" i="11" s="1"/>
  <c r="H396" i="11"/>
  <c r="C396" i="11"/>
  <c r="AR395" i="11"/>
  <c r="AT395" i="11" s="1"/>
  <c r="AQ395" i="11"/>
  <c r="AN395" i="11"/>
  <c r="BB395" i="11" s="1"/>
  <c r="AJ395" i="11"/>
  <c r="M395" i="11"/>
  <c r="I395" i="11"/>
  <c r="J395" i="11" s="1"/>
  <c r="H395" i="11"/>
  <c r="K395" i="11" s="1"/>
  <c r="C395" i="11"/>
  <c r="AR394" i="11"/>
  <c r="E394" i="11" s="1"/>
  <c r="AQ394" i="11"/>
  <c r="R394" i="11" s="1"/>
  <c r="AN394" i="11"/>
  <c r="AJ394" i="11"/>
  <c r="M394" i="11"/>
  <c r="I394" i="11"/>
  <c r="J394" i="11" s="1"/>
  <c r="H394" i="11"/>
  <c r="K394" i="11" s="1"/>
  <c r="C394" i="11"/>
  <c r="D34" i="2"/>
  <c r="M72" i="13"/>
  <c r="M71" i="13"/>
  <c r="M77" i="13"/>
  <c r="M76" i="13"/>
  <c r="AU415" i="11"/>
  <c r="AU379" i="11"/>
  <c r="AU378" i="11"/>
  <c r="AU377" i="11"/>
  <c r="AU376" i="11"/>
  <c r="AU375" i="11"/>
  <c r="AU374" i="11"/>
  <c r="AU373" i="11"/>
  <c r="AU372" i="11"/>
  <c r="AU367" i="11"/>
  <c r="AU366" i="11"/>
  <c r="AU365" i="11"/>
  <c r="AU364" i="11"/>
  <c r="AU363" i="11"/>
  <c r="AU362" i="11"/>
  <c r="AU361" i="11"/>
  <c r="AU265" i="11"/>
  <c r="AU264" i="11"/>
  <c r="AU263" i="11"/>
  <c r="AU245" i="11"/>
  <c r="AU244" i="11"/>
  <c r="AU202" i="11"/>
  <c r="AU201" i="11"/>
  <c r="AU200" i="11"/>
  <c r="AU199" i="11"/>
  <c r="AU197" i="11"/>
  <c r="AU196" i="11"/>
  <c r="AU185" i="11"/>
  <c r="AU184" i="11"/>
  <c r="AU183" i="11"/>
  <c r="AU182" i="11"/>
  <c r="AU181" i="11"/>
  <c r="AU180" i="11"/>
  <c r="AU198" i="11"/>
  <c r="AU178" i="11"/>
  <c r="AU179" i="11"/>
  <c r="AN195" i="11"/>
  <c r="AR269" i="11"/>
  <c r="AQ269" i="11"/>
  <c r="R269" i="11" s="1"/>
  <c r="AR268" i="11"/>
  <c r="AQ268" i="11"/>
  <c r="R268" i="11" s="1"/>
  <c r="AJ269" i="11"/>
  <c r="M269" i="11"/>
  <c r="I269" i="11"/>
  <c r="J269" i="11" s="1"/>
  <c r="H269" i="11"/>
  <c r="C269" i="11"/>
  <c r="AJ268" i="11"/>
  <c r="M268" i="11"/>
  <c r="I268" i="11"/>
  <c r="J268" i="11" s="1"/>
  <c r="H268" i="11"/>
  <c r="C268" i="11"/>
  <c r="AR267" i="11"/>
  <c r="AQ267" i="11"/>
  <c r="R267" i="11" s="1"/>
  <c r="AJ267" i="11"/>
  <c r="M267" i="11"/>
  <c r="I267" i="11"/>
  <c r="J267" i="11" s="1"/>
  <c r="H267" i="11"/>
  <c r="C267" i="11"/>
  <c r="AR33" i="11"/>
  <c r="AT33" i="11" s="1"/>
  <c r="AN33" i="11"/>
  <c r="AJ33" i="11"/>
  <c r="R33" i="11"/>
  <c r="M33" i="11"/>
  <c r="I33" i="11"/>
  <c r="J33" i="11" s="1"/>
  <c r="H33" i="11"/>
  <c r="C33" i="11"/>
  <c r="D33" i="11" s="1"/>
  <c r="AR32" i="11"/>
  <c r="AS32" i="11" s="1"/>
  <c r="AN32" i="11"/>
  <c r="AJ32" i="11"/>
  <c r="R32" i="11"/>
  <c r="M32" i="11"/>
  <c r="I32" i="11"/>
  <c r="J32" i="11" s="1"/>
  <c r="H32" i="11"/>
  <c r="C32" i="11"/>
  <c r="D32" i="11" s="1"/>
  <c r="AR31" i="11"/>
  <c r="AT31" i="11" s="1"/>
  <c r="AN31" i="11"/>
  <c r="AJ31" i="11"/>
  <c r="R31" i="11"/>
  <c r="M31" i="11"/>
  <c r="I31" i="11"/>
  <c r="J31" i="11" s="1"/>
  <c r="H31" i="11"/>
  <c r="K31" i="11" s="1"/>
  <c r="C31" i="11"/>
  <c r="D31" i="11" s="1"/>
  <c r="AR30" i="11"/>
  <c r="Q30" i="11" s="1"/>
  <c r="AN30" i="11"/>
  <c r="AJ30" i="11"/>
  <c r="R30" i="11"/>
  <c r="M30" i="11"/>
  <c r="I30" i="11"/>
  <c r="J30" i="11" s="1"/>
  <c r="H30" i="11"/>
  <c r="K30" i="11" s="1"/>
  <c r="C30" i="11"/>
  <c r="D30" i="11" s="1"/>
  <c r="AR29" i="11"/>
  <c r="AS29" i="11" s="1"/>
  <c r="AN29" i="11"/>
  <c r="AJ29" i="11"/>
  <c r="R29" i="11"/>
  <c r="M29" i="11"/>
  <c r="I29" i="11"/>
  <c r="J29" i="11" s="1"/>
  <c r="H29" i="11"/>
  <c r="K29" i="11" s="1"/>
  <c r="C29" i="11"/>
  <c r="D29" i="11" s="1"/>
  <c r="AR28" i="11"/>
  <c r="AS28" i="11" s="1"/>
  <c r="AN28" i="11"/>
  <c r="AJ28" i="11"/>
  <c r="R28" i="11"/>
  <c r="M28" i="11"/>
  <c r="I28" i="11"/>
  <c r="J28" i="11" s="1"/>
  <c r="H28" i="11"/>
  <c r="C28" i="11"/>
  <c r="D28" i="11" s="1"/>
  <c r="AR27" i="11"/>
  <c r="AT27" i="11" s="1"/>
  <c r="AN27" i="11"/>
  <c r="AJ27" i="11"/>
  <c r="R27" i="11"/>
  <c r="M27" i="11"/>
  <c r="I27" i="11"/>
  <c r="J27" i="11" s="1"/>
  <c r="H27" i="11"/>
  <c r="K27" i="11" s="1"/>
  <c r="C27" i="11"/>
  <c r="D27" i="11" s="1"/>
  <c r="AR26" i="11"/>
  <c r="AT26" i="11" s="1"/>
  <c r="AN26" i="11"/>
  <c r="AJ26" i="11"/>
  <c r="R26" i="11"/>
  <c r="M26" i="11"/>
  <c r="I26" i="11"/>
  <c r="J26" i="11" s="1"/>
  <c r="H26" i="11"/>
  <c r="K26" i="11" s="1"/>
  <c r="C26" i="11"/>
  <c r="D26" i="11" s="1"/>
  <c r="AR392" i="11"/>
  <c r="AT392" i="11" s="1"/>
  <c r="AQ392" i="11"/>
  <c r="R392" i="11" s="1"/>
  <c r="AN392" i="11"/>
  <c r="AJ392" i="11"/>
  <c r="M392" i="11"/>
  <c r="I392" i="11"/>
  <c r="J392" i="11" s="1"/>
  <c r="H392" i="11"/>
  <c r="C392" i="11"/>
  <c r="AR391" i="11"/>
  <c r="AT391" i="11" s="1"/>
  <c r="AQ391" i="11"/>
  <c r="AN391" i="11"/>
  <c r="BB391" i="11" s="1"/>
  <c r="AJ391" i="11"/>
  <c r="M391" i="11"/>
  <c r="I391" i="11"/>
  <c r="J391" i="11" s="1"/>
  <c r="H391" i="11"/>
  <c r="C391" i="11"/>
  <c r="AR334" i="11"/>
  <c r="AT334" i="11" s="1"/>
  <c r="AQ334" i="11"/>
  <c r="R334" i="11" s="1"/>
  <c r="AN334" i="11"/>
  <c r="AR333" i="11"/>
  <c r="AT333" i="11" s="1"/>
  <c r="AQ333" i="11"/>
  <c r="AN333" i="11"/>
  <c r="AR332" i="11"/>
  <c r="AT332" i="11" s="1"/>
  <c r="AQ332" i="11"/>
  <c r="R332" i="11" s="1"/>
  <c r="AN332" i="11"/>
  <c r="AR331" i="11"/>
  <c r="E331" i="11" s="1"/>
  <c r="AQ331" i="11"/>
  <c r="R331" i="11" s="1"/>
  <c r="AN331" i="11"/>
  <c r="AJ334" i="11"/>
  <c r="M334" i="11"/>
  <c r="I334" i="11"/>
  <c r="J334" i="11" s="1"/>
  <c r="H334" i="11"/>
  <c r="C334" i="11"/>
  <c r="AJ333" i="11"/>
  <c r="M333" i="11"/>
  <c r="I333" i="11"/>
  <c r="J333" i="11" s="1"/>
  <c r="H333" i="11"/>
  <c r="C333" i="11"/>
  <c r="AJ332" i="11"/>
  <c r="M332" i="11"/>
  <c r="I332" i="11"/>
  <c r="J332" i="11" s="1"/>
  <c r="H332" i="11"/>
  <c r="K332" i="11" s="1"/>
  <c r="C332" i="11"/>
  <c r="AJ331" i="11"/>
  <c r="M331" i="11"/>
  <c r="I331" i="11"/>
  <c r="J331" i="11" s="1"/>
  <c r="H331" i="11"/>
  <c r="C331" i="11"/>
  <c r="AR330" i="11"/>
  <c r="AS330" i="11" s="1"/>
  <c r="AQ330" i="11"/>
  <c r="AN330" i="11"/>
  <c r="BB330" i="11" s="1"/>
  <c r="AJ330" i="11"/>
  <c r="M330" i="11"/>
  <c r="I330" i="11"/>
  <c r="J330" i="11" s="1"/>
  <c r="H330" i="11"/>
  <c r="K330" i="11" s="1"/>
  <c r="C330" i="11"/>
  <c r="AR167" i="11"/>
  <c r="AT167" i="11" s="1"/>
  <c r="AQ167" i="11"/>
  <c r="R167" i="11" s="1"/>
  <c r="AN167" i="11"/>
  <c r="AR166" i="11"/>
  <c r="E166" i="11" s="1"/>
  <c r="AQ166" i="11"/>
  <c r="R166" i="11" s="1"/>
  <c r="AN166" i="11"/>
  <c r="AR165" i="11"/>
  <c r="AT165" i="11" s="1"/>
  <c r="AJ167" i="11"/>
  <c r="M167" i="11"/>
  <c r="I167" i="11"/>
  <c r="J167" i="11" s="1"/>
  <c r="H167" i="11"/>
  <c r="C167" i="11"/>
  <c r="AJ166" i="11"/>
  <c r="M166" i="11"/>
  <c r="I166" i="11"/>
  <c r="J166" i="11" s="1"/>
  <c r="H166" i="11"/>
  <c r="C166" i="11"/>
  <c r="AQ165" i="11"/>
  <c r="R165" i="11" s="1"/>
  <c r="AN165" i="11"/>
  <c r="BB165" i="11" s="1"/>
  <c r="AJ165" i="11"/>
  <c r="M165" i="11"/>
  <c r="I165" i="11"/>
  <c r="J165" i="11" s="1"/>
  <c r="H165" i="11"/>
  <c r="K165" i="11" s="1"/>
  <c r="C165" i="11"/>
  <c r="AR129" i="11"/>
  <c r="AT129" i="11" s="1"/>
  <c r="AQ129" i="11"/>
  <c r="R129" i="11" s="1"/>
  <c r="AN129" i="11"/>
  <c r="AR128" i="11"/>
  <c r="AT128" i="11" s="1"/>
  <c r="AQ128" i="11"/>
  <c r="AN128" i="11"/>
  <c r="AR127" i="11"/>
  <c r="Q127" i="11" s="1"/>
  <c r="AQ127" i="11"/>
  <c r="R127" i="11" s="1"/>
  <c r="AN127" i="11"/>
  <c r="AR126" i="11"/>
  <c r="AT126" i="11" s="1"/>
  <c r="AQ126" i="11"/>
  <c r="R126" i="11" s="1"/>
  <c r="AN126" i="11"/>
  <c r="AR125" i="11"/>
  <c r="AT125" i="11" s="1"/>
  <c r="AQ125" i="11"/>
  <c r="AN125" i="11"/>
  <c r="AJ129" i="11"/>
  <c r="M129" i="11"/>
  <c r="I129" i="11"/>
  <c r="J129" i="11" s="1"/>
  <c r="H129" i="11"/>
  <c r="C129" i="11"/>
  <c r="AJ128" i="11"/>
  <c r="M128" i="11"/>
  <c r="I128" i="11"/>
  <c r="J128" i="11" s="1"/>
  <c r="H128" i="11"/>
  <c r="C128" i="11"/>
  <c r="AJ127" i="11"/>
  <c r="M127" i="11"/>
  <c r="I127" i="11"/>
  <c r="J127" i="11" s="1"/>
  <c r="H127" i="11"/>
  <c r="K127" i="11" s="1"/>
  <c r="C127" i="11"/>
  <c r="AJ126" i="11"/>
  <c r="M126" i="11"/>
  <c r="I126" i="11"/>
  <c r="J126" i="11" s="1"/>
  <c r="H126" i="11"/>
  <c r="C126" i="11"/>
  <c r="AJ125" i="11"/>
  <c r="M125" i="11"/>
  <c r="I125" i="11"/>
  <c r="J125" i="11" s="1"/>
  <c r="H125" i="11"/>
  <c r="C125" i="11"/>
  <c r="AR124" i="11"/>
  <c r="AT124" i="11" s="1"/>
  <c r="AQ124" i="11"/>
  <c r="R124" i="11" s="1"/>
  <c r="AN124" i="11"/>
  <c r="BB124" i="11" s="1"/>
  <c r="AJ124" i="11"/>
  <c r="M124" i="11"/>
  <c r="I124" i="11"/>
  <c r="J124" i="11" s="1"/>
  <c r="H124" i="11"/>
  <c r="K124" i="11" s="1"/>
  <c r="C124" i="11"/>
  <c r="AR262" i="11"/>
  <c r="AT262" i="11" s="1"/>
  <c r="AQ262" i="11"/>
  <c r="R262" i="11" s="1"/>
  <c r="AN262" i="11"/>
  <c r="AR261" i="11"/>
  <c r="AT261" i="11" s="1"/>
  <c r="AQ261" i="11"/>
  <c r="R261" i="11" s="1"/>
  <c r="AN261" i="11"/>
  <c r="AR260" i="11"/>
  <c r="E260" i="11" s="1"/>
  <c r="AJ262" i="11"/>
  <c r="M262" i="11"/>
  <c r="I262" i="11"/>
  <c r="J262" i="11" s="1"/>
  <c r="H262" i="11"/>
  <c r="C262" i="11"/>
  <c r="AJ261" i="11"/>
  <c r="M261" i="11"/>
  <c r="I261" i="11"/>
  <c r="J261" i="11" s="1"/>
  <c r="H261" i="11"/>
  <c r="C261" i="11"/>
  <c r="AQ260" i="11"/>
  <c r="R260" i="11" s="1"/>
  <c r="AN260" i="11"/>
  <c r="BB260" i="11" s="1"/>
  <c r="AJ260" i="11"/>
  <c r="M260" i="11"/>
  <c r="I260" i="11"/>
  <c r="J260" i="11" s="1"/>
  <c r="H260" i="11"/>
  <c r="K260" i="11" s="1"/>
  <c r="C260" i="11"/>
  <c r="M99" i="11"/>
  <c r="I99" i="11"/>
  <c r="J99" i="11" s="1"/>
  <c r="H99" i="11"/>
  <c r="C99" i="11"/>
  <c r="M98" i="11"/>
  <c r="I98" i="11"/>
  <c r="J98" i="11" s="1"/>
  <c r="H98" i="11"/>
  <c r="K98" i="11" s="1"/>
  <c r="C98" i="11"/>
  <c r="M97" i="11"/>
  <c r="I97" i="11"/>
  <c r="J97" i="11" s="1"/>
  <c r="H97" i="11"/>
  <c r="C97" i="11"/>
  <c r="M96" i="11"/>
  <c r="I96" i="11"/>
  <c r="J96" i="11" s="1"/>
  <c r="H96" i="11"/>
  <c r="K96" i="11" s="1"/>
  <c r="C96" i="11"/>
  <c r="M95" i="11"/>
  <c r="I95" i="11"/>
  <c r="J95" i="11" s="1"/>
  <c r="H95" i="11"/>
  <c r="K95" i="11" s="1"/>
  <c r="C95" i="11"/>
  <c r="M94" i="11"/>
  <c r="I94" i="11"/>
  <c r="J94" i="11" s="1"/>
  <c r="H94" i="11"/>
  <c r="K94" i="11" s="1"/>
  <c r="C94" i="11"/>
  <c r="AR99" i="11"/>
  <c r="AT99" i="11" s="1"/>
  <c r="AQ99" i="11"/>
  <c r="R99" i="11" s="1"/>
  <c r="AN99" i="11"/>
  <c r="AR98" i="11"/>
  <c r="AT98" i="11" s="1"/>
  <c r="AQ98" i="11"/>
  <c r="R98" i="11" s="1"/>
  <c r="AN98" i="11"/>
  <c r="AR97" i="11"/>
  <c r="AT97" i="11" s="1"/>
  <c r="AQ97" i="11"/>
  <c r="R97" i="11" s="1"/>
  <c r="AN97" i="11"/>
  <c r="AR96" i="11"/>
  <c r="AT96" i="11" s="1"/>
  <c r="AQ96" i="11"/>
  <c r="R96" i="11" s="1"/>
  <c r="AN96" i="11"/>
  <c r="AR95" i="11"/>
  <c r="AS95" i="11" s="1"/>
  <c r="AQ95" i="11"/>
  <c r="R95" i="11" s="1"/>
  <c r="AN95" i="11"/>
  <c r="AJ99" i="11"/>
  <c r="AJ98" i="11"/>
  <c r="AJ97" i="11"/>
  <c r="AJ96" i="11"/>
  <c r="AJ95" i="11"/>
  <c r="AR94" i="11"/>
  <c r="AS94" i="11" s="1"/>
  <c r="AQ94" i="11"/>
  <c r="R94" i="11" s="1"/>
  <c r="AN94" i="11"/>
  <c r="BB94" i="11" s="1"/>
  <c r="AJ94" i="11"/>
  <c r="M64" i="13"/>
  <c r="M27" i="13"/>
  <c r="M26" i="13"/>
  <c r="M22" i="13"/>
  <c r="M21" i="13"/>
  <c r="AR422" i="11"/>
  <c r="AT422" i="11" s="1"/>
  <c r="AQ422" i="11"/>
  <c r="R422" i="11" s="1"/>
  <c r="AR421" i="11"/>
  <c r="E421" i="11" s="1"/>
  <c r="AQ421" i="11"/>
  <c r="R421" i="11" s="1"/>
  <c r="AR420" i="11"/>
  <c r="Q420" i="11" s="1"/>
  <c r="AQ420" i="11"/>
  <c r="R420" i="11" s="1"/>
  <c r="AR419" i="11"/>
  <c r="AT419" i="11" s="1"/>
  <c r="AQ419" i="11"/>
  <c r="R419" i="11" s="1"/>
  <c r="AR418" i="11"/>
  <c r="AT418" i="11" s="1"/>
  <c r="AQ418" i="11"/>
  <c r="R418" i="11" s="1"/>
  <c r="AJ422" i="11"/>
  <c r="M422" i="11"/>
  <c r="I422" i="11"/>
  <c r="J422" i="11" s="1"/>
  <c r="H422" i="11"/>
  <c r="C422" i="11"/>
  <c r="AJ421" i="11"/>
  <c r="M421" i="11"/>
  <c r="I421" i="11"/>
  <c r="J421" i="11" s="1"/>
  <c r="H421" i="11"/>
  <c r="C421" i="11"/>
  <c r="AJ420" i="11"/>
  <c r="M420" i="11"/>
  <c r="I420" i="11"/>
  <c r="J420" i="11" s="1"/>
  <c r="H420" i="11"/>
  <c r="K420" i="11" s="1"/>
  <c r="C420" i="11"/>
  <c r="AJ419" i="11"/>
  <c r="M419" i="11"/>
  <c r="I419" i="11"/>
  <c r="J419" i="11" s="1"/>
  <c r="H419" i="11"/>
  <c r="K419" i="11" s="1"/>
  <c r="C419" i="11"/>
  <c r="AJ418" i="11"/>
  <c r="M418" i="11"/>
  <c r="I418" i="11"/>
  <c r="J418" i="11" s="1"/>
  <c r="H418" i="11"/>
  <c r="K418" i="11" s="1"/>
  <c r="C418" i="11"/>
  <c r="AR417" i="11"/>
  <c r="AS417" i="11" s="1"/>
  <c r="AQ417" i="11"/>
  <c r="R417" i="11" s="1"/>
  <c r="AJ417" i="11"/>
  <c r="M417" i="11"/>
  <c r="I417" i="11"/>
  <c r="J417" i="11" s="1"/>
  <c r="H417" i="11"/>
  <c r="C417" i="11"/>
  <c r="AT297" i="11"/>
  <c r="AS297" i="11"/>
  <c r="AQ297" i="11"/>
  <c r="R297" i="11" s="1"/>
  <c r="AN297" i="11"/>
  <c r="AT296" i="11"/>
  <c r="AS296" i="11"/>
  <c r="AQ296" i="11"/>
  <c r="AN296" i="11"/>
  <c r="AJ297" i="11"/>
  <c r="M297" i="11"/>
  <c r="I297" i="11"/>
  <c r="J297" i="11" s="1"/>
  <c r="H297" i="11"/>
  <c r="C297" i="11"/>
  <c r="AJ296" i="11"/>
  <c r="Q296" i="11"/>
  <c r="M296" i="11"/>
  <c r="I296" i="11"/>
  <c r="J296" i="11" s="1"/>
  <c r="H296" i="11"/>
  <c r="K296" i="11" s="1"/>
  <c r="E296" i="11"/>
  <c r="C296" i="11"/>
  <c r="E295" i="11"/>
  <c r="AQ295" i="11"/>
  <c r="R295" i="11" s="1"/>
  <c r="AN295" i="11"/>
  <c r="BB295" i="11" s="1"/>
  <c r="AJ295" i="11"/>
  <c r="M295" i="11"/>
  <c r="I295" i="11"/>
  <c r="J295" i="11" s="1"/>
  <c r="H295" i="11"/>
  <c r="C295" i="11"/>
  <c r="AR284" i="11"/>
  <c r="AT284" i="11" s="1"/>
  <c r="AQ284" i="11"/>
  <c r="R284" i="11" s="1"/>
  <c r="AN284" i="11"/>
  <c r="AR283" i="11"/>
  <c r="AT283" i="11" s="1"/>
  <c r="AQ283" i="11"/>
  <c r="AN283" i="11"/>
  <c r="AR282" i="11"/>
  <c r="AT282" i="11" s="1"/>
  <c r="AQ282" i="11"/>
  <c r="R282" i="11" s="1"/>
  <c r="AN282" i="11"/>
  <c r="AR281" i="11"/>
  <c r="AT281" i="11" s="1"/>
  <c r="AQ281" i="11"/>
  <c r="R281" i="11" s="1"/>
  <c r="AN281" i="11"/>
  <c r="AR280" i="11"/>
  <c r="E280" i="11" s="1"/>
  <c r="AQ280" i="11"/>
  <c r="AN280" i="11"/>
  <c r="AJ284" i="11"/>
  <c r="M284" i="11"/>
  <c r="I284" i="11"/>
  <c r="J284" i="11" s="1"/>
  <c r="H284" i="11"/>
  <c r="C284" i="11"/>
  <c r="AJ283" i="11"/>
  <c r="M283" i="11"/>
  <c r="I283" i="11"/>
  <c r="J283" i="11" s="1"/>
  <c r="H283" i="11"/>
  <c r="K283" i="11" s="1"/>
  <c r="C283" i="11"/>
  <c r="AJ282" i="11"/>
  <c r="M282" i="11"/>
  <c r="I282" i="11"/>
  <c r="J282" i="11" s="1"/>
  <c r="H282" i="11"/>
  <c r="C282" i="11"/>
  <c r="AJ281" i="11"/>
  <c r="M281" i="11"/>
  <c r="I281" i="11"/>
  <c r="J281" i="11" s="1"/>
  <c r="H281" i="11"/>
  <c r="K281" i="11" s="1"/>
  <c r="C281" i="11"/>
  <c r="AJ280" i="11"/>
  <c r="M280" i="11"/>
  <c r="I280" i="11"/>
  <c r="J280" i="11" s="1"/>
  <c r="H280" i="11"/>
  <c r="K280" i="11" s="1"/>
  <c r="C280" i="11"/>
  <c r="AR279" i="11"/>
  <c r="AT279" i="11" s="1"/>
  <c r="AQ279" i="11"/>
  <c r="R279" i="11" s="1"/>
  <c r="AN279" i="11"/>
  <c r="BB279" i="11" s="1"/>
  <c r="AJ279" i="11"/>
  <c r="M279" i="11"/>
  <c r="I279" i="11"/>
  <c r="J279" i="11" s="1"/>
  <c r="H279" i="11"/>
  <c r="K279" i="11" s="1"/>
  <c r="C279" i="11"/>
  <c r="AR209" i="11"/>
  <c r="AQ209" i="11"/>
  <c r="R209" i="11" s="1"/>
  <c r="AR208" i="11"/>
  <c r="AQ208" i="11"/>
  <c r="R208" i="11" s="1"/>
  <c r="AR207" i="11"/>
  <c r="AQ207" i="11"/>
  <c r="R207" i="11" s="1"/>
  <c r="AR206" i="11"/>
  <c r="AQ206" i="11"/>
  <c r="R206" i="11" s="1"/>
  <c r="AR205" i="11"/>
  <c r="AQ205" i="11"/>
  <c r="R205" i="11" s="1"/>
  <c r="AJ209" i="11"/>
  <c r="M209" i="11"/>
  <c r="I209" i="11"/>
  <c r="J209" i="11" s="1"/>
  <c r="H209" i="11"/>
  <c r="C209" i="11"/>
  <c r="AJ208" i="11"/>
  <c r="M208" i="11"/>
  <c r="I208" i="11"/>
  <c r="J208" i="11" s="1"/>
  <c r="H208" i="11"/>
  <c r="C208" i="11"/>
  <c r="AJ207" i="11"/>
  <c r="M207" i="11"/>
  <c r="I207" i="11"/>
  <c r="J207" i="11" s="1"/>
  <c r="H207" i="11"/>
  <c r="C207" i="11"/>
  <c r="AJ206" i="11"/>
  <c r="M206" i="11"/>
  <c r="I206" i="11"/>
  <c r="J206" i="11" s="1"/>
  <c r="H206" i="11"/>
  <c r="C206" i="11"/>
  <c r="AJ205" i="11"/>
  <c r="M205" i="11"/>
  <c r="I205" i="11"/>
  <c r="J205" i="11" s="1"/>
  <c r="H205" i="11"/>
  <c r="C205" i="11"/>
  <c r="AR204" i="11"/>
  <c r="AQ204" i="11"/>
  <c r="R204" i="11" s="1"/>
  <c r="AJ204" i="11"/>
  <c r="M204" i="11"/>
  <c r="I204" i="11"/>
  <c r="J204" i="11" s="1"/>
  <c r="H204" i="11"/>
  <c r="C204" i="11"/>
  <c r="AR189" i="11"/>
  <c r="AQ189" i="11"/>
  <c r="R189" i="11" s="1"/>
  <c r="AR188" i="11"/>
  <c r="AQ188" i="11"/>
  <c r="R188" i="11" s="1"/>
  <c r="AJ189" i="11"/>
  <c r="M189" i="11"/>
  <c r="I189" i="11"/>
  <c r="J189" i="11" s="1"/>
  <c r="H189" i="11"/>
  <c r="C189" i="11"/>
  <c r="AJ188" i="11"/>
  <c r="M188" i="11"/>
  <c r="I188" i="11"/>
  <c r="J188" i="11" s="1"/>
  <c r="H188" i="11"/>
  <c r="C188" i="11"/>
  <c r="AR187" i="11"/>
  <c r="AQ187" i="11"/>
  <c r="R187" i="11" s="1"/>
  <c r="AJ187" i="11"/>
  <c r="M187" i="11"/>
  <c r="I187" i="11"/>
  <c r="J187" i="11" s="1"/>
  <c r="H187" i="11"/>
  <c r="C187" i="11"/>
  <c r="AR110" i="11"/>
  <c r="AT110" i="11" s="1"/>
  <c r="AQ110" i="11"/>
  <c r="R110" i="11" s="1"/>
  <c r="AN110" i="11"/>
  <c r="AR109" i="11"/>
  <c r="AT109" i="11" s="1"/>
  <c r="AQ109" i="11"/>
  <c r="R109" i="11" s="1"/>
  <c r="AN109" i="11"/>
  <c r="AR108" i="11"/>
  <c r="Q108" i="11" s="1"/>
  <c r="AR111" i="11"/>
  <c r="AJ110" i="11"/>
  <c r="M110" i="11"/>
  <c r="I110" i="11"/>
  <c r="J110" i="11" s="1"/>
  <c r="H110" i="11"/>
  <c r="C110" i="11"/>
  <c r="AJ109" i="11"/>
  <c r="M109" i="11"/>
  <c r="I109" i="11"/>
  <c r="J109" i="11" s="1"/>
  <c r="H109" i="11"/>
  <c r="C109" i="11"/>
  <c r="AQ108" i="11"/>
  <c r="R108" i="11" s="1"/>
  <c r="AN108" i="11"/>
  <c r="BB108" i="11" s="1"/>
  <c r="AJ108" i="11"/>
  <c r="M108" i="11"/>
  <c r="I108" i="11"/>
  <c r="J108" i="11" s="1"/>
  <c r="H108" i="11"/>
  <c r="K108" i="11" s="1"/>
  <c r="C108" i="11"/>
  <c r="AR409" i="11"/>
  <c r="AT409" i="11" s="1"/>
  <c r="AQ409" i="11"/>
  <c r="R409" i="11" s="1"/>
  <c r="AN409" i="11"/>
  <c r="AR408" i="11"/>
  <c r="E408" i="11" s="1"/>
  <c r="AQ408" i="11"/>
  <c r="R408" i="11" s="1"/>
  <c r="AN408" i="11"/>
  <c r="AR407" i="11"/>
  <c r="AS407" i="11" s="1"/>
  <c r="AJ409" i="11"/>
  <c r="M409" i="11"/>
  <c r="I409" i="11"/>
  <c r="J409" i="11" s="1"/>
  <c r="H409" i="11"/>
  <c r="C409" i="11"/>
  <c r="AJ408" i="11"/>
  <c r="M408" i="11"/>
  <c r="I408" i="11"/>
  <c r="J408" i="11" s="1"/>
  <c r="H408" i="11"/>
  <c r="C408" i="11"/>
  <c r="D408" i="11" s="1"/>
  <c r="AQ407" i="11"/>
  <c r="R407" i="11" s="1"/>
  <c r="AN407" i="11"/>
  <c r="BB407" i="11" s="1"/>
  <c r="AJ407" i="11"/>
  <c r="M407" i="11"/>
  <c r="I407" i="11"/>
  <c r="J407" i="11" s="1"/>
  <c r="H407" i="11"/>
  <c r="C407" i="11"/>
  <c r="AR359" i="11"/>
  <c r="AT359" i="11" s="1"/>
  <c r="AQ359" i="11"/>
  <c r="R359" i="11" s="1"/>
  <c r="AN359" i="11"/>
  <c r="AR358" i="11"/>
  <c r="E358" i="11" s="1"/>
  <c r="AQ358" i="11"/>
  <c r="AN358" i="11"/>
  <c r="AR357" i="11"/>
  <c r="AT357" i="11" s="1"/>
  <c r="AQ357" i="11"/>
  <c r="R357" i="11" s="1"/>
  <c r="AN357" i="11"/>
  <c r="AR356" i="11"/>
  <c r="AT356" i="11" s="1"/>
  <c r="AQ356" i="11"/>
  <c r="R356" i="11" s="1"/>
  <c r="AN356" i="11"/>
  <c r="AR355" i="11"/>
  <c r="E355" i="11" s="1"/>
  <c r="AQ355" i="11"/>
  <c r="AN355" i="11"/>
  <c r="AJ359" i="11"/>
  <c r="M359" i="11"/>
  <c r="I359" i="11"/>
  <c r="J359" i="11" s="1"/>
  <c r="H359" i="11"/>
  <c r="C359" i="11"/>
  <c r="AJ358" i="11"/>
  <c r="M358" i="11"/>
  <c r="I358" i="11"/>
  <c r="J358" i="11" s="1"/>
  <c r="H358" i="11"/>
  <c r="K358" i="11" s="1"/>
  <c r="C358" i="11"/>
  <c r="AJ357" i="11"/>
  <c r="M357" i="11"/>
  <c r="I357" i="11"/>
  <c r="J357" i="11" s="1"/>
  <c r="H357" i="11"/>
  <c r="K357" i="11" s="1"/>
  <c r="C357" i="11"/>
  <c r="AJ356" i="11"/>
  <c r="M356" i="11"/>
  <c r="I356" i="11"/>
  <c r="J356" i="11" s="1"/>
  <c r="H356" i="11"/>
  <c r="K356" i="11" s="1"/>
  <c r="C356" i="11"/>
  <c r="AJ355" i="11"/>
  <c r="M355" i="11"/>
  <c r="I355" i="11"/>
  <c r="J355" i="11" s="1"/>
  <c r="H355" i="11"/>
  <c r="K355" i="11" s="1"/>
  <c r="C355" i="11"/>
  <c r="AR354" i="11"/>
  <c r="Q354" i="11" s="1"/>
  <c r="AQ354" i="11"/>
  <c r="R354" i="11" s="1"/>
  <c r="AN354" i="11"/>
  <c r="BB354" i="11" s="1"/>
  <c r="AJ354" i="11"/>
  <c r="M354" i="11"/>
  <c r="I354" i="11"/>
  <c r="J354" i="11" s="1"/>
  <c r="H354" i="11"/>
  <c r="K354" i="11" s="1"/>
  <c r="C354" i="11"/>
  <c r="AR151" i="11"/>
  <c r="AT151" i="11" s="1"/>
  <c r="AQ151" i="11"/>
  <c r="AN151" i="11"/>
  <c r="AR150" i="11"/>
  <c r="AT150" i="11" s="1"/>
  <c r="AQ150" i="11"/>
  <c r="AN150" i="11"/>
  <c r="M72" i="11"/>
  <c r="I72" i="11"/>
  <c r="J72" i="11" s="1"/>
  <c r="H72" i="11"/>
  <c r="C72" i="11"/>
  <c r="M71" i="11"/>
  <c r="I71" i="11"/>
  <c r="J71" i="11" s="1"/>
  <c r="H71" i="11"/>
  <c r="K71" i="11" s="1"/>
  <c r="C71" i="11"/>
  <c r="M70" i="11"/>
  <c r="I70" i="11"/>
  <c r="J70" i="11" s="1"/>
  <c r="H70" i="11"/>
  <c r="C70" i="11"/>
  <c r="M69" i="11"/>
  <c r="I69" i="11"/>
  <c r="J69" i="11" s="1"/>
  <c r="H69" i="11"/>
  <c r="K69" i="11" s="1"/>
  <c r="C69" i="11"/>
  <c r="M68" i="11"/>
  <c r="I68" i="11"/>
  <c r="J68" i="11" s="1"/>
  <c r="H68" i="11"/>
  <c r="C68" i="11"/>
  <c r="M67" i="11"/>
  <c r="I67" i="11"/>
  <c r="J67" i="11" s="1"/>
  <c r="H67" i="11"/>
  <c r="C67" i="11"/>
  <c r="AR72" i="11"/>
  <c r="AT72" i="11" s="1"/>
  <c r="AQ72" i="11"/>
  <c r="R72" i="11" s="1"/>
  <c r="AN72" i="11"/>
  <c r="AR71" i="11"/>
  <c r="AT71" i="11" s="1"/>
  <c r="AQ71" i="11"/>
  <c r="R71" i="11" s="1"/>
  <c r="AN71" i="11"/>
  <c r="AR70" i="11"/>
  <c r="Q70" i="11" s="1"/>
  <c r="AQ70" i="11"/>
  <c r="R70" i="11" s="1"/>
  <c r="AN70" i="11"/>
  <c r="AR69" i="11"/>
  <c r="AT69" i="11" s="1"/>
  <c r="AQ69" i="11"/>
  <c r="R69" i="11" s="1"/>
  <c r="AN69" i="11"/>
  <c r="AR68" i="11"/>
  <c r="AT68" i="11" s="1"/>
  <c r="AQ68" i="11"/>
  <c r="R68" i="11" s="1"/>
  <c r="AN68" i="11"/>
  <c r="AJ72" i="11"/>
  <c r="AJ71" i="11"/>
  <c r="AJ70" i="11"/>
  <c r="AJ69" i="11"/>
  <c r="AJ68" i="11"/>
  <c r="AR67" i="11"/>
  <c r="AT67" i="11" s="1"/>
  <c r="AQ67" i="11"/>
  <c r="R67" i="11" s="1"/>
  <c r="AN67" i="11"/>
  <c r="BB67" i="11" s="1"/>
  <c r="AJ67" i="11"/>
  <c r="M63" i="13"/>
  <c r="BA428" i="11"/>
  <c r="AZ428" i="11"/>
  <c r="BA415" i="11"/>
  <c r="AZ415" i="11"/>
  <c r="BA405" i="11"/>
  <c r="AZ405" i="11"/>
  <c r="BA389" i="11"/>
  <c r="AZ389" i="11"/>
  <c r="BA379" i="11"/>
  <c r="AZ379" i="11"/>
  <c r="BB367" i="11"/>
  <c r="BA367" i="11"/>
  <c r="AZ367" i="11"/>
  <c r="BA352" i="11"/>
  <c r="AZ352" i="11"/>
  <c r="BA348" i="11"/>
  <c r="AZ348" i="11"/>
  <c r="BA339" i="11"/>
  <c r="AZ339" i="11"/>
  <c r="BA328" i="11"/>
  <c r="AZ328" i="11"/>
  <c r="BA316" i="11"/>
  <c r="AZ316" i="11"/>
  <c r="BA306" i="11"/>
  <c r="AZ306" i="11"/>
  <c r="BA299" i="11"/>
  <c r="AZ299" i="11"/>
  <c r="BA293" i="11"/>
  <c r="AZ293" i="11"/>
  <c r="BA288" i="11"/>
  <c r="AZ288" i="11"/>
  <c r="BA277" i="11"/>
  <c r="AZ277" i="11"/>
  <c r="BB265" i="11"/>
  <c r="BA265" i="11"/>
  <c r="AZ265" i="11"/>
  <c r="BA258" i="11"/>
  <c r="AZ258" i="11"/>
  <c r="BA246" i="11"/>
  <c r="AZ246" i="11"/>
  <c r="BA243" i="11"/>
  <c r="AZ243" i="11"/>
  <c r="BA230" i="11"/>
  <c r="AZ230" i="11"/>
  <c r="BA222" i="11"/>
  <c r="AZ222" i="11"/>
  <c r="BB202" i="11"/>
  <c r="BA202" i="11"/>
  <c r="AZ202" i="11"/>
  <c r="BB185" i="11"/>
  <c r="BA185" i="11"/>
  <c r="AZ185" i="11"/>
  <c r="BA171" i="11"/>
  <c r="AZ171" i="11"/>
  <c r="BA163" i="11"/>
  <c r="AZ163" i="11"/>
  <c r="BA155" i="11"/>
  <c r="AZ155" i="11"/>
  <c r="BA135" i="11"/>
  <c r="AZ135" i="11"/>
  <c r="BA122" i="11"/>
  <c r="AZ122" i="11"/>
  <c r="BA120" i="11"/>
  <c r="AZ120" i="11"/>
  <c r="BA106" i="11"/>
  <c r="AZ106" i="11"/>
  <c r="BA92" i="11"/>
  <c r="AZ92" i="11"/>
  <c r="BA75" i="11"/>
  <c r="AZ75" i="11"/>
  <c r="BA65" i="11"/>
  <c r="AZ65" i="11"/>
  <c r="BA51" i="11"/>
  <c r="AZ51" i="11"/>
  <c r="BA37" i="11"/>
  <c r="AZ37" i="11"/>
  <c r="BB5" i="11"/>
  <c r="BA5" i="11"/>
  <c r="AZ5" i="11"/>
  <c r="H4" i="13" a="1"/>
  <c r="H4" i="13" s="1"/>
  <c r="M75" i="13"/>
  <c r="M383" i="11"/>
  <c r="I383" i="11"/>
  <c r="J383" i="11" s="1"/>
  <c r="H383" i="11"/>
  <c r="C383" i="11"/>
  <c r="M382" i="11"/>
  <c r="I382" i="11"/>
  <c r="J382" i="11" s="1"/>
  <c r="H382" i="11"/>
  <c r="C382" i="11"/>
  <c r="M381" i="11"/>
  <c r="I381" i="11"/>
  <c r="J381" i="11" s="1"/>
  <c r="H381" i="11"/>
  <c r="K381" i="11" s="1"/>
  <c r="C381" i="11"/>
  <c r="AR383" i="11"/>
  <c r="AQ383" i="11"/>
  <c r="R383" i="11" s="1"/>
  <c r="AN383" i="11"/>
  <c r="AR382" i="11"/>
  <c r="AQ382" i="11"/>
  <c r="R382" i="11" s="1"/>
  <c r="AN382" i="11"/>
  <c r="AJ383" i="11"/>
  <c r="AJ382" i="11"/>
  <c r="AR381" i="11"/>
  <c r="AQ381" i="11"/>
  <c r="R381" i="11" s="1"/>
  <c r="AN381" i="11"/>
  <c r="BB381" i="11" s="1"/>
  <c r="AJ381" i="11"/>
  <c r="V393" i="11" l="1"/>
  <c r="B393" i="11"/>
  <c r="A393" i="11" s="1"/>
  <c r="AT207" i="11"/>
  <c r="AS207" i="11"/>
  <c r="AT208" i="11"/>
  <c r="AS208" i="11"/>
  <c r="AT268" i="11"/>
  <c r="AS268" i="11"/>
  <c r="AT209" i="11"/>
  <c r="AS209" i="11"/>
  <c r="AT269" i="11"/>
  <c r="AS269" i="11"/>
  <c r="AT205" i="11"/>
  <c r="AS205" i="11"/>
  <c r="Q206" i="11"/>
  <c r="AS206" i="11"/>
  <c r="AT267" i="11"/>
  <c r="AS267" i="11"/>
  <c r="E204" i="11"/>
  <c r="AS204" i="11"/>
  <c r="E382" i="11"/>
  <c r="AS382" i="11"/>
  <c r="AT383" i="11"/>
  <c r="AS383" i="11"/>
  <c r="AT381" i="11"/>
  <c r="AS381" i="11"/>
  <c r="V16" i="11"/>
  <c r="B16" i="11"/>
  <c r="A16" i="11" s="1"/>
  <c r="V14" i="11"/>
  <c r="B14" i="11"/>
  <c r="A14" i="11" s="1"/>
  <c r="V15" i="11"/>
  <c r="B15" i="11"/>
  <c r="A15" i="11" s="1"/>
  <c r="V13" i="11"/>
  <c r="B13" i="11"/>
  <c r="A13" i="11" s="1"/>
  <c r="AT189" i="11"/>
  <c r="AS189" i="11"/>
  <c r="AT188" i="11"/>
  <c r="AS188" i="11"/>
  <c r="AT187" i="11"/>
  <c r="AS187" i="11"/>
  <c r="B88" i="11"/>
  <c r="A88" i="11" s="1"/>
  <c r="X88" i="11" s="1"/>
  <c r="V176" i="11"/>
  <c r="B176" i="11"/>
  <c r="A176" i="11" s="1"/>
  <c r="T177" i="11"/>
  <c r="U177" i="11" s="1"/>
  <c r="T175" i="11"/>
  <c r="U175" i="11" s="1"/>
  <c r="T57" i="11"/>
  <c r="U57" i="11" s="1"/>
  <c r="T55" i="11"/>
  <c r="U55" i="11" s="1"/>
  <c r="B56" i="11"/>
  <c r="A56" i="11" s="1"/>
  <c r="U90" i="11"/>
  <c r="V90" i="11" s="1"/>
  <c r="B85" i="11"/>
  <c r="A85" i="11" s="1"/>
  <c r="G85" i="11"/>
  <c r="Z90" i="11"/>
  <c r="Y90" i="11"/>
  <c r="X90" i="11"/>
  <c r="G90" i="11"/>
  <c r="Z87" i="11"/>
  <c r="Y87" i="11"/>
  <c r="X87" i="11"/>
  <c r="T86" i="11"/>
  <c r="U86" i="11" s="1"/>
  <c r="V86" i="11" s="1"/>
  <c r="T89" i="11"/>
  <c r="U89" i="11" s="1"/>
  <c r="V89" i="11" s="1"/>
  <c r="T88" i="11"/>
  <c r="U88" i="11" s="1"/>
  <c r="V88" i="11" s="1"/>
  <c r="Z89" i="11"/>
  <c r="Y89" i="11"/>
  <c r="X89" i="11"/>
  <c r="T85" i="11"/>
  <c r="U85" i="11" s="1"/>
  <c r="V85" i="11" s="1"/>
  <c r="V41" i="11"/>
  <c r="B41" i="11"/>
  <c r="A41" i="11" s="1"/>
  <c r="V39" i="11"/>
  <c r="B39" i="11"/>
  <c r="A39" i="11" s="1"/>
  <c r="V40" i="11"/>
  <c r="B40" i="11"/>
  <c r="A40" i="11" s="1"/>
  <c r="T42" i="11"/>
  <c r="U42" i="11" s="1"/>
  <c r="B43" i="11"/>
  <c r="A43" i="11" s="1"/>
  <c r="G43" i="11"/>
  <c r="D235" i="11"/>
  <c r="F145" i="11"/>
  <c r="G145" i="11" s="1"/>
  <c r="F143" i="11"/>
  <c r="G143" i="11" s="1"/>
  <c r="F146" i="11"/>
  <c r="G146" i="11" s="1"/>
  <c r="F147" i="11"/>
  <c r="G147" i="11" s="1"/>
  <c r="S144" i="11"/>
  <c r="S147" i="11"/>
  <c r="S145" i="11"/>
  <c r="S143" i="11"/>
  <c r="T146" i="11"/>
  <c r="U146" i="11" s="1"/>
  <c r="E396" i="11"/>
  <c r="Q234" i="11"/>
  <c r="L396" i="11"/>
  <c r="N396" i="11" s="1"/>
  <c r="D399" i="11"/>
  <c r="O399" i="11"/>
  <c r="P399" i="11" s="1"/>
  <c r="D234" i="11"/>
  <c r="AS233" i="11"/>
  <c r="D394" i="11"/>
  <c r="F394" i="11" s="1"/>
  <c r="O398" i="11"/>
  <c r="P398" i="11" s="1"/>
  <c r="O235" i="11"/>
  <c r="P235" i="11" s="1"/>
  <c r="S235" i="11" s="1"/>
  <c r="D396" i="11"/>
  <c r="O234" i="11"/>
  <c r="P234" i="11" s="1"/>
  <c r="S234" i="11" s="1"/>
  <c r="Q397" i="11"/>
  <c r="AS234" i="11"/>
  <c r="AS235" i="11"/>
  <c r="L235" i="11"/>
  <c r="N235" i="11" s="1"/>
  <c r="L234" i="11"/>
  <c r="N234" i="11" s="1"/>
  <c r="R234" i="11"/>
  <c r="K235" i="11"/>
  <c r="E235" i="11"/>
  <c r="Q235" i="11"/>
  <c r="E234" i="11"/>
  <c r="AS398" i="11"/>
  <c r="AT398" i="11"/>
  <c r="D398" i="11"/>
  <c r="D397" i="11"/>
  <c r="Q394" i="11"/>
  <c r="AT396" i="11"/>
  <c r="AS397" i="11"/>
  <c r="E397" i="11"/>
  <c r="E398" i="11"/>
  <c r="E399" i="11"/>
  <c r="E395" i="11"/>
  <c r="K396" i="11"/>
  <c r="Q395" i="11"/>
  <c r="O395" i="11"/>
  <c r="P395" i="11" s="1"/>
  <c r="O396" i="11"/>
  <c r="P396" i="11" s="1"/>
  <c r="S396" i="11" s="1"/>
  <c r="Q396" i="11"/>
  <c r="AS394" i="11"/>
  <c r="AT394" i="11"/>
  <c r="AS395" i="11"/>
  <c r="D395" i="11"/>
  <c r="L394" i="11"/>
  <c r="N394" i="11" s="1"/>
  <c r="O394" i="11"/>
  <c r="P394" i="11" s="1"/>
  <c r="L395" i="11"/>
  <c r="N395" i="11" s="1"/>
  <c r="L398" i="11"/>
  <c r="N398" i="11" s="1"/>
  <c r="L397" i="11"/>
  <c r="N397" i="11" s="1"/>
  <c r="O397" i="11"/>
  <c r="P397" i="11" s="1"/>
  <c r="L399" i="11"/>
  <c r="N399" i="11" s="1"/>
  <c r="R395" i="11"/>
  <c r="R398" i="11"/>
  <c r="K399" i="11"/>
  <c r="Q399" i="11"/>
  <c r="AS399" i="11"/>
  <c r="D269" i="11"/>
  <c r="D268" i="11"/>
  <c r="O268" i="11"/>
  <c r="P268" i="11" s="1"/>
  <c r="S268" i="11" s="1"/>
  <c r="O267" i="11"/>
  <c r="P267" i="11" s="1"/>
  <c r="S267" i="11" s="1"/>
  <c r="L27" i="11"/>
  <c r="N27" i="11" s="1"/>
  <c r="E31" i="11"/>
  <c r="F31" i="11" s="1"/>
  <c r="G31" i="11" s="1"/>
  <c r="Q32" i="11"/>
  <c r="Q268" i="11"/>
  <c r="O31" i="11"/>
  <c r="P31" i="11" s="1"/>
  <c r="S31" i="11" s="1"/>
  <c r="AS31" i="11"/>
  <c r="E268" i="11"/>
  <c r="Q269" i="11"/>
  <c r="D267" i="11"/>
  <c r="E267" i="11"/>
  <c r="Q267" i="11"/>
  <c r="E269" i="11"/>
  <c r="O269" i="11"/>
  <c r="P269" i="11" s="1"/>
  <c r="L268" i="11"/>
  <c r="N268" i="11" s="1"/>
  <c r="L267" i="11"/>
  <c r="N267" i="11" s="1"/>
  <c r="K267" i="11"/>
  <c r="K269" i="11"/>
  <c r="L269" i="11"/>
  <c r="N269" i="11" s="1"/>
  <c r="K268" i="11"/>
  <c r="E26" i="11"/>
  <c r="F26" i="11" s="1"/>
  <c r="G26" i="11" s="1"/>
  <c r="AT28" i="11"/>
  <c r="AS27" i="11"/>
  <c r="E29" i="11"/>
  <c r="F29" i="11" s="1"/>
  <c r="G29" i="11" s="1"/>
  <c r="E28" i="11"/>
  <c r="F28" i="11" s="1"/>
  <c r="O391" i="11"/>
  <c r="P391" i="11" s="1"/>
  <c r="S391" i="11" s="1"/>
  <c r="E27" i="11"/>
  <c r="F27" i="11" s="1"/>
  <c r="G27" i="11" s="1"/>
  <c r="AT29" i="11"/>
  <c r="L31" i="11"/>
  <c r="N31" i="11" s="1"/>
  <c r="E32" i="11"/>
  <c r="F32" i="11" s="1"/>
  <c r="AT32" i="11"/>
  <c r="O28" i="11"/>
  <c r="P28" i="11" s="1"/>
  <c r="S28" i="11" s="1"/>
  <c r="L32" i="11"/>
  <c r="N32" i="11" s="1"/>
  <c r="E33" i="11"/>
  <c r="F33" i="11" s="1"/>
  <c r="G33" i="11" s="1"/>
  <c r="O27" i="11"/>
  <c r="P27" i="11" s="1"/>
  <c r="S27" i="11" s="1"/>
  <c r="K32" i="11"/>
  <c r="Q26" i="11"/>
  <c r="Q27" i="11"/>
  <c r="Q28" i="11"/>
  <c r="L29" i="11"/>
  <c r="N29" i="11" s="1"/>
  <c r="Q31" i="11"/>
  <c r="O32" i="11"/>
  <c r="P32" i="11" s="1"/>
  <c r="S32" i="11" s="1"/>
  <c r="Q33" i="11"/>
  <c r="Q29" i="11"/>
  <c r="O26" i="11"/>
  <c r="P26" i="11" s="1"/>
  <c r="S26" i="11" s="1"/>
  <c r="L26" i="11"/>
  <c r="N26" i="11" s="1"/>
  <c r="O30" i="11"/>
  <c r="P30" i="11" s="1"/>
  <c r="S30" i="11" s="1"/>
  <c r="L30" i="11"/>
  <c r="N30" i="11" s="1"/>
  <c r="O33" i="11"/>
  <c r="P33" i="11" s="1"/>
  <c r="S33" i="11" s="1"/>
  <c r="AT30" i="11"/>
  <c r="AS30" i="11"/>
  <c r="O29" i="11"/>
  <c r="P29" i="11" s="1"/>
  <c r="K33" i="11"/>
  <c r="E30" i="11"/>
  <c r="L28" i="11"/>
  <c r="N28" i="11" s="1"/>
  <c r="K28" i="11"/>
  <c r="L33" i="11"/>
  <c r="N33" i="11" s="1"/>
  <c r="AS26" i="11"/>
  <c r="AS33" i="11"/>
  <c r="O392" i="11"/>
  <c r="P392" i="11" s="1"/>
  <c r="S392" i="11" s="1"/>
  <c r="D332" i="11"/>
  <c r="O334" i="11"/>
  <c r="P334" i="11" s="1"/>
  <c r="S334" i="11" s="1"/>
  <c r="E391" i="11"/>
  <c r="E333" i="11"/>
  <c r="E332" i="11"/>
  <c r="Q332" i="11"/>
  <c r="D391" i="11"/>
  <c r="E392" i="11"/>
  <c r="L391" i="11"/>
  <c r="N391" i="11" s="1"/>
  <c r="K391" i="11"/>
  <c r="Q392" i="11"/>
  <c r="Q391" i="11"/>
  <c r="AS392" i="11"/>
  <c r="D392" i="11"/>
  <c r="L392" i="11"/>
  <c r="N392" i="11" s="1"/>
  <c r="R391" i="11"/>
  <c r="AS391" i="11"/>
  <c r="K392" i="11"/>
  <c r="D418" i="11"/>
  <c r="L333" i="11"/>
  <c r="N333" i="11" s="1"/>
  <c r="L334" i="11"/>
  <c r="N334" i="11" s="1"/>
  <c r="Q125" i="11"/>
  <c r="E165" i="11"/>
  <c r="Q331" i="11"/>
  <c r="D331" i="11"/>
  <c r="F331" i="11" s="1"/>
  <c r="G331" i="11" s="1"/>
  <c r="O333" i="11"/>
  <c r="P333" i="11" s="1"/>
  <c r="S333" i="11" s="1"/>
  <c r="AT331" i="11"/>
  <c r="AS331" i="11"/>
  <c r="D166" i="11"/>
  <c r="F166" i="11" s="1"/>
  <c r="G166" i="11" s="1"/>
  <c r="D128" i="11"/>
  <c r="L331" i="11"/>
  <c r="N331" i="11" s="1"/>
  <c r="L330" i="11"/>
  <c r="N330" i="11" s="1"/>
  <c r="O331" i="11"/>
  <c r="P331" i="11" s="1"/>
  <c r="S331" i="11" s="1"/>
  <c r="K331" i="11"/>
  <c r="K334" i="11"/>
  <c r="AS332" i="11"/>
  <c r="D129" i="11"/>
  <c r="O330" i="11"/>
  <c r="P330" i="11" s="1"/>
  <c r="K333" i="11"/>
  <c r="Q334" i="11"/>
  <c r="Q333" i="11"/>
  <c r="AS333" i="11"/>
  <c r="D334" i="11"/>
  <c r="E334" i="11"/>
  <c r="AS334" i="11"/>
  <c r="D333" i="11"/>
  <c r="D330" i="11"/>
  <c r="E330" i="11"/>
  <c r="Q330" i="11"/>
  <c r="L332" i="11"/>
  <c r="N332" i="11" s="1"/>
  <c r="O332" i="11"/>
  <c r="P332" i="11" s="1"/>
  <c r="AT330" i="11"/>
  <c r="R333" i="11"/>
  <c r="R330" i="11"/>
  <c r="O165" i="11"/>
  <c r="P165" i="11" s="1"/>
  <c r="S165" i="11" s="1"/>
  <c r="E125" i="11"/>
  <c r="Q166" i="11"/>
  <c r="E127" i="11"/>
  <c r="D127" i="11"/>
  <c r="L125" i="11"/>
  <c r="N125" i="11" s="1"/>
  <c r="O128" i="11"/>
  <c r="P128" i="11" s="1"/>
  <c r="S128" i="11" s="1"/>
  <c r="D167" i="11"/>
  <c r="AS166" i="11"/>
  <c r="E167" i="11"/>
  <c r="AT166" i="11"/>
  <c r="Q167" i="11"/>
  <c r="AS167" i="11"/>
  <c r="Q165" i="11"/>
  <c r="AS165" i="11"/>
  <c r="D165" i="11"/>
  <c r="L166" i="11"/>
  <c r="N166" i="11" s="1"/>
  <c r="O167" i="11"/>
  <c r="P167" i="11" s="1"/>
  <c r="O166" i="11"/>
  <c r="P166" i="11" s="1"/>
  <c r="L165" i="11"/>
  <c r="N165" i="11" s="1"/>
  <c r="K167" i="11"/>
  <c r="L167" i="11"/>
  <c r="N167" i="11" s="1"/>
  <c r="K166" i="11"/>
  <c r="D420" i="11"/>
  <c r="O129" i="11"/>
  <c r="P129" i="11" s="1"/>
  <c r="E128" i="11"/>
  <c r="O261" i="11"/>
  <c r="P261" i="11" s="1"/>
  <c r="S261" i="11" s="1"/>
  <c r="D126" i="11"/>
  <c r="O126" i="11"/>
  <c r="P126" i="11" s="1"/>
  <c r="S126" i="11" s="1"/>
  <c r="L126" i="11"/>
  <c r="N126" i="11" s="1"/>
  <c r="L129" i="11"/>
  <c r="N129" i="11" s="1"/>
  <c r="K126" i="11"/>
  <c r="K129" i="11"/>
  <c r="Q126" i="11"/>
  <c r="AS127" i="11"/>
  <c r="L128" i="11"/>
  <c r="N128" i="11" s="1"/>
  <c r="O125" i="11"/>
  <c r="P125" i="11" s="1"/>
  <c r="S125" i="11" s="1"/>
  <c r="K125" i="11"/>
  <c r="K128" i="11"/>
  <c r="Q128" i="11"/>
  <c r="AS125" i="11"/>
  <c r="E126" i="11"/>
  <c r="AT127" i="11"/>
  <c r="E129" i="11"/>
  <c r="D125" i="11"/>
  <c r="AS128" i="11"/>
  <c r="AS126" i="11"/>
  <c r="Q129" i="11"/>
  <c r="AS129" i="11"/>
  <c r="E124" i="11"/>
  <c r="Q124" i="11"/>
  <c r="AS124" i="11"/>
  <c r="D124" i="11"/>
  <c r="L124" i="11"/>
  <c r="N124" i="11" s="1"/>
  <c r="O124" i="11"/>
  <c r="P124" i="11" s="1"/>
  <c r="L127" i="11"/>
  <c r="N127" i="11" s="1"/>
  <c r="O127" i="11"/>
  <c r="P127" i="11" s="1"/>
  <c r="R125" i="11"/>
  <c r="R128" i="11"/>
  <c r="E262" i="11"/>
  <c r="E261" i="11"/>
  <c r="O260" i="11"/>
  <c r="P260" i="11" s="1"/>
  <c r="AT260" i="11"/>
  <c r="D260" i="11"/>
  <c r="F260" i="11" s="1"/>
  <c r="G260" i="11" s="1"/>
  <c r="L261" i="11"/>
  <c r="N261" i="11" s="1"/>
  <c r="D419" i="11"/>
  <c r="L260" i="11"/>
  <c r="N260" i="11" s="1"/>
  <c r="D262" i="11"/>
  <c r="AS261" i="11"/>
  <c r="D261" i="11"/>
  <c r="AS262" i="11"/>
  <c r="Q260" i="11"/>
  <c r="Q261" i="11"/>
  <c r="Q262" i="11"/>
  <c r="AS260" i="11"/>
  <c r="O262" i="11"/>
  <c r="P262" i="11" s="1"/>
  <c r="K262" i="11"/>
  <c r="L262" i="11"/>
  <c r="N262" i="11" s="1"/>
  <c r="K261" i="11"/>
  <c r="O97" i="11"/>
  <c r="P97" i="11" s="1"/>
  <c r="S97" i="11" s="1"/>
  <c r="Q97" i="11"/>
  <c r="D99" i="11"/>
  <c r="Q95" i="11"/>
  <c r="Q98" i="11"/>
  <c r="E97" i="11"/>
  <c r="L99" i="11"/>
  <c r="N99" i="11" s="1"/>
  <c r="AS97" i="11"/>
  <c r="D94" i="11"/>
  <c r="D97" i="11"/>
  <c r="E420" i="11"/>
  <c r="L97" i="11"/>
  <c r="N97" i="11" s="1"/>
  <c r="D96" i="11"/>
  <c r="K97" i="11"/>
  <c r="E96" i="11"/>
  <c r="E99" i="11"/>
  <c r="Q94" i="11"/>
  <c r="D421" i="11"/>
  <c r="F421" i="11" s="1"/>
  <c r="D95" i="11"/>
  <c r="D98" i="11"/>
  <c r="E95" i="11"/>
  <c r="E98" i="11"/>
  <c r="Q99" i="11"/>
  <c r="E94" i="11"/>
  <c r="Q96" i="11"/>
  <c r="O95" i="11"/>
  <c r="P95" i="11" s="1"/>
  <c r="L95" i="11"/>
  <c r="N95" i="11" s="1"/>
  <c r="L94" i="11"/>
  <c r="N94" i="11" s="1"/>
  <c r="O94" i="11"/>
  <c r="P94" i="11" s="1"/>
  <c r="O96" i="11"/>
  <c r="P96" i="11" s="1"/>
  <c r="L96" i="11"/>
  <c r="N96" i="11" s="1"/>
  <c r="O98" i="11"/>
  <c r="P98" i="11" s="1"/>
  <c r="O99" i="11"/>
  <c r="P99" i="11" s="1"/>
  <c r="L98" i="11"/>
  <c r="N98" i="11" s="1"/>
  <c r="K99" i="11"/>
  <c r="AT95" i="11"/>
  <c r="AT94" i="11"/>
  <c r="AS98" i="11"/>
  <c r="AS96" i="11"/>
  <c r="AS99" i="11"/>
  <c r="Q283" i="11"/>
  <c r="O420" i="11"/>
  <c r="P420" i="11" s="1"/>
  <c r="S420" i="11" s="1"/>
  <c r="Q280" i="11"/>
  <c r="O419" i="11"/>
  <c r="P419" i="11" s="1"/>
  <c r="S419" i="11" s="1"/>
  <c r="O417" i="11"/>
  <c r="P417" i="11" s="1"/>
  <c r="S417" i="11" s="1"/>
  <c r="D422" i="11"/>
  <c r="D296" i="11"/>
  <c r="F296" i="11" s="1"/>
  <c r="Q419" i="11"/>
  <c r="O418" i="11"/>
  <c r="P418" i="11" s="1"/>
  <c r="S418" i="11" s="1"/>
  <c r="L418" i="11"/>
  <c r="N418" i="11" s="1"/>
  <c r="L295" i="11"/>
  <c r="N295" i="11" s="1"/>
  <c r="E422" i="11"/>
  <c r="D297" i="11"/>
  <c r="L421" i="11"/>
  <c r="N421" i="11" s="1"/>
  <c r="Q422" i="11"/>
  <c r="L417" i="11"/>
  <c r="N417" i="11" s="1"/>
  <c r="O421" i="11"/>
  <c r="P421" i="11" s="1"/>
  <c r="S421" i="11" s="1"/>
  <c r="E418" i="11"/>
  <c r="L420" i="11"/>
  <c r="N420" i="11" s="1"/>
  <c r="Q421" i="11"/>
  <c r="AS420" i="11"/>
  <c r="D417" i="11"/>
  <c r="AT417" i="11"/>
  <c r="E419" i="11"/>
  <c r="AT420" i="11"/>
  <c r="E417" i="11"/>
  <c r="AS418" i="11"/>
  <c r="AS421" i="11"/>
  <c r="AT421" i="11"/>
  <c r="Q417" i="11"/>
  <c r="AS419" i="11"/>
  <c r="AS422" i="11"/>
  <c r="O422" i="11"/>
  <c r="P422" i="11" s="1"/>
  <c r="S422" i="11" s="1"/>
  <c r="K422" i="11"/>
  <c r="K417" i="11"/>
  <c r="L422" i="11"/>
  <c r="N422" i="11" s="1"/>
  <c r="L419" i="11"/>
  <c r="N419" i="11" s="1"/>
  <c r="K421" i="11"/>
  <c r="Q418" i="11"/>
  <c r="D284" i="11"/>
  <c r="D207" i="11"/>
  <c r="Q205" i="11"/>
  <c r="Q281" i="11"/>
  <c r="O295" i="11"/>
  <c r="P295" i="11" s="1"/>
  <c r="S295" i="11" s="1"/>
  <c r="O297" i="11"/>
  <c r="P297" i="11" s="1"/>
  <c r="S297" i="11" s="1"/>
  <c r="Q282" i="11"/>
  <c r="D283" i="11"/>
  <c r="K295" i="11"/>
  <c r="D209" i="11"/>
  <c r="E282" i="11"/>
  <c r="O282" i="11"/>
  <c r="P282" i="11" s="1"/>
  <c r="S282" i="11" s="1"/>
  <c r="D295" i="11"/>
  <c r="F295" i="11" s="1"/>
  <c r="G295" i="11" s="1"/>
  <c r="Q295" i="11"/>
  <c r="AS295" i="11"/>
  <c r="AT295" i="11"/>
  <c r="L297" i="11"/>
  <c r="N297" i="11" s="1"/>
  <c r="O296" i="11"/>
  <c r="P296" i="11" s="1"/>
  <c r="S296" i="11" s="1"/>
  <c r="R296" i="11"/>
  <c r="K297" i="11"/>
  <c r="L296" i="11"/>
  <c r="N296" i="11" s="1"/>
  <c r="E297" i="11"/>
  <c r="Q297" i="11"/>
  <c r="E207" i="11"/>
  <c r="E283" i="11"/>
  <c r="O280" i="11"/>
  <c r="P280" i="11" s="1"/>
  <c r="L282" i="11"/>
  <c r="N282" i="11" s="1"/>
  <c r="D204" i="11"/>
  <c r="F204" i="11" s="1"/>
  <c r="G204" i="11" s="1"/>
  <c r="D208" i="11"/>
  <c r="E281" i="11"/>
  <c r="AS279" i="11"/>
  <c r="D188" i="11"/>
  <c r="D279" i="11"/>
  <c r="AS282" i="11"/>
  <c r="E279" i="11"/>
  <c r="D282" i="11"/>
  <c r="AS283" i="11"/>
  <c r="O281" i="11"/>
  <c r="P281" i="11" s="1"/>
  <c r="S281" i="11" s="1"/>
  <c r="Q279" i="11"/>
  <c r="K282" i="11"/>
  <c r="AS281" i="11"/>
  <c r="AS280" i="11"/>
  <c r="D281" i="11"/>
  <c r="AT280" i="11"/>
  <c r="D280" i="11"/>
  <c r="F280" i="11" s="1"/>
  <c r="AS284" i="11"/>
  <c r="L279" i="11"/>
  <c r="N279" i="11" s="1"/>
  <c r="O279" i="11"/>
  <c r="P279" i="11" s="1"/>
  <c r="L280" i="11"/>
  <c r="N280" i="11" s="1"/>
  <c r="L281" i="11"/>
  <c r="N281" i="11" s="1"/>
  <c r="O284" i="11"/>
  <c r="P284" i="11" s="1"/>
  <c r="S284" i="11" s="1"/>
  <c r="O283" i="11"/>
  <c r="P283" i="11" s="1"/>
  <c r="R280" i="11"/>
  <c r="R283" i="11"/>
  <c r="K284" i="11"/>
  <c r="L284" i="11"/>
  <c r="N284" i="11" s="1"/>
  <c r="L283" i="11"/>
  <c r="N283" i="11" s="1"/>
  <c r="E284" i="11"/>
  <c r="Q284" i="11"/>
  <c r="O209" i="11"/>
  <c r="P209" i="11" s="1"/>
  <c r="S209" i="11" s="1"/>
  <c r="Q204" i="11"/>
  <c r="D205" i="11"/>
  <c r="L204" i="11"/>
  <c r="N204" i="11" s="1"/>
  <c r="L208" i="11"/>
  <c r="N208" i="11" s="1"/>
  <c r="O207" i="11"/>
  <c r="P207" i="11" s="1"/>
  <c r="S207" i="11" s="1"/>
  <c r="D189" i="11"/>
  <c r="O108" i="11"/>
  <c r="P108" i="11" s="1"/>
  <c r="L206" i="11"/>
  <c r="N206" i="11" s="1"/>
  <c r="Q208" i="11"/>
  <c r="E206" i="11"/>
  <c r="Q207" i="11"/>
  <c r="E209" i="11"/>
  <c r="AT206" i="11"/>
  <c r="D206" i="11"/>
  <c r="E205" i="11"/>
  <c r="E208" i="11"/>
  <c r="Q209" i="11"/>
  <c r="O205" i="11"/>
  <c r="P205" i="11" s="1"/>
  <c r="O206" i="11"/>
  <c r="P206" i="11" s="1"/>
  <c r="S206" i="11" s="1"/>
  <c r="O204" i="11"/>
  <c r="P204" i="11" s="1"/>
  <c r="O208" i="11"/>
  <c r="P208" i="11" s="1"/>
  <c r="S208" i="11" s="1"/>
  <c r="K205" i="11"/>
  <c r="K207" i="11"/>
  <c r="K209" i="11"/>
  <c r="AT204" i="11"/>
  <c r="L205" i="11"/>
  <c r="N205" i="11" s="1"/>
  <c r="L207" i="11"/>
  <c r="N207" i="11" s="1"/>
  <c r="L209" i="11"/>
  <c r="N209" i="11" s="1"/>
  <c r="K204" i="11"/>
  <c r="K206" i="11"/>
  <c r="K208" i="11"/>
  <c r="D409" i="11"/>
  <c r="O358" i="11"/>
  <c r="P358" i="11" s="1"/>
  <c r="S358" i="11" s="1"/>
  <c r="D109" i="11"/>
  <c r="D110" i="11"/>
  <c r="Q188" i="11"/>
  <c r="AT407" i="11"/>
  <c r="E109" i="11"/>
  <c r="L188" i="11"/>
  <c r="N188" i="11" s="1"/>
  <c r="E188" i="11"/>
  <c r="Q189" i="11"/>
  <c r="D187" i="11"/>
  <c r="E187" i="11"/>
  <c r="Q187" i="11"/>
  <c r="E189" i="11"/>
  <c r="O189" i="11"/>
  <c r="P189" i="11" s="1"/>
  <c r="L187" i="11"/>
  <c r="N187" i="11" s="1"/>
  <c r="O188" i="11"/>
  <c r="P188" i="11" s="1"/>
  <c r="S188" i="11" s="1"/>
  <c r="K187" i="11"/>
  <c r="K189" i="11"/>
  <c r="O187" i="11"/>
  <c r="P187" i="11" s="1"/>
  <c r="L189" i="11"/>
  <c r="N189" i="11" s="1"/>
  <c r="K188" i="11"/>
  <c r="E357" i="11"/>
  <c r="O109" i="11"/>
  <c r="P109" i="11" s="1"/>
  <c r="S109" i="11" s="1"/>
  <c r="Q408" i="11"/>
  <c r="Q109" i="11"/>
  <c r="D359" i="11"/>
  <c r="E110" i="11"/>
  <c r="F110" i="11" s="1"/>
  <c r="O110" i="11"/>
  <c r="P110" i="11" s="1"/>
  <c r="L109" i="11"/>
  <c r="N109" i="11" s="1"/>
  <c r="AS110" i="11"/>
  <c r="Q358" i="11"/>
  <c r="Q110" i="11"/>
  <c r="AS109" i="11"/>
  <c r="D108" i="11"/>
  <c r="AS108" i="11"/>
  <c r="AT108" i="11"/>
  <c r="E108" i="11"/>
  <c r="L108" i="11"/>
  <c r="N108" i="11" s="1"/>
  <c r="K110" i="11"/>
  <c r="L110" i="11"/>
  <c r="N110" i="11" s="1"/>
  <c r="K109" i="11"/>
  <c r="D407" i="11"/>
  <c r="AS69" i="11"/>
  <c r="E356" i="11"/>
  <c r="Q357" i="11"/>
  <c r="Q356" i="11"/>
  <c r="D357" i="11"/>
  <c r="AS408" i="11"/>
  <c r="E409" i="11"/>
  <c r="AT408" i="11"/>
  <c r="Q409" i="11"/>
  <c r="AS409" i="11"/>
  <c r="E407" i="11"/>
  <c r="Q407" i="11"/>
  <c r="O409" i="11"/>
  <c r="P409" i="11" s="1"/>
  <c r="L408" i="11"/>
  <c r="N408" i="11" s="1"/>
  <c r="O407" i="11"/>
  <c r="P407" i="11" s="1"/>
  <c r="O408" i="11"/>
  <c r="P408" i="11" s="1"/>
  <c r="L407" i="11"/>
  <c r="N407" i="11" s="1"/>
  <c r="K407" i="11"/>
  <c r="F408" i="11"/>
  <c r="G408" i="11" s="1"/>
  <c r="K409" i="11"/>
  <c r="L409" i="11"/>
  <c r="N409" i="11" s="1"/>
  <c r="K408" i="11"/>
  <c r="AS356" i="11"/>
  <c r="O355" i="11"/>
  <c r="P355" i="11" s="1"/>
  <c r="D356" i="11"/>
  <c r="O356" i="11"/>
  <c r="P356" i="11" s="1"/>
  <c r="S356" i="11" s="1"/>
  <c r="O359" i="11"/>
  <c r="P359" i="11" s="1"/>
  <c r="S359" i="11" s="1"/>
  <c r="AS357" i="11"/>
  <c r="AS355" i="11"/>
  <c r="AT355" i="11"/>
  <c r="AS358" i="11"/>
  <c r="AT358" i="11"/>
  <c r="D355" i="11"/>
  <c r="F355" i="11" s="1"/>
  <c r="G355" i="11" s="1"/>
  <c r="Q355" i="11"/>
  <c r="D358" i="11"/>
  <c r="F358" i="11" s="1"/>
  <c r="AS359" i="11"/>
  <c r="AS354" i="11"/>
  <c r="D354" i="11"/>
  <c r="AT354" i="11"/>
  <c r="E354" i="11"/>
  <c r="L354" i="11"/>
  <c r="N354" i="11" s="1"/>
  <c r="O354" i="11"/>
  <c r="P354" i="11" s="1"/>
  <c r="L355" i="11"/>
  <c r="N355" i="11" s="1"/>
  <c r="L356" i="11"/>
  <c r="N356" i="11" s="1"/>
  <c r="L359" i="11"/>
  <c r="N359" i="11" s="1"/>
  <c r="L357" i="11"/>
  <c r="N357" i="11" s="1"/>
  <c r="O357" i="11"/>
  <c r="P357" i="11" s="1"/>
  <c r="L358" i="11"/>
  <c r="N358" i="11" s="1"/>
  <c r="R355" i="11"/>
  <c r="R358" i="11"/>
  <c r="K359" i="11"/>
  <c r="E359" i="11"/>
  <c r="Q359" i="11"/>
  <c r="O72" i="11"/>
  <c r="P72" i="11" s="1"/>
  <c r="S72" i="11" s="1"/>
  <c r="O68" i="11"/>
  <c r="P68" i="11" s="1"/>
  <c r="S68" i="11" s="1"/>
  <c r="AS150" i="11"/>
  <c r="AS151" i="11"/>
  <c r="K68" i="11"/>
  <c r="D71" i="11"/>
  <c r="D67" i="11"/>
  <c r="L67" i="11"/>
  <c r="N67" i="11" s="1"/>
  <c r="D70" i="11"/>
  <c r="E70" i="11"/>
  <c r="D68" i="11"/>
  <c r="Q68" i="11"/>
  <c r="O70" i="11"/>
  <c r="P70" i="11" s="1"/>
  <c r="S70" i="11" s="1"/>
  <c r="O67" i="11"/>
  <c r="P67" i="11" s="1"/>
  <c r="S67" i="11" s="1"/>
  <c r="Q71" i="11"/>
  <c r="AS70" i="11"/>
  <c r="K67" i="11"/>
  <c r="D69" i="11"/>
  <c r="AT70" i="11"/>
  <c r="E69" i="11"/>
  <c r="D72" i="11"/>
  <c r="Q67" i="11"/>
  <c r="E72" i="11"/>
  <c r="E67" i="11"/>
  <c r="E68" i="11"/>
  <c r="E71" i="11"/>
  <c r="Q69" i="11"/>
  <c r="O71" i="11"/>
  <c r="P71" i="11" s="1"/>
  <c r="S71" i="11" s="1"/>
  <c r="Q72" i="11"/>
  <c r="L68" i="11"/>
  <c r="N68" i="11" s="1"/>
  <c r="O69" i="11"/>
  <c r="P69" i="11" s="1"/>
  <c r="L69" i="11"/>
  <c r="N69" i="11" s="1"/>
  <c r="L72" i="11"/>
  <c r="N72" i="11" s="1"/>
  <c r="K70" i="11"/>
  <c r="L70" i="11"/>
  <c r="N70" i="11" s="1"/>
  <c r="L71" i="11"/>
  <c r="N71" i="11" s="1"/>
  <c r="K72" i="11"/>
  <c r="AS68" i="11"/>
  <c r="AS71" i="11"/>
  <c r="AS72" i="11"/>
  <c r="AS67" i="11"/>
  <c r="D382" i="11"/>
  <c r="F382" i="11" s="1"/>
  <c r="G382" i="11" s="1"/>
  <c r="D383" i="11"/>
  <c r="D381" i="11"/>
  <c r="Q382" i="11"/>
  <c r="E381" i="11"/>
  <c r="Q381" i="11"/>
  <c r="Q383" i="11"/>
  <c r="E383" i="11"/>
  <c r="AT382" i="11"/>
  <c r="O382" i="11"/>
  <c r="P382" i="11" s="1"/>
  <c r="L383" i="11"/>
  <c r="N383" i="11" s="1"/>
  <c r="L382" i="11"/>
  <c r="N382" i="11" s="1"/>
  <c r="O381" i="11"/>
  <c r="P381" i="11" s="1"/>
  <c r="K383" i="11"/>
  <c r="O383" i="11"/>
  <c r="P383" i="11" s="1"/>
  <c r="L381" i="11"/>
  <c r="N381" i="11" s="1"/>
  <c r="K382" i="11"/>
  <c r="AJ434" i="11"/>
  <c r="AJ433" i="11"/>
  <c r="AJ432" i="11"/>
  <c r="AJ431" i="11"/>
  <c r="AJ430" i="11"/>
  <c r="AJ429" i="11"/>
  <c r="AJ428" i="11"/>
  <c r="AJ427" i="11"/>
  <c r="AJ426" i="11"/>
  <c r="AJ425" i="11"/>
  <c r="AJ424" i="11"/>
  <c r="AJ423" i="11"/>
  <c r="AJ416" i="11"/>
  <c r="AJ415" i="11"/>
  <c r="AJ414" i="11"/>
  <c r="AJ413" i="11"/>
  <c r="AJ412" i="11"/>
  <c r="AJ411" i="11"/>
  <c r="AJ410" i="11"/>
  <c r="AJ406" i="11"/>
  <c r="AJ405" i="11"/>
  <c r="AJ404" i="11"/>
  <c r="AJ403" i="11"/>
  <c r="AJ402" i="11"/>
  <c r="AJ401" i="11"/>
  <c r="AJ400" i="11"/>
  <c r="AJ390" i="11"/>
  <c r="AJ389" i="11"/>
  <c r="AJ388" i="11"/>
  <c r="AJ387" i="11"/>
  <c r="AJ386" i="11"/>
  <c r="AJ385" i="11"/>
  <c r="AJ384" i="11"/>
  <c r="AJ380" i="11"/>
  <c r="AJ379" i="11"/>
  <c r="AJ378" i="11"/>
  <c r="AJ377" i="11"/>
  <c r="AJ376" i="11"/>
  <c r="AJ375" i="11"/>
  <c r="AJ374" i="11"/>
  <c r="AJ373" i="11"/>
  <c r="AJ372" i="11"/>
  <c r="AJ371" i="11"/>
  <c r="AJ370" i="11"/>
  <c r="AJ369" i="11"/>
  <c r="AJ368" i="11"/>
  <c r="AJ367" i="11"/>
  <c r="AJ366" i="11"/>
  <c r="AJ365" i="11"/>
  <c r="AJ364" i="11"/>
  <c r="AJ363" i="11"/>
  <c r="AJ362" i="11"/>
  <c r="AJ361" i="11"/>
  <c r="AJ360" i="11"/>
  <c r="AJ353" i="11"/>
  <c r="AJ352" i="11"/>
  <c r="AJ351" i="11"/>
  <c r="AJ350" i="11"/>
  <c r="AJ349" i="11"/>
  <c r="AJ348" i="11"/>
  <c r="AJ347" i="11"/>
  <c r="AJ346" i="11"/>
  <c r="AJ345" i="11"/>
  <c r="AJ344" i="11"/>
  <c r="AJ343" i="11"/>
  <c r="AJ342" i="11"/>
  <c r="AJ341" i="11"/>
  <c r="AJ340" i="11"/>
  <c r="AJ339" i="11"/>
  <c r="AJ338" i="11"/>
  <c r="AJ337" i="11"/>
  <c r="AJ336" i="11"/>
  <c r="AJ335" i="11"/>
  <c r="AJ329" i="11"/>
  <c r="AJ328" i="11"/>
  <c r="AJ327" i="11"/>
  <c r="AJ326" i="11"/>
  <c r="AJ325" i="11"/>
  <c r="AJ324" i="11"/>
  <c r="AJ323" i="11"/>
  <c r="AJ322" i="11"/>
  <c r="AJ321" i="11"/>
  <c r="AJ320" i="11"/>
  <c r="AJ319" i="11"/>
  <c r="AJ318" i="11"/>
  <c r="AJ317" i="11"/>
  <c r="AJ316" i="11"/>
  <c r="AJ315" i="11"/>
  <c r="AJ314" i="11"/>
  <c r="AJ313" i="11"/>
  <c r="AJ312" i="11"/>
  <c r="AJ311" i="11"/>
  <c r="AJ310" i="11"/>
  <c r="AJ309" i="11"/>
  <c r="AJ308" i="11"/>
  <c r="AJ307" i="11"/>
  <c r="AJ306" i="11"/>
  <c r="AJ305" i="11"/>
  <c r="AJ304" i="11"/>
  <c r="AJ303" i="11"/>
  <c r="AJ302" i="11"/>
  <c r="AJ301" i="11"/>
  <c r="AJ300" i="11"/>
  <c r="AJ299" i="11"/>
  <c r="AJ298" i="11"/>
  <c r="AJ294" i="11"/>
  <c r="AJ293" i="11"/>
  <c r="AJ292" i="11"/>
  <c r="AJ291" i="11"/>
  <c r="AJ290" i="11"/>
  <c r="AJ289" i="11"/>
  <c r="AJ288" i="11"/>
  <c r="AJ287" i="11"/>
  <c r="AJ286" i="11"/>
  <c r="AJ285" i="11"/>
  <c r="AJ278" i="11"/>
  <c r="AJ277" i="11"/>
  <c r="AJ276" i="11"/>
  <c r="AJ275" i="11"/>
  <c r="AJ274" i="11"/>
  <c r="AJ273" i="11"/>
  <c r="AJ272" i="11"/>
  <c r="AJ271" i="11"/>
  <c r="AJ270" i="11"/>
  <c r="AJ266" i="11"/>
  <c r="AJ265" i="11"/>
  <c r="AJ264" i="11"/>
  <c r="AJ263" i="11"/>
  <c r="AJ259" i="11"/>
  <c r="AJ258" i="11"/>
  <c r="AJ257" i="11"/>
  <c r="AJ256" i="11"/>
  <c r="AJ255" i="11"/>
  <c r="AJ254" i="11"/>
  <c r="AJ253" i="11"/>
  <c r="AJ252" i="11"/>
  <c r="AJ251" i="11"/>
  <c r="AJ250" i="11"/>
  <c r="AJ249" i="11"/>
  <c r="AJ248" i="11"/>
  <c r="AJ247" i="11"/>
  <c r="AJ246" i="11"/>
  <c r="AJ245" i="11"/>
  <c r="AJ244" i="11"/>
  <c r="AJ243" i="11"/>
  <c r="AJ242" i="11"/>
  <c r="AJ241" i="11"/>
  <c r="AJ240" i="11"/>
  <c r="AJ239" i="11"/>
  <c r="AJ238" i="11"/>
  <c r="AJ237" i="11"/>
  <c r="AJ236" i="11"/>
  <c r="AJ233" i="11"/>
  <c r="AJ232" i="11"/>
  <c r="AJ231" i="11"/>
  <c r="AJ230" i="11"/>
  <c r="AJ229" i="11"/>
  <c r="AJ228" i="11"/>
  <c r="AJ227" i="11"/>
  <c r="AJ226" i="11"/>
  <c r="AJ225" i="11"/>
  <c r="AJ224" i="11"/>
  <c r="AJ223" i="11"/>
  <c r="AJ222" i="11"/>
  <c r="AJ221" i="11"/>
  <c r="AJ220" i="11"/>
  <c r="AJ219" i="11"/>
  <c r="AJ218" i="11"/>
  <c r="AJ217" i="11"/>
  <c r="AJ216" i="11"/>
  <c r="AJ215" i="11"/>
  <c r="AJ214" i="11"/>
  <c r="AJ213" i="11"/>
  <c r="AJ212" i="11"/>
  <c r="AJ211" i="11"/>
  <c r="AJ210" i="11"/>
  <c r="AJ203" i="11"/>
  <c r="AJ202" i="11"/>
  <c r="AJ201" i="11"/>
  <c r="AJ200" i="11"/>
  <c r="AJ199" i="11"/>
  <c r="AJ198" i="11"/>
  <c r="AJ197" i="11"/>
  <c r="AJ196" i="11"/>
  <c r="AJ195" i="11"/>
  <c r="AJ194" i="11"/>
  <c r="AJ193" i="11"/>
  <c r="AJ192" i="11"/>
  <c r="AJ191" i="11"/>
  <c r="AJ190" i="11"/>
  <c r="AJ186" i="11"/>
  <c r="AJ185" i="11"/>
  <c r="AJ184" i="11"/>
  <c r="AJ183" i="11"/>
  <c r="AJ182" i="11"/>
  <c r="AJ181" i="11"/>
  <c r="AJ180" i="11"/>
  <c r="AJ179" i="11"/>
  <c r="AJ178" i="11"/>
  <c r="AJ174" i="11"/>
  <c r="AJ173" i="11"/>
  <c r="AJ172" i="11"/>
  <c r="AJ171" i="11"/>
  <c r="AJ170" i="11"/>
  <c r="AJ169" i="11"/>
  <c r="AJ168" i="11"/>
  <c r="AJ164" i="11"/>
  <c r="AJ163" i="11"/>
  <c r="AJ162" i="11"/>
  <c r="AJ161" i="11"/>
  <c r="AJ160" i="11"/>
  <c r="AJ159" i="11"/>
  <c r="AJ158" i="11"/>
  <c r="AJ157" i="11"/>
  <c r="AJ156" i="11"/>
  <c r="AJ155" i="11"/>
  <c r="AJ154" i="11"/>
  <c r="AJ153" i="11"/>
  <c r="AJ152" i="11"/>
  <c r="AJ151" i="11"/>
  <c r="AJ150" i="11"/>
  <c r="AJ149" i="11"/>
  <c r="AJ148" i="11"/>
  <c r="AJ142" i="11"/>
  <c r="AJ141" i="11"/>
  <c r="AJ140" i="11"/>
  <c r="AJ139" i="11"/>
  <c r="AJ138" i="11"/>
  <c r="AJ137" i="11"/>
  <c r="AJ136" i="11"/>
  <c r="AJ135" i="11"/>
  <c r="AJ134" i="11"/>
  <c r="AJ133" i="11"/>
  <c r="AJ132" i="11"/>
  <c r="AJ131" i="11"/>
  <c r="AJ130" i="11"/>
  <c r="AJ123" i="11"/>
  <c r="AJ122" i="11"/>
  <c r="AJ121" i="11"/>
  <c r="AJ120" i="11"/>
  <c r="AJ119" i="11"/>
  <c r="AJ118" i="11"/>
  <c r="AJ117" i="11"/>
  <c r="AJ116" i="11"/>
  <c r="AJ115" i="11"/>
  <c r="AJ114" i="11"/>
  <c r="AJ113" i="11"/>
  <c r="AJ112" i="11"/>
  <c r="AJ111" i="11"/>
  <c r="AJ107" i="11"/>
  <c r="AJ106" i="11"/>
  <c r="AJ105" i="11"/>
  <c r="AJ104" i="11"/>
  <c r="AJ103" i="11"/>
  <c r="AJ102" i="11"/>
  <c r="AJ101" i="11"/>
  <c r="AJ100" i="11"/>
  <c r="AJ93" i="11"/>
  <c r="AJ92" i="11"/>
  <c r="AJ91" i="11"/>
  <c r="AJ84" i="11"/>
  <c r="AJ83" i="11"/>
  <c r="AJ82" i="11"/>
  <c r="AJ81" i="11"/>
  <c r="AJ80" i="11"/>
  <c r="AJ79" i="11"/>
  <c r="AJ78" i="11"/>
  <c r="AJ77" i="11"/>
  <c r="AJ76" i="11"/>
  <c r="AJ75" i="11"/>
  <c r="AJ74" i="11"/>
  <c r="AJ73" i="11"/>
  <c r="AJ66" i="11"/>
  <c r="AJ65" i="11"/>
  <c r="AJ64" i="11"/>
  <c r="AJ63" i="11"/>
  <c r="AJ62" i="11"/>
  <c r="AJ61" i="11"/>
  <c r="AJ60" i="11"/>
  <c r="AJ59" i="11"/>
  <c r="AJ58" i="11"/>
  <c r="AJ54" i="11"/>
  <c r="AJ53" i="11"/>
  <c r="AJ52" i="11"/>
  <c r="AJ51" i="11"/>
  <c r="AJ50" i="11"/>
  <c r="AJ49" i="11"/>
  <c r="AJ48" i="11"/>
  <c r="AJ47" i="11"/>
  <c r="AJ46" i="11"/>
  <c r="AJ45" i="11"/>
  <c r="AJ44" i="11"/>
  <c r="AJ38" i="11"/>
  <c r="AJ37" i="11"/>
  <c r="AJ36" i="11"/>
  <c r="AJ35" i="11"/>
  <c r="AJ34" i="11"/>
  <c r="AJ25" i="11"/>
  <c r="AJ24" i="11"/>
  <c r="AJ23" i="11"/>
  <c r="AJ22" i="11"/>
  <c r="AJ21" i="11"/>
  <c r="AJ20" i="11"/>
  <c r="AJ19" i="11"/>
  <c r="AJ18" i="11"/>
  <c r="AJ17" i="11"/>
  <c r="AJ12" i="11"/>
  <c r="AJ11" i="11"/>
  <c r="M320" i="11"/>
  <c r="H320" i="11"/>
  <c r="C320" i="11"/>
  <c r="M319" i="11"/>
  <c r="H319" i="11"/>
  <c r="K319" i="11" s="1"/>
  <c r="C319" i="11"/>
  <c r="M318" i="11"/>
  <c r="H318" i="11"/>
  <c r="K318" i="11" s="1"/>
  <c r="C318" i="11"/>
  <c r="AR320" i="11"/>
  <c r="AT320" i="11" s="1"/>
  <c r="AQ320" i="11"/>
  <c r="R320" i="11" s="1"/>
  <c r="AN320" i="11"/>
  <c r="AR319" i="11"/>
  <c r="AT319" i="11" s="1"/>
  <c r="AQ319" i="11"/>
  <c r="R319" i="11" s="1"/>
  <c r="AN319" i="11"/>
  <c r="AR318" i="11"/>
  <c r="AT318" i="11" s="1"/>
  <c r="AQ318" i="11"/>
  <c r="R318" i="11" s="1"/>
  <c r="AN318" i="11"/>
  <c r="BB318" i="11" s="1"/>
  <c r="R25" i="11"/>
  <c r="M25" i="11"/>
  <c r="H25" i="11"/>
  <c r="C25" i="11"/>
  <c r="D25" i="11" s="1"/>
  <c r="R24" i="11"/>
  <c r="M24" i="11"/>
  <c r="H24" i="11"/>
  <c r="C24" i="11"/>
  <c r="D24" i="11" s="1"/>
  <c r="R23" i="11"/>
  <c r="M23" i="11"/>
  <c r="H23" i="11"/>
  <c r="K23" i="11" s="1"/>
  <c r="C23" i="11"/>
  <c r="D23" i="11" s="1"/>
  <c r="R22" i="11"/>
  <c r="M22" i="11"/>
  <c r="H22" i="11"/>
  <c r="K22" i="11" s="1"/>
  <c r="C22" i="11"/>
  <c r="D22" i="11" s="1"/>
  <c r="R21" i="11"/>
  <c r="M21" i="11"/>
  <c r="H21" i="11"/>
  <c r="K21" i="11" s="1"/>
  <c r="C21" i="11"/>
  <c r="D21" i="11" s="1"/>
  <c r="R20" i="11"/>
  <c r="M20" i="11"/>
  <c r="H20" i="11"/>
  <c r="K20" i="11" s="1"/>
  <c r="C20" i="11"/>
  <c r="D20" i="11" s="1"/>
  <c r="AR25" i="11"/>
  <c r="AT25" i="11" s="1"/>
  <c r="AN25" i="11"/>
  <c r="AR24" i="11"/>
  <c r="AT24" i="11" s="1"/>
  <c r="AN24" i="11"/>
  <c r="AR23" i="11"/>
  <c r="AT23" i="11" s="1"/>
  <c r="AN23" i="11"/>
  <c r="AR22" i="11"/>
  <c r="AT22" i="11" s="1"/>
  <c r="AN22" i="11"/>
  <c r="AR21" i="11"/>
  <c r="AT21" i="11" s="1"/>
  <c r="AN21" i="11"/>
  <c r="AR20" i="11"/>
  <c r="AT20" i="11" s="1"/>
  <c r="AN20" i="11"/>
  <c r="AR19" i="11"/>
  <c r="AT19" i="11" s="1"/>
  <c r="AN19" i="11"/>
  <c r="AR18" i="11"/>
  <c r="AT18" i="11" s="1"/>
  <c r="AN18" i="11"/>
  <c r="M62" i="13"/>
  <c r="AU6" i="11"/>
  <c r="C58" i="11"/>
  <c r="M434" i="11"/>
  <c r="H434" i="11"/>
  <c r="C434" i="11"/>
  <c r="M433" i="11"/>
  <c r="H433" i="11"/>
  <c r="K433" i="11" s="1"/>
  <c r="C433" i="11"/>
  <c r="M432" i="11"/>
  <c r="H432" i="11"/>
  <c r="K432" i="11" s="1"/>
  <c r="C432" i="11"/>
  <c r="M431" i="11"/>
  <c r="H431" i="11"/>
  <c r="K431" i="11" s="1"/>
  <c r="C431" i="11"/>
  <c r="M430" i="11"/>
  <c r="H430" i="11"/>
  <c r="K430" i="11" s="1"/>
  <c r="C430" i="11"/>
  <c r="M429" i="11"/>
  <c r="H429" i="11"/>
  <c r="K429" i="11" s="1"/>
  <c r="C429" i="11"/>
  <c r="M428" i="11"/>
  <c r="H428" i="11"/>
  <c r="K428" i="11" s="1"/>
  <c r="C428" i="11"/>
  <c r="M427" i="11"/>
  <c r="H427" i="11"/>
  <c r="K427" i="11" s="1"/>
  <c r="C427" i="11"/>
  <c r="M426" i="11"/>
  <c r="H426" i="11"/>
  <c r="K426" i="11" s="1"/>
  <c r="C426" i="11"/>
  <c r="M425" i="11"/>
  <c r="H425" i="11"/>
  <c r="K425" i="11" s="1"/>
  <c r="C425" i="11"/>
  <c r="M424" i="11"/>
  <c r="H424" i="11"/>
  <c r="K424" i="11" s="1"/>
  <c r="C424" i="11"/>
  <c r="M423" i="11"/>
  <c r="H423" i="11"/>
  <c r="K423" i="11" s="1"/>
  <c r="C423" i="11"/>
  <c r="M416" i="11"/>
  <c r="H416" i="11"/>
  <c r="K416" i="11" s="1"/>
  <c r="C416" i="11"/>
  <c r="M415" i="11"/>
  <c r="H415" i="11"/>
  <c r="K415" i="11" s="1"/>
  <c r="C415" i="11"/>
  <c r="M414" i="11"/>
  <c r="H414" i="11"/>
  <c r="K414" i="11" s="1"/>
  <c r="C414" i="11"/>
  <c r="M413" i="11"/>
  <c r="H413" i="11"/>
  <c r="K413" i="11" s="1"/>
  <c r="C413" i="11"/>
  <c r="M412" i="11"/>
  <c r="H412" i="11"/>
  <c r="K412" i="11" s="1"/>
  <c r="C412" i="11"/>
  <c r="M411" i="11"/>
  <c r="H411" i="11"/>
  <c r="K411" i="11" s="1"/>
  <c r="C411" i="11"/>
  <c r="M410" i="11"/>
  <c r="H410" i="11"/>
  <c r="K410" i="11" s="1"/>
  <c r="C410" i="11"/>
  <c r="Q406" i="11"/>
  <c r="M406" i="11"/>
  <c r="H406" i="11"/>
  <c r="K406" i="11" s="1"/>
  <c r="E406" i="11"/>
  <c r="C406" i="11"/>
  <c r="Q405" i="11"/>
  <c r="M405" i="11"/>
  <c r="H405" i="11"/>
  <c r="K405" i="11" s="1"/>
  <c r="E405" i="11"/>
  <c r="C405" i="11"/>
  <c r="Q404" i="11"/>
  <c r="M404" i="11"/>
  <c r="H404" i="11"/>
  <c r="K404" i="11" s="1"/>
  <c r="E404" i="11"/>
  <c r="C404" i="11"/>
  <c r="M403" i="11"/>
  <c r="H403" i="11"/>
  <c r="K403" i="11" s="1"/>
  <c r="C403" i="11"/>
  <c r="M402" i="11"/>
  <c r="H402" i="11"/>
  <c r="K402" i="11" s="1"/>
  <c r="C402" i="11"/>
  <c r="M401" i="11"/>
  <c r="H401" i="11"/>
  <c r="K401" i="11" s="1"/>
  <c r="C401" i="11"/>
  <c r="M400" i="11"/>
  <c r="H400" i="11"/>
  <c r="K400" i="11" s="1"/>
  <c r="C400" i="11"/>
  <c r="M390" i="11"/>
  <c r="H390" i="11"/>
  <c r="K390" i="11" s="1"/>
  <c r="C390" i="11"/>
  <c r="Q389" i="11"/>
  <c r="M389" i="11"/>
  <c r="H389" i="11"/>
  <c r="K389" i="11" s="1"/>
  <c r="E389" i="11"/>
  <c r="C389" i="11"/>
  <c r="Q388" i="11"/>
  <c r="M388" i="11"/>
  <c r="H388" i="11"/>
  <c r="K388" i="11" s="1"/>
  <c r="E388" i="11"/>
  <c r="C388" i="11"/>
  <c r="M387" i="11"/>
  <c r="H387" i="11"/>
  <c r="K387" i="11" s="1"/>
  <c r="C387" i="11"/>
  <c r="M386" i="11"/>
  <c r="H386" i="11"/>
  <c r="K386" i="11" s="1"/>
  <c r="C386" i="11"/>
  <c r="M385" i="11"/>
  <c r="H385" i="11"/>
  <c r="K385" i="11" s="1"/>
  <c r="C385" i="11"/>
  <c r="M384" i="11"/>
  <c r="H384" i="11"/>
  <c r="K384" i="11" s="1"/>
  <c r="C384" i="11"/>
  <c r="M380" i="11"/>
  <c r="H380" i="11"/>
  <c r="K380" i="11" s="1"/>
  <c r="C380" i="11"/>
  <c r="M379" i="11"/>
  <c r="H379" i="11"/>
  <c r="K379" i="11" s="1"/>
  <c r="C379" i="11"/>
  <c r="M378" i="11"/>
  <c r="H378" i="11"/>
  <c r="K378" i="11" s="1"/>
  <c r="C378" i="11"/>
  <c r="M377" i="11"/>
  <c r="H377" i="11"/>
  <c r="K377" i="11" s="1"/>
  <c r="C377" i="11"/>
  <c r="M376" i="11"/>
  <c r="H376" i="11"/>
  <c r="K376" i="11" s="1"/>
  <c r="C376" i="11"/>
  <c r="M375" i="11"/>
  <c r="H375" i="11"/>
  <c r="K375" i="11" s="1"/>
  <c r="C375" i="11"/>
  <c r="M374" i="11"/>
  <c r="H374" i="11"/>
  <c r="K374" i="11" s="1"/>
  <c r="C374" i="11"/>
  <c r="M373" i="11"/>
  <c r="H373" i="11"/>
  <c r="K373" i="11" s="1"/>
  <c r="C373" i="11"/>
  <c r="M372" i="11"/>
  <c r="H372" i="11"/>
  <c r="K372" i="11" s="1"/>
  <c r="C372" i="11"/>
  <c r="M371" i="11"/>
  <c r="H371" i="11"/>
  <c r="K371" i="11" s="1"/>
  <c r="C371" i="11"/>
  <c r="M370" i="11"/>
  <c r="H370" i="11"/>
  <c r="K370" i="11" s="1"/>
  <c r="C370" i="11"/>
  <c r="M369" i="11"/>
  <c r="H369" i="11"/>
  <c r="K369" i="11" s="1"/>
  <c r="C369" i="11"/>
  <c r="M368" i="11"/>
  <c r="H368" i="11"/>
  <c r="K368" i="11" s="1"/>
  <c r="C368" i="11"/>
  <c r="M367" i="11"/>
  <c r="H367" i="11"/>
  <c r="K367" i="11" s="1"/>
  <c r="C367" i="11"/>
  <c r="M366" i="11"/>
  <c r="H366" i="11"/>
  <c r="K366" i="11" s="1"/>
  <c r="C366" i="11"/>
  <c r="M365" i="11"/>
  <c r="H365" i="11"/>
  <c r="C365" i="11"/>
  <c r="M364" i="11"/>
  <c r="H364" i="11"/>
  <c r="C364" i="11"/>
  <c r="M363" i="11"/>
  <c r="H363" i="11"/>
  <c r="K363" i="11" s="1"/>
  <c r="C363" i="11"/>
  <c r="M362" i="11"/>
  <c r="H362" i="11"/>
  <c r="K362" i="11" s="1"/>
  <c r="C362" i="11"/>
  <c r="M361" i="11"/>
  <c r="H361" i="11"/>
  <c r="K361" i="11" s="1"/>
  <c r="C361" i="11"/>
  <c r="M360" i="11"/>
  <c r="H360" i="11"/>
  <c r="K360" i="11" s="1"/>
  <c r="C360" i="11"/>
  <c r="M353" i="11"/>
  <c r="H353" i="11"/>
  <c r="K353" i="11" s="1"/>
  <c r="C353" i="11"/>
  <c r="M352" i="11"/>
  <c r="H352" i="11"/>
  <c r="K352" i="11" s="1"/>
  <c r="C352" i="11"/>
  <c r="M351" i="11"/>
  <c r="H351" i="11"/>
  <c r="K351" i="11" s="1"/>
  <c r="C351" i="11"/>
  <c r="M350" i="11"/>
  <c r="H350" i="11"/>
  <c r="K350" i="11" s="1"/>
  <c r="C350" i="11"/>
  <c r="M349" i="11"/>
  <c r="H349" i="11"/>
  <c r="K349" i="11" s="1"/>
  <c r="C349" i="11"/>
  <c r="M348" i="11"/>
  <c r="H348" i="11"/>
  <c r="K348" i="11" s="1"/>
  <c r="C348" i="11"/>
  <c r="M347" i="11"/>
  <c r="H347" i="11"/>
  <c r="C347" i="11"/>
  <c r="M346" i="11"/>
  <c r="H346" i="11"/>
  <c r="K346" i="11" s="1"/>
  <c r="C346" i="11"/>
  <c r="M345" i="11"/>
  <c r="H345" i="11"/>
  <c r="K345" i="11" s="1"/>
  <c r="C345" i="11"/>
  <c r="M344" i="11"/>
  <c r="H344" i="11"/>
  <c r="K344" i="11" s="1"/>
  <c r="C344" i="11"/>
  <c r="M343" i="11"/>
  <c r="H343" i="11"/>
  <c r="K343" i="11" s="1"/>
  <c r="C343" i="11"/>
  <c r="M342" i="11"/>
  <c r="H342" i="11"/>
  <c r="K342" i="11" s="1"/>
  <c r="C342" i="11"/>
  <c r="M341" i="11"/>
  <c r="H341" i="11"/>
  <c r="C341" i="11"/>
  <c r="M340" i="11"/>
  <c r="H340" i="11"/>
  <c r="C340" i="11"/>
  <c r="M339" i="11"/>
  <c r="H339" i="11"/>
  <c r="K339" i="11" s="1"/>
  <c r="C339" i="11"/>
  <c r="M338" i="11"/>
  <c r="H338" i="11"/>
  <c r="K338" i="11" s="1"/>
  <c r="C338" i="11"/>
  <c r="M337" i="11"/>
  <c r="H337" i="11"/>
  <c r="C337" i="11"/>
  <c r="M336" i="11"/>
  <c r="H336" i="11"/>
  <c r="K336" i="11" s="1"/>
  <c r="C336" i="11"/>
  <c r="M335" i="11"/>
  <c r="H335" i="11"/>
  <c r="C335" i="11"/>
  <c r="M329" i="11"/>
  <c r="H329" i="11"/>
  <c r="C329" i="11"/>
  <c r="M328" i="11"/>
  <c r="H328" i="11"/>
  <c r="C328" i="11"/>
  <c r="M327" i="11"/>
  <c r="H327" i="11"/>
  <c r="C327" i="11"/>
  <c r="M326" i="11"/>
  <c r="H326" i="11"/>
  <c r="C326" i="11"/>
  <c r="M325" i="11"/>
  <c r="H325" i="11"/>
  <c r="K325" i="11" s="1"/>
  <c r="C325" i="11"/>
  <c r="M324" i="11"/>
  <c r="H324" i="11"/>
  <c r="C324" i="11"/>
  <c r="M323" i="11"/>
  <c r="H323" i="11"/>
  <c r="C323" i="11"/>
  <c r="M322" i="11"/>
  <c r="H322" i="11"/>
  <c r="C322" i="11"/>
  <c r="M321" i="11"/>
  <c r="H321" i="11"/>
  <c r="C321" i="11"/>
  <c r="M317" i="11"/>
  <c r="H317" i="11"/>
  <c r="C317" i="11"/>
  <c r="M316" i="11"/>
  <c r="H316" i="11"/>
  <c r="K316" i="11" s="1"/>
  <c r="C316" i="11"/>
  <c r="M315" i="11"/>
  <c r="H315" i="11"/>
  <c r="K315" i="11" s="1"/>
  <c r="C315" i="11"/>
  <c r="M314" i="11"/>
  <c r="H314" i="11"/>
  <c r="C314" i="11"/>
  <c r="M313" i="11"/>
  <c r="H313" i="11"/>
  <c r="C313" i="11"/>
  <c r="M312" i="11"/>
  <c r="H312" i="11"/>
  <c r="C312" i="11"/>
  <c r="M311" i="11"/>
  <c r="H311" i="11"/>
  <c r="C311" i="11"/>
  <c r="M310" i="11"/>
  <c r="H310" i="11"/>
  <c r="K310" i="11" s="1"/>
  <c r="C310" i="11"/>
  <c r="M309" i="11"/>
  <c r="H309" i="11"/>
  <c r="C309" i="11"/>
  <c r="M308" i="11"/>
  <c r="H308" i="11"/>
  <c r="C308" i="11"/>
  <c r="M307" i="11"/>
  <c r="H307" i="11"/>
  <c r="C307" i="11"/>
  <c r="M306" i="11"/>
  <c r="H306" i="11"/>
  <c r="C306" i="11"/>
  <c r="M305" i="11"/>
  <c r="H305" i="11"/>
  <c r="C305" i="11"/>
  <c r="M304" i="11"/>
  <c r="H304" i="11"/>
  <c r="K304" i="11" s="1"/>
  <c r="C304" i="11"/>
  <c r="M303" i="11"/>
  <c r="H303" i="11"/>
  <c r="C303" i="11"/>
  <c r="M302" i="11"/>
  <c r="H302" i="11"/>
  <c r="C302" i="11"/>
  <c r="M301" i="11"/>
  <c r="H301" i="11"/>
  <c r="C301" i="11"/>
  <c r="M300" i="11"/>
  <c r="H300" i="11"/>
  <c r="C300" i="11"/>
  <c r="M299" i="11"/>
  <c r="H299" i="11"/>
  <c r="K299" i="11" s="1"/>
  <c r="C299" i="11"/>
  <c r="M298" i="11"/>
  <c r="H298" i="11"/>
  <c r="C298" i="11"/>
  <c r="M294" i="11"/>
  <c r="H294" i="11"/>
  <c r="C294" i="11"/>
  <c r="M293" i="11"/>
  <c r="H293" i="11"/>
  <c r="K293" i="11" s="1"/>
  <c r="C293" i="11"/>
  <c r="M292" i="11"/>
  <c r="H292" i="11"/>
  <c r="K292" i="11" s="1"/>
  <c r="C292" i="11"/>
  <c r="M291" i="11"/>
  <c r="H291" i="11"/>
  <c r="K291" i="11" s="1"/>
  <c r="C291" i="11"/>
  <c r="M290" i="11"/>
  <c r="H290" i="11"/>
  <c r="K290" i="11" s="1"/>
  <c r="C290" i="11"/>
  <c r="M289" i="11"/>
  <c r="H289" i="11"/>
  <c r="K289" i="11" s="1"/>
  <c r="C289" i="11"/>
  <c r="M288" i="11"/>
  <c r="H288" i="11"/>
  <c r="C288" i="11"/>
  <c r="M287" i="11"/>
  <c r="H287" i="11"/>
  <c r="K287" i="11" s="1"/>
  <c r="C287" i="11"/>
  <c r="M286" i="11"/>
  <c r="H286" i="11"/>
  <c r="K286" i="11" s="1"/>
  <c r="C286" i="11"/>
  <c r="M285" i="11"/>
  <c r="H285" i="11"/>
  <c r="C285" i="11"/>
  <c r="M278" i="11"/>
  <c r="H278" i="11"/>
  <c r="K278" i="11" s="1"/>
  <c r="C278" i="11"/>
  <c r="M277" i="11"/>
  <c r="H277" i="11"/>
  <c r="C277" i="11"/>
  <c r="M276" i="11"/>
  <c r="H276" i="11"/>
  <c r="K276" i="11" s="1"/>
  <c r="C276" i="11"/>
  <c r="M275" i="11"/>
  <c r="H275" i="11"/>
  <c r="C275" i="11"/>
  <c r="M274" i="11"/>
  <c r="H274" i="11"/>
  <c r="K274" i="11" s="1"/>
  <c r="C274" i="11"/>
  <c r="M273" i="11"/>
  <c r="H273" i="11"/>
  <c r="K273" i="11" s="1"/>
  <c r="C273" i="11"/>
  <c r="M272" i="11"/>
  <c r="H272" i="11"/>
  <c r="K272" i="11" s="1"/>
  <c r="C272" i="11"/>
  <c r="M271" i="11"/>
  <c r="H271" i="11"/>
  <c r="C271" i="11"/>
  <c r="M270" i="11"/>
  <c r="H270" i="11"/>
  <c r="C270" i="11"/>
  <c r="M266" i="11"/>
  <c r="H266" i="11"/>
  <c r="K266" i="11" s="1"/>
  <c r="C266" i="11"/>
  <c r="M265" i="11"/>
  <c r="H265" i="11"/>
  <c r="K265" i="11" s="1"/>
  <c r="C265" i="11"/>
  <c r="M264" i="11"/>
  <c r="H264" i="11"/>
  <c r="C264" i="11"/>
  <c r="M263" i="11"/>
  <c r="H263" i="11"/>
  <c r="C263" i="11"/>
  <c r="Q259" i="11"/>
  <c r="M259" i="11"/>
  <c r="H259" i="11"/>
  <c r="E259" i="11"/>
  <c r="C259" i="11"/>
  <c r="Q258" i="11"/>
  <c r="M258" i="11"/>
  <c r="H258" i="11"/>
  <c r="E258" i="11"/>
  <c r="C258" i="11"/>
  <c r="Q257" i="11"/>
  <c r="M257" i="11"/>
  <c r="H257" i="11"/>
  <c r="K257" i="11" s="1"/>
  <c r="E257" i="11"/>
  <c r="C257" i="11"/>
  <c r="M256" i="11"/>
  <c r="H256" i="11"/>
  <c r="K256" i="11" s="1"/>
  <c r="C256" i="11"/>
  <c r="M255" i="11"/>
  <c r="H255" i="11"/>
  <c r="K255" i="11" s="1"/>
  <c r="C255" i="11"/>
  <c r="M254" i="11"/>
  <c r="H254" i="11"/>
  <c r="K254" i="11" s="1"/>
  <c r="C254" i="11"/>
  <c r="M253" i="11"/>
  <c r="H253" i="11"/>
  <c r="K253" i="11" s="1"/>
  <c r="C253" i="11"/>
  <c r="M252" i="11"/>
  <c r="H252" i="11"/>
  <c r="K252" i="11" s="1"/>
  <c r="C252" i="11"/>
  <c r="M251" i="11"/>
  <c r="H251" i="11"/>
  <c r="K251" i="11" s="1"/>
  <c r="C251" i="11"/>
  <c r="M250" i="11"/>
  <c r="H250" i="11"/>
  <c r="K250" i="11" s="1"/>
  <c r="C250" i="11"/>
  <c r="M249" i="11"/>
  <c r="H249" i="11"/>
  <c r="K249" i="11" s="1"/>
  <c r="C249" i="11"/>
  <c r="M248" i="11"/>
  <c r="H248" i="11"/>
  <c r="K248" i="11" s="1"/>
  <c r="C248" i="11"/>
  <c r="M247" i="11"/>
  <c r="H247" i="11"/>
  <c r="K247" i="11" s="1"/>
  <c r="C247" i="11"/>
  <c r="M246" i="11"/>
  <c r="H246" i="11"/>
  <c r="K246" i="11" s="1"/>
  <c r="C246" i="11"/>
  <c r="M245" i="11"/>
  <c r="H245" i="11"/>
  <c r="K245" i="11" s="1"/>
  <c r="C245" i="11"/>
  <c r="M244" i="11"/>
  <c r="H244" i="11"/>
  <c r="K244" i="11" s="1"/>
  <c r="C244" i="11"/>
  <c r="M243" i="11"/>
  <c r="H243" i="11"/>
  <c r="K243" i="11" s="1"/>
  <c r="C243" i="11"/>
  <c r="M242" i="11"/>
  <c r="H242" i="11"/>
  <c r="K242" i="11" s="1"/>
  <c r="C242" i="11"/>
  <c r="M241" i="11"/>
  <c r="H241" i="11"/>
  <c r="K241" i="11" s="1"/>
  <c r="C241" i="11"/>
  <c r="M240" i="11"/>
  <c r="H240" i="11"/>
  <c r="C240" i="11"/>
  <c r="M239" i="11"/>
  <c r="H239" i="11"/>
  <c r="C239" i="11"/>
  <c r="M238" i="11"/>
  <c r="H238" i="11"/>
  <c r="K238" i="11" s="1"/>
  <c r="C238" i="11"/>
  <c r="M237" i="11"/>
  <c r="H237" i="11"/>
  <c r="K237" i="11" s="1"/>
  <c r="C237" i="11"/>
  <c r="M236" i="11"/>
  <c r="H236" i="11"/>
  <c r="K236" i="11" s="1"/>
  <c r="C236" i="11"/>
  <c r="M233" i="11"/>
  <c r="H233" i="11"/>
  <c r="K233" i="11" s="1"/>
  <c r="C233" i="11"/>
  <c r="M232" i="11"/>
  <c r="H232" i="11"/>
  <c r="C232" i="11"/>
  <c r="M231" i="11"/>
  <c r="H231" i="11"/>
  <c r="C231" i="11"/>
  <c r="M230" i="11"/>
  <c r="H230" i="11"/>
  <c r="K230" i="11" s="1"/>
  <c r="C230" i="11"/>
  <c r="M229" i="11"/>
  <c r="H229" i="11"/>
  <c r="K229" i="11" s="1"/>
  <c r="C229" i="11"/>
  <c r="M228" i="11"/>
  <c r="H228" i="11"/>
  <c r="K228" i="11" s="1"/>
  <c r="C228" i="11"/>
  <c r="M227" i="11"/>
  <c r="H227" i="11"/>
  <c r="K227" i="11" s="1"/>
  <c r="C227" i="11"/>
  <c r="M226" i="11"/>
  <c r="H226" i="11"/>
  <c r="C226" i="11"/>
  <c r="M225" i="11"/>
  <c r="H225" i="11"/>
  <c r="K225" i="11" s="1"/>
  <c r="C225" i="11"/>
  <c r="M224" i="11"/>
  <c r="H224" i="11"/>
  <c r="K224" i="11" s="1"/>
  <c r="C224" i="11"/>
  <c r="M223" i="11"/>
  <c r="H223" i="11"/>
  <c r="K223" i="11" s="1"/>
  <c r="C223" i="11"/>
  <c r="M222" i="11"/>
  <c r="H222" i="11"/>
  <c r="K222" i="11" s="1"/>
  <c r="C222" i="11"/>
  <c r="M221" i="11"/>
  <c r="H221" i="11"/>
  <c r="K221" i="11" s="1"/>
  <c r="C221" i="11"/>
  <c r="M220" i="11"/>
  <c r="H220" i="11"/>
  <c r="K220" i="11" s="1"/>
  <c r="C220" i="11"/>
  <c r="M219" i="11"/>
  <c r="H219" i="11"/>
  <c r="C219" i="11"/>
  <c r="M218" i="11"/>
  <c r="H218" i="11"/>
  <c r="K218" i="11" s="1"/>
  <c r="C218" i="11"/>
  <c r="M217" i="11"/>
  <c r="H217" i="11"/>
  <c r="K217" i="11" s="1"/>
  <c r="C217" i="11"/>
  <c r="M216" i="11"/>
  <c r="H216" i="11"/>
  <c r="C216" i="11"/>
  <c r="M215" i="11"/>
  <c r="H215" i="11"/>
  <c r="K215" i="11" s="1"/>
  <c r="C215" i="11"/>
  <c r="M214" i="11"/>
  <c r="H214" i="11"/>
  <c r="K214" i="11" s="1"/>
  <c r="C214" i="11"/>
  <c r="M213" i="11"/>
  <c r="H213" i="11"/>
  <c r="K213" i="11" s="1"/>
  <c r="C213" i="11"/>
  <c r="M212" i="11"/>
  <c r="H212" i="11"/>
  <c r="C212" i="11"/>
  <c r="M211" i="11"/>
  <c r="H211" i="11"/>
  <c r="C211" i="11"/>
  <c r="M210" i="11"/>
  <c r="H210" i="11"/>
  <c r="C210" i="11"/>
  <c r="M203" i="11"/>
  <c r="H203" i="11"/>
  <c r="K203" i="11" s="1"/>
  <c r="C203" i="11"/>
  <c r="M202" i="11"/>
  <c r="H202" i="11"/>
  <c r="K202" i="11" s="1"/>
  <c r="C202" i="11"/>
  <c r="M201" i="11"/>
  <c r="H201" i="11"/>
  <c r="K201" i="11" s="1"/>
  <c r="C201" i="11"/>
  <c r="M200" i="11"/>
  <c r="H200" i="11"/>
  <c r="C200" i="11"/>
  <c r="M199" i="11"/>
  <c r="H199" i="11"/>
  <c r="K199" i="11" s="1"/>
  <c r="C199" i="11"/>
  <c r="M198" i="11"/>
  <c r="H198" i="11"/>
  <c r="C198" i="11"/>
  <c r="M197" i="11"/>
  <c r="H197" i="11"/>
  <c r="K197" i="11" s="1"/>
  <c r="C197" i="11"/>
  <c r="M196" i="11"/>
  <c r="H196" i="11"/>
  <c r="K196" i="11" s="1"/>
  <c r="C196" i="11"/>
  <c r="M195" i="11"/>
  <c r="H195" i="11"/>
  <c r="K195" i="11" s="1"/>
  <c r="C195" i="11"/>
  <c r="M194" i="11"/>
  <c r="H194" i="11"/>
  <c r="C194" i="11"/>
  <c r="M193" i="11"/>
  <c r="H193" i="11"/>
  <c r="C193" i="11"/>
  <c r="M192" i="11"/>
  <c r="H192" i="11"/>
  <c r="C192" i="11"/>
  <c r="M191" i="11"/>
  <c r="H191" i="11"/>
  <c r="C191" i="11"/>
  <c r="M190" i="11"/>
  <c r="H190" i="11"/>
  <c r="K190" i="11" s="1"/>
  <c r="C190" i="11"/>
  <c r="M186" i="11"/>
  <c r="H186" i="11"/>
  <c r="K186" i="11" s="1"/>
  <c r="C186" i="11"/>
  <c r="M185" i="11"/>
  <c r="H185" i="11"/>
  <c r="K185" i="11" s="1"/>
  <c r="C185" i="11"/>
  <c r="M184" i="11"/>
  <c r="H184" i="11"/>
  <c r="K184" i="11" s="1"/>
  <c r="C184" i="11"/>
  <c r="M183" i="11"/>
  <c r="H183" i="11"/>
  <c r="C183" i="11"/>
  <c r="M182" i="11"/>
  <c r="H182" i="11"/>
  <c r="C182" i="11"/>
  <c r="M181" i="11"/>
  <c r="H181" i="11"/>
  <c r="K181" i="11" s="1"/>
  <c r="C181" i="11"/>
  <c r="M180" i="11"/>
  <c r="H180" i="11"/>
  <c r="K180" i="11" s="1"/>
  <c r="C180" i="11"/>
  <c r="M179" i="11"/>
  <c r="H179" i="11"/>
  <c r="K179" i="11" s="1"/>
  <c r="C179" i="11"/>
  <c r="M178" i="11"/>
  <c r="H178" i="11"/>
  <c r="K178" i="11" s="1"/>
  <c r="C178" i="11"/>
  <c r="M174" i="11"/>
  <c r="H174" i="11"/>
  <c r="C174" i="11"/>
  <c r="M173" i="11"/>
  <c r="H173" i="11"/>
  <c r="C173" i="11"/>
  <c r="M172" i="11"/>
  <c r="H172" i="11"/>
  <c r="K172" i="11" s="1"/>
  <c r="C172" i="11"/>
  <c r="M171" i="11"/>
  <c r="H171" i="11"/>
  <c r="K171" i="11" s="1"/>
  <c r="C171" i="11"/>
  <c r="M170" i="11"/>
  <c r="H170" i="11"/>
  <c r="K170" i="11" s="1"/>
  <c r="C170" i="11"/>
  <c r="M169" i="11"/>
  <c r="H169" i="11"/>
  <c r="K169" i="11" s="1"/>
  <c r="C169" i="11"/>
  <c r="M168" i="11"/>
  <c r="H168" i="11"/>
  <c r="C168" i="11"/>
  <c r="Q164" i="11"/>
  <c r="M164" i="11"/>
  <c r="H164" i="11"/>
  <c r="E164" i="11"/>
  <c r="C164" i="11"/>
  <c r="Q163" i="11"/>
  <c r="M163" i="11"/>
  <c r="H163" i="11"/>
  <c r="K163" i="11" s="1"/>
  <c r="E163" i="11"/>
  <c r="C163" i="11"/>
  <c r="Q162" i="11"/>
  <c r="M162" i="11"/>
  <c r="H162" i="11"/>
  <c r="K162" i="11" s="1"/>
  <c r="E162" i="11"/>
  <c r="C162" i="11"/>
  <c r="M161" i="11"/>
  <c r="H161" i="11"/>
  <c r="K161" i="11" s="1"/>
  <c r="C161" i="11"/>
  <c r="M160" i="11"/>
  <c r="H160" i="11"/>
  <c r="K160" i="11" s="1"/>
  <c r="C160" i="11"/>
  <c r="M159" i="11"/>
  <c r="H159" i="11"/>
  <c r="C159" i="11"/>
  <c r="M158" i="11"/>
  <c r="H158" i="11"/>
  <c r="C158" i="11"/>
  <c r="M157" i="11"/>
  <c r="H157" i="11"/>
  <c r="C157" i="11"/>
  <c r="M156" i="11"/>
  <c r="H156" i="11"/>
  <c r="K156" i="11" s="1"/>
  <c r="C156" i="11"/>
  <c r="M155" i="11"/>
  <c r="H155" i="11"/>
  <c r="K155" i="11" s="1"/>
  <c r="C155" i="11"/>
  <c r="M154" i="11"/>
  <c r="H154" i="11"/>
  <c r="K154" i="11" s="1"/>
  <c r="C154" i="11"/>
  <c r="M153" i="11"/>
  <c r="H153" i="11"/>
  <c r="K153" i="11" s="1"/>
  <c r="C153" i="11"/>
  <c r="M152" i="11"/>
  <c r="I152" i="11"/>
  <c r="J152" i="11" s="1"/>
  <c r="H152" i="11"/>
  <c r="K152" i="11" s="1"/>
  <c r="C152" i="11"/>
  <c r="M151" i="11"/>
  <c r="H151" i="11"/>
  <c r="K151" i="11" s="1"/>
  <c r="C151" i="11"/>
  <c r="M150" i="11"/>
  <c r="H150" i="11"/>
  <c r="K150" i="11" s="1"/>
  <c r="C150" i="11"/>
  <c r="M149" i="11"/>
  <c r="H149" i="11"/>
  <c r="C149" i="11"/>
  <c r="M148" i="11"/>
  <c r="H148" i="11"/>
  <c r="K148" i="11" s="1"/>
  <c r="C148" i="11"/>
  <c r="M142" i="11"/>
  <c r="H142" i="11"/>
  <c r="K142" i="11" s="1"/>
  <c r="C142" i="11"/>
  <c r="M141" i="11"/>
  <c r="H141" i="11"/>
  <c r="C141" i="11"/>
  <c r="M140" i="11"/>
  <c r="H140" i="11"/>
  <c r="K140" i="11" s="1"/>
  <c r="C140" i="11"/>
  <c r="M139" i="11"/>
  <c r="H139" i="11"/>
  <c r="K139" i="11" s="1"/>
  <c r="C139" i="11"/>
  <c r="M138" i="11"/>
  <c r="H138" i="11"/>
  <c r="C138" i="11"/>
  <c r="M137" i="11"/>
  <c r="H137" i="11"/>
  <c r="C137" i="11"/>
  <c r="M136" i="11"/>
  <c r="H136" i="11"/>
  <c r="K136" i="11" s="1"/>
  <c r="C136" i="11"/>
  <c r="M135" i="11"/>
  <c r="H135" i="11"/>
  <c r="C135" i="11"/>
  <c r="M134" i="11"/>
  <c r="H134" i="11"/>
  <c r="K134" i="11" s="1"/>
  <c r="C134" i="11"/>
  <c r="M133" i="11"/>
  <c r="H133" i="11"/>
  <c r="K133" i="11" s="1"/>
  <c r="C133" i="11"/>
  <c r="M132" i="11"/>
  <c r="H132" i="11"/>
  <c r="C132" i="11"/>
  <c r="M131" i="11"/>
  <c r="H131" i="11"/>
  <c r="C131" i="11"/>
  <c r="M130" i="11"/>
  <c r="H130" i="11"/>
  <c r="K130" i="11" s="1"/>
  <c r="C130" i="11"/>
  <c r="M123" i="11"/>
  <c r="H123" i="11"/>
  <c r="K123" i="11" s="1"/>
  <c r="C123" i="11"/>
  <c r="M122" i="11"/>
  <c r="H122" i="11"/>
  <c r="K122" i="11" s="1"/>
  <c r="C122" i="11"/>
  <c r="M121" i="11"/>
  <c r="H121" i="11"/>
  <c r="K121" i="11" s="1"/>
  <c r="C121" i="11"/>
  <c r="M120" i="11"/>
  <c r="H120" i="11"/>
  <c r="C120" i="11"/>
  <c r="M119" i="11"/>
  <c r="H119" i="11"/>
  <c r="C119" i="11"/>
  <c r="M118" i="11"/>
  <c r="H118" i="11"/>
  <c r="K118" i="11" s="1"/>
  <c r="C118" i="11"/>
  <c r="M117" i="11"/>
  <c r="H117" i="11"/>
  <c r="K117" i="11" s="1"/>
  <c r="C117" i="11"/>
  <c r="M116" i="11"/>
  <c r="H116" i="11"/>
  <c r="K116" i="11" s="1"/>
  <c r="C116" i="11"/>
  <c r="M115" i="11"/>
  <c r="H115" i="11"/>
  <c r="K115" i="11" s="1"/>
  <c r="C115" i="11"/>
  <c r="M114" i="11"/>
  <c r="H114" i="11"/>
  <c r="C114" i="11"/>
  <c r="M113" i="11"/>
  <c r="H113" i="11"/>
  <c r="C113" i="11"/>
  <c r="M112" i="11"/>
  <c r="H112" i="11"/>
  <c r="K112" i="11" s="1"/>
  <c r="C112" i="11"/>
  <c r="M111" i="11"/>
  <c r="H111" i="11"/>
  <c r="C111" i="11"/>
  <c r="Q107" i="11"/>
  <c r="M107" i="11"/>
  <c r="H107" i="11"/>
  <c r="K107" i="11" s="1"/>
  <c r="E107" i="11"/>
  <c r="C107" i="11"/>
  <c r="Q106" i="11"/>
  <c r="M106" i="11"/>
  <c r="H106" i="11"/>
  <c r="K106" i="11" s="1"/>
  <c r="E106" i="11"/>
  <c r="C106" i="11"/>
  <c r="Q105" i="11"/>
  <c r="M105" i="11"/>
  <c r="H105" i="11"/>
  <c r="E105" i="11"/>
  <c r="C105" i="11"/>
  <c r="M104" i="11"/>
  <c r="H104" i="11"/>
  <c r="C104" i="11"/>
  <c r="M103" i="11"/>
  <c r="H103" i="11"/>
  <c r="K103" i="11" s="1"/>
  <c r="C103" i="11"/>
  <c r="M102" i="11"/>
  <c r="H102" i="11"/>
  <c r="C102" i="11"/>
  <c r="M101" i="11"/>
  <c r="H101" i="11"/>
  <c r="C101" i="11"/>
  <c r="M100" i="11"/>
  <c r="H100" i="11"/>
  <c r="C100" i="11"/>
  <c r="M93" i="11"/>
  <c r="H93" i="11"/>
  <c r="C93" i="11"/>
  <c r="M92" i="11"/>
  <c r="H92" i="11"/>
  <c r="K92" i="11" s="1"/>
  <c r="C92" i="11"/>
  <c r="M91" i="11"/>
  <c r="H91" i="11"/>
  <c r="K91" i="11" s="1"/>
  <c r="C91" i="11"/>
  <c r="M84" i="11"/>
  <c r="H84" i="11"/>
  <c r="C84" i="11"/>
  <c r="M83" i="11"/>
  <c r="H83" i="11"/>
  <c r="C83" i="11"/>
  <c r="M82" i="11"/>
  <c r="H82" i="11"/>
  <c r="C82" i="11"/>
  <c r="M81" i="11"/>
  <c r="H81" i="11"/>
  <c r="C81" i="11"/>
  <c r="M80" i="11"/>
  <c r="H80" i="11"/>
  <c r="K80" i="11" s="1"/>
  <c r="C80" i="11"/>
  <c r="Q79" i="11"/>
  <c r="M79" i="11"/>
  <c r="H79" i="11"/>
  <c r="K79" i="11" s="1"/>
  <c r="E79" i="11"/>
  <c r="C79" i="11"/>
  <c r="Q78" i="11"/>
  <c r="M78" i="11"/>
  <c r="H78" i="11"/>
  <c r="K78" i="11" s="1"/>
  <c r="E78" i="11"/>
  <c r="C78" i="11"/>
  <c r="Q77" i="11"/>
  <c r="M77" i="11"/>
  <c r="H77" i="11"/>
  <c r="E77" i="11"/>
  <c r="C77" i="11"/>
  <c r="Q76" i="11"/>
  <c r="M76" i="11"/>
  <c r="H76" i="11"/>
  <c r="E76" i="11"/>
  <c r="C76" i="11"/>
  <c r="Q75" i="11"/>
  <c r="M75" i="11"/>
  <c r="H75" i="11"/>
  <c r="E75" i="11"/>
  <c r="C75" i="11"/>
  <c r="Q74" i="11"/>
  <c r="M74" i="11"/>
  <c r="H74" i="11"/>
  <c r="K74" i="11" s="1"/>
  <c r="E74" i="11"/>
  <c r="C74" i="11"/>
  <c r="Q73" i="11"/>
  <c r="M73" i="11"/>
  <c r="H73" i="11"/>
  <c r="K73" i="11" s="1"/>
  <c r="E73" i="11"/>
  <c r="C73" i="11"/>
  <c r="M66" i="11"/>
  <c r="H66" i="11"/>
  <c r="C66" i="11"/>
  <c r="M65" i="11"/>
  <c r="H65" i="11"/>
  <c r="C65" i="11"/>
  <c r="M64" i="11"/>
  <c r="H64" i="11"/>
  <c r="C64" i="11"/>
  <c r="M63" i="11"/>
  <c r="H63" i="11"/>
  <c r="K63" i="11" s="1"/>
  <c r="C63" i="11"/>
  <c r="M62" i="11"/>
  <c r="H62" i="11"/>
  <c r="K62" i="11" s="1"/>
  <c r="C62" i="11"/>
  <c r="M61" i="11"/>
  <c r="H61" i="11"/>
  <c r="K61" i="11" s="1"/>
  <c r="C61" i="11"/>
  <c r="M60" i="11"/>
  <c r="H60" i="11"/>
  <c r="C60" i="11"/>
  <c r="M59" i="11"/>
  <c r="H59" i="11"/>
  <c r="C59" i="11"/>
  <c r="M58" i="11"/>
  <c r="H58" i="11"/>
  <c r="Q54" i="11"/>
  <c r="M54" i="11"/>
  <c r="H54" i="11"/>
  <c r="K54" i="11" s="1"/>
  <c r="E54" i="11"/>
  <c r="C54" i="11"/>
  <c r="Q53" i="11"/>
  <c r="M53" i="11"/>
  <c r="H53" i="11"/>
  <c r="K53" i="11" s="1"/>
  <c r="E53" i="11"/>
  <c r="C53" i="11"/>
  <c r="Q52" i="11"/>
  <c r="M52" i="11"/>
  <c r="H52" i="11"/>
  <c r="K52" i="11" s="1"/>
  <c r="E52" i="11"/>
  <c r="C52" i="11"/>
  <c r="Q51" i="11"/>
  <c r="M51" i="11"/>
  <c r="H51" i="11"/>
  <c r="E51" i="11"/>
  <c r="C51" i="11"/>
  <c r="Q50" i="11"/>
  <c r="M50" i="11"/>
  <c r="H50" i="11"/>
  <c r="E50" i="11"/>
  <c r="C50" i="11"/>
  <c r="M49" i="11"/>
  <c r="H49" i="11"/>
  <c r="C49" i="11"/>
  <c r="M48" i="11"/>
  <c r="H48" i="11"/>
  <c r="K48" i="11" s="1"/>
  <c r="C48" i="11"/>
  <c r="M47" i="11"/>
  <c r="H47" i="11"/>
  <c r="C47" i="11"/>
  <c r="M46" i="11"/>
  <c r="H46" i="11"/>
  <c r="K46" i="11" s="1"/>
  <c r="C46" i="11"/>
  <c r="M45" i="11"/>
  <c r="H45" i="11"/>
  <c r="K45" i="11" s="1"/>
  <c r="C45" i="11"/>
  <c r="M44" i="11"/>
  <c r="H44" i="11"/>
  <c r="K44" i="11" s="1"/>
  <c r="C44" i="11"/>
  <c r="M38" i="11"/>
  <c r="H38" i="11"/>
  <c r="K38" i="11" s="1"/>
  <c r="C38" i="11"/>
  <c r="M37" i="11"/>
  <c r="H37" i="11"/>
  <c r="K37" i="11" s="1"/>
  <c r="C37" i="11"/>
  <c r="M36" i="11"/>
  <c r="H36" i="11"/>
  <c r="C36" i="11"/>
  <c r="M35" i="11"/>
  <c r="H35" i="11"/>
  <c r="K35" i="11" s="1"/>
  <c r="C35" i="11"/>
  <c r="M34" i="11"/>
  <c r="H34" i="11"/>
  <c r="K34" i="11" s="1"/>
  <c r="C34" i="11"/>
  <c r="R19" i="11"/>
  <c r="M19" i="11"/>
  <c r="H19" i="11"/>
  <c r="K19" i="11" s="1"/>
  <c r="C19" i="11"/>
  <c r="D19" i="11" s="1"/>
  <c r="R18" i="11"/>
  <c r="M18" i="11"/>
  <c r="H18" i="11"/>
  <c r="K18" i="11" s="1"/>
  <c r="C18" i="11"/>
  <c r="D18" i="11" s="1"/>
  <c r="R17" i="11"/>
  <c r="M17" i="11"/>
  <c r="H17" i="11"/>
  <c r="C17" i="11"/>
  <c r="D17" i="11" s="1"/>
  <c r="M12" i="11"/>
  <c r="H12" i="11"/>
  <c r="C12" i="11"/>
  <c r="M11" i="11"/>
  <c r="H11" i="11"/>
  <c r="K11" i="11" s="1"/>
  <c r="C11" i="11"/>
  <c r="E233" i="11"/>
  <c r="R233" i="11"/>
  <c r="AR232" i="11"/>
  <c r="AQ232" i="11"/>
  <c r="R232" i="11" s="1"/>
  <c r="AN232" i="11"/>
  <c r="BB232" i="11" s="1"/>
  <c r="AR231" i="11"/>
  <c r="E231" i="11" s="1"/>
  <c r="AQ231" i="11"/>
  <c r="AN231" i="11"/>
  <c r="AR174" i="11"/>
  <c r="AT174" i="11" s="1"/>
  <c r="AQ174" i="11"/>
  <c r="R174" i="11" s="1"/>
  <c r="AN174" i="11"/>
  <c r="AR173" i="11"/>
  <c r="AQ173" i="11"/>
  <c r="R173" i="11" s="1"/>
  <c r="AN173" i="11"/>
  <c r="BB173" i="11" s="1"/>
  <c r="AR172" i="11"/>
  <c r="AT172" i="11" s="1"/>
  <c r="AQ172" i="11"/>
  <c r="R172" i="11" s="1"/>
  <c r="AN172" i="11"/>
  <c r="AR434" i="11"/>
  <c r="AQ434" i="11"/>
  <c r="R434" i="11" s="1"/>
  <c r="AR433" i="11"/>
  <c r="AQ433" i="11"/>
  <c r="R433" i="11" s="1"/>
  <c r="AR432" i="11"/>
  <c r="AQ432" i="11"/>
  <c r="R432" i="11" s="1"/>
  <c r="AR431" i="11"/>
  <c r="AQ431" i="11"/>
  <c r="R431" i="11" s="1"/>
  <c r="AR430" i="11"/>
  <c r="E430" i="11" s="1"/>
  <c r="AQ430" i="11"/>
  <c r="R430" i="11" s="1"/>
  <c r="AR429" i="11"/>
  <c r="AQ429" i="11"/>
  <c r="R429" i="11" s="1"/>
  <c r="AR428" i="11"/>
  <c r="AQ428" i="11"/>
  <c r="R428" i="11" s="1"/>
  <c r="AR427" i="11"/>
  <c r="AQ427" i="11"/>
  <c r="R427" i="11" s="1"/>
  <c r="AR426" i="11"/>
  <c r="AQ426" i="11"/>
  <c r="R426" i="11" s="1"/>
  <c r="AR425" i="11"/>
  <c r="AQ425" i="11"/>
  <c r="R425" i="11" s="1"/>
  <c r="AR424" i="11"/>
  <c r="AQ424" i="11"/>
  <c r="R424" i="11" s="1"/>
  <c r="AR423" i="11"/>
  <c r="AQ423" i="11"/>
  <c r="R423" i="11" s="1"/>
  <c r="AR416" i="11"/>
  <c r="AQ416" i="11"/>
  <c r="R416" i="11" s="1"/>
  <c r="AR415" i="11"/>
  <c r="AT415" i="11" s="1"/>
  <c r="AQ415" i="11"/>
  <c r="R415" i="11" s="1"/>
  <c r="AR414" i="11"/>
  <c r="AQ414" i="11"/>
  <c r="R414" i="11" s="1"/>
  <c r="AR413" i="11"/>
  <c r="AQ413" i="11"/>
  <c r="R413" i="11" s="1"/>
  <c r="AR412" i="11"/>
  <c r="AQ412" i="11"/>
  <c r="R412" i="11" s="1"/>
  <c r="AR411" i="11"/>
  <c r="AQ411" i="11"/>
  <c r="R411" i="11" s="1"/>
  <c r="AR410" i="11"/>
  <c r="AQ410" i="11"/>
  <c r="R410" i="11" s="1"/>
  <c r="AT406" i="11"/>
  <c r="AS406" i="11"/>
  <c r="AQ406" i="11"/>
  <c r="R406" i="11" s="1"/>
  <c r="AT405" i="11"/>
  <c r="AS405" i="11"/>
  <c r="AQ405" i="11"/>
  <c r="R405" i="11" s="1"/>
  <c r="AT404" i="11"/>
  <c r="AS404" i="11"/>
  <c r="AQ404" i="11"/>
  <c r="R404" i="11" s="1"/>
  <c r="AR403" i="11"/>
  <c r="AQ403" i="11"/>
  <c r="R403" i="11" s="1"/>
  <c r="AR402" i="11"/>
  <c r="AQ402" i="11"/>
  <c r="R402" i="11" s="1"/>
  <c r="AR401" i="11"/>
  <c r="AQ401" i="11"/>
  <c r="R401" i="11" s="1"/>
  <c r="AR400" i="11"/>
  <c r="AQ400" i="11"/>
  <c r="R400" i="11" s="1"/>
  <c r="AR390" i="11"/>
  <c r="AQ390" i="11"/>
  <c r="R390" i="11" s="1"/>
  <c r="AT389" i="11"/>
  <c r="AS389" i="11"/>
  <c r="AQ389" i="11"/>
  <c r="R389" i="11" s="1"/>
  <c r="AT388" i="11"/>
  <c r="AS388" i="11"/>
  <c r="AQ388" i="11"/>
  <c r="R388" i="11" s="1"/>
  <c r="AR387" i="11"/>
  <c r="AQ387" i="11"/>
  <c r="R387" i="11" s="1"/>
  <c r="AR386" i="11"/>
  <c r="AQ386" i="11"/>
  <c r="R386" i="11" s="1"/>
  <c r="AR385" i="11"/>
  <c r="AQ385" i="11"/>
  <c r="R385" i="11" s="1"/>
  <c r="AR384" i="11"/>
  <c r="AQ384" i="11"/>
  <c r="R384" i="11" s="1"/>
  <c r="AR380" i="11"/>
  <c r="AQ380" i="11"/>
  <c r="R380" i="11" s="1"/>
  <c r="AR379" i="11"/>
  <c r="AQ379" i="11"/>
  <c r="R379" i="11" s="1"/>
  <c r="AR378" i="11"/>
  <c r="AT378" i="11" s="1"/>
  <c r="AQ378" i="11"/>
  <c r="R378" i="11" s="1"/>
  <c r="AR377" i="11"/>
  <c r="AT377" i="11" s="1"/>
  <c r="AQ377" i="11"/>
  <c r="R377" i="11" s="1"/>
  <c r="AR376" i="11"/>
  <c r="AT376" i="11" s="1"/>
  <c r="AQ376" i="11"/>
  <c r="R376" i="11" s="1"/>
  <c r="AR375" i="11"/>
  <c r="AT375" i="11" s="1"/>
  <c r="AQ375" i="11"/>
  <c r="R375" i="11" s="1"/>
  <c r="AR374" i="11"/>
  <c r="AT374" i="11" s="1"/>
  <c r="AQ374" i="11"/>
  <c r="R374" i="11" s="1"/>
  <c r="AR373" i="11"/>
  <c r="AQ373" i="11"/>
  <c r="R373" i="11" s="1"/>
  <c r="AR372" i="11"/>
  <c r="AT372" i="11" s="1"/>
  <c r="AQ372" i="11"/>
  <c r="R372" i="11" s="1"/>
  <c r="AR371" i="11"/>
  <c r="AS371" i="11" s="1"/>
  <c r="AQ371" i="11"/>
  <c r="R371" i="11" s="1"/>
  <c r="AR370" i="11"/>
  <c r="AS370" i="11" s="1"/>
  <c r="AQ370" i="11"/>
  <c r="R370" i="11" s="1"/>
  <c r="AR369" i="11"/>
  <c r="AS369" i="11" s="1"/>
  <c r="AQ369" i="11"/>
  <c r="R369" i="11" s="1"/>
  <c r="AR368" i="11"/>
  <c r="AS368" i="11" s="1"/>
  <c r="AQ368" i="11"/>
  <c r="R368" i="11" s="1"/>
  <c r="AR367" i="11"/>
  <c r="AT367" i="11" s="1"/>
  <c r="AQ367" i="11"/>
  <c r="R367" i="11" s="1"/>
  <c r="AR366" i="11"/>
  <c r="AQ366" i="11"/>
  <c r="AR365" i="11"/>
  <c r="AT365" i="11" s="1"/>
  <c r="AQ365" i="11"/>
  <c r="R365" i="11" s="1"/>
  <c r="AR364" i="11"/>
  <c r="AT364" i="11" s="1"/>
  <c r="AQ364" i="11"/>
  <c r="R364" i="11" s="1"/>
  <c r="AR363" i="11"/>
  <c r="AQ363" i="11"/>
  <c r="R363" i="11" s="1"/>
  <c r="AR362" i="11"/>
  <c r="AT362" i="11" s="1"/>
  <c r="AQ362" i="11"/>
  <c r="R362" i="11" s="1"/>
  <c r="AR361" i="11"/>
  <c r="AQ361" i="11"/>
  <c r="R361" i="11" s="1"/>
  <c r="AR360" i="11"/>
  <c r="AQ360" i="11"/>
  <c r="AR353" i="11"/>
  <c r="AQ353" i="11"/>
  <c r="R353" i="11" s="1"/>
  <c r="AR352" i="11"/>
  <c r="AQ352" i="11"/>
  <c r="R352" i="11" s="1"/>
  <c r="AR351" i="11"/>
  <c r="AQ351" i="11"/>
  <c r="R351" i="11" s="1"/>
  <c r="AR350" i="11"/>
  <c r="AQ350" i="11"/>
  <c r="R350" i="11" s="1"/>
  <c r="AR349" i="11"/>
  <c r="AQ349" i="11"/>
  <c r="AR348" i="11"/>
  <c r="AQ348" i="11"/>
  <c r="R348" i="11" s="1"/>
  <c r="AR347" i="11"/>
  <c r="AQ347" i="11"/>
  <c r="R347" i="11" s="1"/>
  <c r="AR346" i="11"/>
  <c r="AQ346" i="11"/>
  <c r="R346" i="11" s="1"/>
  <c r="AR345" i="11"/>
  <c r="AQ345" i="11"/>
  <c r="R345" i="11" s="1"/>
  <c r="AR344" i="11"/>
  <c r="AQ344" i="11"/>
  <c r="R344" i="11" s="1"/>
  <c r="AR343" i="11"/>
  <c r="AQ343" i="11"/>
  <c r="R343" i="11" s="1"/>
  <c r="AR342" i="11"/>
  <c r="AQ342" i="11"/>
  <c r="R342" i="11" s="1"/>
  <c r="AR341" i="11"/>
  <c r="AQ341" i="11"/>
  <c r="R341" i="11" s="1"/>
  <c r="AR340" i="11"/>
  <c r="AQ340" i="11"/>
  <c r="R340" i="11" s="1"/>
  <c r="AR339" i="11"/>
  <c r="AQ339" i="11"/>
  <c r="R339" i="11" s="1"/>
  <c r="AR338" i="11"/>
  <c r="AQ338" i="11"/>
  <c r="R338" i="11" s="1"/>
  <c r="AR337" i="11"/>
  <c r="AQ337" i="11"/>
  <c r="AR336" i="11"/>
  <c r="AQ336" i="11"/>
  <c r="R336" i="11" s="1"/>
  <c r="AR335" i="11"/>
  <c r="AQ335" i="11"/>
  <c r="AR329" i="11"/>
  <c r="AQ329" i="11"/>
  <c r="R329" i="11" s="1"/>
  <c r="AR328" i="11"/>
  <c r="AQ328" i="11"/>
  <c r="AR327" i="11"/>
  <c r="AQ327" i="11"/>
  <c r="R327" i="11" s="1"/>
  <c r="AR326" i="11"/>
  <c r="AQ326" i="11"/>
  <c r="AR325" i="11"/>
  <c r="AQ325" i="11"/>
  <c r="R325" i="11" s="1"/>
  <c r="AR324" i="11"/>
  <c r="AQ324" i="11"/>
  <c r="AR323" i="11"/>
  <c r="AQ323" i="11"/>
  <c r="R323" i="11" s="1"/>
  <c r="AR322" i="11"/>
  <c r="AQ322" i="11"/>
  <c r="R322" i="11" s="1"/>
  <c r="AR321" i="11"/>
  <c r="AQ321" i="11"/>
  <c r="R321" i="11" s="1"/>
  <c r="AR317" i="11"/>
  <c r="AQ317" i="11"/>
  <c r="AR316" i="11"/>
  <c r="AQ316" i="11"/>
  <c r="AR315" i="11"/>
  <c r="AQ315" i="11"/>
  <c r="R315" i="11" s="1"/>
  <c r="AR314" i="11"/>
  <c r="AQ314" i="11"/>
  <c r="AR313" i="11"/>
  <c r="AQ313" i="11"/>
  <c r="R313" i="11" s="1"/>
  <c r="AR312" i="11"/>
  <c r="AQ312" i="11"/>
  <c r="R312" i="11" s="1"/>
  <c r="AR311" i="11"/>
  <c r="AQ311" i="11"/>
  <c r="AR310" i="11"/>
  <c r="AQ310" i="11"/>
  <c r="AR309" i="11"/>
  <c r="AQ309" i="11"/>
  <c r="R309" i="11" s="1"/>
  <c r="AR308" i="11"/>
  <c r="AQ308" i="11"/>
  <c r="R308" i="11" s="1"/>
  <c r="AR307" i="11"/>
  <c r="AQ307" i="11"/>
  <c r="R307" i="11" s="1"/>
  <c r="AR306" i="11"/>
  <c r="AQ306" i="11"/>
  <c r="R306" i="11" s="1"/>
  <c r="AR305" i="11"/>
  <c r="AQ305" i="11"/>
  <c r="R305" i="11" s="1"/>
  <c r="AR304" i="11"/>
  <c r="AQ304" i="11"/>
  <c r="R304" i="11" s="1"/>
  <c r="AR303" i="11"/>
  <c r="AQ303" i="11"/>
  <c r="AR302" i="11"/>
  <c r="AQ302" i="11"/>
  <c r="R302" i="11" s="1"/>
  <c r="AR301" i="11"/>
  <c r="AQ301" i="11"/>
  <c r="R301" i="11" s="1"/>
  <c r="AR300" i="11"/>
  <c r="AQ300" i="11"/>
  <c r="R300" i="11" s="1"/>
  <c r="AR299" i="11"/>
  <c r="AQ299" i="11"/>
  <c r="R299" i="11" s="1"/>
  <c r="AR298" i="11"/>
  <c r="AQ298" i="11"/>
  <c r="AR294" i="11"/>
  <c r="AQ294" i="11"/>
  <c r="R294" i="11" s="1"/>
  <c r="AR293" i="11"/>
  <c r="AQ293" i="11"/>
  <c r="AR292" i="11"/>
  <c r="AQ292" i="11"/>
  <c r="R292" i="11" s="1"/>
  <c r="AR291" i="11"/>
  <c r="AQ291" i="11"/>
  <c r="R291" i="11" s="1"/>
  <c r="AR290" i="11"/>
  <c r="AQ290" i="11"/>
  <c r="AR289" i="11"/>
  <c r="AQ289" i="11"/>
  <c r="R289" i="11" s="1"/>
  <c r="AR288" i="11"/>
  <c r="AQ288" i="11"/>
  <c r="R288" i="11" s="1"/>
  <c r="AR287" i="11"/>
  <c r="AQ287" i="11"/>
  <c r="R287" i="11" s="1"/>
  <c r="AR286" i="11"/>
  <c r="AQ286" i="11"/>
  <c r="R286" i="11" s="1"/>
  <c r="AR285" i="11"/>
  <c r="AQ285" i="11"/>
  <c r="AR278" i="11"/>
  <c r="AQ278" i="11"/>
  <c r="R278" i="11" s="1"/>
  <c r="AR277" i="11"/>
  <c r="AQ277" i="11"/>
  <c r="AR276" i="11"/>
  <c r="AQ276" i="11"/>
  <c r="R276" i="11" s="1"/>
  <c r="AR275" i="11"/>
  <c r="AQ275" i="11"/>
  <c r="R275" i="11" s="1"/>
  <c r="AR274" i="11"/>
  <c r="AQ274" i="11"/>
  <c r="R274" i="11" s="1"/>
  <c r="AR273" i="11"/>
  <c r="AQ273" i="11"/>
  <c r="R273" i="11" s="1"/>
  <c r="AR272" i="11"/>
  <c r="AQ272" i="11"/>
  <c r="AR271" i="11"/>
  <c r="AQ271" i="11"/>
  <c r="R271" i="11" s="1"/>
  <c r="AR270" i="11"/>
  <c r="AQ270" i="11"/>
  <c r="R270" i="11" s="1"/>
  <c r="AR266" i="11"/>
  <c r="AS266" i="11" s="1"/>
  <c r="AQ266" i="11"/>
  <c r="R266" i="11" s="1"/>
  <c r="AR265" i="11"/>
  <c r="AQ265" i="11"/>
  <c r="R265" i="11" s="1"/>
  <c r="AR264" i="11"/>
  <c r="AT264" i="11" s="1"/>
  <c r="AQ264" i="11"/>
  <c r="AR263" i="11"/>
  <c r="AT263" i="11" s="1"/>
  <c r="AQ263" i="11"/>
  <c r="R263" i="11" s="1"/>
  <c r="AT259" i="11"/>
  <c r="AS259" i="11"/>
  <c r="AQ259" i="11"/>
  <c r="R259" i="11" s="1"/>
  <c r="AT258" i="11"/>
  <c r="AS258" i="11"/>
  <c r="AQ258" i="11"/>
  <c r="R258" i="11" s="1"/>
  <c r="AT257" i="11"/>
  <c r="AS257" i="11"/>
  <c r="AQ257" i="11"/>
  <c r="R257" i="11" s="1"/>
  <c r="AR256" i="11"/>
  <c r="AQ256" i="11"/>
  <c r="R256" i="11" s="1"/>
  <c r="AR255" i="11"/>
  <c r="AQ255" i="11"/>
  <c r="R255" i="11" s="1"/>
  <c r="AR254" i="11"/>
  <c r="AQ254" i="11"/>
  <c r="R254" i="11" s="1"/>
  <c r="AR253" i="11"/>
  <c r="AQ253" i="11"/>
  <c r="R253" i="11" s="1"/>
  <c r="AR252" i="11"/>
  <c r="AQ252" i="11"/>
  <c r="R252" i="11" s="1"/>
  <c r="AR251" i="11"/>
  <c r="AQ251" i="11"/>
  <c r="R251" i="11" s="1"/>
  <c r="AR250" i="11"/>
  <c r="Q250" i="11" s="1"/>
  <c r="AQ250" i="11"/>
  <c r="R250" i="11" s="1"/>
  <c r="AR249" i="11"/>
  <c r="AQ249" i="11"/>
  <c r="R249" i="11" s="1"/>
  <c r="AR248" i="11"/>
  <c r="AQ248" i="11"/>
  <c r="R248" i="11" s="1"/>
  <c r="AR247" i="11"/>
  <c r="AQ247" i="11"/>
  <c r="R247" i="11" s="1"/>
  <c r="AR246" i="11"/>
  <c r="AQ246" i="11"/>
  <c r="R246" i="11" s="1"/>
  <c r="AR245" i="11"/>
  <c r="AT245" i="11" s="1"/>
  <c r="AQ245" i="11"/>
  <c r="R245" i="11" s="1"/>
  <c r="AR244" i="11"/>
  <c r="AQ244" i="11"/>
  <c r="R244" i="11" s="1"/>
  <c r="AR243" i="11"/>
  <c r="AQ243" i="11"/>
  <c r="AR242" i="11"/>
  <c r="AQ242" i="11"/>
  <c r="R242" i="11" s="1"/>
  <c r="AR241" i="11"/>
  <c r="AQ241" i="11"/>
  <c r="R241" i="11" s="1"/>
  <c r="AR240" i="11"/>
  <c r="AQ240" i="11"/>
  <c r="R240" i="11" s="1"/>
  <c r="AR239" i="11"/>
  <c r="AQ239" i="11"/>
  <c r="R239" i="11" s="1"/>
  <c r="AR238" i="11"/>
  <c r="AQ238" i="11"/>
  <c r="R238" i="11" s="1"/>
  <c r="AR237" i="11"/>
  <c r="AQ237" i="11"/>
  <c r="R237" i="11" s="1"/>
  <c r="AR236" i="11"/>
  <c r="AQ236" i="11"/>
  <c r="R236" i="11" s="1"/>
  <c r="AR230" i="11"/>
  <c r="AQ230" i="11"/>
  <c r="R230" i="11" s="1"/>
  <c r="AR229" i="11"/>
  <c r="AQ229" i="11"/>
  <c r="R229" i="11" s="1"/>
  <c r="AR228" i="11"/>
  <c r="AQ228" i="11"/>
  <c r="R228" i="11" s="1"/>
  <c r="AR227" i="11"/>
  <c r="AQ227" i="11"/>
  <c r="R227" i="11" s="1"/>
  <c r="AR226" i="11"/>
  <c r="AQ226" i="11"/>
  <c r="R226" i="11" s="1"/>
  <c r="AR225" i="11"/>
  <c r="AQ225" i="11"/>
  <c r="R225" i="11" s="1"/>
  <c r="AR224" i="11"/>
  <c r="AQ224" i="11"/>
  <c r="AR223" i="11"/>
  <c r="AQ223" i="11"/>
  <c r="R223" i="11" s="1"/>
  <c r="AR222" i="11"/>
  <c r="AQ222" i="11"/>
  <c r="R222" i="11" s="1"/>
  <c r="AR221" i="11"/>
  <c r="AQ221" i="11"/>
  <c r="R221" i="11" s="1"/>
  <c r="AR220" i="11"/>
  <c r="AQ220" i="11"/>
  <c r="R220" i="11" s="1"/>
  <c r="AR219" i="11"/>
  <c r="AQ219" i="11"/>
  <c r="AR218" i="11"/>
  <c r="AQ218" i="11"/>
  <c r="AR217" i="11"/>
  <c r="AQ217" i="11"/>
  <c r="R217" i="11" s="1"/>
  <c r="AR216" i="11"/>
  <c r="AQ216" i="11"/>
  <c r="R216" i="11" s="1"/>
  <c r="AR215" i="11"/>
  <c r="AQ215" i="11"/>
  <c r="R215" i="11" s="1"/>
  <c r="AR214" i="11"/>
  <c r="AQ214" i="11"/>
  <c r="AR213" i="11"/>
  <c r="AQ213" i="11"/>
  <c r="R213" i="11" s="1"/>
  <c r="AR212" i="11"/>
  <c r="AQ212" i="11"/>
  <c r="R212" i="11" s="1"/>
  <c r="AR211" i="11"/>
  <c r="AQ211" i="11"/>
  <c r="R211" i="11" s="1"/>
  <c r="AR210" i="11"/>
  <c r="AQ210" i="11"/>
  <c r="R210" i="11" s="1"/>
  <c r="AR203" i="11"/>
  <c r="AQ203" i="11"/>
  <c r="R203" i="11" s="1"/>
  <c r="AR202" i="11"/>
  <c r="AT202" i="11" s="1"/>
  <c r="AQ202" i="11"/>
  <c r="R202" i="11" s="1"/>
  <c r="AR201" i="11"/>
  <c r="AT201" i="11" s="1"/>
  <c r="AQ201" i="11"/>
  <c r="R201" i="11" s="1"/>
  <c r="AR200" i="11"/>
  <c r="AT200" i="11" s="1"/>
  <c r="AQ200" i="11"/>
  <c r="R200" i="11" s="1"/>
  <c r="AR199" i="11"/>
  <c r="AT199" i="11" s="1"/>
  <c r="AQ199" i="11"/>
  <c r="R199" i="11" s="1"/>
  <c r="AR198" i="11"/>
  <c r="AQ198" i="11"/>
  <c r="R198" i="11" s="1"/>
  <c r="AR197" i="11"/>
  <c r="AQ197" i="11"/>
  <c r="R197" i="11" s="1"/>
  <c r="AR196" i="11"/>
  <c r="AT196" i="11" s="1"/>
  <c r="AQ196" i="11"/>
  <c r="R196" i="11" s="1"/>
  <c r="AR195" i="11"/>
  <c r="AQ195" i="11"/>
  <c r="R195" i="11" s="1"/>
  <c r="AR194" i="11"/>
  <c r="AQ194" i="11"/>
  <c r="R194" i="11" s="1"/>
  <c r="AR193" i="11"/>
  <c r="AQ193" i="11"/>
  <c r="R193" i="11" s="1"/>
  <c r="AR192" i="11"/>
  <c r="AQ192" i="11"/>
  <c r="R192" i="11" s="1"/>
  <c r="AR191" i="11"/>
  <c r="AQ191" i="11"/>
  <c r="R191" i="11" s="1"/>
  <c r="AR190" i="11"/>
  <c r="AQ190" i="11"/>
  <c r="R190" i="11" s="1"/>
  <c r="AR186" i="11"/>
  <c r="AS186" i="11" s="1"/>
  <c r="AQ186" i="11"/>
  <c r="R186" i="11" s="1"/>
  <c r="AR185" i="11"/>
  <c r="AQ185" i="11"/>
  <c r="R185" i="11" s="1"/>
  <c r="AR184" i="11"/>
  <c r="AT184" i="11" s="1"/>
  <c r="AQ184" i="11"/>
  <c r="R184" i="11" s="1"/>
  <c r="AR183" i="11"/>
  <c r="AQ183" i="11"/>
  <c r="R183" i="11" s="1"/>
  <c r="AR182" i="11"/>
  <c r="AQ182" i="11"/>
  <c r="R182" i="11" s="1"/>
  <c r="AR181" i="11"/>
  <c r="AQ181" i="11"/>
  <c r="R181" i="11" s="1"/>
  <c r="AR180" i="11"/>
  <c r="AT180" i="11" s="1"/>
  <c r="AQ180" i="11"/>
  <c r="R180" i="11" s="1"/>
  <c r="AR179" i="11"/>
  <c r="AS179" i="11" s="1"/>
  <c r="AQ179" i="11"/>
  <c r="R179" i="11" s="1"/>
  <c r="AR178" i="11"/>
  <c r="AS178" i="11" s="1"/>
  <c r="AQ178" i="11"/>
  <c r="AR171" i="11"/>
  <c r="AQ171" i="11"/>
  <c r="R171" i="11" s="1"/>
  <c r="AR170" i="11"/>
  <c r="AQ170" i="11"/>
  <c r="R170" i="11" s="1"/>
  <c r="AR169" i="11"/>
  <c r="AQ169" i="11"/>
  <c r="R169" i="11" s="1"/>
  <c r="AR168" i="11"/>
  <c r="AQ168" i="11"/>
  <c r="R168" i="11" s="1"/>
  <c r="AT164" i="11"/>
  <c r="AS164" i="11"/>
  <c r="AQ164" i="11"/>
  <c r="R164" i="11" s="1"/>
  <c r="AT163" i="11"/>
  <c r="AS163" i="11"/>
  <c r="AQ163" i="11"/>
  <c r="R163" i="11" s="1"/>
  <c r="AT162" i="11"/>
  <c r="AS162" i="11"/>
  <c r="AQ162" i="11"/>
  <c r="R162" i="11" s="1"/>
  <c r="AR161" i="11"/>
  <c r="AQ161" i="11"/>
  <c r="R161" i="11" s="1"/>
  <c r="AR160" i="11"/>
  <c r="AQ160" i="11"/>
  <c r="R160" i="11" s="1"/>
  <c r="AR159" i="11"/>
  <c r="AQ159" i="11"/>
  <c r="R159" i="11" s="1"/>
  <c r="AR158" i="11"/>
  <c r="AQ158" i="11"/>
  <c r="R158" i="11" s="1"/>
  <c r="AR157" i="11"/>
  <c r="AT157" i="11" s="1"/>
  <c r="AQ157" i="11"/>
  <c r="R157" i="11" s="1"/>
  <c r="AR156" i="11"/>
  <c r="AQ156" i="11"/>
  <c r="R156" i="11" s="1"/>
  <c r="AR155" i="11"/>
  <c r="AQ155" i="11"/>
  <c r="R155" i="11" s="1"/>
  <c r="AR154" i="11"/>
  <c r="AQ154" i="11"/>
  <c r="R154" i="11" s="1"/>
  <c r="AR153" i="11"/>
  <c r="AQ153" i="11"/>
  <c r="R153" i="11" s="1"/>
  <c r="AR152" i="11"/>
  <c r="AQ152" i="11"/>
  <c r="R152" i="11" s="1"/>
  <c r="R151" i="11"/>
  <c r="R150" i="11"/>
  <c r="AR149" i="11"/>
  <c r="Q149" i="11" s="1"/>
  <c r="AQ149" i="11"/>
  <c r="R149" i="11" s="1"/>
  <c r="AR148" i="11"/>
  <c r="Q148" i="11" s="1"/>
  <c r="AQ148" i="11"/>
  <c r="R148" i="11" s="1"/>
  <c r="AR142" i="11"/>
  <c r="AQ142" i="11"/>
  <c r="R142" i="11" s="1"/>
  <c r="AR141" i="11"/>
  <c r="AQ141" i="11"/>
  <c r="R141" i="11" s="1"/>
  <c r="AR140" i="11"/>
  <c r="AT140" i="11" s="1"/>
  <c r="AQ140" i="11"/>
  <c r="R140" i="11" s="1"/>
  <c r="AR139" i="11"/>
  <c r="AT139" i="11" s="1"/>
  <c r="AQ139" i="11"/>
  <c r="R139" i="11" s="1"/>
  <c r="AR138" i="11"/>
  <c r="AT138" i="11" s="1"/>
  <c r="AQ138" i="11"/>
  <c r="R138" i="11" s="1"/>
  <c r="AR137" i="11"/>
  <c r="AQ137" i="11"/>
  <c r="R137" i="11" s="1"/>
  <c r="AR136" i="11"/>
  <c r="AT136" i="11" s="1"/>
  <c r="AQ136" i="11"/>
  <c r="R136" i="11" s="1"/>
  <c r="AR135" i="11"/>
  <c r="AQ135" i="11"/>
  <c r="R135" i="11" s="1"/>
  <c r="AR134" i="11"/>
  <c r="AQ134" i="11"/>
  <c r="R134" i="11" s="1"/>
  <c r="AR133" i="11"/>
  <c r="AQ133" i="11"/>
  <c r="R133" i="11" s="1"/>
  <c r="AR132" i="11"/>
  <c r="AQ132" i="11"/>
  <c r="R132" i="11" s="1"/>
  <c r="AR131" i="11"/>
  <c r="AQ131" i="11"/>
  <c r="R131" i="11" s="1"/>
  <c r="AR130" i="11"/>
  <c r="AQ130" i="11"/>
  <c r="R130" i="11" s="1"/>
  <c r="AR123" i="11"/>
  <c r="AT123" i="11" s="1"/>
  <c r="AQ123" i="11"/>
  <c r="R123" i="11" s="1"/>
  <c r="AR122" i="11"/>
  <c r="Q122" i="11" s="1"/>
  <c r="AQ122" i="11"/>
  <c r="R122" i="11" s="1"/>
  <c r="AR121" i="11"/>
  <c r="AQ121" i="11"/>
  <c r="R121" i="11" s="1"/>
  <c r="AR120" i="11"/>
  <c r="AQ120" i="11"/>
  <c r="R120" i="11" s="1"/>
  <c r="AR119" i="11"/>
  <c r="AQ119" i="11"/>
  <c r="R119" i="11" s="1"/>
  <c r="AR118" i="11"/>
  <c r="AQ118" i="11"/>
  <c r="R118" i="11" s="1"/>
  <c r="AR117" i="11"/>
  <c r="AQ117" i="11"/>
  <c r="R117" i="11" s="1"/>
  <c r="AR116" i="11"/>
  <c r="AQ116" i="11"/>
  <c r="R116" i="11" s="1"/>
  <c r="AR115" i="11"/>
  <c r="AQ115" i="11"/>
  <c r="R115" i="11" s="1"/>
  <c r="AR114" i="11"/>
  <c r="AT114" i="11" s="1"/>
  <c r="AQ114" i="11"/>
  <c r="R114" i="11" s="1"/>
  <c r="AR113" i="11"/>
  <c r="AQ113" i="11"/>
  <c r="AR112" i="11"/>
  <c r="AT112" i="11" s="1"/>
  <c r="AQ112" i="11"/>
  <c r="R112" i="11" s="1"/>
  <c r="AQ111" i="11"/>
  <c r="R111" i="11" s="1"/>
  <c r="AT107" i="11"/>
  <c r="AS107" i="11"/>
  <c r="AQ107" i="11"/>
  <c r="R107" i="11" s="1"/>
  <c r="AT106" i="11"/>
  <c r="AS106" i="11"/>
  <c r="AQ106" i="11"/>
  <c r="R106" i="11" s="1"/>
  <c r="AT105" i="11"/>
  <c r="AS105" i="11"/>
  <c r="AQ105" i="11"/>
  <c r="R105" i="11" s="1"/>
  <c r="AR104" i="11"/>
  <c r="AQ104" i="11"/>
  <c r="R104" i="11" s="1"/>
  <c r="AR103" i="11"/>
  <c r="AQ103" i="11"/>
  <c r="R103" i="11" s="1"/>
  <c r="AR102" i="11"/>
  <c r="AQ102" i="11"/>
  <c r="R102" i="11" s="1"/>
  <c r="AR101" i="11"/>
  <c r="AQ101" i="11"/>
  <c r="R101" i="11" s="1"/>
  <c r="AR100" i="11"/>
  <c r="AQ100" i="11"/>
  <c r="R100" i="11" s="1"/>
  <c r="AR93" i="11"/>
  <c r="AT93" i="11" s="1"/>
  <c r="AQ93" i="11"/>
  <c r="R93" i="11" s="1"/>
  <c r="AR92" i="11"/>
  <c r="AT92" i="11" s="1"/>
  <c r="AQ92" i="11"/>
  <c r="R92" i="11" s="1"/>
  <c r="AR91" i="11"/>
  <c r="AQ91" i="11"/>
  <c r="R91" i="11" s="1"/>
  <c r="AR84" i="11"/>
  <c r="AQ84" i="11"/>
  <c r="R84" i="11" s="1"/>
  <c r="AR83" i="11"/>
  <c r="AQ83" i="11"/>
  <c r="R83" i="11" s="1"/>
  <c r="AR82" i="11"/>
  <c r="AQ82" i="11"/>
  <c r="R82" i="11" s="1"/>
  <c r="AR81" i="11"/>
  <c r="AQ81" i="11"/>
  <c r="R81" i="11" s="1"/>
  <c r="AR80" i="11"/>
  <c r="AQ80" i="11"/>
  <c r="R80" i="11" s="1"/>
  <c r="AT79" i="11"/>
  <c r="AS79" i="11"/>
  <c r="AQ79" i="11"/>
  <c r="R79" i="11" s="1"/>
  <c r="AT78" i="11"/>
  <c r="AS78" i="11"/>
  <c r="AQ78" i="11"/>
  <c r="R78" i="11" s="1"/>
  <c r="AT77" i="11"/>
  <c r="AS77" i="11"/>
  <c r="AQ77" i="11"/>
  <c r="R77" i="11" s="1"/>
  <c r="AT76" i="11"/>
  <c r="AS76" i="11"/>
  <c r="AQ76" i="11"/>
  <c r="R76" i="11" s="1"/>
  <c r="AT75" i="11"/>
  <c r="AS75" i="11"/>
  <c r="AQ75" i="11"/>
  <c r="R75" i="11" s="1"/>
  <c r="AT74" i="11"/>
  <c r="AS74" i="11"/>
  <c r="AQ74" i="11"/>
  <c r="R74" i="11" s="1"/>
  <c r="AT73" i="11"/>
  <c r="AS73" i="11"/>
  <c r="AQ73" i="11"/>
  <c r="R73" i="11" s="1"/>
  <c r="AR66" i="11"/>
  <c r="AT66" i="11" s="1"/>
  <c r="AQ66" i="11"/>
  <c r="R66" i="11" s="1"/>
  <c r="AR65" i="11"/>
  <c r="AQ65" i="11"/>
  <c r="R65" i="11" s="1"/>
  <c r="AR64" i="11"/>
  <c r="AQ64" i="11"/>
  <c r="R64" i="11" s="1"/>
  <c r="AR63" i="11"/>
  <c r="AQ63" i="11"/>
  <c r="R63" i="11" s="1"/>
  <c r="AR62" i="11"/>
  <c r="AQ62" i="11"/>
  <c r="R62" i="11" s="1"/>
  <c r="AR61" i="11"/>
  <c r="AQ61" i="11"/>
  <c r="R61" i="11" s="1"/>
  <c r="AR60" i="11"/>
  <c r="AQ60" i="11"/>
  <c r="R60" i="11" s="1"/>
  <c r="AR59" i="11"/>
  <c r="AQ59" i="11"/>
  <c r="R59" i="11" s="1"/>
  <c r="AR58" i="11"/>
  <c r="AQ58" i="11"/>
  <c r="AT54" i="11"/>
  <c r="AS54" i="11"/>
  <c r="AQ54" i="11"/>
  <c r="R54" i="11" s="1"/>
  <c r="AT53" i="11"/>
  <c r="AS53" i="11"/>
  <c r="AQ53" i="11"/>
  <c r="R53" i="11" s="1"/>
  <c r="AT52" i="11"/>
  <c r="AS52" i="11"/>
  <c r="AQ52" i="11"/>
  <c r="R52" i="11" s="1"/>
  <c r="AT51" i="11"/>
  <c r="AS51" i="11"/>
  <c r="AQ51" i="11"/>
  <c r="R51" i="11" s="1"/>
  <c r="AT50" i="11"/>
  <c r="AS50" i="11"/>
  <c r="AQ50" i="11"/>
  <c r="R50" i="11" s="1"/>
  <c r="AR49" i="11"/>
  <c r="AQ49" i="11"/>
  <c r="R49" i="11" s="1"/>
  <c r="AR48" i="11"/>
  <c r="AQ48" i="11"/>
  <c r="R48" i="11" s="1"/>
  <c r="AR47" i="11"/>
  <c r="AQ47" i="11"/>
  <c r="R47" i="11" s="1"/>
  <c r="AR46" i="11"/>
  <c r="AQ46" i="11"/>
  <c r="R46" i="11" s="1"/>
  <c r="AR45" i="11"/>
  <c r="AQ45" i="11"/>
  <c r="R45" i="11" s="1"/>
  <c r="AR44" i="11"/>
  <c r="AQ44" i="11"/>
  <c r="R44" i="11" s="1"/>
  <c r="AR38" i="11"/>
  <c r="AT38" i="11" s="1"/>
  <c r="AQ38" i="11"/>
  <c r="R38" i="11" s="1"/>
  <c r="AR37" i="11"/>
  <c r="AT37" i="11" s="1"/>
  <c r="AQ37" i="11"/>
  <c r="R37" i="11" s="1"/>
  <c r="AR36" i="11"/>
  <c r="AQ36" i="11"/>
  <c r="R36" i="11" s="1"/>
  <c r="AR35" i="11"/>
  <c r="AQ35" i="11"/>
  <c r="R35" i="11" s="1"/>
  <c r="AR34" i="11"/>
  <c r="AQ34" i="11"/>
  <c r="R34" i="11" s="1"/>
  <c r="AR17" i="11"/>
  <c r="AS17" i="11" s="1"/>
  <c r="AR12" i="11"/>
  <c r="AQ12" i="11"/>
  <c r="R12" i="11" s="1"/>
  <c r="AR11" i="11"/>
  <c r="AT11" i="11" s="1"/>
  <c r="AQ11" i="11"/>
  <c r="R11" i="11" s="1"/>
  <c r="AR10" i="11"/>
  <c r="AT10" i="11" s="1"/>
  <c r="AQ10" i="11"/>
  <c r="AN434" i="11"/>
  <c r="AN433" i="11"/>
  <c r="AN432" i="11"/>
  <c r="AN431" i="11"/>
  <c r="AN430" i="11"/>
  <c r="BB430" i="11" s="1"/>
  <c r="AN429" i="11"/>
  <c r="AN428" i="11"/>
  <c r="BB428" i="11" s="1"/>
  <c r="AN427" i="11"/>
  <c r="AN426" i="11"/>
  <c r="AN425" i="11"/>
  <c r="AN424" i="11"/>
  <c r="AN423" i="11"/>
  <c r="BB415" i="11"/>
  <c r="AN414" i="11"/>
  <c r="AN413" i="11"/>
  <c r="AN412" i="11"/>
  <c r="AN411" i="11"/>
  <c r="AN410" i="11"/>
  <c r="AN406" i="11"/>
  <c r="AN405" i="11"/>
  <c r="BB405" i="11" s="1"/>
  <c r="AN404" i="11"/>
  <c r="AN403" i="11"/>
  <c r="AN402" i="11"/>
  <c r="AN401" i="11"/>
  <c r="AN400" i="11"/>
  <c r="AN390" i="11"/>
  <c r="AN389" i="11"/>
  <c r="BB389" i="11" s="1"/>
  <c r="AN388" i="11"/>
  <c r="AN387" i="11"/>
  <c r="AN386" i="11"/>
  <c r="AN385" i="11"/>
  <c r="AN384" i="11"/>
  <c r="BB379" i="11"/>
  <c r="AN360" i="11"/>
  <c r="AN353" i="11"/>
  <c r="AN352" i="11"/>
  <c r="BB352" i="11" s="1"/>
  <c r="AN351" i="11"/>
  <c r="AN350" i="11"/>
  <c r="AN349" i="11"/>
  <c r="AN348" i="11"/>
  <c r="BB348" i="11" s="1"/>
  <c r="AN347" i="11"/>
  <c r="AN346" i="11"/>
  <c r="AN345" i="11"/>
  <c r="AN344" i="11"/>
  <c r="AN343" i="11"/>
  <c r="AN342" i="11"/>
  <c r="AN341" i="11"/>
  <c r="AN340" i="11"/>
  <c r="AN339" i="11"/>
  <c r="BB339" i="11" s="1"/>
  <c r="AN338" i="11"/>
  <c r="AN337" i="11"/>
  <c r="AN336" i="11"/>
  <c r="AN335" i="11"/>
  <c r="AN329" i="11"/>
  <c r="AN328" i="11"/>
  <c r="BB328" i="11" s="1"/>
  <c r="AN327" i="11"/>
  <c r="AN326" i="11"/>
  <c r="AN325" i="11"/>
  <c r="AN324" i="11"/>
  <c r="AN323" i="11"/>
  <c r="AN322" i="11"/>
  <c r="AN321" i="11"/>
  <c r="AN317" i="11"/>
  <c r="AN316" i="11"/>
  <c r="BB316" i="11" s="1"/>
  <c r="AN315" i="11"/>
  <c r="AN314" i="11"/>
  <c r="AN313" i="11"/>
  <c r="AN312" i="11"/>
  <c r="AN311" i="11"/>
  <c r="AN310" i="11"/>
  <c r="AN309" i="11"/>
  <c r="AN308" i="11"/>
  <c r="BB308" i="11" s="1"/>
  <c r="AN307" i="11"/>
  <c r="AN306" i="11"/>
  <c r="BB306" i="11" s="1"/>
  <c r="AN305" i="11"/>
  <c r="AN304" i="11"/>
  <c r="AN303" i="11"/>
  <c r="AN302" i="11"/>
  <c r="AN301" i="11"/>
  <c r="AN300" i="11"/>
  <c r="AN299" i="11"/>
  <c r="BB299" i="11" s="1"/>
  <c r="AN298" i="11"/>
  <c r="AN294" i="11"/>
  <c r="AN293" i="11"/>
  <c r="BB293" i="11" s="1"/>
  <c r="AN292" i="11"/>
  <c r="AN291" i="11"/>
  <c r="AN290" i="11"/>
  <c r="AN289" i="11"/>
  <c r="AN288" i="11"/>
  <c r="BB288" i="11" s="1"/>
  <c r="AN287" i="11"/>
  <c r="AN286" i="11"/>
  <c r="AN285" i="11"/>
  <c r="AN278" i="11"/>
  <c r="AN277" i="11"/>
  <c r="BB277" i="11" s="1"/>
  <c r="AN276" i="11"/>
  <c r="AN275" i="11"/>
  <c r="AN274" i="11"/>
  <c r="AN273" i="11"/>
  <c r="AN272" i="11"/>
  <c r="AN271" i="11"/>
  <c r="AN270" i="11"/>
  <c r="AN259" i="11"/>
  <c r="AN258" i="11"/>
  <c r="BB258" i="11" s="1"/>
  <c r="AN257" i="11"/>
  <c r="AN256" i="11"/>
  <c r="AN255" i="11"/>
  <c r="AN254" i="11"/>
  <c r="AN253" i="11"/>
  <c r="AN252" i="11"/>
  <c r="AN251" i="11"/>
  <c r="AN250" i="11"/>
  <c r="AN249" i="11"/>
  <c r="BB248" i="11"/>
  <c r="AN246" i="11"/>
  <c r="BB246" i="11" s="1"/>
  <c r="AN243" i="11"/>
  <c r="BB243" i="11" s="1"/>
  <c r="AN242" i="11"/>
  <c r="AN241" i="11"/>
  <c r="AN240" i="11"/>
  <c r="AN239" i="11"/>
  <c r="AN238" i="11"/>
  <c r="AN237" i="11"/>
  <c r="AN236" i="11"/>
  <c r="AN230" i="11"/>
  <c r="BB230" i="11" s="1"/>
  <c r="AN229" i="11"/>
  <c r="AN228" i="11"/>
  <c r="AN227" i="11"/>
  <c r="AN226" i="11"/>
  <c r="AN225" i="11"/>
  <c r="AN224" i="11"/>
  <c r="BB224" i="11" s="1"/>
  <c r="AN223" i="11"/>
  <c r="AN222" i="11"/>
  <c r="BB222" i="11" s="1"/>
  <c r="AN221" i="11"/>
  <c r="AN220" i="11"/>
  <c r="AN219" i="11"/>
  <c r="AN218" i="11"/>
  <c r="AN217" i="11"/>
  <c r="AN216" i="11"/>
  <c r="AN215" i="11"/>
  <c r="AN214" i="11"/>
  <c r="AN213" i="11"/>
  <c r="AN212" i="11"/>
  <c r="AN211" i="11"/>
  <c r="AN210" i="11"/>
  <c r="AN194" i="11"/>
  <c r="AN193" i="11"/>
  <c r="AN192" i="11"/>
  <c r="AN191" i="11"/>
  <c r="AN190" i="11"/>
  <c r="AN171" i="11"/>
  <c r="BB171" i="11" s="1"/>
  <c r="AN170" i="11"/>
  <c r="AN169" i="11"/>
  <c r="AN168" i="11"/>
  <c r="AN164" i="11"/>
  <c r="AN163" i="11"/>
  <c r="BB163" i="11" s="1"/>
  <c r="AN162" i="11"/>
  <c r="AN161" i="11"/>
  <c r="AN160" i="11"/>
  <c r="AN159" i="11"/>
  <c r="AN158" i="11"/>
  <c r="AN157" i="11"/>
  <c r="BB157" i="11" s="1"/>
  <c r="AN156" i="11"/>
  <c r="AN155" i="11"/>
  <c r="BB155" i="11" s="1"/>
  <c r="AN154" i="11"/>
  <c r="AN153" i="11"/>
  <c r="AN152" i="11"/>
  <c r="AN149" i="11"/>
  <c r="BB149" i="11" s="1"/>
  <c r="AN148" i="11"/>
  <c r="AN142" i="11"/>
  <c r="AN141" i="11"/>
  <c r="AN140" i="11"/>
  <c r="AN139" i="11"/>
  <c r="AN138" i="11"/>
  <c r="AN137" i="11"/>
  <c r="BB137" i="11" s="1"/>
  <c r="AN136" i="11"/>
  <c r="AN135" i="11"/>
  <c r="BB135" i="11" s="1"/>
  <c r="AN134" i="11"/>
  <c r="AN133" i="11"/>
  <c r="AN132" i="11"/>
  <c r="AN131" i="11"/>
  <c r="AN130" i="11"/>
  <c r="AN123" i="11"/>
  <c r="AN122" i="11"/>
  <c r="BB122" i="11" s="1"/>
  <c r="AN121" i="11"/>
  <c r="AN120" i="11"/>
  <c r="BB120" i="11" s="1"/>
  <c r="AN119" i="11"/>
  <c r="AN118" i="11"/>
  <c r="AN117" i="11"/>
  <c r="AN116" i="11"/>
  <c r="AN115" i="11"/>
  <c r="AN114" i="11"/>
  <c r="AN113" i="11"/>
  <c r="AN112" i="11"/>
  <c r="BB112" i="11" s="1"/>
  <c r="AN111" i="11"/>
  <c r="AN107" i="11"/>
  <c r="AN106" i="11"/>
  <c r="BB106" i="11" s="1"/>
  <c r="AN105" i="11"/>
  <c r="AN104" i="11"/>
  <c r="AN103" i="11"/>
  <c r="AN102" i="11"/>
  <c r="AN101" i="11"/>
  <c r="AN100" i="11"/>
  <c r="AN93" i="11"/>
  <c r="AN92" i="11"/>
  <c r="BB92" i="11" s="1"/>
  <c r="AN91" i="11"/>
  <c r="AN84" i="11"/>
  <c r="AN83" i="11"/>
  <c r="AN82" i="11"/>
  <c r="AN81" i="11"/>
  <c r="AN80" i="11"/>
  <c r="AN79" i="11"/>
  <c r="AN78" i="11"/>
  <c r="AN77" i="11"/>
  <c r="BB77" i="11" s="1"/>
  <c r="AN76" i="11"/>
  <c r="AN75" i="11"/>
  <c r="BB75" i="11" s="1"/>
  <c r="AN74" i="11"/>
  <c r="AN73" i="11"/>
  <c r="AN66" i="11"/>
  <c r="AN65" i="11"/>
  <c r="BB65" i="11" s="1"/>
  <c r="AN64" i="11"/>
  <c r="AN63" i="11"/>
  <c r="AN62" i="11"/>
  <c r="AN61" i="11"/>
  <c r="AN60" i="11"/>
  <c r="AN59" i="11"/>
  <c r="AN58" i="11"/>
  <c r="AN54" i="11"/>
  <c r="AN53" i="11"/>
  <c r="BB53" i="11" s="1"/>
  <c r="AN52" i="11"/>
  <c r="AN51" i="11"/>
  <c r="BB51" i="11" s="1"/>
  <c r="AN50" i="11"/>
  <c r="AN49" i="11"/>
  <c r="AN48" i="11"/>
  <c r="AN47" i="11"/>
  <c r="AN46" i="11"/>
  <c r="AN45" i="11"/>
  <c r="AN44" i="11"/>
  <c r="AN38" i="11"/>
  <c r="AN37" i="11"/>
  <c r="BB37" i="11" s="1"/>
  <c r="AN36" i="11"/>
  <c r="AN35" i="11"/>
  <c r="AN34" i="11"/>
  <c r="AN17" i="11"/>
  <c r="AN12" i="11"/>
  <c r="AN11" i="11"/>
  <c r="BB11" i="11" s="1"/>
  <c r="AN10" i="11"/>
  <c r="AJ10" i="11"/>
  <c r="AJ9" i="11"/>
  <c r="AR437" i="11"/>
  <c r="AS437" i="11" s="1"/>
  <c r="AR436" i="11"/>
  <c r="AS436" i="11" s="1"/>
  <c r="AR435" i="11"/>
  <c r="AS435" i="11" s="1"/>
  <c r="AR9" i="11"/>
  <c r="AS9" i="11" s="1"/>
  <c r="AQ9" i="11"/>
  <c r="AN442" i="11"/>
  <c r="M70" i="13"/>
  <c r="M69" i="13"/>
  <c r="M68" i="13"/>
  <c r="M67" i="13"/>
  <c r="M66" i="13"/>
  <c r="M65" i="13"/>
  <c r="M61"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0" i="13"/>
  <c r="M29" i="13"/>
  <c r="M28" i="13"/>
  <c r="M25" i="13"/>
  <c r="M24" i="13"/>
  <c r="M23" i="13"/>
  <c r="M20" i="13"/>
  <c r="M17" i="13"/>
  <c r="M16" i="13"/>
  <c r="M15" i="13"/>
  <c r="M14" i="13"/>
  <c r="M13" i="13"/>
  <c r="M12" i="13"/>
  <c r="M11" i="13"/>
  <c r="M10" i="13"/>
  <c r="M9" i="13"/>
  <c r="M8" i="13"/>
  <c r="M7" i="13"/>
  <c r="M6" i="13"/>
  <c r="M5" i="13"/>
  <c r="Y393" i="11" l="1"/>
  <c r="Z393" i="11" s="1"/>
  <c r="X393" i="11"/>
  <c r="W393" i="11"/>
  <c r="Y13" i="11"/>
  <c r="Z13" i="11" s="1"/>
  <c r="X13" i="11"/>
  <c r="W13" i="11"/>
  <c r="Y15" i="11"/>
  <c r="Z15" i="11" s="1"/>
  <c r="X15" i="11"/>
  <c r="W15" i="11"/>
  <c r="Y14" i="11"/>
  <c r="Z14" i="11" s="1"/>
  <c r="X14" i="11"/>
  <c r="W14" i="11"/>
  <c r="Y16" i="11"/>
  <c r="Z16" i="11" s="1"/>
  <c r="X16" i="11"/>
  <c r="W16" i="11"/>
  <c r="Z88" i="11"/>
  <c r="Y88" i="11"/>
  <c r="V177" i="11"/>
  <c r="B177" i="11"/>
  <c r="A177" i="11" s="1"/>
  <c r="V175" i="11"/>
  <c r="B175" i="11"/>
  <c r="A175" i="11" s="1"/>
  <c r="Y176" i="11"/>
  <c r="Z176" i="11" s="1"/>
  <c r="X176" i="11"/>
  <c r="W176" i="11"/>
  <c r="V55" i="11"/>
  <c r="B55" i="11"/>
  <c r="A55" i="11" s="1"/>
  <c r="V57" i="11"/>
  <c r="B57" i="11"/>
  <c r="A57" i="11" s="1"/>
  <c r="Y56" i="11"/>
  <c r="Z56" i="11" s="1"/>
  <c r="X56" i="11"/>
  <c r="W56" i="11"/>
  <c r="Z85" i="11"/>
  <c r="Y85" i="11"/>
  <c r="X85" i="11"/>
  <c r="V42" i="11"/>
  <c r="B42" i="11"/>
  <c r="A42" i="11" s="1"/>
  <c r="Y43" i="11"/>
  <c r="Z43" i="11" s="1"/>
  <c r="X43" i="11"/>
  <c r="W43" i="11"/>
  <c r="Y40" i="11"/>
  <c r="Z40" i="11" s="1"/>
  <c r="X40" i="11"/>
  <c r="W40" i="11"/>
  <c r="Y39" i="11"/>
  <c r="Z39" i="11" s="1"/>
  <c r="X39" i="11"/>
  <c r="W39" i="11"/>
  <c r="X41" i="11"/>
  <c r="Y41" i="11"/>
  <c r="Z41" i="11" s="1"/>
  <c r="W41" i="11"/>
  <c r="T143" i="11"/>
  <c r="U143" i="11" s="1"/>
  <c r="T145" i="11"/>
  <c r="U145" i="11" s="1"/>
  <c r="T147" i="11"/>
  <c r="U147" i="11" s="1"/>
  <c r="V146" i="11"/>
  <c r="B146" i="11"/>
  <c r="A146" i="11" s="1"/>
  <c r="T144" i="11"/>
  <c r="U144" i="11" s="1"/>
  <c r="E380" i="11"/>
  <c r="AS380" i="11"/>
  <c r="AT203" i="11"/>
  <c r="AS203" i="11"/>
  <c r="F396" i="11"/>
  <c r="G396" i="11" s="1"/>
  <c r="F398" i="11"/>
  <c r="G398" i="11" s="1"/>
  <c r="F397" i="11"/>
  <c r="G397" i="11" s="1"/>
  <c r="F395" i="11"/>
  <c r="G395" i="11" s="1"/>
  <c r="F235" i="11"/>
  <c r="G235" i="11" s="1"/>
  <c r="T234" i="11"/>
  <c r="U234" i="11" s="1"/>
  <c r="V234" i="11" s="1"/>
  <c r="T235" i="11"/>
  <c r="U235" i="11" s="1"/>
  <c r="V235" i="11" s="1"/>
  <c r="F234" i="11"/>
  <c r="G234" i="11" s="1"/>
  <c r="F399" i="11"/>
  <c r="G399" i="11" s="1"/>
  <c r="S398" i="11"/>
  <c r="S395" i="11"/>
  <c r="T396" i="11"/>
  <c r="U396" i="11" s="1"/>
  <c r="S397" i="11"/>
  <c r="S399" i="11"/>
  <c r="S394" i="11"/>
  <c r="G394" i="11"/>
  <c r="F269" i="11"/>
  <c r="G269" i="11" s="1"/>
  <c r="F268" i="11"/>
  <c r="G268" i="11" s="1"/>
  <c r="AS415" i="11"/>
  <c r="AS372" i="11"/>
  <c r="AS263" i="11"/>
  <c r="AS200" i="11"/>
  <c r="AT265" i="11"/>
  <c r="AS265" i="11"/>
  <c r="AT363" i="11"/>
  <c r="AS363" i="11"/>
  <c r="AS184" i="11"/>
  <c r="AS196" i="11"/>
  <c r="AT185" i="11"/>
  <c r="AS185" i="11"/>
  <c r="AS374" i="11"/>
  <c r="AS376" i="11"/>
  <c r="AS365" i="11"/>
  <c r="AS377" i="11"/>
  <c r="AT198" i="11"/>
  <c r="AS198" i="11"/>
  <c r="AS202" i="11"/>
  <c r="AS199" i="11"/>
  <c r="AS366" i="11"/>
  <c r="AT366" i="11"/>
  <c r="AS364" i="11"/>
  <c r="AS201" i="11"/>
  <c r="AS367" i="11"/>
  <c r="AS183" i="11"/>
  <c r="AT183" i="11"/>
  <c r="AS264" i="11"/>
  <c r="AS362" i="11"/>
  <c r="AT181" i="11"/>
  <c r="AS181" i="11"/>
  <c r="AS361" i="11"/>
  <c r="AT361" i="11"/>
  <c r="AT373" i="11"/>
  <c r="AS373" i="11"/>
  <c r="AT379" i="11"/>
  <c r="AS379" i="11"/>
  <c r="AS182" i="11"/>
  <c r="AT182" i="11"/>
  <c r="AT197" i="11"/>
  <c r="AS197" i="11"/>
  <c r="AS244" i="11"/>
  <c r="AT244" i="11"/>
  <c r="AS180" i="11"/>
  <c r="AS245" i="11"/>
  <c r="AS378" i="11"/>
  <c r="AS375" i="11"/>
  <c r="F267" i="11"/>
  <c r="G267" i="11" s="1"/>
  <c r="S269" i="11"/>
  <c r="T268" i="11"/>
  <c r="U268" i="11" s="1"/>
  <c r="T267" i="11"/>
  <c r="U267" i="11" s="1"/>
  <c r="F392" i="11"/>
  <c r="G392" i="11" s="1"/>
  <c r="F418" i="11"/>
  <c r="G418" i="11" s="1"/>
  <c r="T33" i="11"/>
  <c r="U33" i="11" s="1"/>
  <c r="T30" i="11"/>
  <c r="U30" i="11" s="1"/>
  <c r="V30" i="11" s="1"/>
  <c r="T32" i="11"/>
  <c r="U32" i="11" s="1"/>
  <c r="T27" i="11"/>
  <c r="U27" i="11" s="1"/>
  <c r="F30" i="11"/>
  <c r="G30" i="11" s="1"/>
  <c r="T28" i="11"/>
  <c r="U28" i="11" s="1"/>
  <c r="V28" i="11" s="1"/>
  <c r="S29" i="11"/>
  <c r="T31" i="11"/>
  <c r="U31" i="11" s="1"/>
  <c r="G32" i="11"/>
  <c r="T26" i="11"/>
  <c r="U26" i="11" s="1"/>
  <c r="G28" i="11"/>
  <c r="F332" i="11"/>
  <c r="G332" i="11" s="1"/>
  <c r="F333" i="11"/>
  <c r="G333" i="11" s="1"/>
  <c r="F391" i="11"/>
  <c r="G391" i="11" s="1"/>
  <c r="T391" i="11"/>
  <c r="U391" i="11" s="1"/>
  <c r="T392" i="11"/>
  <c r="U392" i="11" s="1"/>
  <c r="F165" i="11"/>
  <c r="G165" i="11" s="1"/>
  <c r="F127" i="11"/>
  <c r="G127" i="11" s="1"/>
  <c r="F334" i="11"/>
  <c r="G334" i="11" s="1"/>
  <c r="F128" i="11"/>
  <c r="G128" i="11" s="1"/>
  <c r="F129" i="11"/>
  <c r="G129" i="11" s="1"/>
  <c r="F330" i="11"/>
  <c r="G330" i="11" s="1"/>
  <c r="T333" i="11"/>
  <c r="U333" i="11" s="1"/>
  <c r="T331" i="11"/>
  <c r="U331" i="11" s="1"/>
  <c r="S330" i="11"/>
  <c r="S332" i="11"/>
  <c r="T334" i="11"/>
  <c r="U334" i="11" s="1"/>
  <c r="F125" i="11"/>
  <c r="G125" i="11" s="1"/>
  <c r="F167" i="11"/>
  <c r="G167" i="11" s="1"/>
  <c r="S166" i="11"/>
  <c r="T165" i="11"/>
  <c r="U165" i="11" s="1"/>
  <c r="S167" i="11"/>
  <c r="F420" i="11"/>
  <c r="G420" i="11" s="1"/>
  <c r="F126" i="11"/>
  <c r="G126" i="11" s="1"/>
  <c r="F419" i="11"/>
  <c r="G419" i="11" s="1"/>
  <c r="F124" i="11"/>
  <c r="G124" i="11" s="1"/>
  <c r="S127" i="11"/>
  <c r="S129" i="11"/>
  <c r="S124" i="11"/>
  <c r="T125" i="11"/>
  <c r="U125" i="11" s="1"/>
  <c r="T126" i="11"/>
  <c r="U126" i="11" s="1"/>
  <c r="T128" i="11"/>
  <c r="U128" i="11" s="1"/>
  <c r="F96" i="11"/>
  <c r="G96" i="11" s="1"/>
  <c r="F261" i="11"/>
  <c r="G261" i="11" s="1"/>
  <c r="F262" i="11"/>
  <c r="G262" i="11" s="1"/>
  <c r="F99" i="11"/>
  <c r="G99" i="11" s="1"/>
  <c r="F97" i="11"/>
  <c r="G97" i="11" s="1"/>
  <c r="T261" i="11"/>
  <c r="U261" i="11" s="1"/>
  <c r="S262" i="11"/>
  <c r="S260" i="11"/>
  <c r="F95" i="11"/>
  <c r="G95" i="11" s="1"/>
  <c r="F94" i="11"/>
  <c r="G94" i="11" s="1"/>
  <c r="F98" i="11"/>
  <c r="G98" i="11" s="1"/>
  <c r="S99" i="11"/>
  <c r="S98" i="11"/>
  <c r="S94" i="11"/>
  <c r="S96" i="11"/>
  <c r="S95" i="11"/>
  <c r="T97" i="11"/>
  <c r="U97" i="11" s="1"/>
  <c r="F422" i="11"/>
  <c r="G422" i="11" s="1"/>
  <c r="F281" i="11"/>
  <c r="G281" i="11" s="1"/>
  <c r="F207" i="11"/>
  <c r="G207" i="11" s="1"/>
  <c r="F188" i="11"/>
  <c r="G188" i="11" s="1"/>
  <c r="F283" i="11"/>
  <c r="G283" i="11" s="1"/>
  <c r="F282" i="11"/>
  <c r="G282" i="11" s="1"/>
  <c r="F417" i="11"/>
  <c r="G417" i="11" s="1"/>
  <c r="G421" i="11"/>
  <c r="T420" i="11"/>
  <c r="U420" i="11" s="1"/>
  <c r="T419" i="11"/>
  <c r="U419" i="11" s="1"/>
  <c r="T418" i="11"/>
  <c r="U418" i="11" s="1"/>
  <c r="T422" i="11"/>
  <c r="U422" i="11" s="1"/>
  <c r="V422" i="11" s="1"/>
  <c r="T421" i="11"/>
  <c r="U421" i="11" s="1"/>
  <c r="T417" i="11"/>
  <c r="U417" i="11" s="1"/>
  <c r="F209" i="11"/>
  <c r="G209" i="11" s="1"/>
  <c r="F279" i="11"/>
  <c r="G279" i="11" s="1"/>
  <c r="T296" i="11"/>
  <c r="U296" i="11" s="1"/>
  <c r="G296" i="11"/>
  <c r="T297" i="11"/>
  <c r="U297" i="11" s="1"/>
  <c r="V297" i="11" s="1"/>
  <c r="T295" i="11"/>
  <c r="U295" i="11" s="1"/>
  <c r="F297" i="11"/>
  <c r="G297" i="11" s="1"/>
  <c r="S283" i="11"/>
  <c r="T284" i="11"/>
  <c r="U284" i="11" s="1"/>
  <c r="V284" i="11" s="1"/>
  <c r="T282" i="11"/>
  <c r="U282" i="11" s="1"/>
  <c r="F284" i="11"/>
  <c r="S280" i="11"/>
  <c r="T281" i="11"/>
  <c r="U281" i="11" s="1"/>
  <c r="S279" i="11"/>
  <c r="G280" i="11"/>
  <c r="F205" i="11"/>
  <c r="G205" i="11" s="1"/>
  <c r="F409" i="11"/>
  <c r="G409" i="11" s="1"/>
  <c r="F189" i="11"/>
  <c r="G189" i="11" s="1"/>
  <c r="F206" i="11"/>
  <c r="G206" i="11" s="1"/>
  <c r="F357" i="11"/>
  <c r="G357" i="11" s="1"/>
  <c r="F208" i="11"/>
  <c r="G208" i="11" s="1"/>
  <c r="S205" i="11"/>
  <c r="T207" i="11"/>
  <c r="U207" i="11" s="1"/>
  <c r="S204" i="11"/>
  <c r="T206" i="11"/>
  <c r="U206" i="11" s="1"/>
  <c r="T208" i="11"/>
  <c r="U208" i="11" s="1"/>
  <c r="V208" i="11" s="1"/>
  <c r="T209" i="11"/>
  <c r="U209" i="11" s="1"/>
  <c r="F109" i="11"/>
  <c r="G109" i="11" s="1"/>
  <c r="F187" i="11"/>
  <c r="G187" i="11" s="1"/>
  <c r="F407" i="11"/>
  <c r="G407" i="11" s="1"/>
  <c r="F356" i="11"/>
  <c r="G356" i="11" s="1"/>
  <c r="S187" i="11"/>
  <c r="S189" i="11"/>
  <c r="T188" i="11"/>
  <c r="U188" i="11" s="1"/>
  <c r="F108" i="11"/>
  <c r="G108" i="11" s="1"/>
  <c r="S108" i="11"/>
  <c r="T109" i="11"/>
  <c r="U109" i="11" s="1"/>
  <c r="S110" i="11"/>
  <c r="G110" i="11"/>
  <c r="S408" i="11"/>
  <c r="S407" i="11"/>
  <c r="S409" i="11"/>
  <c r="F70" i="11"/>
  <c r="G70" i="11" s="1"/>
  <c r="F354" i="11"/>
  <c r="G354" i="11" s="1"/>
  <c r="S355" i="11"/>
  <c r="T359" i="11"/>
  <c r="U359" i="11" s="1"/>
  <c r="V359" i="11" s="1"/>
  <c r="F359" i="11"/>
  <c r="S354" i="11"/>
  <c r="S357" i="11"/>
  <c r="T358" i="11"/>
  <c r="U358" i="11" s="1"/>
  <c r="G358" i="11"/>
  <c r="T356" i="11"/>
  <c r="U356" i="11" s="1"/>
  <c r="F67" i="11"/>
  <c r="G67" i="11" s="1"/>
  <c r="F71" i="11"/>
  <c r="G71" i="11" s="1"/>
  <c r="F68" i="11"/>
  <c r="G68" i="11" s="1"/>
  <c r="F69" i="11"/>
  <c r="G69" i="11" s="1"/>
  <c r="F72" i="11"/>
  <c r="G72" i="11" s="1"/>
  <c r="T68" i="11"/>
  <c r="U68" i="11" s="1"/>
  <c r="T72" i="11"/>
  <c r="U72" i="11" s="1"/>
  <c r="T67" i="11"/>
  <c r="U67" i="11" s="1"/>
  <c r="T71" i="11"/>
  <c r="U71" i="11" s="1"/>
  <c r="T70" i="11"/>
  <c r="U70" i="11" s="1"/>
  <c r="S69" i="11"/>
  <c r="F381" i="11"/>
  <c r="G381" i="11" s="1"/>
  <c r="AT63" i="11"/>
  <c r="AT115" i="11"/>
  <c r="AT121" i="11"/>
  <c r="AT133" i="11"/>
  <c r="AT154" i="11"/>
  <c r="AT160" i="11"/>
  <c r="AT58" i="11"/>
  <c r="AT64" i="11"/>
  <c r="E116" i="11"/>
  <c r="AT134" i="11"/>
  <c r="Q45" i="11"/>
  <c r="AT84" i="11"/>
  <c r="AT35" i="11"/>
  <c r="AT46" i="11"/>
  <c r="AT91" i="11"/>
  <c r="AT103" i="11"/>
  <c r="AS169" i="11"/>
  <c r="AT190" i="11"/>
  <c r="E237" i="11"/>
  <c r="AT102" i="11"/>
  <c r="E36" i="11"/>
  <c r="AS47" i="11"/>
  <c r="E80" i="11"/>
  <c r="AT104" i="11"/>
  <c r="AS170" i="11"/>
  <c r="AT191" i="11"/>
  <c r="AS60" i="11"/>
  <c r="AT118" i="11"/>
  <c r="AT130" i="11"/>
  <c r="AT142" i="11"/>
  <c r="AT34" i="11"/>
  <c r="AS59" i="11"/>
  <c r="Q101" i="11"/>
  <c r="E44" i="11"/>
  <c r="AT49" i="11"/>
  <c r="AT100" i="11"/>
  <c r="Q184" i="11"/>
  <c r="Q62" i="11"/>
  <c r="AT132" i="11"/>
  <c r="D58" i="11"/>
  <c r="F383" i="11"/>
  <c r="G383" i="11" s="1"/>
  <c r="E18" i="11"/>
  <c r="F18" i="11" s="1"/>
  <c r="G18" i="11" s="1"/>
  <c r="S381" i="11"/>
  <c r="S383" i="11"/>
  <c r="S382" i="11"/>
  <c r="Q19" i="11"/>
  <c r="D219" i="11"/>
  <c r="L152" i="11"/>
  <c r="N152" i="11" s="1"/>
  <c r="E319" i="11"/>
  <c r="D318" i="11"/>
  <c r="Q319" i="11"/>
  <c r="E318" i="11"/>
  <c r="D320" i="11"/>
  <c r="E320" i="11"/>
  <c r="Q318" i="11"/>
  <c r="Q320" i="11"/>
  <c r="D319" i="11"/>
  <c r="K320" i="11"/>
  <c r="AS319" i="11"/>
  <c r="AS320" i="11"/>
  <c r="AS318" i="11"/>
  <c r="Q21" i="11"/>
  <c r="Q20" i="11"/>
  <c r="E24" i="11"/>
  <c r="F24" i="11" s="1"/>
  <c r="AS23" i="11"/>
  <c r="Q22" i="11"/>
  <c r="E21" i="11"/>
  <c r="F21" i="11" s="1"/>
  <c r="Q24" i="11"/>
  <c r="E23" i="11"/>
  <c r="F23" i="11" s="1"/>
  <c r="E25" i="11"/>
  <c r="AS20" i="11"/>
  <c r="E20" i="11"/>
  <c r="Q23" i="11"/>
  <c r="Q25" i="11"/>
  <c r="E22" i="11"/>
  <c r="F22" i="11" s="1"/>
  <c r="K24" i="11"/>
  <c r="K25" i="11"/>
  <c r="AS18" i="11"/>
  <c r="AS21" i="11"/>
  <c r="AS24" i="11"/>
  <c r="AS19" i="11"/>
  <c r="AS22" i="11"/>
  <c r="AS25" i="11"/>
  <c r="Q36" i="11"/>
  <c r="D102" i="11"/>
  <c r="D66" i="11"/>
  <c r="E17" i="11"/>
  <c r="F17" i="11" s="1"/>
  <c r="G17" i="11" s="1"/>
  <c r="Q100" i="11"/>
  <c r="Q139" i="11"/>
  <c r="E63" i="11"/>
  <c r="E92" i="11"/>
  <c r="Q133" i="11"/>
  <c r="D272" i="11"/>
  <c r="D60" i="11"/>
  <c r="E150" i="11"/>
  <c r="D45" i="11"/>
  <c r="D34" i="11"/>
  <c r="Q63" i="11"/>
  <c r="D84" i="11"/>
  <c r="D142" i="11"/>
  <c r="E115" i="11"/>
  <c r="E139" i="11"/>
  <c r="D193" i="11"/>
  <c r="D112" i="11"/>
  <c r="E133" i="11"/>
  <c r="E170" i="11"/>
  <c r="D180" i="11"/>
  <c r="D200" i="11"/>
  <c r="D225" i="11"/>
  <c r="E136" i="11"/>
  <c r="E66" i="11"/>
  <c r="Q80" i="11"/>
  <c r="Q103" i="11"/>
  <c r="D130" i="11"/>
  <c r="E11" i="11"/>
  <c r="Q92" i="11"/>
  <c r="E104" i="11"/>
  <c r="E112" i="11"/>
  <c r="E121" i="11"/>
  <c r="D171" i="11"/>
  <c r="D184" i="11"/>
  <c r="D201" i="11"/>
  <c r="Q46" i="11"/>
  <c r="E154" i="11"/>
  <c r="E160" i="11"/>
  <c r="D168" i="11"/>
  <c r="D35" i="11"/>
  <c r="E64" i="11"/>
  <c r="Q150" i="11"/>
  <c r="Q190" i="11"/>
  <c r="Q60" i="11"/>
  <c r="D81" i="11"/>
  <c r="Q66" i="11"/>
  <c r="Q11" i="11"/>
  <c r="D59" i="11"/>
  <c r="Q104" i="11"/>
  <c r="D107" i="11"/>
  <c r="F107" i="11" s="1"/>
  <c r="G107" i="11" s="1"/>
  <c r="E91" i="11"/>
  <c r="Q102" i="11"/>
  <c r="Q112" i="11"/>
  <c r="Q115" i="11"/>
  <c r="Q160" i="11"/>
  <c r="E191" i="11"/>
  <c r="D118" i="11"/>
  <c r="D46" i="11"/>
  <c r="D65" i="11"/>
  <c r="D135" i="11"/>
  <c r="D141" i="11"/>
  <c r="Q154" i="11"/>
  <c r="E182" i="11"/>
  <c r="D195" i="11"/>
  <c r="Q35" i="11"/>
  <c r="D80" i="11"/>
  <c r="D123" i="11"/>
  <c r="D186" i="11"/>
  <c r="D78" i="11"/>
  <c r="F78" i="11" s="1"/>
  <c r="G78" i="11" s="1"/>
  <c r="E123" i="11"/>
  <c r="D152" i="11"/>
  <c r="D111" i="11"/>
  <c r="D136" i="11"/>
  <c r="Q182" i="11"/>
  <c r="AS65" i="11"/>
  <c r="Q65" i="11"/>
  <c r="AT117" i="11"/>
  <c r="Q117" i="11"/>
  <c r="E117" i="11"/>
  <c r="AT141" i="11"/>
  <c r="Q141" i="11"/>
  <c r="E141" i="11"/>
  <c r="AT156" i="11"/>
  <c r="Q156" i="11"/>
  <c r="E263" i="11"/>
  <c r="Q263" i="11"/>
  <c r="AT272" i="11"/>
  <c r="Q272" i="11"/>
  <c r="E272" i="11"/>
  <c r="AT278" i="11"/>
  <c r="Q278" i="11"/>
  <c r="E278" i="11"/>
  <c r="AT305" i="11"/>
  <c r="Q305" i="11"/>
  <c r="E305" i="11"/>
  <c r="AT326" i="11"/>
  <c r="E326" i="11"/>
  <c r="Q326" i="11"/>
  <c r="AT343" i="11"/>
  <c r="E343" i="11"/>
  <c r="Q343" i="11"/>
  <c r="E361" i="11"/>
  <c r="Q361" i="11"/>
  <c r="E373" i="11"/>
  <c r="Q373" i="11"/>
  <c r="AT402" i="11"/>
  <c r="E402" i="11"/>
  <c r="Q402" i="11"/>
  <c r="E37" i="11"/>
  <c r="D49" i="11"/>
  <c r="D83" i="11"/>
  <c r="D91" i="11"/>
  <c r="E132" i="11"/>
  <c r="AT152" i="11"/>
  <c r="Q152" i="11"/>
  <c r="E152" i="11"/>
  <c r="AT290" i="11"/>
  <c r="Q290" i="11"/>
  <c r="E290" i="11"/>
  <c r="AT299" i="11"/>
  <c r="Q299" i="11"/>
  <c r="E299" i="11"/>
  <c r="AT311" i="11"/>
  <c r="Q311" i="11"/>
  <c r="E311" i="11"/>
  <c r="AT317" i="11"/>
  <c r="Q317" i="11"/>
  <c r="E317" i="11"/>
  <c r="AT337" i="11"/>
  <c r="Q337" i="11"/>
  <c r="E337" i="11"/>
  <c r="AT349" i="11"/>
  <c r="Q349" i="11"/>
  <c r="E349" i="11"/>
  <c r="Q367" i="11"/>
  <c r="E367" i="11"/>
  <c r="Q379" i="11"/>
  <c r="E379" i="11"/>
  <c r="E58" i="11"/>
  <c r="E134" i="11"/>
  <c r="E49" i="11"/>
  <c r="Q64" i="11"/>
  <c r="Q123" i="11"/>
  <c r="D137" i="11"/>
  <c r="D161" i="11"/>
  <c r="D169" i="11"/>
  <c r="D194" i="11"/>
  <c r="AT111" i="11"/>
  <c r="Q111" i="11"/>
  <c r="AT135" i="11"/>
  <c r="Q135" i="11"/>
  <c r="AT48" i="11"/>
  <c r="Q48" i="11"/>
  <c r="E48" i="11"/>
  <c r="AT81" i="11"/>
  <c r="Q81" i="11"/>
  <c r="E81" i="11"/>
  <c r="R113" i="11"/>
  <c r="D113" i="11"/>
  <c r="AS171" i="11"/>
  <c r="E171" i="11"/>
  <c r="Q171" i="11"/>
  <c r="Q183" i="11"/>
  <c r="AT192" i="11"/>
  <c r="Q192" i="11"/>
  <c r="E192" i="11"/>
  <c r="Q198" i="11"/>
  <c r="E198" i="11"/>
  <c r="AT210" i="11"/>
  <c r="Q210" i="11"/>
  <c r="E210" i="11"/>
  <c r="AT216" i="11"/>
  <c r="E216" i="11"/>
  <c r="Q216" i="11"/>
  <c r="AT222" i="11"/>
  <c r="Q222" i="11"/>
  <c r="E222" i="11"/>
  <c r="AT228" i="11"/>
  <c r="Q228" i="11"/>
  <c r="E228" i="11"/>
  <c r="AT239" i="11"/>
  <c r="Q239" i="11"/>
  <c r="E239" i="11"/>
  <c r="E245" i="11"/>
  <c r="Q245" i="11"/>
  <c r="AT251" i="11"/>
  <c r="Q251" i="11"/>
  <c r="E251" i="11"/>
  <c r="D328" i="11"/>
  <c r="R328" i="11"/>
  <c r="AT411" i="11"/>
  <c r="Q411" i="11"/>
  <c r="E411" i="11"/>
  <c r="AT423" i="11"/>
  <c r="E423" i="11"/>
  <c r="Q423" i="11"/>
  <c r="AT429" i="11"/>
  <c r="Q429" i="11"/>
  <c r="E429" i="11"/>
  <c r="Q17" i="11"/>
  <c r="Q58" i="11"/>
  <c r="E93" i="11"/>
  <c r="Q134" i="11"/>
  <c r="D158" i="11"/>
  <c r="D211" i="11"/>
  <c r="AT12" i="11"/>
  <c r="Q12" i="11"/>
  <c r="AT61" i="11"/>
  <c r="Q61" i="11"/>
  <c r="AT113" i="11"/>
  <c r="Q113" i="11"/>
  <c r="E113" i="11"/>
  <c r="AT119" i="11"/>
  <c r="E119" i="11"/>
  <c r="Q119" i="11"/>
  <c r="AT131" i="11"/>
  <c r="Q131" i="11"/>
  <c r="AT137" i="11"/>
  <c r="E137" i="11"/>
  <c r="AT148" i="11"/>
  <c r="E148" i="11"/>
  <c r="AT158" i="11"/>
  <c r="Q158" i="11"/>
  <c r="E158" i="11"/>
  <c r="D178" i="11"/>
  <c r="R178" i="11"/>
  <c r="Q265" i="11"/>
  <c r="E265" i="11"/>
  <c r="AT274" i="11"/>
  <c r="E274" i="11"/>
  <c r="Q274" i="11"/>
  <c r="AT286" i="11"/>
  <c r="Q286" i="11"/>
  <c r="E286" i="11"/>
  <c r="AT292" i="11"/>
  <c r="Q292" i="11"/>
  <c r="E292" i="11"/>
  <c r="AT301" i="11"/>
  <c r="E301" i="11"/>
  <c r="Q301" i="11"/>
  <c r="AT307" i="11"/>
  <c r="Q307" i="11"/>
  <c r="E307" i="11"/>
  <c r="AT313" i="11"/>
  <c r="E313" i="11"/>
  <c r="Q313" i="11"/>
  <c r="AT322" i="11"/>
  <c r="Q322" i="11"/>
  <c r="E322" i="11"/>
  <c r="AT328" i="11"/>
  <c r="Q328" i="11"/>
  <c r="E328" i="11"/>
  <c r="AT339" i="11"/>
  <c r="Q339" i="11"/>
  <c r="E339" i="11"/>
  <c r="AT345" i="11"/>
  <c r="Q345" i="11"/>
  <c r="E345" i="11"/>
  <c r="AT351" i="11"/>
  <c r="E351" i="11"/>
  <c r="Q351" i="11"/>
  <c r="E363" i="11"/>
  <c r="Q363" i="11"/>
  <c r="AT369" i="11"/>
  <c r="Q369" i="11"/>
  <c r="E369" i="11"/>
  <c r="Q375" i="11"/>
  <c r="E375" i="11"/>
  <c r="AT384" i="11"/>
  <c r="E384" i="11"/>
  <c r="Q384" i="11"/>
  <c r="R231" i="11"/>
  <c r="D231" i="11"/>
  <c r="F231" i="11" s="1"/>
  <c r="Q37" i="11"/>
  <c r="R58" i="11"/>
  <c r="E65" i="11"/>
  <c r="D116" i="11"/>
  <c r="Q132" i="11"/>
  <c r="D223" i="11"/>
  <c r="AT82" i="11"/>
  <c r="Q82" i="11"/>
  <c r="E82" i="11"/>
  <c r="AT178" i="11"/>
  <c r="E178" i="11"/>
  <c r="Q178" i="11"/>
  <c r="E184" i="11"/>
  <c r="AT193" i="11"/>
  <c r="E193" i="11"/>
  <c r="Q193" i="11"/>
  <c r="Q199" i="11"/>
  <c r="E199" i="11"/>
  <c r="AT211" i="11"/>
  <c r="E211" i="11"/>
  <c r="Q211" i="11"/>
  <c r="AT217" i="11"/>
  <c r="E217" i="11"/>
  <c r="Q217" i="11"/>
  <c r="AT223" i="11"/>
  <c r="Q223" i="11"/>
  <c r="E223" i="11"/>
  <c r="AT229" i="11"/>
  <c r="E229" i="11"/>
  <c r="Q229" i="11"/>
  <c r="AT240" i="11"/>
  <c r="E240" i="11"/>
  <c r="Q240" i="11"/>
  <c r="AT246" i="11"/>
  <c r="Q246" i="11"/>
  <c r="E246" i="11"/>
  <c r="AT252" i="11"/>
  <c r="Q252" i="11"/>
  <c r="E252" i="11"/>
  <c r="D47" i="11"/>
  <c r="Q49" i="11"/>
  <c r="D54" i="11"/>
  <c r="F54" i="11" s="1"/>
  <c r="D61" i="11"/>
  <c r="E111" i="11"/>
  <c r="D119" i="11"/>
  <c r="E135" i="11"/>
  <c r="Q137" i="11"/>
  <c r="AT266" i="11"/>
  <c r="E266" i="11"/>
  <c r="Q266" i="11"/>
  <c r="AT302" i="11"/>
  <c r="Q302" i="11"/>
  <c r="E302" i="11"/>
  <c r="AT314" i="11"/>
  <c r="Q314" i="11"/>
  <c r="E314" i="11"/>
  <c r="AT329" i="11"/>
  <c r="Q329" i="11"/>
  <c r="E329" i="11"/>
  <c r="AT340" i="11"/>
  <c r="Q340" i="11"/>
  <c r="E340" i="11"/>
  <c r="AT346" i="11"/>
  <c r="E346" i="11"/>
  <c r="Q346" i="11"/>
  <c r="AT352" i="11"/>
  <c r="Q352" i="11"/>
  <c r="E352" i="11"/>
  <c r="Q364" i="11"/>
  <c r="E364" i="11"/>
  <c r="E376" i="11"/>
  <c r="Q376" i="11"/>
  <c r="AS385" i="11"/>
  <c r="Q385" i="11"/>
  <c r="E385" i="11"/>
  <c r="AS390" i="11"/>
  <c r="Q390" i="11"/>
  <c r="E390" i="11"/>
  <c r="E34" i="11"/>
  <c r="E38" i="11"/>
  <c r="E59" i="11"/>
  <c r="E61" i="11"/>
  <c r="D79" i="11"/>
  <c r="F79" i="11" s="1"/>
  <c r="G79" i="11" s="1"/>
  <c r="Q93" i="11"/>
  <c r="D114" i="11"/>
  <c r="D122" i="11"/>
  <c r="E140" i="11"/>
  <c r="D212" i="11"/>
  <c r="AT120" i="11"/>
  <c r="Q120" i="11"/>
  <c r="E120" i="11"/>
  <c r="R224" i="11"/>
  <c r="D224" i="11"/>
  <c r="E19" i="11"/>
  <c r="F19" i="11" s="1"/>
  <c r="G19" i="11" s="1"/>
  <c r="AT101" i="11"/>
  <c r="E101" i="11"/>
  <c r="AT179" i="11"/>
  <c r="Q179" i="11"/>
  <c r="E179" i="11"/>
  <c r="Q200" i="11"/>
  <c r="E200" i="11"/>
  <c r="AS218" i="11"/>
  <c r="Q218" i="11"/>
  <c r="E218" i="11"/>
  <c r="AT230" i="11"/>
  <c r="Q230" i="11"/>
  <c r="E230" i="11"/>
  <c r="AT253" i="11"/>
  <c r="E253" i="11"/>
  <c r="Q253" i="11"/>
  <c r="D303" i="11"/>
  <c r="R303" i="11"/>
  <c r="R324" i="11"/>
  <c r="D324" i="11"/>
  <c r="AT413" i="11"/>
  <c r="Q413" i="11"/>
  <c r="E413" i="11"/>
  <c r="AT425" i="11"/>
  <c r="Q425" i="11"/>
  <c r="E425" i="11"/>
  <c r="AT431" i="11"/>
  <c r="Q431" i="11"/>
  <c r="E431" i="11"/>
  <c r="D12" i="11"/>
  <c r="E84" i="11"/>
  <c r="D104" i="11"/>
  <c r="E114" i="11"/>
  <c r="E138" i="11"/>
  <c r="D148" i="11"/>
  <c r="E156" i="11"/>
  <c r="Q18" i="11"/>
  <c r="AT62" i="11"/>
  <c r="E62" i="11"/>
  <c r="AT149" i="11"/>
  <c r="E149" i="11"/>
  <c r="AT153" i="11"/>
  <c r="Q153" i="11"/>
  <c r="E153" i="11"/>
  <c r="AT159" i="11"/>
  <c r="Q159" i="11"/>
  <c r="E159" i="11"/>
  <c r="R218" i="11"/>
  <c r="D218" i="11"/>
  <c r="AT287" i="11"/>
  <c r="Q287" i="11"/>
  <c r="E287" i="11"/>
  <c r="AT293" i="11"/>
  <c r="E293" i="11"/>
  <c r="Q293" i="11"/>
  <c r="AT308" i="11"/>
  <c r="Q308" i="11"/>
  <c r="E308" i="11"/>
  <c r="AT323" i="11"/>
  <c r="E323" i="11"/>
  <c r="Q323" i="11"/>
  <c r="AT370" i="11"/>
  <c r="Q370" i="11"/>
  <c r="E370" i="11"/>
  <c r="AT44" i="11"/>
  <c r="Q44" i="11"/>
  <c r="AT83" i="11"/>
  <c r="Q83" i="11"/>
  <c r="E83" i="11"/>
  <c r="E185" i="11"/>
  <c r="Q185" i="11"/>
  <c r="AT194" i="11"/>
  <c r="Q194" i="11"/>
  <c r="E194" i="11"/>
  <c r="AT212" i="11"/>
  <c r="Q212" i="11"/>
  <c r="E212" i="11"/>
  <c r="AS224" i="11"/>
  <c r="E224" i="11"/>
  <c r="Q224" i="11"/>
  <c r="AS241" i="11"/>
  <c r="Q241" i="11"/>
  <c r="E241" i="11"/>
  <c r="AT247" i="11"/>
  <c r="Q247" i="11"/>
  <c r="E247" i="11"/>
  <c r="R335" i="11"/>
  <c r="D335" i="11"/>
  <c r="E12" i="11"/>
  <c r="D74" i="11"/>
  <c r="F74" i="11" s="1"/>
  <c r="G74" i="11" s="1"/>
  <c r="E102" i="11"/>
  <c r="D131" i="11"/>
  <c r="D154" i="11"/>
  <c r="E183" i="11"/>
  <c r="D199" i="11"/>
  <c r="AT45" i="11"/>
  <c r="E45" i="11"/>
  <c r="AS168" i="11"/>
  <c r="E168" i="11"/>
  <c r="Q168" i="11"/>
  <c r="Q180" i="11"/>
  <c r="E180" i="11"/>
  <c r="AT186" i="11"/>
  <c r="Q186" i="11"/>
  <c r="E186" i="11"/>
  <c r="AT195" i="11"/>
  <c r="E195" i="11"/>
  <c r="Q195" i="11"/>
  <c r="Q201" i="11"/>
  <c r="E201" i="11"/>
  <c r="AT213" i="11"/>
  <c r="E213" i="11"/>
  <c r="Q213" i="11"/>
  <c r="AT219" i="11"/>
  <c r="E219" i="11"/>
  <c r="Q219" i="11"/>
  <c r="AT225" i="11"/>
  <c r="Q225" i="11"/>
  <c r="E225" i="11"/>
  <c r="AT236" i="11"/>
  <c r="E236" i="11"/>
  <c r="Q236" i="11"/>
  <c r="AT242" i="11"/>
  <c r="Q242" i="11"/>
  <c r="E242" i="11"/>
  <c r="AT248" i="11"/>
  <c r="E248" i="11"/>
  <c r="Q248" i="11"/>
  <c r="AT254" i="11"/>
  <c r="Q254" i="11"/>
  <c r="E254" i="11"/>
  <c r="D277" i="11"/>
  <c r="R277" i="11"/>
  <c r="D298" i="11"/>
  <c r="R298" i="11"/>
  <c r="D310" i="11"/>
  <c r="R310" i="11"/>
  <c r="D316" i="11"/>
  <c r="R316" i="11"/>
  <c r="R360" i="11"/>
  <c r="D360" i="11"/>
  <c r="D366" i="11"/>
  <c r="R366" i="11"/>
  <c r="AT414" i="11"/>
  <c r="Q414" i="11"/>
  <c r="E414" i="11"/>
  <c r="AT426" i="11"/>
  <c r="E426" i="11"/>
  <c r="Q426" i="11"/>
  <c r="AT432" i="11"/>
  <c r="Q432" i="11"/>
  <c r="E432" i="11"/>
  <c r="Q38" i="11"/>
  <c r="Q59" i="11"/>
  <c r="D76" i="11"/>
  <c r="F76" i="11" s="1"/>
  <c r="G76" i="11" s="1"/>
  <c r="E100" i="11"/>
  <c r="D120" i="11"/>
  <c r="E131" i="11"/>
  <c r="Q140" i="11"/>
  <c r="D160" i="11"/>
  <c r="D217" i="11"/>
  <c r="AT275" i="11"/>
  <c r="Q275" i="11"/>
  <c r="E275" i="11"/>
  <c r="AT116" i="11"/>
  <c r="Q116" i="11"/>
  <c r="AT122" i="11"/>
  <c r="E122" i="11"/>
  <c r="Q151" i="11"/>
  <c r="E151" i="11"/>
  <c r="AT155" i="11"/>
  <c r="Q155" i="11"/>
  <c r="E155" i="11"/>
  <c r="AT161" i="11"/>
  <c r="E161" i="11"/>
  <c r="Q161" i="11"/>
  <c r="R214" i="11"/>
  <c r="D214" i="11"/>
  <c r="D243" i="11"/>
  <c r="R243" i="11"/>
  <c r="AT271" i="11"/>
  <c r="Q271" i="11"/>
  <c r="E271" i="11"/>
  <c r="AT277" i="11"/>
  <c r="Q277" i="11"/>
  <c r="E277" i="11"/>
  <c r="AT289" i="11"/>
  <c r="Q289" i="11"/>
  <c r="E289" i="11"/>
  <c r="AT298" i="11"/>
  <c r="Q298" i="11"/>
  <c r="E298" i="11"/>
  <c r="AT304" i="11"/>
  <c r="Q304" i="11"/>
  <c r="E304" i="11"/>
  <c r="AT310" i="11"/>
  <c r="E310" i="11"/>
  <c r="Q310" i="11"/>
  <c r="AT316" i="11"/>
  <c r="E316" i="11"/>
  <c r="Q316" i="11"/>
  <c r="AT325" i="11"/>
  <c r="Q325" i="11"/>
  <c r="E325" i="11"/>
  <c r="AT336" i="11"/>
  <c r="E336" i="11"/>
  <c r="Q336" i="11"/>
  <c r="AT342" i="11"/>
  <c r="Q342" i="11"/>
  <c r="E342" i="11"/>
  <c r="AT348" i="11"/>
  <c r="E348" i="11"/>
  <c r="Q348" i="11"/>
  <c r="AT360" i="11"/>
  <c r="Q360" i="11"/>
  <c r="E360" i="11"/>
  <c r="E366" i="11"/>
  <c r="Q366" i="11"/>
  <c r="Q372" i="11"/>
  <c r="E372" i="11"/>
  <c r="E378" i="11"/>
  <c r="Q378" i="11"/>
  <c r="AT387" i="11"/>
  <c r="Q387" i="11"/>
  <c r="E387" i="11"/>
  <c r="AS401" i="11"/>
  <c r="Q401" i="11"/>
  <c r="E401" i="11"/>
  <c r="AT173" i="11"/>
  <c r="E173" i="11"/>
  <c r="Q173" i="11"/>
  <c r="AT232" i="11"/>
  <c r="Q232" i="11"/>
  <c r="E232" i="11"/>
  <c r="Q34" i="11"/>
  <c r="D44" i="11"/>
  <c r="D53" i="11"/>
  <c r="F53" i="11" s="1"/>
  <c r="D64" i="11"/>
  <c r="Q84" i="11"/>
  <c r="Q114" i="11"/>
  <c r="Q138" i="11"/>
  <c r="D190" i="11"/>
  <c r="AS270" i="11"/>
  <c r="Q270" i="11"/>
  <c r="E270" i="11"/>
  <c r="AS276" i="11"/>
  <c r="E276" i="11"/>
  <c r="Q276" i="11"/>
  <c r="AS288" i="11"/>
  <c r="Q288" i="11"/>
  <c r="E288" i="11"/>
  <c r="AS294" i="11"/>
  <c r="Q294" i="11"/>
  <c r="E294" i="11"/>
  <c r="AS303" i="11"/>
  <c r="E303" i="11"/>
  <c r="Q303" i="11"/>
  <c r="AS309" i="11"/>
  <c r="Q309" i="11"/>
  <c r="E309" i="11"/>
  <c r="AS315" i="11"/>
  <c r="Q315" i="11"/>
  <c r="AS324" i="11"/>
  <c r="Q324" i="11"/>
  <c r="E324" i="11"/>
  <c r="AS335" i="11"/>
  <c r="Q335" i="11"/>
  <c r="E335" i="11"/>
  <c r="AS341" i="11"/>
  <c r="E341" i="11"/>
  <c r="Q341" i="11"/>
  <c r="AS347" i="11"/>
  <c r="Q347" i="11"/>
  <c r="E347" i="11"/>
  <c r="AS353" i="11"/>
  <c r="E353" i="11"/>
  <c r="Q353" i="11"/>
  <c r="Q365" i="11"/>
  <c r="E365" i="11"/>
  <c r="AT371" i="11"/>
  <c r="E371" i="11"/>
  <c r="Q371" i="11"/>
  <c r="Q377" i="11"/>
  <c r="E377" i="11"/>
  <c r="AT386" i="11"/>
  <c r="E386" i="11"/>
  <c r="Q386" i="11"/>
  <c r="AT400" i="11"/>
  <c r="E400" i="11"/>
  <c r="Q400" i="11"/>
  <c r="E35" i="11"/>
  <c r="D37" i="11"/>
  <c r="E47" i="11"/>
  <c r="D51" i="11"/>
  <c r="F51" i="11" s="1"/>
  <c r="G51" i="11" s="1"/>
  <c r="D63" i="11"/>
  <c r="D106" i="11"/>
  <c r="F106" i="11" s="1"/>
  <c r="G106" i="11" s="1"/>
  <c r="E118" i="11"/>
  <c r="Q121" i="11"/>
  <c r="D133" i="11"/>
  <c r="Q136" i="11"/>
  <c r="E142" i="11"/>
  <c r="D153" i="11"/>
  <c r="D170" i="11"/>
  <c r="D182" i="11"/>
  <c r="E190" i="11"/>
  <c r="D192" i="11"/>
  <c r="D222" i="11"/>
  <c r="D265" i="11"/>
  <c r="D350" i="11"/>
  <c r="D172" i="11"/>
  <c r="Q203" i="11"/>
  <c r="D233" i="11"/>
  <c r="F233" i="11" s="1"/>
  <c r="G233" i="11" s="1"/>
  <c r="D257" i="11"/>
  <c r="F257" i="11" s="1"/>
  <c r="G257" i="11" s="1"/>
  <c r="D275" i="11"/>
  <c r="D162" i="11"/>
  <c r="F162" i="11" s="1"/>
  <c r="E172" i="11"/>
  <c r="D174" i="11"/>
  <c r="D196" i="11"/>
  <c r="D198" i="11"/>
  <c r="D216" i="11"/>
  <c r="R219" i="11"/>
  <c r="D304" i="11"/>
  <c r="AT214" i="11"/>
  <c r="E214" i="11"/>
  <c r="AT220" i="11"/>
  <c r="Q220" i="11"/>
  <c r="E220" i="11"/>
  <c r="AT226" i="11"/>
  <c r="E226" i="11"/>
  <c r="AT237" i="11"/>
  <c r="Q237" i="11"/>
  <c r="AT243" i="11"/>
  <c r="E243" i="11"/>
  <c r="AT249" i="11"/>
  <c r="Q249" i="11"/>
  <c r="E249" i="11"/>
  <c r="AS255" i="11"/>
  <c r="E255" i="11"/>
  <c r="Q255" i="11"/>
  <c r="D290" i="11"/>
  <c r="R290" i="11"/>
  <c r="R311" i="11"/>
  <c r="D311" i="11"/>
  <c r="R317" i="11"/>
  <c r="D317" i="11"/>
  <c r="D326" i="11"/>
  <c r="R326" i="11"/>
  <c r="R337" i="11"/>
  <c r="D337" i="11"/>
  <c r="R349" i="11"/>
  <c r="D349" i="11"/>
  <c r="E415" i="11"/>
  <c r="Q415" i="11"/>
  <c r="AT427" i="11"/>
  <c r="Q427" i="11"/>
  <c r="E427" i="11"/>
  <c r="AT433" i="11"/>
  <c r="E433" i="11"/>
  <c r="Q433" i="11"/>
  <c r="Q47" i="11"/>
  <c r="D73" i="11"/>
  <c r="F73" i="11" s="1"/>
  <c r="G73" i="11" s="1"/>
  <c r="D93" i="11"/>
  <c r="D101" i="11"/>
  <c r="D139" i="11"/>
  <c r="D149" i="11"/>
  <c r="D155" i="11"/>
  <c r="D164" i="11"/>
  <c r="F164" i="11" s="1"/>
  <c r="G164" i="11" s="1"/>
  <c r="E174" i="11"/>
  <c r="E196" i="11"/>
  <c r="D210" i="11"/>
  <c r="D220" i="11"/>
  <c r="Q243" i="11"/>
  <c r="D247" i="11"/>
  <c r="D266" i="11"/>
  <c r="D325" i="11"/>
  <c r="D228" i="11"/>
  <c r="D301" i="11"/>
  <c r="D103" i="11"/>
  <c r="D115" i="11"/>
  <c r="D151" i="11"/>
  <c r="D179" i="11"/>
  <c r="D202" i="11"/>
  <c r="Q197" i="11"/>
  <c r="AT215" i="11"/>
  <c r="Q215" i="11"/>
  <c r="AT221" i="11"/>
  <c r="E221" i="11"/>
  <c r="Q221" i="11"/>
  <c r="AT227" i="11"/>
  <c r="Q227" i="11"/>
  <c r="E227" i="11"/>
  <c r="AS238" i="11"/>
  <c r="E238" i="11"/>
  <c r="Q244" i="11"/>
  <c r="AT250" i="11"/>
  <c r="E250" i="11"/>
  <c r="AT256" i="11"/>
  <c r="Q256" i="11"/>
  <c r="E256" i="11"/>
  <c r="R264" i="11"/>
  <c r="D264" i="11"/>
  <c r="D285" i="11"/>
  <c r="R285" i="11"/>
  <c r="AT410" i="11"/>
  <c r="E410" i="11"/>
  <c r="Q410" i="11"/>
  <c r="AT416" i="11"/>
  <c r="Q416" i="11"/>
  <c r="E416" i="11"/>
  <c r="AT428" i="11"/>
  <c r="E428" i="11"/>
  <c r="Q428" i="11"/>
  <c r="AT434" i="11"/>
  <c r="Q434" i="11"/>
  <c r="E434" i="11"/>
  <c r="Q233" i="11"/>
  <c r="E46" i="11"/>
  <c r="D48" i="11"/>
  <c r="E60" i="11"/>
  <c r="D62" i="11"/>
  <c r="D75" i="11"/>
  <c r="F75" i="11" s="1"/>
  <c r="D77" i="11"/>
  <c r="F77" i="11" s="1"/>
  <c r="G77" i="11" s="1"/>
  <c r="D82" i="11"/>
  <c r="E103" i="11"/>
  <c r="D117" i="11"/>
  <c r="Q118" i="11"/>
  <c r="E130" i="11"/>
  <c r="Q142" i="11"/>
  <c r="D157" i="11"/>
  <c r="D159" i="11"/>
  <c r="Q170" i="11"/>
  <c r="D181" i="11"/>
  <c r="E202" i="11"/>
  <c r="E244" i="11"/>
  <c r="D251" i="11"/>
  <c r="D263" i="11"/>
  <c r="R272" i="11"/>
  <c r="D289" i="11"/>
  <c r="D305" i="11"/>
  <c r="E315" i="11"/>
  <c r="Q264" i="11"/>
  <c r="E264" i="11"/>
  <c r="AS273" i="11"/>
  <c r="Q273" i="11"/>
  <c r="E273" i="11"/>
  <c r="AS285" i="11"/>
  <c r="E285" i="11"/>
  <c r="Q285" i="11"/>
  <c r="AS291" i="11"/>
  <c r="Q291" i="11"/>
  <c r="E291" i="11"/>
  <c r="AS300" i="11"/>
  <c r="Q300" i="11"/>
  <c r="E300" i="11"/>
  <c r="AS306" i="11"/>
  <c r="Q306" i="11"/>
  <c r="E306" i="11"/>
  <c r="AS312" i="11"/>
  <c r="Q312" i="11"/>
  <c r="AS321" i="11"/>
  <c r="E321" i="11"/>
  <c r="Q321" i="11"/>
  <c r="AS327" i="11"/>
  <c r="Q327" i="11"/>
  <c r="E327" i="11"/>
  <c r="AS338" i="11"/>
  <c r="E338" i="11"/>
  <c r="Q338" i="11"/>
  <c r="AS344" i="11"/>
  <c r="Q344" i="11"/>
  <c r="E344" i="11"/>
  <c r="AS350" i="11"/>
  <c r="Q350" i="11"/>
  <c r="E350" i="11"/>
  <c r="Q362" i="11"/>
  <c r="E362" i="11"/>
  <c r="AT368" i="11"/>
  <c r="Q368" i="11"/>
  <c r="Q374" i="11"/>
  <c r="E374" i="11"/>
  <c r="AT380" i="11"/>
  <c r="Q380" i="11"/>
  <c r="AT403" i="11"/>
  <c r="Q403" i="11"/>
  <c r="E403" i="11"/>
  <c r="D11" i="11"/>
  <c r="D36" i="11"/>
  <c r="D38" i="11"/>
  <c r="D50" i="11"/>
  <c r="F50" i="11" s="1"/>
  <c r="G50" i="11" s="1"/>
  <c r="D52" i="11"/>
  <c r="F52" i="11" s="1"/>
  <c r="G52" i="11" s="1"/>
  <c r="Q91" i="11"/>
  <c r="D105" i="11"/>
  <c r="F105" i="11" s="1"/>
  <c r="D132" i="11"/>
  <c r="D134" i="11"/>
  <c r="E157" i="11"/>
  <c r="E169" i="11"/>
  <c r="Q172" i="11"/>
  <c r="Q174" i="11"/>
  <c r="E181" i="11"/>
  <c r="D183" i="11"/>
  <c r="D191" i="11"/>
  <c r="Q196" i="11"/>
  <c r="Q214" i="11"/>
  <c r="E312" i="11"/>
  <c r="D322" i="11"/>
  <c r="D367" i="11"/>
  <c r="D221" i="11"/>
  <c r="Q238" i="11"/>
  <c r="D258" i="11"/>
  <c r="F258" i="11" s="1"/>
  <c r="G258" i="11" s="1"/>
  <c r="D270" i="11"/>
  <c r="D309" i="11"/>
  <c r="D345" i="11"/>
  <c r="D92" i="11"/>
  <c r="D121" i="11"/>
  <c r="D163" i="11"/>
  <c r="F163" i="11" s="1"/>
  <c r="D173" i="11"/>
  <c r="D197" i="11"/>
  <c r="Q202" i="11"/>
  <c r="D229" i="11"/>
  <c r="D239" i="11"/>
  <c r="D245" i="11"/>
  <c r="D299" i="11"/>
  <c r="D361" i="11"/>
  <c r="D364" i="11"/>
  <c r="D293" i="11"/>
  <c r="R293" i="11"/>
  <c r="R314" i="11"/>
  <c r="D314" i="11"/>
  <c r="AT412" i="11"/>
  <c r="Q412" i="11"/>
  <c r="AT424" i="11"/>
  <c r="Q424" i="11"/>
  <c r="E424" i="11"/>
  <c r="AT430" i="11"/>
  <c r="Q430" i="11"/>
  <c r="AT231" i="11"/>
  <c r="Q231" i="11"/>
  <c r="D100" i="11"/>
  <c r="Q130" i="11"/>
  <c r="D138" i="11"/>
  <c r="D140" i="11"/>
  <c r="D150" i="11"/>
  <c r="Q157" i="11"/>
  <c r="D185" i="11"/>
  <c r="E197" i="11"/>
  <c r="D203" i="11"/>
  <c r="D213" i="11"/>
  <c r="E215" i="11"/>
  <c r="D375" i="11"/>
  <c r="D156" i="11"/>
  <c r="Q169" i="11"/>
  <c r="Q181" i="11"/>
  <c r="Q191" i="11"/>
  <c r="E203" i="11"/>
  <c r="Q226" i="11"/>
  <c r="D249" i="11"/>
  <c r="E368" i="11"/>
  <c r="D425" i="11"/>
  <c r="D227" i="11"/>
  <c r="D339" i="11"/>
  <c r="D404" i="11"/>
  <c r="F404" i="11" s="1"/>
  <c r="G404" i="11" s="1"/>
  <c r="E412" i="11"/>
  <c r="D252" i="11"/>
  <c r="D273" i="11"/>
  <c r="D278" i="11"/>
  <c r="D292" i="11"/>
  <c r="D300" i="11"/>
  <c r="D307" i="11"/>
  <c r="D340" i="11"/>
  <c r="D365" i="11"/>
  <c r="D370" i="11"/>
  <c r="D390" i="11"/>
  <c r="D414" i="11"/>
  <c r="D432" i="11"/>
  <c r="D237" i="11"/>
  <c r="D244" i="11"/>
  <c r="D259" i="11"/>
  <c r="F259" i="11" s="1"/>
  <c r="G259" i="11" s="1"/>
  <c r="D302" i="11"/>
  <c r="D352" i="11"/>
  <c r="D377" i="11"/>
  <c r="D385" i="11"/>
  <c r="D406" i="11"/>
  <c r="F406" i="11" s="1"/>
  <c r="D427" i="11"/>
  <c r="D254" i="11"/>
  <c r="D286" i="11"/>
  <c r="D342" i="11"/>
  <c r="D347" i="11"/>
  <c r="D362" i="11"/>
  <c r="D372" i="11"/>
  <c r="D401" i="11"/>
  <c r="D416" i="11"/>
  <c r="D434" i="11"/>
  <c r="D230" i="11"/>
  <c r="D241" i="11"/>
  <c r="D294" i="11"/>
  <c r="D327" i="11"/>
  <c r="D379" i="11"/>
  <c r="D387" i="11"/>
  <c r="D411" i="11"/>
  <c r="D429" i="11"/>
  <c r="D246" i="11"/>
  <c r="D256" i="11"/>
  <c r="D329" i="11"/>
  <c r="D344" i="11"/>
  <c r="D374" i="11"/>
  <c r="D403" i="11"/>
  <c r="D424" i="11"/>
  <c r="D232" i="11"/>
  <c r="D288" i="11"/>
  <c r="D291" i="11"/>
  <c r="D313" i="11"/>
  <c r="D369" i="11"/>
  <c r="D384" i="11"/>
  <c r="D389" i="11"/>
  <c r="F389" i="11" s="1"/>
  <c r="D413" i="11"/>
  <c r="D431" i="11"/>
  <c r="D236" i="11"/>
  <c r="D306" i="11"/>
  <c r="D308" i="11"/>
  <c r="D336" i="11"/>
  <c r="D341" i="11"/>
  <c r="D351" i="11"/>
  <c r="D376" i="11"/>
  <c r="D405" i="11"/>
  <c r="F405" i="11" s="1"/>
  <c r="D426" i="11"/>
  <c r="D238" i="11"/>
  <c r="D248" i="11"/>
  <c r="D253" i="11"/>
  <c r="D274" i="11"/>
  <c r="D346" i="11"/>
  <c r="D371" i="11"/>
  <c r="D400" i="11"/>
  <c r="D415" i="11"/>
  <c r="D433" i="11"/>
  <c r="D215" i="11"/>
  <c r="D226" i="11"/>
  <c r="D321" i="11"/>
  <c r="D348" i="11"/>
  <c r="D353" i="11"/>
  <c r="D378" i="11"/>
  <c r="D386" i="11"/>
  <c r="D410" i="11"/>
  <c r="D428" i="11"/>
  <c r="D240" i="11"/>
  <c r="D250" i="11"/>
  <c r="D255" i="11"/>
  <c r="D276" i="11"/>
  <c r="D323" i="11"/>
  <c r="D338" i="11"/>
  <c r="D343" i="11"/>
  <c r="D363" i="11"/>
  <c r="D373" i="11"/>
  <c r="D402" i="11"/>
  <c r="D423" i="11"/>
  <c r="D242" i="11"/>
  <c r="D271" i="11"/>
  <c r="D287" i="11"/>
  <c r="D312" i="11"/>
  <c r="D315" i="11"/>
  <c r="D368" i="11"/>
  <c r="D380" i="11"/>
  <c r="D388" i="11"/>
  <c r="F388" i="11" s="1"/>
  <c r="G388" i="11" s="1"/>
  <c r="D412" i="11"/>
  <c r="D430" i="11"/>
  <c r="F430" i="11" s="1"/>
  <c r="K100" i="11"/>
  <c r="K64" i="11"/>
  <c r="K49" i="11"/>
  <c r="K12" i="11"/>
  <c r="K36" i="11"/>
  <c r="K47" i="11"/>
  <c r="K17" i="11"/>
  <c r="K76" i="11"/>
  <c r="K58" i="11"/>
  <c r="K82" i="11"/>
  <c r="K75" i="11"/>
  <c r="K81" i="11"/>
  <c r="K93" i="11"/>
  <c r="K135" i="11"/>
  <c r="K50" i="11"/>
  <c r="K59" i="11"/>
  <c r="K65" i="11"/>
  <c r="K77" i="11"/>
  <c r="K83" i="11"/>
  <c r="K101" i="11"/>
  <c r="K141" i="11"/>
  <c r="K51" i="11"/>
  <c r="K60" i="11"/>
  <c r="K66" i="11"/>
  <c r="K84" i="11"/>
  <c r="K102" i="11"/>
  <c r="K111" i="11"/>
  <c r="K191" i="11"/>
  <c r="K164" i="11"/>
  <c r="K182" i="11"/>
  <c r="K104" i="11"/>
  <c r="K113" i="11"/>
  <c r="K119" i="11"/>
  <c r="K131" i="11"/>
  <c r="K137" i="11"/>
  <c r="K158" i="11"/>
  <c r="K173" i="11"/>
  <c r="K105" i="11"/>
  <c r="K114" i="11"/>
  <c r="K120" i="11"/>
  <c r="K132" i="11"/>
  <c r="K138" i="11"/>
  <c r="K149" i="11"/>
  <c r="O152" i="11"/>
  <c r="P152" i="11" s="1"/>
  <c r="K157" i="11"/>
  <c r="K210" i="11"/>
  <c r="K216" i="11"/>
  <c r="K198" i="11"/>
  <c r="K159" i="11"/>
  <c r="K168" i="11"/>
  <c r="K174" i="11"/>
  <c r="K183" i="11"/>
  <c r="K192" i="11"/>
  <c r="K239" i="11"/>
  <c r="K193" i="11"/>
  <c r="K232" i="11"/>
  <c r="K263" i="11"/>
  <c r="K264" i="11"/>
  <c r="K305" i="11"/>
  <c r="K211" i="11"/>
  <c r="K194" i="11"/>
  <c r="K200" i="11"/>
  <c r="K212" i="11"/>
  <c r="K219" i="11"/>
  <c r="K226" i="11"/>
  <c r="K231" i="11"/>
  <c r="K240" i="11"/>
  <c r="K298" i="11"/>
  <c r="K258" i="11"/>
  <c r="K259" i="11"/>
  <c r="K277" i="11"/>
  <c r="K271" i="11"/>
  <c r="K285" i="11"/>
  <c r="K302" i="11"/>
  <c r="K270" i="11"/>
  <c r="K288" i="11"/>
  <c r="K301" i="11"/>
  <c r="K306" i="11"/>
  <c r="K307" i="11"/>
  <c r="K308" i="11"/>
  <c r="K309" i="11"/>
  <c r="K311" i="11"/>
  <c r="K312" i="11"/>
  <c r="K275" i="11"/>
  <c r="K294" i="11"/>
  <c r="K317" i="11"/>
  <c r="K303" i="11"/>
  <c r="K300" i="11"/>
  <c r="K324" i="11"/>
  <c r="K341" i="11"/>
  <c r="K340" i="11"/>
  <c r="K314" i="11"/>
  <c r="K327" i="11"/>
  <c r="K313" i="11"/>
  <c r="K322" i="11"/>
  <c r="K328" i="11"/>
  <c r="K323" i="11"/>
  <c r="K329" i="11"/>
  <c r="K337" i="11"/>
  <c r="K321" i="11"/>
  <c r="K347" i="11"/>
  <c r="K326" i="11"/>
  <c r="K365" i="11"/>
  <c r="K335" i="11"/>
  <c r="K364" i="11"/>
  <c r="K434" i="11"/>
  <c r="AS232" i="11"/>
  <c r="AS231" i="11"/>
  <c r="AS173" i="11"/>
  <c r="AS174" i="11"/>
  <c r="AS172" i="11"/>
  <c r="AS360" i="11"/>
  <c r="AS304" i="11"/>
  <c r="AS138" i="11"/>
  <c r="AS102" i="11"/>
  <c r="AS348" i="11"/>
  <c r="AS386" i="11"/>
  <c r="AT65" i="11"/>
  <c r="AT60" i="11"/>
  <c r="AS212" i="11"/>
  <c r="AS49" i="11"/>
  <c r="AS195" i="11"/>
  <c r="AS221" i="11"/>
  <c r="AS93" i="11"/>
  <c r="AS230" i="11"/>
  <c r="AS114" i="11"/>
  <c r="AS310" i="11"/>
  <c r="AT390" i="11"/>
  <c r="AS403" i="11"/>
  <c r="AT218" i="11"/>
  <c r="AS246" i="11"/>
  <c r="AS345" i="11"/>
  <c r="AS400" i="11"/>
  <c r="AS36" i="11"/>
  <c r="AT80" i="11"/>
  <c r="AS123" i="11"/>
  <c r="AS307" i="11"/>
  <c r="AS351" i="11"/>
  <c r="AT36" i="11"/>
  <c r="AT168" i="11"/>
  <c r="AS215" i="11"/>
  <c r="AS336" i="11"/>
  <c r="AT224" i="11"/>
  <c r="AT238" i="11"/>
  <c r="AS252" i="11"/>
  <c r="AS313" i="11"/>
  <c r="AS298" i="11"/>
  <c r="AS342" i="11"/>
  <c r="AT59" i="11"/>
  <c r="AS92" i="11"/>
  <c r="AS274" i="11"/>
  <c r="AS322" i="11"/>
  <c r="AT385" i="11"/>
  <c r="AS227" i="11"/>
  <c r="AS250" i="11"/>
  <c r="AS66" i="11"/>
  <c r="AS100" i="11"/>
  <c r="AT241" i="11"/>
  <c r="AT255" i="11"/>
  <c r="AS301" i="11"/>
  <c r="AS80" i="11"/>
  <c r="AS104" i="11"/>
  <c r="AS277" i="11"/>
  <c r="AS325" i="11"/>
  <c r="AS101" i="11"/>
  <c r="AS247" i="11"/>
  <c r="AS289" i="11"/>
  <c r="AT47" i="11"/>
  <c r="AS63" i="11"/>
  <c r="AS152" i="11"/>
  <c r="AS81" i="11"/>
  <c r="AT170" i="11"/>
  <c r="AS249" i="11"/>
  <c r="AS286" i="11"/>
  <c r="AS328" i="11"/>
  <c r="AS292" i="11"/>
  <c r="AS339" i="11"/>
  <c r="AS83" i="11"/>
  <c r="AS10" i="11"/>
  <c r="AS103" i="11"/>
  <c r="AS316" i="11"/>
  <c r="AS159" i="11"/>
  <c r="AS62" i="11"/>
  <c r="AS117" i="11"/>
  <c r="AS132" i="11"/>
  <c r="AS141" i="11"/>
  <c r="AS153" i="11"/>
  <c r="AT285" i="11"/>
  <c r="AT294" i="11"/>
  <c r="AT306" i="11"/>
  <c r="AT315" i="11"/>
  <c r="AT327" i="11"/>
  <c r="AT341" i="11"/>
  <c r="AT350" i="11"/>
  <c r="AT270" i="11"/>
  <c r="AT276" i="11"/>
  <c r="AT291" i="11"/>
  <c r="AT303" i="11"/>
  <c r="AT312" i="11"/>
  <c r="AT324" i="11"/>
  <c r="AT338" i="11"/>
  <c r="AT347" i="11"/>
  <c r="AS11" i="11"/>
  <c r="AS44" i="11"/>
  <c r="AS84" i="11"/>
  <c r="AT171" i="11"/>
  <c r="AS256" i="11"/>
  <c r="AS402" i="11"/>
  <c r="AS91" i="11"/>
  <c r="AS111" i="11"/>
  <c r="AS120" i="11"/>
  <c r="AS135" i="11"/>
  <c r="AS149" i="11"/>
  <c r="AS156" i="11"/>
  <c r="AS192" i="11"/>
  <c r="AS253" i="11"/>
  <c r="AT273" i="11"/>
  <c r="AT288" i="11"/>
  <c r="AT300" i="11"/>
  <c r="AT309" i="11"/>
  <c r="AT321" i="11"/>
  <c r="AT335" i="11"/>
  <c r="AT344" i="11"/>
  <c r="AT353" i="11"/>
  <c r="AT17" i="11"/>
  <c r="AS82" i="11"/>
  <c r="AS12" i="11"/>
  <c r="AS58" i="11"/>
  <c r="AS61" i="11"/>
  <c r="AS64" i="11"/>
  <c r="AT169" i="11"/>
  <c r="AS248" i="11"/>
  <c r="AS251" i="11"/>
  <c r="AS254" i="11"/>
  <c r="AT401" i="11"/>
  <c r="AS411" i="11"/>
  <c r="AS414" i="11"/>
  <c r="AS423" i="11"/>
  <c r="AS426" i="11"/>
  <c r="AS429" i="11"/>
  <c r="AS432" i="11"/>
  <c r="AS34" i="11"/>
  <c r="AS37" i="11"/>
  <c r="AS45" i="11"/>
  <c r="AS48" i="11"/>
  <c r="AS271" i="11"/>
  <c r="AS112" i="11"/>
  <c r="AS115" i="11"/>
  <c r="AS118" i="11"/>
  <c r="AS121" i="11"/>
  <c r="AS130" i="11"/>
  <c r="AS133" i="11"/>
  <c r="AS136" i="11"/>
  <c r="AS139" i="11"/>
  <c r="AS142" i="11"/>
  <c r="AS154" i="11"/>
  <c r="AS157" i="11"/>
  <c r="AS160" i="11"/>
  <c r="AS190" i="11"/>
  <c r="AS193" i="11"/>
  <c r="AS210" i="11"/>
  <c r="AS213" i="11"/>
  <c r="AS216" i="11"/>
  <c r="AS219" i="11"/>
  <c r="AS222" i="11"/>
  <c r="AS225" i="11"/>
  <c r="AS228" i="11"/>
  <c r="AS236" i="11"/>
  <c r="AS239" i="11"/>
  <c r="AS242" i="11"/>
  <c r="AS412" i="11"/>
  <c r="AS424" i="11"/>
  <c r="AS427" i="11"/>
  <c r="AS430" i="11"/>
  <c r="AS433" i="11"/>
  <c r="AS35" i="11"/>
  <c r="AS38" i="11"/>
  <c r="AS46" i="11"/>
  <c r="AS272" i="11"/>
  <c r="AS275" i="11"/>
  <c r="AS278" i="11"/>
  <c r="AS287" i="11"/>
  <c r="AS290" i="11"/>
  <c r="AS293" i="11"/>
  <c r="AS299" i="11"/>
  <c r="AS302" i="11"/>
  <c r="AS305" i="11"/>
  <c r="AS308" i="11"/>
  <c r="AS311" i="11"/>
  <c r="AS314" i="11"/>
  <c r="AS317" i="11"/>
  <c r="AS323" i="11"/>
  <c r="AS326" i="11"/>
  <c r="AS329" i="11"/>
  <c r="AS337" i="11"/>
  <c r="AS340" i="11"/>
  <c r="AS343" i="11"/>
  <c r="AS346" i="11"/>
  <c r="AS349" i="11"/>
  <c r="AS352" i="11"/>
  <c r="AS384" i="11"/>
  <c r="AS387" i="11"/>
  <c r="AS113" i="11"/>
  <c r="AS116" i="11"/>
  <c r="AS119" i="11"/>
  <c r="AS122" i="11"/>
  <c r="AS131" i="11"/>
  <c r="AS134" i="11"/>
  <c r="AS137" i="11"/>
  <c r="AS140" i="11"/>
  <c r="AS148" i="11"/>
  <c r="AS155" i="11"/>
  <c r="AS158" i="11"/>
  <c r="AS161" i="11"/>
  <c r="AS191" i="11"/>
  <c r="AS194" i="11"/>
  <c r="AS211" i="11"/>
  <c r="AS214" i="11"/>
  <c r="AS217" i="11"/>
  <c r="AS220" i="11"/>
  <c r="AS223" i="11"/>
  <c r="AS226" i="11"/>
  <c r="AS229" i="11"/>
  <c r="AS237" i="11"/>
  <c r="AS240" i="11"/>
  <c r="AS243" i="11"/>
  <c r="AS410" i="11"/>
  <c r="AS413" i="11"/>
  <c r="AS416" i="11"/>
  <c r="AS425" i="11"/>
  <c r="AS428" i="11"/>
  <c r="AS431" i="11"/>
  <c r="AS434" i="11"/>
  <c r="Y175" i="11" l="1"/>
  <c r="Z175" i="11" s="1"/>
  <c r="X175" i="11"/>
  <c r="W175" i="11"/>
  <c r="Y177" i="11"/>
  <c r="Z177" i="11" s="1"/>
  <c r="X177" i="11"/>
  <c r="W177" i="11"/>
  <c r="Y57" i="11"/>
  <c r="Z57" i="11" s="1"/>
  <c r="X57" i="11"/>
  <c r="W57" i="11"/>
  <c r="Y55" i="11"/>
  <c r="Z55" i="11" s="1"/>
  <c r="X55" i="11"/>
  <c r="W55" i="11"/>
  <c r="F380" i="11"/>
  <c r="Y42" i="11"/>
  <c r="Z42" i="11" s="1"/>
  <c r="X42" i="11"/>
  <c r="W42" i="11"/>
  <c r="V144" i="11"/>
  <c r="B144" i="11"/>
  <c r="A144" i="11" s="1"/>
  <c r="V143" i="11"/>
  <c r="B143" i="11"/>
  <c r="A143" i="11" s="1"/>
  <c r="Y146" i="11"/>
  <c r="Z146" i="11" s="1"/>
  <c r="X146" i="11"/>
  <c r="W146" i="11"/>
  <c r="V147" i="11"/>
  <c r="B147" i="11"/>
  <c r="A147" i="11" s="1"/>
  <c r="V145" i="11"/>
  <c r="B145" i="11"/>
  <c r="A145" i="11" s="1"/>
  <c r="B234" i="11"/>
  <c r="A234" i="11" s="1"/>
  <c r="B235" i="11"/>
  <c r="A235" i="11" s="1"/>
  <c r="V396" i="11"/>
  <c r="B396" i="11"/>
  <c r="A396" i="11" s="1"/>
  <c r="T397" i="11"/>
  <c r="U397" i="11" s="1"/>
  <c r="T395" i="11"/>
  <c r="U395" i="11" s="1"/>
  <c r="T394" i="11"/>
  <c r="U394" i="11" s="1"/>
  <c r="T398" i="11"/>
  <c r="U398" i="11" s="1"/>
  <c r="T399" i="11"/>
  <c r="U399" i="11" s="1"/>
  <c r="F59" i="11"/>
  <c r="G59" i="11" s="1"/>
  <c r="V267" i="11"/>
  <c r="B267" i="11"/>
  <c r="A267" i="11" s="1"/>
  <c r="V268" i="11"/>
  <c r="B268" i="11"/>
  <c r="A268" i="11" s="1"/>
  <c r="T269" i="11"/>
  <c r="U269" i="11" s="1"/>
  <c r="B28" i="11"/>
  <c r="A28" i="11" s="1"/>
  <c r="Y28" i="11" s="1"/>
  <c r="Z28" i="11" s="1"/>
  <c r="V27" i="11"/>
  <c r="B27" i="11"/>
  <c r="A27" i="11" s="1"/>
  <c r="V32" i="11"/>
  <c r="B32" i="11"/>
  <c r="A32" i="11" s="1"/>
  <c r="V26" i="11"/>
  <c r="B26" i="11"/>
  <c r="A26" i="11" s="1"/>
  <c r="V33" i="11"/>
  <c r="B33" i="11"/>
  <c r="A33" i="11" s="1"/>
  <c r="V31" i="11"/>
  <c r="B31" i="11"/>
  <c r="A31" i="11" s="1"/>
  <c r="T29" i="11"/>
  <c r="U29" i="11" s="1"/>
  <c r="B30" i="11"/>
  <c r="A30" i="11" s="1"/>
  <c r="V392" i="11"/>
  <c r="B392" i="11"/>
  <c r="A392" i="11" s="1"/>
  <c r="V391" i="11"/>
  <c r="B391" i="11"/>
  <c r="A391" i="11" s="1"/>
  <c r="V334" i="11"/>
  <c r="B334" i="11"/>
  <c r="A334" i="11" s="1"/>
  <c r="V333" i="11"/>
  <c r="B333" i="11"/>
  <c r="A333" i="11" s="1"/>
  <c r="V331" i="11"/>
  <c r="B331" i="11"/>
  <c r="A331" i="11" s="1"/>
  <c r="T332" i="11"/>
  <c r="U332" i="11" s="1"/>
  <c r="T330" i="11"/>
  <c r="U330" i="11" s="1"/>
  <c r="V165" i="11"/>
  <c r="B165" i="11"/>
  <c r="A165" i="11" s="1"/>
  <c r="T167" i="11"/>
  <c r="U167" i="11" s="1"/>
  <c r="T166" i="11"/>
  <c r="U166" i="11" s="1"/>
  <c r="V128" i="11"/>
  <c r="B128" i="11"/>
  <c r="A128" i="11" s="1"/>
  <c r="V126" i="11"/>
  <c r="B126" i="11"/>
  <c r="A126" i="11" s="1"/>
  <c r="V125" i="11"/>
  <c r="B125" i="11"/>
  <c r="A125" i="11" s="1"/>
  <c r="T124" i="11"/>
  <c r="U124" i="11" s="1"/>
  <c r="T129" i="11"/>
  <c r="U129" i="11" s="1"/>
  <c r="T127" i="11"/>
  <c r="U127" i="11" s="1"/>
  <c r="V261" i="11"/>
  <c r="B261" i="11"/>
  <c r="A261" i="11" s="1"/>
  <c r="T260" i="11"/>
  <c r="U260" i="11" s="1"/>
  <c r="T262" i="11"/>
  <c r="U262" i="11" s="1"/>
  <c r="V97" i="11"/>
  <c r="B97" i="11"/>
  <c r="A97" i="11" s="1"/>
  <c r="T96" i="11"/>
  <c r="U96" i="11" s="1"/>
  <c r="T94" i="11"/>
  <c r="U94" i="11" s="1"/>
  <c r="T98" i="11"/>
  <c r="U98" i="11" s="1"/>
  <c r="T95" i="11"/>
  <c r="U95" i="11" s="1"/>
  <c r="T99" i="11"/>
  <c r="U99" i="11" s="1"/>
  <c r="V417" i="11"/>
  <c r="B417" i="11"/>
  <c r="A417" i="11" s="1"/>
  <c r="V421" i="11"/>
  <c r="B421" i="11"/>
  <c r="A421" i="11" s="1"/>
  <c r="V418" i="11"/>
  <c r="B418" i="11"/>
  <c r="A418" i="11" s="1"/>
  <c r="V419" i="11"/>
  <c r="B419" i="11"/>
  <c r="A419" i="11" s="1"/>
  <c r="V420" i="11"/>
  <c r="B420" i="11"/>
  <c r="A420" i="11" s="1"/>
  <c r="B422" i="11"/>
  <c r="A422" i="11" s="1"/>
  <c r="F12" i="11"/>
  <c r="G12" i="11" s="1"/>
  <c r="F132" i="11"/>
  <c r="G132" i="11" s="1"/>
  <c r="V295" i="11"/>
  <c r="B295" i="11"/>
  <c r="A295" i="11" s="1"/>
  <c r="V296" i="11"/>
  <c r="B296" i="11"/>
  <c r="A296" i="11" s="1"/>
  <c r="B297" i="11"/>
  <c r="A297" i="11" s="1"/>
  <c r="V281" i="11"/>
  <c r="B281" i="11"/>
  <c r="A281" i="11" s="1"/>
  <c r="W281" i="11" s="1"/>
  <c r="T280" i="11"/>
  <c r="U280" i="11" s="1"/>
  <c r="B284" i="11"/>
  <c r="A284" i="11" s="1"/>
  <c r="G284" i="11"/>
  <c r="V282" i="11"/>
  <c r="B282" i="11"/>
  <c r="A282" i="11" s="1"/>
  <c r="T279" i="11"/>
  <c r="U279" i="11" s="1"/>
  <c r="T283" i="11"/>
  <c r="U283" i="11" s="1"/>
  <c r="V206" i="11"/>
  <c r="B206" i="11"/>
  <c r="A206" i="11" s="1"/>
  <c r="W206" i="11" s="1"/>
  <c r="V207" i="11"/>
  <c r="B207" i="11"/>
  <c r="A207" i="11" s="1"/>
  <c r="W207" i="11" s="1"/>
  <c r="T204" i="11"/>
  <c r="U204" i="11" s="1"/>
  <c r="V209" i="11"/>
  <c r="B209" i="11"/>
  <c r="A209" i="11" s="1"/>
  <c r="T205" i="11"/>
  <c r="U205" i="11" s="1"/>
  <c r="B208" i="11"/>
  <c r="A208" i="11" s="1"/>
  <c r="V188" i="11"/>
  <c r="B188" i="11"/>
  <c r="A188" i="11" s="1"/>
  <c r="T189" i="11"/>
  <c r="U189" i="11" s="1"/>
  <c r="T187" i="11"/>
  <c r="U187" i="11" s="1"/>
  <c r="V109" i="11"/>
  <c r="B109" i="11"/>
  <c r="A109" i="11" s="1"/>
  <c r="T110" i="11"/>
  <c r="U110" i="11" s="1"/>
  <c r="T108" i="11"/>
  <c r="U108" i="11" s="1"/>
  <c r="T409" i="11"/>
  <c r="U409" i="11" s="1"/>
  <c r="T407" i="11"/>
  <c r="U407" i="11" s="1"/>
  <c r="T408" i="11"/>
  <c r="U408" i="11" s="1"/>
  <c r="V356" i="11"/>
  <c r="B356" i="11"/>
  <c r="A356" i="11" s="1"/>
  <c r="V358" i="11"/>
  <c r="B358" i="11"/>
  <c r="A358" i="11" s="1"/>
  <c r="T354" i="11"/>
  <c r="U354" i="11" s="1"/>
  <c r="B359" i="11"/>
  <c r="A359" i="11" s="1"/>
  <c r="G359" i="11"/>
  <c r="T355" i="11"/>
  <c r="U355" i="11" s="1"/>
  <c r="T357" i="11"/>
  <c r="U357" i="11" s="1"/>
  <c r="F237" i="11"/>
  <c r="G237" i="11" s="1"/>
  <c r="F44" i="11"/>
  <c r="G44" i="11" s="1"/>
  <c r="V70" i="11"/>
  <c r="B70" i="11"/>
  <c r="A70" i="11" s="1"/>
  <c r="V71" i="11"/>
  <c r="B71" i="11"/>
  <c r="A71" i="11" s="1"/>
  <c r="V67" i="11"/>
  <c r="B67" i="11"/>
  <c r="A67" i="11" s="1"/>
  <c r="V72" i="11"/>
  <c r="B72" i="11"/>
  <c r="A72" i="11" s="1"/>
  <c r="V68" i="11"/>
  <c r="B68" i="11"/>
  <c r="A68" i="11" s="1"/>
  <c r="T69" i="11"/>
  <c r="U69" i="11" s="1"/>
  <c r="F116" i="11"/>
  <c r="G116" i="11" s="1"/>
  <c r="F80" i="11"/>
  <c r="G80" i="11" s="1"/>
  <c r="F63" i="11"/>
  <c r="G63" i="11" s="1"/>
  <c r="F36" i="11"/>
  <c r="G36" i="11" s="1"/>
  <c r="F58" i="11"/>
  <c r="G58" i="11" s="1"/>
  <c r="F102" i="11"/>
  <c r="G102" i="11" s="1"/>
  <c r="F178" i="11"/>
  <c r="G178" i="11" s="1"/>
  <c r="F66" i="11"/>
  <c r="G66" i="11" s="1"/>
  <c r="F367" i="11"/>
  <c r="G367" i="11" s="1"/>
  <c r="F121" i="11"/>
  <c r="G121" i="11" s="1"/>
  <c r="F84" i="11"/>
  <c r="G84" i="11" s="1"/>
  <c r="F191" i="11"/>
  <c r="G191" i="11" s="1"/>
  <c r="F201" i="11"/>
  <c r="G201" i="11" s="1"/>
  <c r="F293" i="11"/>
  <c r="G293" i="11" s="1"/>
  <c r="F278" i="11"/>
  <c r="G278" i="11" s="1"/>
  <c r="F361" i="11"/>
  <c r="G361" i="11" s="1"/>
  <c r="F311" i="11"/>
  <c r="G311" i="11" s="1"/>
  <c r="F186" i="11"/>
  <c r="G186" i="11" s="1"/>
  <c r="T382" i="11"/>
  <c r="U382" i="11" s="1"/>
  <c r="T383" i="11"/>
  <c r="U383" i="11" s="1"/>
  <c r="T381" i="11"/>
  <c r="U381" i="11" s="1"/>
  <c r="F225" i="11"/>
  <c r="G225" i="11" s="1"/>
  <c r="F46" i="11"/>
  <c r="G46" i="11" s="1"/>
  <c r="F219" i="11"/>
  <c r="G219" i="11" s="1"/>
  <c r="F119" i="11"/>
  <c r="G119" i="11" s="1"/>
  <c r="F319" i="11"/>
  <c r="G319" i="11" s="1"/>
  <c r="F370" i="11"/>
  <c r="G370" i="11" s="1"/>
  <c r="F429" i="11"/>
  <c r="G429" i="11" s="1"/>
  <c r="F318" i="11"/>
  <c r="G318" i="11" s="1"/>
  <c r="F92" i="11"/>
  <c r="G92" i="11" s="1"/>
  <c r="F182" i="11"/>
  <c r="G182" i="11" s="1"/>
  <c r="F428" i="11"/>
  <c r="G428" i="11" s="1"/>
  <c r="F131" i="11"/>
  <c r="G131" i="11" s="1"/>
  <c r="F34" i="11"/>
  <c r="G34" i="11" s="1"/>
  <c r="F320" i="11"/>
  <c r="G320" i="11" s="1"/>
  <c r="F424" i="11"/>
  <c r="G424" i="11" s="1"/>
  <c r="F48" i="11"/>
  <c r="G48" i="11" s="1"/>
  <c r="F327" i="11"/>
  <c r="G327" i="11" s="1"/>
  <c r="F339" i="11"/>
  <c r="G339" i="11" s="1"/>
  <c r="F360" i="11"/>
  <c r="G360" i="11" s="1"/>
  <c r="F101" i="11"/>
  <c r="G101" i="11" s="1"/>
  <c r="G21" i="11"/>
  <c r="F230" i="11"/>
  <c r="G230" i="11" s="1"/>
  <c r="F35" i="11"/>
  <c r="G35" i="11" s="1"/>
  <c r="F340" i="11"/>
  <c r="G340" i="11" s="1"/>
  <c r="F323" i="11"/>
  <c r="G323" i="11" s="1"/>
  <c r="F270" i="11"/>
  <c r="G270" i="11" s="1"/>
  <c r="F414" i="11"/>
  <c r="G414" i="11" s="1"/>
  <c r="F431" i="11"/>
  <c r="G431" i="11" s="1"/>
  <c r="F200" i="11"/>
  <c r="G200" i="11" s="1"/>
  <c r="F369" i="11"/>
  <c r="G369" i="11" s="1"/>
  <c r="F362" i="11"/>
  <c r="G362" i="11" s="1"/>
  <c r="F194" i="11"/>
  <c r="G194" i="11" s="1"/>
  <c r="F252" i="11"/>
  <c r="G252" i="11" s="1"/>
  <c r="F113" i="11"/>
  <c r="G113" i="11" s="1"/>
  <c r="F348" i="11"/>
  <c r="G348" i="11" s="1"/>
  <c r="F222" i="11"/>
  <c r="G222" i="11" s="1"/>
  <c r="F25" i="11"/>
  <c r="G25" i="11" s="1"/>
  <c r="F196" i="11"/>
  <c r="G196" i="11" s="1"/>
  <c r="F202" i="11"/>
  <c r="G202" i="11" s="1"/>
  <c r="F272" i="11"/>
  <c r="G272" i="11" s="1"/>
  <c r="F133" i="11"/>
  <c r="G133" i="11" s="1"/>
  <c r="F236" i="11"/>
  <c r="G236" i="11" s="1"/>
  <c r="F221" i="11"/>
  <c r="G221" i="11" s="1"/>
  <c r="F139" i="11"/>
  <c r="G139" i="11" s="1"/>
  <c r="F20" i="11"/>
  <c r="G20" i="11" s="1"/>
  <c r="F238" i="11"/>
  <c r="G238" i="11" s="1"/>
  <c r="F365" i="11"/>
  <c r="G365" i="11" s="1"/>
  <c r="F275" i="11"/>
  <c r="G275" i="11" s="1"/>
  <c r="G22" i="11"/>
  <c r="F256" i="11"/>
  <c r="G256" i="11" s="1"/>
  <c r="F249" i="11"/>
  <c r="G249" i="11" s="1"/>
  <c r="F185" i="11"/>
  <c r="G185" i="11" s="1"/>
  <c r="F91" i="11"/>
  <c r="G91" i="11" s="1"/>
  <c r="F123" i="11"/>
  <c r="G123" i="11" s="1"/>
  <c r="F161" i="11"/>
  <c r="G161" i="11" s="1"/>
  <c r="F299" i="11"/>
  <c r="G299" i="11" s="1"/>
  <c r="F60" i="11"/>
  <c r="G60" i="11" s="1"/>
  <c r="G23" i="11"/>
  <c r="F287" i="11"/>
  <c r="G287" i="11" s="1"/>
  <c r="F288" i="11"/>
  <c r="G288" i="11" s="1"/>
  <c r="F244" i="11"/>
  <c r="G244" i="11" s="1"/>
  <c r="G24" i="11"/>
  <c r="F350" i="11"/>
  <c r="G350" i="11" s="1"/>
  <c r="F47" i="11"/>
  <c r="G47" i="11" s="1"/>
  <c r="F138" i="11"/>
  <c r="G138" i="11" s="1"/>
  <c r="F328" i="11"/>
  <c r="G328" i="11" s="1"/>
  <c r="F343" i="11"/>
  <c r="G343" i="11" s="1"/>
  <c r="F425" i="11"/>
  <c r="G425" i="11" s="1"/>
  <c r="F349" i="11"/>
  <c r="G349" i="11" s="1"/>
  <c r="F170" i="11"/>
  <c r="G170" i="11" s="1"/>
  <c r="F181" i="11"/>
  <c r="G181" i="11" s="1"/>
  <c r="F375" i="11"/>
  <c r="G375" i="11" s="1"/>
  <c r="F150" i="11"/>
  <c r="G150" i="11" s="1"/>
  <c r="F112" i="11"/>
  <c r="G112" i="11" s="1"/>
  <c r="F134" i="11"/>
  <c r="G134" i="11" s="1"/>
  <c r="F100" i="11"/>
  <c r="G100" i="11" s="1"/>
  <c r="F203" i="11"/>
  <c r="G203" i="11" s="1"/>
  <c r="F226" i="11"/>
  <c r="G226" i="11" s="1"/>
  <c r="F433" i="11"/>
  <c r="G433" i="11" s="1"/>
  <c r="F400" i="11"/>
  <c r="G400" i="11" s="1"/>
  <c r="F372" i="11"/>
  <c r="G372" i="11" s="1"/>
  <c r="F342" i="11"/>
  <c r="G342" i="11" s="1"/>
  <c r="F45" i="11"/>
  <c r="G45" i="11" s="1"/>
  <c r="F169" i="11"/>
  <c r="G169" i="11" s="1"/>
  <c r="F198" i="11"/>
  <c r="G198" i="11" s="1"/>
  <c r="F193" i="11"/>
  <c r="G193" i="11" s="1"/>
  <c r="F253" i="11"/>
  <c r="G253" i="11" s="1"/>
  <c r="F120" i="11"/>
  <c r="G120" i="11" s="1"/>
  <c r="F316" i="11"/>
  <c r="G316" i="11" s="1"/>
  <c r="F141" i="11"/>
  <c r="G141" i="11" s="1"/>
  <c r="F385" i="11"/>
  <c r="G385" i="11" s="1"/>
  <c r="F180" i="11"/>
  <c r="G180" i="11" s="1"/>
  <c r="F364" i="11"/>
  <c r="G364" i="11" s="1"/>
  <c r="F154" i="11"/>
  <c r="G154" i="11" s="1"/>
  <c r="F115" i="11"/>
  <c r="G115" i="11" s="1"/>
  <c r="F338" i="11"/>
  <c r="G338" i="11" s="1"/>
  <c r="F197" i="11"/>
  <c r="G197" i="11" s="1"/>
  <c r="F285" i="11"/>
  <c r="G285" i="11" s="1"/>
  <c r="F117" i="11"/>
  <c r="G117" i="11" s="1"/>
  <c r="F214" i="11"/>
  <c r="G214" i="11" s="1"/>
  <c r="F135" i="11"/>
  <c r="G135" i="11" s="1"/>
  <c r="F379" i="11"/>
  <c r="G379" i="11" s="1"/>
  <c r="F373" i="11"/>
  <c r="G373" i="11" s="1"/>
  <c r="F255" i="11"/>
  <c r="G255" i="11" s="1"/>
  <c r="F371" i="11"/>
  <c r="G371" i="11" s="1"/>
  <c r="F300" i="11"/>
  <c r="G300" i="11" s="1"/>
  <c r="F142" i="11"/>
  <c r="G142" i="11" s="1"/>
  <c r="F153" i="11"/>
  <c r="G153" i="11" s="1"/>
  <c r="F152" i="11"/>
  <c r="G152" i="11" s="1"/>
  <c r="F111" i="11"/>
  <c r="G111" i="11" s="1"/>
  <c r="F303" i="11"/>
  <c r="G303" i="11" s="1"/>
  <c r="F158" i="11"/>
  <c r="G158" i="11" s="1"/>
  <c r="F276" i="11"/>
  <c r="G276" i="11" s="1"/>
  <c r="F242" i="11"/>
  <c r="G242" i="11" s="1"/>
  <c r="F38" i="11"/>
  <c r="G38" i="11" s="1"/>
  <c r="F310" i="11"/>
  <c r="G310" i="11" s="1"/>
  <c r="F159" i="11"/>
  <c r="G159" i="11" s="1"/>
  <c r="F103" i="11"/>
  <c r="G103" i="11" s="1"/>
  <c r="F324" i="11"/>
  <c r="G324" i="11" s="1"/>
  <c r="F254" i="11"/>
  <c r="G254" i="11" s="1"/>
  <c r="F140" i="11"/>
  <c r="G140" i="11" s="1"/>
  <c r="F93" i="11"/>
  <c r="G93" i="11" s="1"/>
  <c r="F81" i="11"/>
  <c r="G81" i="11" s="1"/>
  <c r="F220" i="11"/>
  <c r="G220" i="11" s="1"/>
  <c r="F301" i="11"/>
  <c r="G301" i="11" s="1"/>
  <c r="F149" i="11"/>
  <c r="G149" i="11" s="1"/>
  <c r="F151" i="11"/>
  <c r="G151" i="11" s="1"/>
  <c r="F114" i="11"/>
  <c r="G114" i="11" s="1"/>
  <c r="F37" i="11"/>
  <c r="G37" i="11" s="1"/>
  <c r="F64" i="11"/>
  <c r="G64" i="11" s="1"/>
  <c r="F104" i="11"/>
  <c r="G104" i="11" s="1"/>
  <c r="F363" i="11"/>
  <c r="G363" i="11" s="1"/>
  <c r="F213" i="11"/>
  <c r="G213" i="11" s="1"/>
  <c r="F344" i="11"/>
  <c r="G344" i="11" s="1"/>
  <c r="F415" i="11"/>
  <c r="G415" i="11" s="1"/>
  <c r="F376" i="11"/>
  <c r="G376" i="11" s="1"/>
  <c r="F266" i="11"/>
  <c r="G266" i="11" s="1"/>
  <c r="F65" i="11"/>
  <c r="G65" i="11" s="1"/>
  <c r="F321" i="11"/>
  <c r="G321" i="11" s="1"/>
  <c r="F329" i="11"/>
  <c r="G329" i="11" s="1"/>
  <c r="F434" i="11"/>
  <c r="G434" i="11" s="1"/>
  <c r="F377" i="11"/>
  <c r="G377" i="11" s="1"/>
  <c r="F122" i="11"/>
  <c r="G122" i="11" s="1"/>
  <c r="F246" i="11"/>
  <c r="G246" i="11" s="1"/>
  <c r="F184" i="11"/>
  <c r="G184" i="11" s="1"/>
  <c r="F148" i="11"/>
  <c r="G148" i="11" s="1"/>
  <c r="F136" i="11"/>
  <c r="G136" i="11" s="1"/>
  <c r="F413" i="11"/>
  <c r="G413" i="11" s="1"/>
  <c r="F416" i="11"/>
  <c r="G416" i="11" s="1"/>
  <c r="F130" i="11"/>
  <c r="G130" i="11" s="1"/>
  <c r="F192" i="11"/>
  <c r="G192" i="11" s="1"/>
  <c r="F302" i="11"/>
  <c r="G302" i="11" s="1"/>
  <c r="F251" i="11"/>
  <c r="G251" i="11" s="1"/>
  <c r="F224" i="11"/>
  <c r="G224" i="11" s="1"/>
  <c r="F305" i="11"/>
  <c r="G305" i="11" s="1"/>
  <c r="F137" i="11"/>
  <c r="G137" i="11" s="1"/>
  <c r="F423" i="11"/>
  <c r="G423" i="11" s="1"/>
  <c r="Y3" i="11"/>
  <c r="F239" i="11"/>
  <c r="G239" i="11" s="1"/>
  <c r="F171" i="11"/>
  <c r="G171" i="11" s="1"/>
  <c r="F290" i="11"/>
  <c r="G290" i="11" s="1"/>
  <c r="F336" i="11"/>
  <c r="G336" i="11" s="1"/>
  <c r="F390" i="11"/>
  <c r="G390" i="11" s="1"/>
  <c r="F352" i="11"/>
  <c r="G352" i="11" s="1"/>
  <c r="F322" i="11"/>
  <c r="G322" i="11" s="1"/>
  <c r="F411" i="11"/>
  <c r="G411" i="11" s="1"/>
  <c r="F168" i="11"/>
  <c r="G168" i="11" s="1"/>
  <c r="F61" i="11"/>
  <c r="G61" i="11" s="1"/>
  <c r="F82" i="11"/>
  <c r="G82" i="11" s="1"/>
  <c r="F351" i="11"/>
  <c r="G351" i="11" s="1"/>
  <c r="F274" i="11"/>
  <c r="G274" i="11" s="1"/>
  <c r="F294" i="11"/>
  <c r="G294" i="11" s="1"/>
  <c r="F190" i="11"/>
  <c r="G190" i="11" s="1"/>
  <c r="F173" i="11"/>
  <c r="G173" i="11" s="1"/>
  <c r="F155" i="11"/>
  <c r="G155" i="11" s="1"/>
  <c r="F277" i="11"/>
  <c r="G277" i="11" s="1"/>
  <c r="F247" i="11"/>
  <c r="G247" i="11" s="1"/>
  <c r="F62" i="11"/>
  <c r="G62" i="11" s="1"/>
  <c r="F179" i="11"/>
  <c r="G179" i="11" s="1"/>
  <c r="F212" i="11"/>
  <c r="G212" i="11" s="1"/>
  <c r="F11" i="11"/>
  <c r="G11" i="11" s="1"/>
  <c r="F427" i="11"/>
  <c r="G427" i="11" s="1"/>
  <c r="F243" i="11"/>
  <c r="G243" i="11" s="1"/>
  <c r="F248" i="11"/>
  <c r="G248" i="11" s="1"/>
  <c r="F241" i="11"/>
  <c r="G241" i="11" s="1"/>
  <c r="F229" i="11"/>
  <c r="G229" i="11" s="1"/>
  <c r="F157" i="11"/>
  <c r="G157" i="11" s="1"/>
  <c r="F403" i="11"/>
  <c r="G403" i="11" s="1"/>
  <c r="F291" i="11"/>
  <c r="G291" i="11" s="1"/>
  <c r="F386" i="11"/>
  <c r="G386" i="11" s="1"/>
  <c r="F401" i="11"/>
  <c r="G401" i="11" s="1"/>
  <c r="F304" i="11"/>
  <c r="G304" i="11" s="1"/>
  <c r="F160" i="11"/>
  <c r="G160" i="11" s="1"/>
  <c r="F195" i="11"/>
  <c r="G195" i="11" s="1"/>
  <c r="F218" i="11"/>
  <c r="G218" i="11" s="1"/>
  <c r="F317" i="11"/>
  <c r="G317" i="11" s="1"/>
  <c r="F240" i="11"/>
  <c r="G240" i="11" s="1"/>
  <c r="F315" i="11"/>
  <c r="G315" i="11" s="1"/>
  <c r="F215" i="11"/>
  <c r="G215" i="11" s="1"/>
  <c r="F312" i="11"/>
  <c r="G312" i="11" s="1"/>
  <c r="F366" i="11"/>
  <c r="G366" i="11" s="1"/>
  <c r="F314" i="11"/>
  <c r="G314" i="11" s="1"/>
  <c r="F211" i="11"/>
  <c r="G211" i="11" s="1"/>
  <c r="F384" i="11"/>
  <c r="G384" i="11" s="1"/>
  <c r="F292" i="11"/>
  <c r="G292" i="11" s="1"/>
  <c r="F174" i="11"/>
  <c r="G174" i="11" s="1"/>
  <c r="F347" i="11"/>
  <c r="G347" i="11" s="1"/>
  <c r="F432" i="11"/>
  <c r="G432" i="11" s="1"/>
  <c r="F183" i="11"/>
  <c r="G183" i="11" s="1"/>
  <c r="F156" i="11"/>
  <c r="G156" i="11" s="1"/>
  <c r="F346" i="11"/>
  <c r="G346" i="11" s="1"/>
  <c r="F223" i="11"/>
  <c r="G223" i="11" s="1"/>
  <c r="F345" i="11"/>
  <c r="G345" i="11" s="1"/>
  <c r="F286" i="11"/>
  <c r="G286" i="11" s="1"/>
  <c r="F228" i="11"/>
  <c r="G228" i="11" s="1"/>
  <c r="F353" i="11"/>
  <c r="G353" i="11" s="1"/>
  <c r="F250" i="11"/>
  <c r="G250" i="11" s="1"/>
  <c r="F374" i="11"/>
  <c r="G374" i="11" s="1"/>
  <c r="F410" i="11"/>
  <c r="G410" i="11" s="1"/>
  <c r="F172" i="11"/>
  <c r="G172" i="11" s="1"/>
  <c r="F387" i="11"/>
  <c r="G387" i="11" s="1"/>
  <c r="F325" i="11"/>
  <c r="G325" i="11" s="1"/>
  <c r="F308" i="11"/>
  <c r="G308" i="11" s="1"/>
  <c r="F313" i="11"/>
  <c r="G313" i="11" s="1"/>
  <c r="F118" i="11"/>
  <c r="G118" i="11" s="1"/>
  <c r="F368" i="11"/>
  <c r="G368" i="11" s="1"/>
  <c r="F199" i="11"/>
  <c r="G199" i="11" s="1"/>
  <c r="F271" i="11"/>
  <c r="G271" i="11" s="1"/>
  <c r="F306" i="11"/>
  <c r="G306" i="11" s="1"/>
  <c r="F273" i="11"/>
  <c r="G273" i="11" s="1"/>
  <c r="F309" i="11"/>
  <c r="G309" i="11" s="1"/>
  <c r="F307" i="11"/>
  <c r="G307" i="11" s="1"/>
  <c r="F83" i="11"/>
  <c r="G83" i="11" s="1"/>
  <c r="F412" i="11"/>
  <c r="G412" i="11" s="1"/>
  <c r="F227" i="11"/>
  <c r="G227" i="11" s="1"/>
  <c r="F210" i="11"/>
  <c r="G210" i="11" s="1"/>
  <c r="F341" i="11"/>
  <c r="G341" i="11" s="1"/>
  <c r="F232" i="11"/>
  <c r="G232" i="11" s="1"/>
  <c r="F289" i="11"/>
  <c r="G289" i="11" s="1"/>
  <c r="F426" i="11"/>
  <c r="G426" i="11" s="1"/>
  <c r="F264" i="11"/>
  <c r="G264" i="11" s="1"/>
  <c r="F378" i="11"/>
  <c r="G378" i="11" s="1"/>
  <c r="F217" i="11"/>
  <c r="G217" i="11" s="1"/>
  <c r="F335" i="11"/>
  <c r="G335" i="11" s="1"/>
  <c r="F298" i="11"/>
  <c r="G298" i="11" s="1"/>
  <c r="F265" i="11"/>
  <c r="G265" i="11" s="1"/>
  <c r="F49" i="11"/>
  <c r="G49" i="11" s="1"/>
  <c r="F337" i="11"/>
  <c r="G337" i="11" s="1"/>
  <c r="F245" i="11"/>
  <c r="G245" i="11" s="1"/>
  <c r="F216" i="11"/>
  <c r="G216" i="11" s="1"/>
  <c r="F402" i="11"/>
  <c r="G402" i="11" s="1"/>
  <c r="F326" i="11"/>
  <c r="G326" i="11" s="1"/>
  <c r="F263" i="11"/>
  <c r="G263" i="11" s="1"/>
  <c r="G231" i="11"/>
  <c r="S152" i="11"/>
  <c r="G162" i="11"/>
  <c r="G405" i="11"/>
  <c r="G406" i="11"/>
  <c r="G380" i="11"/>
  <c r="G389" i="11"/>
  <c r="G54" i="11"/>
  <c r="G75" i="11"/>
  <c r="G105" i="11"/>
  <c r="G53" i="11"/>
  <c r="G163" i="11"/>
  <c r="G430" i="11"/>
  <c r="Y4" i="11"/>
  <c r="Y5" i="11"/>
  <c r="X28" i="11" l="1"/>
  <c r="Y147" i="11"/>
  <c r="Z147" i="11" s="1"/>
  <c r="X147" i="11"/>
  <c r="W147" i="11"/>
  <c r="Y145" i="11"/>
  <c r="Z145" i="11" s="1"/>
  <c r="X145" i="11"/>
  <c r="W145" i="11"/>
  <c r="X143" i="11"/>
  <c r="Y143" i="11"/>
  <c r="Z143" i="11" s="1"/>
  <c r="W143" i="11"/>
  <c r="Y144" i="11"/>
  <c r="Z144" i="11" s="1"/>
  <c r="X144" i="11"/>
  <c r="W144" i="11"/>
  <c r="Y396" i="11"/>
  <c r="Z396" i="11" s="1"/>
  <c r="Y235" i="11"/>
  <c r="Z235" i="11" s="1"/>
  <c r="X235" i="11"/>
  <c r="W235" i="11"/>
  <c r="Y234" i="11"/>
  <c r="Z234" i="11" s="1"/>
  <c r="X234" i="11"/>
  <c r="W234" i="11"/>
  <c r="W396" i="11"/>
  <c r="X396" i="11"/>
  <c r="V394" i="11"/>
  <c r="B394" i="11"/>
  <c r="A394" i="11" s="1"/>
  <c r="V397" i="11"/>
  <c r="B397" i="11"/>
  <c r="A397" i="11" s="1"/>
  <c r="V399" i="11"/>
  <c r="B399" i="11"/>
  <c r="A399" i="11" s="1"/>
  <c r="V398" i="11"/>
  <c r="B398" i="11"/>
  <c r="A398" i="11" s="1"/>
  <c r="V395" i="11"/>
  <c r="B395" i="11"/>
  <c r="A395" i="11" s="1"/>
  <c r="X268" i="11"/>
  <c r="Y268" i="11"/>
  <c r="Z268" i="11" s="1"/>
  <c r="W268" i="11"/>
  <c r="Y267" i="11"/>
  <c r="Z267" i="11" s="1"/>
  <c r="X267" i="11"/>
  <c r="W267" i="11"/>
  <c r="V269" i="11"/>
  <c r="B269" i="11"/>
  <c r="A269" i="11" s="1"/>
  <c r="W28" i="11"/>
  <c r="V29" i="11"/>
  <c r="B29" i="11"/>
  <c r="A29" i="11" s="1"/>
  <c r="Y33" i="11"/>
  <c r="Z33" i="11" s="1"/>
  <c r="X33" i="11"/>
  <c r="W33" i="11"/>
  <c r="Y31" i="11"/>
  <c r="Z31" i="11" s="1"/>
  <c r="X31" i="11"/>
  <c r="W31" i="11"/>
  <c r="Y26" i="11"/>
  <c r="Z26" i="11" s="1"/>
  <c r="X26" i="11"/>
  <c r="W26" i="11"/>
  <c r="Y30" i="11"/>
  <c r="Z30" i="11" s="1"/>
  <c r="X30" i="11"/>
  <c r="W30" i="11"/>
  <c r="Y32" i="11"/>
  <c r="Z32" i="11" s="1"/>
  <c r="X32" i="11"/>
  <c r="W32" i="11"/>
  <c r="Y27" i="11"/>
  <c r="Z27" i="11" s="1"/>
  <c r="X27" i="11"/>
  <c r="W27" i="11"/>
  <c r="Y391" i="11"/>
  <c r="Z391" i="11" s="1"/>
  <c r="X391" i="11"/>
  <c r="W391" i="11"/>
  <c r="Y392" i="11"/>
  <c r="Z392" i="11" s="1"/>
  <c r="X392" i="11"/>
  <c r="W392" i="11"/>
  <c r="V330" i="11"/>
  <c r="B330" i="11"/>
  <c r="A330" i="11" s="1"/>
  <c r="V332" i="11"/>
  <c r="B332" i="11"/>
  <c r="A332" i="11" s="1"/>
  <c r="Y331" i="11"/>
  <c r="Z331" i="11" s="1"/>
  <c r="X331" i="11"/>
  <c r="W331" i="11"/>
  <c r="Y333" i="11"/>
  <c r="Z333" i="11" s="1"/>
  <c r="X333" i="11"/>
  <c r="W333" i="11"/>
  <c r="Y334" i="11"/>
  <c r="Z334" i="11" s="1"/>
  <c r="X334" i="11"/>
  <c r="W334" i="11"/>
  <c r="V166" i="11"/>
  <c r="B166" i="11"/>
  <c r="A166" i="11" s="1"/>
  <c r="V167" i="11"/>
  <c r="B167" i="11"/>
  <c r="A167" i="11" s="1"/>
  <c r="Y165" i="11"/>
  <c r="Z165" i="11" s="1"/>
  <c r="X165" i="11"/>
  <c r="W165" i="11"/>
  <c r="V127" i="11"/>
  <c r="B127" i="11"/>
  <c r="A127" i="11" s="1"/>
  <c r="V124" i="11"/>
  <c r="B124" i="11"/>
  <c r="A124" i="11" s="1"/>
  <c r="V129" i="11"/>
  <c r="B129" i="11"/>
  <c r="A129" i="11" s="1"/>
  <c r="Y125" i="11"/>
  <c r="Z125" i="11" s="1"/>
  <c r="X125" i="11"/>
  <c r="W125" i="11"/>
  <c r="Y126" i="11"/>
  <c r="Z126" i="11" s="1"/>
  <c r="X126" i="11"/>
  <c r="W126" i="11"/>
  <c r="Y128" i="11"/>
  <c r="Z128" i="11" s="1"/>
  <c r="X128" i="11"/>
  <c r="W128" i="11"/>
  <c r="V260" i="11"/>
  <c r="B260" i="11"/>
  <c r="A260" i="11" s="1"/>
  <c r="Y261" i="11"/>
  <c r="Z261" i="11" s="1"/>
  <c r="X261" i="11"/>
  <c r="W261" i="11"/>
  <c r="V262" i="11"/>
  <c r="B262" i="11"/>
  <c r="A262" i="11" s="1"/>
  <c r="V95" i="11"/>
  <c r="B95" i="11"/>
  <c r="A95" i="11" s="1"/>
  <c r="V98" i="11"/>
  <c r="B98" i="11"/>
  <c r="A98" i="11" s="1"/>
  <c r="V94" i="11"/>
  <c r="B94" i="11"/>
  <c r="A94" i="11" s="1"/>
  <c r="V96" i="11"/>
  <c r="B96" i="11"/>
  <c r="A96" i="11" s="1"/>
  <c r="V99" i="11"/>
  <c r="B99" i="11"/>
  <c r="A99" i="11" s="1"/>
  <c r="Y97" i="11"/>
  <c r="Z97" i="11" s="1"/>
  <c r="X97" i="11"/>
  <c r="W97" i="11"/>
  <c r="Y422" i="11"/>
  <c r="Z422" i="11" s="1"/>
  <c r="X422" i="11"/>
  <c r="W422" i="11"/>
  <c r="Y420" i="11"/>
  <c r="Z420" i="11" s="1"/>
  <c r="X420" i="11"/>
  <c r="W420" i="11"/>
  <c r="Y419" i="11"/>
  <c r="Z419" i="11" s="1"/>
  <c r="X419" i="11"/>
  <c r="W419" i="11"/>
  <c r="X418" i="11"/>
  <c r="Y418" i="11"/>
  <c r="Z418" i="11" s="1"/>
  <c r="W418" i="11"/>
  <c r="Y421" i="11"/>
  <c r="Z421" i="11" s="1"/>
  <c r="X421" i="11"/>
  <c r="W421" i="11"/>
  <c r="X417" i="11"/>
  <c r="Y417" i="11"/>
  <c r="Z417" i="11" s="1"/>
  <c r="W417" i="11"/>
  <c r="Y297" i="11"/>
  <c r="Z297" i="11" s="1"/>
  <c r="X297" i="11"/>
  <c r="W297" i="11"/>
  <c r="Y296" i="11"/>
  <c r="Z296" i="11" s="1"/>
  <c r="X296" i="11"/>
  <c r="W296" i="11"/>
  <c r="X295" i="11"/>
  <c r="Y295" i="11"/>
  <c r="Z295" i="11" s="1"/>
  <c r="W295" i="11"/>
  <c r="X281" i="11"/>
  <c r="Y281" i="11"/>
  <c r="Z281" i="11" s="1"/>
  <c r="V280" i="11"/>
  <c r="B280" i="11"/>
  <c r="A280" i="11" s="1"/>
  <c r="V283" i="11"/>
  <c r="B283" i="11"/>
  <c r="A283" i="11" s="1"/>
  <c r="V279" i="11"/>
  <c r="B279" i="11"/>
  <c r="A279" i="11" s="1"/>
  <c r="X282" i="11"/>
  <c r="Y282" i="11"/>
  <c r="Z282" i="11" s="1"/>
  <c r="W282" i="11"/>
  <c r="Y284" i="11"/>
  <c r="Z284" i="11" s="1"/>
  <c r="X284" i="11"/>
  <c r="W284" i="11"/>
  <c r="X207" i="11"/>
  <c r="Y207" i="11"/>
  <c r="Z207" i="11" s="1"/>
  <c r="X206" i="11"/>
  <c r="Y206" i="11"/>
  <c r="Z206" i="11" s="1"/>
  <c r="V205" i="11"/>
  <c r="B205" i="11"/>
  <c r="A205" i="11" s="1"/>
  <c r="V204" i="11"/>
  <c r="B204" i="11"/>
  <c r="A204" i="11" s="1"/>
  <c r="X208" i="11"/>
  <c r="Y208" i="11"/>
  <c r="Z208" i="11" s="1"/>
  <c r="W208" i="11"/>
  <c r="Y209" i="11"/>
  <c r="Z209" i="11" s="1"/>
  <c r="X209" i="11"/>
  <c r="W209" i="11"/>
  <c r="V189" i="11"/>
  <c r="B189" i="11"/>
  <c r="A189" i="11" s="1"/>
  <c r="V187" i="11"/>
  <c r="B187" i="11"/>
  <c r="A187" i="11" s="1"/>
  <c r="X188" i="11"/>
  <c r="Y188" i="11"/>
  <c r="Z188" i="11" s="1"/>
  <c r="W188" i="11"/>
  <c r="V110" i="11"/>
  <c r="B110" i="11"/>
  <c r="A110" i="11" s="1"/>
  <c r="Y109" i="11"/>
  <c r="Z109" i="11" s="1"/>
  <c r="X109" i="11"/>
  <c r="W109" i="11"/>
  <c r="V108" i="11"/>
  <c r="B108" i="11"/>
  <c r="A108" i="11" s="1"/>
  <c r="V407" i="11"/>
  <c r="B407" i="11"/>
  <c r="A407" i="11" s="1"/>
  <c r="V408" i="11"/>
  <c r="B408" i="11"/>
  <c r="A408" i="11" s="1"/>
  <c r="V409" i="11"/>
  <c r="B409" i="11"/>
  <c r="A409" i="11" s="1"/>
  <c r="V357" i="11"/>
  <c r="B357" i="11"/>
  <c r="A357" i="11" s="1"/>
  <c r="V354" i="11"/>
  <c r="B354" i="11"/>
  <c r="A354" i="11" s="1"/>
  <c r="Y356" i="11"/>
  <c r="Z356" i="11" s="1"/>
  <c r="X356" i="11"/>
  <c r="W356" i="11"/>
  <c r="V355" i="11"/>
  <c r="B355" i="11"/>
  <c r="A355" i="11" s="1"/>
  <c r="Y359" i="11"/>
  <c r="Z359" i="11" s="1"/>
  <c r="X359" i="11"/>
  <c r="W359" i="11"/>
  <c r="Y358" i="11"/>
  <c r="Z358" i="11" s="1"/>
  <c r="X358" i="11"/>
  <c r="W358" i="11"/>
  <c r="V69" i="11"/>
  <c r="B69" i="11"/>
  <c r="A69" i="11" s="1"/>
  <c r="X68" i="11"/>
  <c r="Y68" i="11"/>
  <c r="Z68" i="11" s="1"/>
  <c r="W68" i="11"/>
  <c r="Y72" i="11"/>
  <c r="Z72" i="11" s="1"/>
  <c r="X72" i="11"/>
  <c r="W72" i="11"/>
  <c r="X67" i="11"/>
  <c r="Y67" i="11"/>
  <c r="Z67" i="11" s="1"/>
  <c r="W67" i="11"/>
  <c r="Y71" i="11"/>
  <c r="Z71" i="11" s="1"/>
  <c r="X71" i="11"/>
  <c r="W71" i="11"/>
  <c r="Y70" i="11"/>
  <c r="Z70" i="11" s="1"/>
  <c r="X70" i="11"/>
  <c r="W70" i="11"/>
  <c r="V382" i="11"/>
  <c r="B382" i="11"/>
  <c r="A382" i="11" s="1"/>
  <c r="V383" i="11"/>
  <c r="B383" i="11"/>
  <c r="A383" i="11" s="1"/>
  <c r="V381" i="11"/>
  <c r="B381" i="11"/>
  <c r="A381" i="11" s="1"/>
  <c r="T152" i="11"/>
  <c r="U152" i="11" s="1"/>
  <c r="C10" i="11"/>
  <c r="D10" i="11" s="1"/>
  <c r="E10" i="11"/>
  <c r="H10" i="11"/>
  <c r="M10" i="11"/>
  <c r="Q10" i="11"/>
  <c r="R10" i="11"/>
  <c r="Y395" i="11" l="1"/>
  <c r="Z395" i="11" s="1"/>
  <c r="X395" i="11"/>
  <c r="W395" i="11"/>
  <c r="Y398" i="11"/>
  <c r="Z398" i="11" s="1"/>
  <c r="X398" i="11"/>
  <c r="W398" i="11"/>
  <c r="Y399" i="11"/>
  <c r="Z399" i="11" s="1"/>
  <c r="X399" i="11"/>
  <c r="W399" i="11"/>
  <c r="X397" i="11"/>
  <c r="Y397" i="11"/>
  <c r="Z397" i="11" s="1"/>
  <c r="W397" i="11"/>
  <c r="X394" i="11"/>
  <c r="Y394" i="11"/>
  <c r="Z394" i="11" s="1"/>
  <c r="W394" i="11"/>
  <c r="Y269" i="11"/>
  <c r="Z269" i="11" s="1"/>
  <c r="X269" i="11"/>
  <c r="W269" i="11"/>
  <c r="X29" i="11"/>
  <c r="Y29" i="11"/>
  <c r="Z29" i="11" s="1"/>
  <c r="W29" i="11"/>
  <c r="X332" i="11"/>
  <c r="Y332" i="11"/>
  <c r="Z332" i="11" s="1"/>
  <c r="W332" i="11"/>
  <c r="Y330" i="11"/>
  <c r="Z330" i="11" s="1"/>
  <c r="X330" i="11"/>
  <c r="W330" i="11"/>
  <c r="Y167" i="11"/>
  <c r="Z167" i="11" s="1"/>
  <c r="X167" i="11"/>
  <c r="W167" i="11"/>
  <c r="Y166" i="11"/>
  <c r="Z166" i="11" s="1"/>
  <c r="X166" i="11"/>
  <c r="W166" i="11"/>
  <c r="Y129" i="11"/>
  <c r="Z129" i="11" s="1"/>
  <c r="X129" i="11"/>
  <c r="W129" i="11"/>
  <c r="X127" i="11"/>
  <c r="Y127" i="11"/>
  <c r="Z127" i="11" s="1"/>
  <c r="W127" i="11"/>
  <c r="X124" i="11"/>
  <c r="Y124" i="11"/>
  <c r="Z124" i="11" s="1"/>
  <c r="W124" i="11"/>
  <c r="Y260" i="11"/>
  <c r="Z260" i="11" s="1"/>
  <c r="X260" i="11"/>
  <c r="W260" i="11"/>
  <c r="Y262" i="11"/>
  <c r="Z262" i="11" s="1"/>
  <c r="X262" i="11"/>
  <c r="W262" i="11"/>
  <c r="Y99" i="11"/>
  <c r="Z99" i="11" s="1"/>
  <c r="X99" i="11"/>
  <c r="W99" i="11"/>
  <c r="Y96" i="11"/>
  <c r="Z96" i="11" s="1"/>
  <c r="X96" i="11"/>
  <c r="W96" i="11"/>
  <c r="X94" i="11"/>
  <c r="Y94" i="11"/>
  <c r="Z94" i="11" s="1"/>
  <c r="W94" i="11"/>
  <c r="Y98" i="11"/>
  <c r="Z98" i="11" s="1"/>
  <c r="X98" i="11"/>
  <c r="W98" i="11"/>
  <c r="Y95" i="11"/>
  <c r="Z95" i="11" s="1"/>
  <c r="X95" i="11"/>
  <c r="W95" i="11"/>
  <c r="Y280" i="11"/>
  <c r="Z280" i="11" s="1"/>
  <c r="X280" i="11"/>
  <c r="W280" i="11"/>
  <c r="X279" i="11"/>
  <c r="Y279" i="11"/>
  <c r="Z279" i="11" s="1"/>
  <c r="W279" i="11"/>
  <c r="Y283" i="11"/>
  <c r="Z283" i="11" s="1"/>
  <c r="X283" i="11"/>
  <c r="W283" i="11"/>
  <c r="X204" i="11"/>
  <c r="Y204" i="11"/>
  <c r="Z204" i="11" s="1"/>
  <c r="W204" i="11"/>
  <c r="Y205" i="11"/>
  <c r="Z205" i="11" s="1"/>
  <c r="X205" i="11"/>
  <c r="W205" i="11"/>
  <c r="Y187" i="11"/>
  <c r="Z187" i="11" s="1"/>
  <c r="X187" i="11"/>
  <c r="W187" i="11"/>
  <c r="Y189" i="11"/>
  <c r="Z189" i="11" s="1"/>
  <c r="X189" i="11"/>
  <c r="W189" i="11"/>
  <c r="Y110" i="11"/>
  <c r="Z110" i="11" s="1"/>
  <c r="X110" i="11"/>
  <c r="W110" i="11"/>
  <c r="X108" i="11"/>
  <c r="Y108" i="11"/>
  <c r="Z108" i="11" s="1"/>
  <c r="W108" i="11"/>
  <c r="Y408" i="11"/>
  <c r="Z408" i="11" s="1"/>
  <c r="X408" i="11"/>
  <c r="W408" i="11"/>
  <c r="Y409" i="11"/>
  <c r="Z409" i="11" s="1"/>
  <c r="X409" i="11"/>
  <c r="W409" i="11"/>
  <c r="Y407" i="11"/>
  <c r="Z407" i="11" s="1"/>
  <c r="X407" i="11"/>
  <c r="W407" i="11"/>
  <c r="X357" i="11"/>
  <c r="Y357" i="11"/>
  <c r="Z357" i="11" s="1"/>
  <c r="W357" i="11"/>
  <c r="X354" i="11"/>
  <c r="Y354" i="11"/>
  <c r="Z354" i="11" s="1"/>
  <c r="W354" i="11"/>
  <c r="Y355" i="11"/>
  <c r="Z355" i="11" s="1"/>
  <c r="X355" i="11"/>
  <c r="W355" i="11"/>
  <c r="Y69" i="11"/>
  <c r="Z69" i="11" s="1"/>
  <c r="X69" i="11"/>
  <c r="W69" i="11"/>
  <c r="Y382" i="11"/>
  <c r="Z382" i="11" s="1"/>
  <c r="X382" i="11"/>
  <c r="W382" i="11"/>
  <c r="X381" i="11"/>
  <c r="Y381" i="11"/>
  <c r="Z381" i="11" s="1"/>
  <c r="W381" i="11"/>
  <c r="Y383" i="11"/>
  <c r="Z383" i="11" s="1"/>
  <c r="X383" i="11"/>
  <c r="W383" i="11"/>
  <c r="V152" i="11"/>
  <c r="B152" i="11"/>
  <c r="A152" i="11" s="1"/>
  <c r="K10" i="11"/>
  <c r="F10" i="11"/>
  <c r="W152" i="11" l="1"/>
  <c r="Y152" i="11"/>
  <c r="Z152" i="11" s="1"/>
  <c r="X152" i="11"/>
  <c r="G10" i="11"/>
  <c r="AT9" i="11" l="1"/>
  <c r="H7" i="11" l="1"/>
  <c r="C7" i="11"/>
  <c r="I100" i="11"/>
  <c r="J100" i="11" s="1"/>
  <c r="I320" i="11" l="1"/>
  <c r="J320" i="11" s="1"/>
  <c r="I319" i="11"/>
  <c r="J319" i="11" s="1"/>
  <c r="I318" i="11"/>
  <c r="J318" i="11" s="1"/>
  <c r="I22" i="11"/>
  <c r="J22" i="11" s="1"/>
  <c r="I21" i="11"/>
  <c r="J21" i="11" s="1"/>
  <c r="I20" i="11"/>
  <c r="J20" i="11" s="1"/>
  <c r="I25" i="11"/>
  <c r="J25" i="11" s="1"/>
  <c r="I24" i="11"/>
  <c r="J24" i="11" s="1"/>
  <c r="I23" i="11"/>
  <c r="J23" i="11" s="1"/>
  <c r="I75" i="11"/>
  <c r="J75" i="11" s="1"/>
  <c r="I74" i="11"/>
  <c r="J74" i="11" s="1"/>
  <c r="I79" i="11"/>
  <c r="J79" i="11" s="1"/>
  <c r="I73" i="11"/>
  <c r="J73" i="11" s="1"/>
  <c r="I78" i="11"/>
  <c r="J78" i="11" s="1"/>
  <c r="I77" i="11"/>
  <c r="J77" i="11" s="1"/>
  <c r="I76" i="11"/>
  <c r="J76" i="11" s="1"/>
  <c r="I257" i="11"/>
  <c r="J257" i="11" s="1"/>
  <c r="I259" i="11"/>
  <c r="J259" i="11" s="1"/>
  <c r="I258" i="11"/>
  <c r="J258" i="11" s="1"/>
  <c r="I256" i="11"/>
  <c r="J256" i="11" s="1"/>
  <c r="I255" i="11"/>
  <c r="J255" i="11" s="1"/>
  <c r="I254" i="11"/>
  <c r="J254" i="11" s="1"/>
  <c r="I253" i="11"/>
  <c r="J253" i="11" s="1"/>
  <c r="I388" i="11"/>
  <c r="J388" i="11" s="1"/>
  <c r="I390" i="11"/>
  <c r="J390" i="11" s="1"/>
  <c r="I387" i="11"/>
  <c r="J387" i="11" s="1"/>
  <c r="I386" i="11"/>
  <c r="J386" i="11" s="1"/>
  <c r="I389" i="11"/>
  <c r="J389" i="11" s="1"/>
  <c r="I385" i="11"/>
  <c r="J385" i="11" s="1"/>
  <c r="I384" i="11"/>
  <c r="J384" i="11" s="1"/>
  <c r="I181" i="11"/>
  <c r="J181" i="11" s="1"/>
  <c r="I186" i="11"/>
  <c r="J186" i="11" s="1"/>
  <c r="I184" i="11"/>
  <c r="J184" i="11" s="1"/>
  <c r="I178" i="11"/>
  <c r="J178" i="11" s="1"/>
  <c r="I183" i="11"/>
  <c r="J183" i="11" s="1"/>
  <c r="I182" i="11"/>
  <c r="J182" i="11" s="1"/>
  <c r="I185" i="11"/>
  <c r="J185" i="11" s="1"/>
  <c r="I180" i="11"/>
  <c r="J180" i="11" s="1"/>
  <c r="I179" i="11"/>
  <c r="J179" i="11" s="1"/>
  <c r="I250" i="11"/>
  <c r="J250" i="11" s="1"/>
  <c r="I249" i="11"/>
  <c r="J249" i="11" s="1"/>
  <c r="I248" i="11"/>
  <c r="J248" i="11" s="1"/>
  <c r="I247" i="11"/>
  <c r="J247" i="11" s="1"/>
  <c r="I246" i="11"/>
  <c r="J246" i="11" s="1"/>
  <c r="I245" i="11"/>
  <c r="J245" i="11" s="1"/>
  <c r="I244" i="11"/>
  <c r="J244" i="11" s="1"/>
  <c r="I243" i="11"/>
  <c r="J243" i="11" s="1"/>
  <c r="I242" i="11"/>
  <c r="J242" i="11" s="1"/>
  <c r="I241" i="11"/>
  <c r="J241" i="11" s="1"/>
  <c r="I237" i="11"/>
  <c r="J237" i="11" s="1"/>
  <c r="I240" i="11"/>
  <c r="J240" i="11" s="1"/>
  <c r="I238" i="11"/>
  <c r="J238" i="11" s="1"/>
  <c r="I236" i="11"/>
  <c r="J236" i="11" s="1"/>
  <c r="I239" i="11"/>
  <c r="J239" i="11" s="1"/>
  <c r="I38" i="11"/>
  <c r="J38" i="11" s="1"/>
  <c r="I37" i="11"/>
  <c r="J37" i="11" s="1"/>
  <c r="I36" i="11"/>
  <c r="J36" i="11" s="1"/>
  <c r="I316" i="11"/>
  <c r="J316" i="11" s="1"/>
  <c r="I315" i="11"/>
  <c r="J315" i="11" s="1"/>
  <c r="I314" i="11"/>
  <c r="J314" i="11" s="1"/>
  <c r="I313" i="11"/>
  <c r="J313" i="11" s="1"/>
  <c r="I317" i="11"/>
  <c r="J317" i="11" s="1"/>
  <c r="I149" i="11"/>
  <c r="J149" i="11" s="1"/>
  <c r="I151" i="11"/>
  <c r="J151" i="11" s="1"/>
  <c r="I150" i="11"/>
  <c r="J150" i="11" s="1"/>
  <c r="I148" i="11"/>
  <c r="J148" i="11" s="1"/>
  <c r="I285" i="11"/>
  <c r="J285" i="11" s="1"/>
  <c r="I287" i="11"/>
  <c r="J287" i="11" s="1"/>
  <c r="I289" i="11"/>
  <c r="J289" i="11" s="1"/>
  <c r="I286" i="11"/>
  <c r="J286" i="11" s="1"/>
  <c r="I288" i="11"/>
  <c r="J288" i="11" s="1"/>
  <c r="I203" i="11"/>
  <c r="J203" i="11" s="1"/>
  <c r="I197" i="11"/>
  <c r="J197" i="11" s="1"/>
  <c r="I202" i="11"/>
  <c r="J202" i="11" s="1"/>
  <c r="I196" i="11"/>
  <c r="J196" i="11" s="1"/>
  <c r="I201" i="11"/>
  <c r="J201" i="11" s="1"/>
  <c r="I195" i="11"/>
  <c r="J195" i="11" s="1"/>
  <c r="I200" i="11"/>
  <c r="J200" i="11" s="1"/>
  <c r="I199" i="11"/>
  <c r="J199" i="11" s="1"/>
  <c r="I198" i="11"/>
  <c r="J198" i="11" s="1"/>
  <c r="I214" i="11"/>
  <c r="J214" i="11" s="1"/>
  <c r="I213" i="11"/>
  <c r="J213" i="11" s="1"/>
  <c r="I212" i="11"/>
  <c r="J212" i="11" s="1"/>
  <c r="I211" i="11"/>
  <c r="J211" i="11" s="1"/>
  <c r="I210" i="11"/>
  <c r="J210" i="11" s="1"/>
  <c r="I299" i="11"/>
  <c r="J299" i="11" s="1"/>
  <c r="I300" i="11"/>
  <c r="J300" i="11" s="1"/>
  <c r="I298" i="11"/>
  <c r="J298" i="11" s="1"/>
  <c r="I349" i="11"/>
  <c r="J349" i="11" s="1"/>
  <c r="I352" i="11"/>
  <c r="J352" i="11" s="1"/>
  <c r="I351" i="11"/>
  <c r="J351" i="11" s="1"/>
  <c r="I350" i="11"/>
  <c r="J350" i="11" s="1"/>
  <c r="I353" i="11"/>
  <c r="J353" i="11" s="1"/>
  <c r="I278" i="11"/>
  <c r="J278" i="11" s="1"/>
  <c r="I272" i="11"/>
  <c r="J272" i="11" s="1"/>
  <c r="I270" i="11"/>
  <c r="J270" i="11" s="1"/>
  <c r="I273" i="11"/>
  <c r="J273" i="11" s="1"/>
  <c r="I274" i="11"/>
  <c r="J274" i="11" s="1"/>
  <c r="I276" i="11"/>
  <c r="J276" i="11" s="1"/>
  <c r="I275" i="11"/>
  <c r="J275" i="11" s="1"/>
  <c r="I277" i="11"/>
  <c r="J277" i="11" s="1"/>
  <c r="I271" i="11"/>
  <c r="J271" i="11" s="1"/>
  <c r="I81" i="11"/>
  <c r="J81" i="11" s="1"/>
  <c r="I80" i="11"/>
  <c r="J80" i="11" s="1"/>
  <c r="I84" i="11"/>
  <c r="J84" i="11" s="1"/>
  <c r="I83" i="11"/>
  <c r="J83" i="11" s="1"/>
  <c r="I82" i="11"/>
  <c r="J82" i="11" s="1"/>
  <c r="I172" i="11"/>
  <c r="J172" i="11" s="1"/>
  <c r="I169" i="11"/>
  <c r="J169" i="11" s="1"/>
  <c r="I174" i="11"/>
  <c r="J174" i="11" s="1"/>
  <c r="I168" i="11"/>
  <c r="J168" i="11" s="1"/>
  <c r="I173" i="11"/>
  <c r="J173" i="11" s="1"/>
  <c r="I171" i="11"/>
  <c r="J171" i="11" s="1"/>
  <c r="I170" i="11"/>
  <c r="J170" i="11" s="1"/>
  <c r="I12" i="11"/>
  <c r="J12" i="11" s="1"/>
  <c r="I11" i="11"/>
  <c r="J11" i="11" s="1"/>
  <c r="I107" i="11"/>
  <c r="J107" i="11" s="1"/>
  <c r="I106" i="11"/>
  <c r="J106" i="11" s="1"/>
  <c r="I105" i="11"/>
  <c r="J105" i="11" s="1"/>
  <c r="I104" i="11"/>
  <c r="J104" i="11" s="1"/>
  <c r="I103" i="11"/>
  <c r="J103" i="11" s="1"/>
  <c r="I102" i="11"/>
  <c r="J102" i="11" s="1"/>
  <c r="I101" i="11"/>
  <c r="J101" i="11" s="1"/>
  <c r="I293" i="11"/>
  <c r="J293" i="11" s="1"/>
  <c r="I291" i="11"/>
  <c r="J291" i="11" s="1"/>
  <c r="I292" i="11"/>
  <c r="J292" i="11" s="1"/>
  <c r="I290" i="11"/>
  <c r="J290" i="11" s="1"/>
  <c r="I294" i="11"/>
  <c r="J294" i="11" s="1"/>
  <c r="I403" i="11"/>
  <c r="J403" i="11" s="1"/>
  <c r="I402" i="11"/>
  <c r="J402" i="11" s="1"/>
  <c r="I401" i="11"/>
  <c r="J401" i="11" s="1"/>
  <c r="I406" i="11"/>
  <c r="J406" i="11" s="1"/>
  <c r="I400" i="11"/>
  <c r="J400" i="11" s="1"/>
  <c r="I405" i="11"/>
  <c r="J405" i="11" s="1"/>
  <c r="I404" i="11"/>
  <c r="J404" i="11" s="1"/>
  <c r="I412" i="11"/>
  <c r="J412" i="11" s="1"/>
  <c r="I411" i="11"/>
  <c r="J411" i="11" s="1"/>
  <c r="I416" i="11"/>
  <c r="J416" i="11" s="1"/>
  <c r="I410" i="11"/>
  <c r="J410" i="11" s="1"/>
  <c r="I415" i="11"/>
  <c r="J415" i="11" s="1"/>
  <c r="I414" i="11"/>
  <c r="J414" i="11" s="1"/>
  <c r="I413" i="11"/>
  <c r="J413" i="11" s="1"/>
  <c r="I233" i="11"/>
  <c r="J233" i="11" s="1"/>
  <c r="I229" i="11"/>
  <c r="J229" i="11" s="1"/>
  <c r="I230" i="11"/>
  <c r="J230" i="11" s="1"/>
  <c r="I231" i="11"/>
  <c r="J231" i="11" s="1"/>
  <c r="I232" i="11"/>
  <c r="J232" i="11" s="1"/>
  <c r="I227" i="11"/>
  <c r="J227" i="11" s="1"/>
  <c r="I228" i="11"/>
  <c r="J228" i="11" s="1"/>
  <c r="I215" i="11"/>
  <c r="J215" i="11" s="1"/>
  <c r="I225" i="11"/>
  <c r="J225" i="11" s="1"/>
  <c r="I224" i="11"/>
  <c r="J224" i="11" s="1"/>
  <c r="I223" i="11"/>
  <c r="J223" i="11" s="1"/>
  <c r="I222" i="11"/>
  <c r="J222" i="11" s="1"/>
  <c r="I221" i="11"/>
  <c r="J221" i="11" s="1"/>
  <c r="I220" i="11"/>
  <c r="J220" i="11" s="1"/>
  <c r="I226" i="11"/>
  <c r="J226" i="11" s="1"/>
  <c r="I219" i="11"/>
  <c r="J219" i="11" s="1"/>
  <c r="I218" i="11"/>
  <c r="J218" i="11" s="1"/>
  <c r="I217" i="11"/>
  <c r="J217" i="11" s="1"/>
  <c r="I216" i="11"/>
  <c r="J216" i="11" s="1"/>
  <c r="I343" i="11"/>
  <c r="J343" i="11" s="1"/>
  <c r="I346" i="11"/>
  <c r="J346" i="11" s="1"/>
  <c r="I344" i="11"/>
  <c r="J344" i="11" s="1"/>
  <c r="I342" i="11"/>
  <c r="J342" i="11" s="1"/>
  <c r="I348" i="11"/>
  <c r="J348" i="11" s="1"/>
  <c r="I345" i="11"/>
  <c r="J345" i="11" s="1"/>
  <c r="I341" i="11"/>
  <c r="J341" i="11" s="1"/>
  <c r="I347" i="11"/>
  <c r="J347" i="11" s="1"/>
  <c r="I325" i="11"/>
  <c r="J325" i="11" s="1"/>
  <c r="I324" i="11"/>
  <c r="J324" i="11" s="1"/>
  <c r="I329" i="11"/>
  <c r="J329" i="11" s="1"/>
  <c r="I323" i="11"/>
  <c r="J323" i="11" s="1"/>
  <c r="I328" i="11"/>
  <c r="J328" i="11" s="1"/>
  <c r="I322" i="11"/>
  <c r="J322" i="11" s="1"/>
  <c r="I327" i="11"/>
  <c r="J327" i="11" s="1"/>
  <c r="I321" i="11"/>
  <c r="J321" i="11" s="1"/>
  <c r="I326" i="11"/>
  <c r="J326" i="11" s="1"/>
  <c r="I140" i="11"/>
  <c r="J140" i="11" s="1"/>
  <c r="I134" i="11"/>
  <c r="J134" i="11" s="1"/>
  <c r="I139" i="11"/>
  <c r="J139" i="11" s="1"/>
  <c r="I133" i="11"/>
  <c r="J133" i="11" s="1"/>
  <c r="I138" i="11"/>
  <c r="J138" i="11" s="1"/>
  <c r="I132" i="11"/>
  <c r="J132" i="11" s="1"/>
  <c r="I141" i="11"/>
  <c r="J141" i="11" s="1"/>
  <c r="I135" i="11"/>
  <c r="J135" i="11" s="1"/>
  <c r="I131" i="11"/>
  <c r="J131" i="11" s="1"/>
  <c r="I130" i="11"/>
  <c r="J130" i="11" s="1"/>
  <c r="I137" i="11"/>
  <c r="J137" i="11" s="1"/>
  <c r="I136" i="11"/>
  <c r="J136" i="11" s="1"/>
  <c r="O100" i="11"/>
  <c r="P100" i="11" s="1"/>
  <c r="L100" i="11"/>
  <c r="N100" i="11" s="1"/>
  <c r="I35" i="11"/>
  <c r="J35" i="11" s="1"/>
  <c r="I34" i="11"/>
  <c r="J34" i="11" s="1"/>
  <c r="I114" i="11"/>
  <c r="J114" i="11" s="1"/>
  <c r="I111" i="11"/>
  <c r="J111" i="11" s="1"/>
  <c r="I113" i="11"/>
  <c r="J113" i="11" s="1"/>
  <c r="I112" i="11"/>
  <c r="J112" i="11" s="1"/>
  <c r="I122" i="11"/>
  <c r="J122" i="11" s="1"/>
  <c r="I121" i="11"/>
  <c r="J121" i="11" s="1"/>
  <c r="I123" i="11"/>
  <c r="J123" i="11" s="1"/>
  <c r="I63" i="11"/>
  <c r="J63" i="11" s="1"/>
  <c r="I61" i="11"/>
  <c r="J61" i="11" s="1"/>
  <c r="I66" i="11"/>
  <c r="J66" i="11" s="1"/>
  <c r="I60" i="11"/>
  <c r="J60" i="11" s="1"/>
  <c r="I65" i="11"/>
  <c r="J65" i="11" s="1"/>
  <c r="I59" i="11"/>
  <c r="J59" i="11" s="1"/>
  <c r="I58" i="11"/>
  <c r="J58" i="11" s="1"/>
  <c r="I64" i="11"/>
  <c r="J64" i="11" s="1"/>
  <c r="I62" i="11"/>
  <c r="J62" i="11" s="1"/>
  <c r="I190" i="11"/>
  <c r="J190" i="11" s="1"/>
  <c r="I194" i="11"/>
  <c r="J194" i="11" s="1"/>
  <c r="I193" i="11"/>
  <c r="J193" i="11" s="1"/>
  <c r="I192" i="11"/>
  <c r="J192" i="11" s="1"/>
  <c r="I191" i="11"/>
  <c r="J191" i="11" s="1"/>
  <c r="I266" i="11"/>
  <c r="J266" i="11" s="1"/>
  <c r="I263" i="11"/>
  <c r="J263" i="11" s="1"/>
  <c r="I264" i="11"/>
  <c r="J264" i="11" s="1"/>
  <c r="I265" i="11"/>
  <c r="J265" i="11" s="1"/>
  <c r="I252" i="11"/>
  <c r="J252" i="11" s="1"/>
  <c r="I251" i="11"/>
  <c r="J251" i="11" s="1"/>
  <c r="I163" i="11"/>
  <c r="J163" i="11" s="1"/>
  <c r="I160" i="11"/>
  <c r="J160" i="11" s="1"/>
  <c r="I159" i="11"/>
  <c r="J159" i="11" s="1"/>
  <c r="I164" i="11"/>
  <c r="J164" i="11" s="1"/>
  <c r="I158" i="11"/>
  <c r="J158" i="11" s="1"/>
  <c r="I162" i="11"/>
  <c r="J162" i="11" s="1"/>
  <c r="I161" i="11"/>
  <c r="J161" i="11" s="1"/>
  <c r="I367" i="11"/>
  <c r="J367" i="11" s="1"/>
  <c r="I361" i="11"/>
  <c r="J361" i="11" s="1"/>
  <c r="I371" i="11"/>
  <c r="J371" i="11" s="1"/>
  <c r="I369" i="11"/>
  <c r="J369" i="11" s="1"/>
  <c r="I366" i="11"/>
  <c r="J366" i="11" s="1"/>
  <c r="I360" i="11"/>
  <c r="J360" i="11" s="1"/>
  <c r="I365" i="11"/>
  <c r="J365" i="11" s="1"/>
  <c r="I370" i="11"/>
  <c r="J370" i="11" s="1"/>
  <c r="I364" i="11"/>
  <c r="J364" i="11" s="1"/>
  <c r="I363" i="11"/>
  <c r="J363" i="11" s="1"/>
  <c r="I368" i="11"/>
  <c r="J368" i="11" s="1"/>
  <c r="I362" i="11"/>
  <c r="J362" i="11" s="1"/>
  <c r="I312" i="11"/>
  <c r="J312" i="11" s="1"/>
  <c r="I304" i="11"/>
  <c r="J304" i="11" s="1"/>
  <c r="I303" i="11"/>
  <c r="J303" i="11" s="1"/>
  <c r="I302" i="11"/>
  <c r="J302" i="11" s="1"/>
  <c r="I311" i="11"/>
  <c r="J311" i="11" s="1"/>
  <c r="I310" i="11"/>
  <c r="J310" i="11" s="1"/>
  <c r="I309" i="11"/>
  <c r="J309" i="11" s="1"/>
  <c r="I308" i="11"/>
  <c r="J308" i="11" s="1"/>
  <c r="I307" i="11"/>
  <c r="J307" i="11" s="1"/>
  <c r="I306" i="11"/>
  <c r="J306" i="11" s="1"/>
  <c r="I301" i="11"/>
  <c r="J301" i="11" s="1"/>
  <c r="I305" i="11"/>
  <c r="J305" i="11" s="1"/>
  <c r="I52" i="11"/>
  <c r="J52" i="11" s="1"/>
  <c r="I51" i="11"/>
  <c r="J51" i="11" s="1"/>
  <c r="I44" i="11"/>
  <c r="J44" i="11" s="1"/>
  <c r="I54" i="11"/>
  <c r="J54" i="11" s="1"/>
  <c r="I53" i="11"/>
  <c r="J53" i="11" s="1"/>
  <c r="I50" i="11"/>
  <c r="J50" i="11" s="1"/>
  <c r="I48" i="11"/>
  <c r="J48" i="11" s="1"/>
  <c r="I47" i="11"/>
  <c r="J47" i="11" s="1"/>
  <c r="I49" i="11"/>
  <c r="J49" i="11" s="1"/>
  <c r="I46" i="11"/>
  <c r="J46" i="11" s="1"/>
  <c r="I45" i="11"/>
  <c r="J45" i="11" s="1"/>
  <c r="I430" i="11"/>
  <c r="J430" i="11" s="1"/>
  <c r="I424" i="11"/>
  <c r="J424" i="11" s="1"/>
  <c r="I429" i="11"/>
  <c r="J429" i="11" s="1"/>
  <c r="I423" i="11"/>
  <c r="J423" i="11" s="1"/>
  <c r="I434" i="11"/>
  <c r="J434" i="11" s="1"/>
  <c r="I428" i="11"/>
  <c r="J428" i="11" s="1"/>
  <c r="I433" i="11"/>
  <c r="J433" i="11" s="1"/>
  <c r="I427" i="11"/>
  <c r="J427" i="11" s="1"/>
  <c r="I432" i="11"/>
  <c r="J432" i="11" s="1"/>
  <c r="I426" i="11"/>
  <c r="J426" i="11" s="1"/>
  <c r="I431" i="11"/>
  <c r="J431" i="11" s="1"/>
  <c r="I425" i="11"/>
  <c r="J425" i="11" s="1"/>
  <c r="I116" i="11"/>
  <c r="J116" i="11" s="1"/>
  <c r="I115" i="11"/>
  <c r="J115" i="11" s="1"/>
  <c r="I120" i="11"/>
  <c r="J120" i="11" s="1"/>
  <c r="I119" i="11"/>
  <c r="J119" i="11" s="1"/>
  <c r="I118" i="11"/>
  <c r="J118" i="11" s="1"/>
  <c r="I117" i="11"/>
  <c r="J117" i="11" s="1"/>
  <c r="I157" i="11"/>
  <c r="J157" i="11" s="1"/>
  <c r="I153" i="11"/>
  <c r="J153" i="11" s="1"/>
  <c r="I156" i="11"/>
  <c r="J156" i="11" s="1"/>
  <c r="I155" i="11"/>
  <c r="J155" i="11" s="1"/>
  <c r="I154" i="11"/>
  <c r="J154" i="11" s="1"/>
  <c r="I142" i="11"/>
  <c r="J142" i="11" s="1"/>
  <c r="I93" i="11"/>
  <c r="J93" i="11" s="1"/>
  <c r="I92" i="11"/>
  <c r="J92" i="11" s="1"/>
  <c r="I91" i="11"/>
  <c r="J91" i="11" s="1"/>
  <c r="I338" i="11"/>
  <c r="J338" i="11" s="1"/>
  <c r="I335" i="11"/>
  <c r="J335" i="11" s="1"/>
  <c r="I339" i="11"/>
  <c r="J339" i="11" s="1"/>
  <c r="I336" i="11"/>
  <c r="J336" i="11" s="1"/>
  <c r="I340" i="11"/>
  <c r="J340" i="11" s="1"/>
  <c r="I337" i="11"/>
  <c r="J337" i="11" s="1"/>
  <c r="I19" i="11"/>
  <c r="J19" i="11" s="1"/>
  <c r="I18" i="11"/>
  <c r="J18" i="11" s="1"/>
  <c r="I17" i="11"/>
  <c r="J17" i="11" s="1"/>
  <c r="I379" i="11"/>
  <c r="J379" i="11" s="1"/>
  <c r="I375" i="11"/>
  <c r="J375" i="11" s="1"/>
  <c r="I378" i="11"/>
  <c r="J378" i="11" s="1"/>
  <c r="I374" i="11"/>
  <c r="J374" i="11" s="1"/>
  <c r="I377" i="11"/>
  <c r="J377" i="11" s="1"/>
  <c r="I373" i="11"/>
  <c r="J373" i="11" s="1"/>
  <c r="I380" i="11"/>
  <c r="J380" i="11" s="1"/>
  <c r="I372" i="11"/>
  <c r="J372" i="11" s="1"/>
  <c r="I376" i="11"/>
  <c r="J376" i="11" s="1"/>
  <c r="I10" i="11"/>
  <c r="J10" i="11" s="1"/>
  <c r="AN9" i="11"/>
  <c r="L318" i="11" l="1"/>
  <c r="N318" i="11" s="1"/>
  <c r="O318" i="11"/>
  <c r="P318" i="11" s="1"/>
  <c r="O319" i="11"/>
  <c r="P319" i="11" s="1"/>
  <c r="L319" i="11"/>
  <c r="N319" i="11" s="1"/>
  <c r="O320" i="11"/>
  <c r="P320" i="11" s="1"/>
  <c r="L320" i="11"/>
  <c r="N320" i="11" s="1"/>
  <c r="L23" i="11"/>
  <c r="N23" i="11" s="1"/>
  <c r="O23" i="11"/>
  <c r="P23" i="11" s="1"/>
  <c r="O24" i="11"/>
  <c r="P24" i="11" s="1"/>
  <c r="L24" i="11"/>
  <c r="N24" i="11" s="1"/>
  <c r="O25" i="11"/>
  <c r="P25" i="11" s="1"/>
  <c r="L25" i="11"/>
  <c r="N25" i="11" s="1"/>
  <c r="L20" i="11"/>
  <c r="N20" i="11" s="1"/>
  <c r="O20" i="11"/>
  <c r="P20" i="11" s="1"/>
  <c r="O21" i="11"/>
  <c r="P21" i="11" s="1"/>
  <c r="L21" i="11"/>
  <c r="N21" i="11" s="1"/>
  <c r="O22" i="11"/>
  <c r="P22" i="11" s="1"/>
  <c r="L22" i="11"/>
  <c r="N22" i="11" s="1"/>
  <c r="O336" i="11"/>
  <c r="P336" i="11" s="1"/>
  <c r="L336" i="11"/>
  <c r="N336" i="11" s="1"/>
  <c r="O423" i="11"/>
  <c r="P423" i="11" s="1"/>
  <c r="L423" i="11"/>
  <c r="N423" i="11" s="1"/>
  <c r="O324" i="11"/>
  <c r="P324" i="11" s="1"/>
  <c r="L324" i="11"/>
  <c r="N324" i="11" s="1"/>
  <c r="O300" i="11"/>
  <c r="P300" i="11" s="1"/>
  <c r="L300" i="11"/>
  <c r="N300" i="11" s="1"/>
  <c r="O149" i="11"/>
  <c r="P149" i="11" s="1"/>
  <c r="L149" i="11"/>
  <c r="N149" i="11" s="1"/>
  <c r="O36" i="11"/>
  <c r="P36" i="11" s="1"/>
  <c r="L36" i="11"/>
  <c r="N36" i="11" s="1"/>
  <c r="O245" i="11"/>
  <c r="P245" i="11" s="1"/>
  <c r="L245" i="11"/>
  <c r="N245" i="11" s="1"/>
  <c r="O184" i="11"/>
  <c r="P184" i="11" s="1"/>
  <c r="L184" i="11"/>
  <c r="N184" i="11" s="1"/>
  <c r="O255" i="11"/>
  <c r="P255" i="11" s="1"/>
  <c r="L255" i="11"/>
  <c r="N255" i="11" s="1"/>
  <c r="L378" i="11"/>
  <c r="N378" i="11" s="1"/>
  <c r="O378" i="11"/>
  <c r="P378" i="11" s="1"/>
  <c r="L91" i="11"/>
  <c r="N91" i="11" s="1"/>
  <c r="O91" i="11"/>
  <c r="P91" i="11" s="1"/>
  <c r="O120" i="11"/>
  <c r="P120" i="11" s="1"/>
  <c r="L120" i="11"/>
  <c r="N120" i="11" s="1"/>
  <c r="L429" i="11"/>
  <c r="N429" i="11" s="1"/>
  <c r="O429" i="11"/>
  <c r="P429" i="11" s="1"/>
  <c r="O51" i="11"/>
  <c r="P51" i="11" s="1"/>
  <c r="L51" i="11"/>
  <c r="N51" i="11" s="1"/>
  <c r="O304" i="11"/>
  <c r="P304" i="11" s="1"/>
  <c r="L304" i="11"/>
  <c r="N304" i="11" s="1"/>
  <c r="O361" i="11"/>
  <c r="P361" i="11" s="1"/>
  <c r="L361" i="11"/>
  <c r="N361" i="11" s="1"/>
  <c r="O264" i="11"/>
  <c r="P264" i="11" s="1"/>
  <c r="L264" i="11"/>
  <c r="N264" i="11" s="1"/>
  <c r="O65" i="11"/>
  <c r="P65" i="11" s="1"/>
  <c r="L65" i="11"/>
  <c r="N65" i="11" s="1"/>
  <c r="L34" i="11"/>
  <c r="N34" i="11" s="1"/>
  <c r="O34" i="11"/>
  <c r="P34" i="11" s="1"/>
  <c r="O133" i="11"/>
  <c r="P133" i="11" s="1"/>
  <c r="L133" i="11"/>
  <c r="N133" i="11" s="1"/>
  <c r="O325" i="11"/>
  <c r="P325" i="11" s="1"/>
  <c r="L325" i="11"/>
  <c r="N325" i="11" s="1"/>
  <c r="O219" i="11"/>
  <c r="P219" i="11" s="1"/>
  <c r="L219" i="11"/>
  <c r="N219" i="11" s="1"/>
  <c r="O231" i="11"/>
  <c r="P231" i="11" s="1"/>
  <c r="L231" i="11"/>
  <c r="N231" i="11" s="1"/>
  <c r="O405" i="11"/>
  <c r="P405" i="11" s="1"/>
  <c r="L405" i="11"/>
  <c r="N405" i="11" s="1"/>
  <c r="O102" i="11"/>
  <c r="P102" i="11" s="1"/>
  <c r="L102" i="11"/>
  <c r="N102" i="11" s="1"/>
  <c r="O174" i="11"/>
  <c r="P174" i="11" s="1"/>
  <c r="L174" i="11"/>
  <c r="N174" i="11" s="1"/>
  <c r="L274" i="11"/>
  <c r="N274" i="11" s="1"/>
  <c r="O274" i="11"/>
  <c r="P274" i="11" s="1"/>
  <c r="O299" i="11"/>
  <c r="P299" i="11" s="1"/>
  <c r="L299" i="11"/>
  <c r="N299" i="11" s="1"/>
  <c r="L202" i="11"/>
  <c r="N202" i="11" s="1"/>
  <c r="O202" i="11"/>
  <c r="P202" i="11" s="1"/>
  <c r="O317" i="11"/>
  <c r="P317" i="11" s="1"/>
  <c r="L317" i="11"/>
  <c r="N317" i="11" s="1"/>
  <c r="L37" i="11"/>
  <c r="N37" i="11" s="1"/>
  <c r="O37" i="11"/>
  <c r="P37" i="11" s="1"/>
  <c r="L246" i="11"/>
  <c r="N246" i="11" s="1"/>
  <c r="O246" i="11"/>
  <c r="P246" i="11" s="1"/>
  <c r="O186" i="11"/>
  <c r="P186" i="11" s="1"/>
  <c r="L186" i="11"/>
  <c r="N186" i="11" s="1"/>
  <c r="O256" i="11"/>
  <c r="P256" i="11" s="1"/>
  <c r="L256" i="11"/>
  <c r="N256" i="11" s="1"/>
  <c r="L265" i="11"/>
  <c r="N265" i="11" s="1"/>
  <c r="O265" i="11"/>
  <c r="P265" i="11" s="1"/>
  <c r="O218" i="11"/>
  <c r="P218" i="11" s="1"/>
  <c r="L218" i="11"/>
  <c r="N218" i="11" s="1"/>
  <c r="O312" i="11"/>
  <c r="P312" i="11" s="1"/>
  <c r="L312" i="11"/>
  <c r="N312" i="11" s="1"/>
  <c r="O367" i="11"/>
  <c r="P367" i="11" s="1"/>
  <c r="L367" i="11"/>
  <c r="N367" i="11" s="1"/>
  <c r="L263" i="11"/>
  <c r="N263" i="11" s="1"/>
  <c r="O263" i="11"/>
  <c r="P263" i="11" s="1"/>
  <c r="O60" i="11"/>
  <c r="P60" i="11" s="1"/>
  <c r="L60" i="11"/>
  <c r="N60" i="11" s="1"/>
  <c r="L35" i="11"/>
  <c r="N35" i="11" s="1"/>
  <c r="O35" i="11"/>
  <c r="P35" i="11" s="1"/>
  <c r="O139" i="11"/>
  <c r="P139" i="11" s="1"/>
  <c r="L139" i="11"/>
  <c r="N139" i="11" s="1"/>
  <c r="L347" i="11"/>
  <c r="N347" i="11" s="1"/>
  <c r="O347" i="11"/>
  <c r="P347" i="11" s="1"/>
  <c r="O226" i="11"/>
  <c r="P226" i="11" s="1"/>
  <c r="L226" i="11"/>
  <c r="N226" i="11" s="1"/>
  <c r="O230" i="11"/>
  <c r="P230" i="11" s="1"/>
  <c r="L230" i="11"/>
  <c r="N230" i="11" s="1"/>
  <c r="O400" i="11"/>
  <c r="P400" i="11" s="1"/>
  <c r="L400" i="11"/>
  <c r="N400" i="11" s="1"/>
  <c r="O103" i="11"/>
  <c r="P103" i="11" s="1"/>
  <c r="L103" i="11"/>
  <c r="N103" i="11" s="1"/>
  <c r="L169" i="11"/>
  <c r="N169" i="11" s="1"/>
  <c r="O169" i="11"/>
  <c r="P169" i="11" s="1"/>
  <c r="L273" i="11"/>
  <c r="N273" i="11" s="1"/>
  <c r="O273" i="11"/>
  <c r="P273" i="11" s="1"/>
  <c r="O210" i="11"/>
  <c r="P210" i="11" s="1"/>
  <c r="L210" i="11"/>
  <c r="N210" i="11" s="1"/>
  <c r="O197" i="11"/>
  <c r="P197" i="11" s="1"/>
  <c r="L197" i="11"/>
  <c r="N197" i="11" s="1"/>
  <c r="O313" i="11"/>
  <c r="P313" i="11" s="1"/>
  <c r="L313" i="11"/>
  <c r="N313" i="11" s="1"/>
  <c r="L38" i="11"/>
  <c r="N38" i="11" s="1"/>
  <c r="O38" i="11"/>
  <c r="P38" i="11" s="1"/>
  <c r="O247" i="11"/>
  <c r="P247" i="11" s="1"/>
  <c r="L247" i="11"/>
  <c r="N247" i="11" s="1"/>
  <c r="L181" i="11"/>
  <c r="N181" i="11" s="1"/>
  <c r="O181" i="11"/>
  <c r="P181" i="11" s="1"/>
  <c r="L258" i="11"/>
  <c r="N258" i="11" s="1"/>
  <c r="O258" i="11"/>
  <c r="P258" i="11" s="1"/>
  <c r="O119" i="11"/>
  <c r="P119" i="11" s="1"/>
  <c r="L119" i="11"/>
  <c r="N119" i="11" s="1"/>
  <c r="O138" i="11"/>
  <c r="P138" i="11" s="1"/>
  <c r="L138" i="11"/>
  <c r="N138" i="11" s="1"/>
  <c r="L196" i="11"/>
  <c r="N196" i="11" s="1"/>
  <c r="O196" i="11"/>
  <c r="P196" i="11" s="1"/>
  <c r="O430" i="11"/>
  <c r="P430" i="11" s="1"/>
  <c r="L430" i="11"/>
  <c r="N430" i="11" s="1"/>
  <c r="O134" i="11"/>
  <c r="P134" i="11" s="1"/>
  <c r="L134" i="11"/>
  <c r="N134" i="11" s="1"/>
  <c r="L341" i="11"/>
  <c r="N341" i="11" s="1"/>
  <c r="O341" i="11"/>
  <c r="P341" i="11" s="1"/>
  <c r="O220" i="11"/>
  <c r="P220" i="11" s="1"/>
  <c r="L220" i="11"/>
  <c r="N220" i="11" s="1"/>
  <c r="L229" i="11"/>
  <c r="N229" i="11" s="1"/>
  <c r="O229" i="11"/>
  <c r="P229" i="11" s="1"/>
  <c r="O406" i="11"/>
  <c r="P406" i="11" s="1"/>
  <c r="L406" i="11"/>
  <c r="N406" i="11" s="1"/>
  <c r="O104" i="11"/>
  <c r="P104" i="11" s="1"/>
  <c r="L104" i="11"/>
  <c r="N104" i="11" s="1"/>
  <c r="O172" i="11"/>
  <c r="P172" i="11" s="1"/>
  <c r="L172" i="11"/>
  <c r="N172" i="11" s="1"/>
  <c r="O270" i="11"/>
  <c r="P270" i="11" s="1"/>
  <c r="L270" i="11"/>
  <c r="N270" i="11" s="1"/>
  <c r="O211" i="11"/>
  <c r="P211" i="11" s="1"/>
  <c r="L211" i="11"/>
  <c r="N211" i="11" s="1"/>
  <c r="L203" i="11"/>
  <c r="N203" i="11" s="1"/>
  <c r="O203" i="11"/>
  <c r="P203" i="11" s="1"/>
  <c r="O314" i="11"/>
  <c r="P314" i="11" s="1"/>
  <c r="L314" i="11"/>
  <c r="N314" i="11" s="1"/>
  <c r="L239" i="11"/>
  <c r="N239" i="11" s="1"/>
  <c r="O239" i="11"/>
  <c r="P239" i="11" s="1"/>
  <c r="O248" i="11"/>
  <c r="P248" i="11" s="1"/>
  <c r="L248" i="11"/>
  <c r="N248" i="11" s="1"/>
  <c r="O384" i="11"/>
  <c r="P384" i="11" s="1"/>
  <c r="L384" i="11"/>
  <c r="N384" i="11" s="1"/>
  <c r="L259" i="11"/>
  <c r="N259" i="11" s="1"/>
  <c r="O259" i="11"/>
  <c r="P259" i="11" s="1"/>
  <c r="O371" i="11"/>
  <c r="P371" i="11" s="1"/>
  <c r="L371" i="11"/>
  <c r="N371" i="11" s="1"/>
  <c r="O276" i="11"/>
  <c r="P276" i="11" s="1"/>
  <c r="L276" i="11"/>
  <c r="N276" i="11" s="1"/>
  <c r="O424" i="11"/>
  <c r="P424" i="11" s="1"/>
  <c r="L424" i="11"/>
  <c r="N424" i="11" s="1"/>
  <c r="L305" i="11"/>
  <c r="N305" i="11" s="1"/>
  <c r="O305" i="11"/>
  <c r="P305" i="11" s="1"/>
  <c r="O17" i="11"/>
  <c r="P17" i="11" s="1"/>
  <c r="L17" i="11"/>
  <c r="N17" i="11" s="1"/>
  <c r="L142" i="11"/>
  <c r="N142" i="11" s="1"/>
  <c r="O142" i="11"/>
  <c r="P142" i="11" s="1"/>
  <c r="O425" i="11"/>
  <c r="P425" i="11" s="1"/>
  <c r="L425" i="11"/>
  <c r="N425" i="11" s="1"/>
  <c r="L45" i="11"/>
  <c r="N45" i="11" s="1"/>
  <c r="O45" i="11"/>
  <c r="P45" i="11" s="1"/>
  <c r="L301" i="11"/>
  <c r="N301" i="11" s="1"/>
  <c r="O301" i="11"/>
  <c r="P301" i="11" s="1"/>
  <c r="O368" i="11"/>
  <c r="P368" i="11" s="1"/>
  <c r="L368" i="11"/>
  <c r="N368" i="11" s="1"/>
  <c r="L162" i="11"/>
  <c r="N162" i="11" s="1"/>
  <c r="O162" i="11"/>
  <c r="P162" i="11" s="1"/>
  <c r="O191" i="11"/>
  <c r="P191" i="11" s="1"/>
  <c r="L191" i="11"/>
  <c r="N191" i="11" s="1"/>
  <c r="O61" i="11"/>
  <c r="P61" i="11" s="1"/>
  <c r="L61" i="11"/>
  <c r="N61" i="11" s="1"/>
  <c r="S100" i="11"/>
  <c r="L140" i="11"/>
  <c r="N140" i="11" s="1"/>
  <c r="O140" i="11"/>
  <c r="P140" i="11" s="1"/>
  <c r="O345" i="11"/>
  <c r="P345" i="11" s="1"/>
  <c r="L345" i="11"/>
  <c r="N345" i="11" s="1"/>
  <c r="O221" i="11"/>
  <c r="P221" i="11" s="1"/>
  <c r="L221" i="11"/>
  <c r="N221" i="11" s="1"/>
  <c r="L233" i="11"/>
  <c r="N233" i="11" s="1"/>
  <c r="O233" i="11"/>
  <c r="P233" i="11" s="1"/>
  <c r="O401" i="11"/>
  <c r="P401" i="11" s="1"/>
  <c r="L401" i="11"/>
  <c r="N401" i="11" s="1"/>
  <c r="O105" i="11"/>
  <c r="P105" i="11" s="1"/>
  <c r="L105" i="11"/>
  <c r="N105" i="11" s="1"/>
  <c r="O82" i="11"/>
  <c r="P82" i="11" s="1"/>
  <c r="L82" i="11"/>
  <c r="N82" i="11" s="1"/>
  <c r="O272" i="11"/>
  <c r="P272" i="11" s="1"/>
  <c r="L272" i="11"/>
  <c r="N272" i="11" s="1"/>
  <c r="O212" i="11"/>
  <c r="P212" i="11" s="1"/>
  <c r="L212" i="11"/>
  <c r="N212" i="11" s="1"/>
  <c r="O288" i="11"/>
  <c r="P288" i="11" s="1"/>
  <c r="L288" i="11"/>
  <c r="N288" i="11" s="1"/>
  <c r="O315" i="11"/>
  <c r="P315" i="11" s="1"/>
  <c r="L315" i="11"/>
  <c r="N315" i="11" s="1"/>
  <c r="O236" i="11"/>
  <c r="P236" i="11" s="1"/>
  <c r="L236" i="11"/>
  <c r="N236" i="11" s="1"/>
  <c r="O249" i="11"/>
  <c r="P249" i="11" s="1"/>
  <c r="L249" i="11"/>
  <c r="N249" i="11" s="1"/>
  <c r="O385" i="11"/>
  <c r="P385" i="11" s="1"/>
  <c r="L385" i="11"/>
  <c r="N385" i="11" s="1"/>
  <c r="O257" i="11"/>
  <c r="P257" i="11" s="1"/>
  <c r="L257" i="11"/>
  <c r="N257" i="11" s="1"/>
  <c r="O374" i="11"/>
  <c r="P374" i="11" s="1"/>
  <c r="L374" i="11"/>
  <c r="N374" i="11" s="1"/>
  <c r="O114" i="11"/>
  <c r="P114" i="11" s="1"/>
  <c r="L114" i="11"/>
  <c r="N114" i="11" s="1"/>
  <c r="O101" i="11"/>
  <c r="P101" i="11" s="1"/>
  <c r="L101" i="11"/>
  <c r="N101" i="11" s="1"/>
  <c r="O52" i="11"/>
  <c r="P52" i="11" s="1"/>
  <c r="L52" i="11"/>
  <c r="N52" i="11" s="1"/>
  <c r="L266" i="11"/>
  <c r="N266" i="11" s="1"/>
  <c r="O266" i="11"/>
  <c r="P266" i="11" s="1"/>
  <c r="O431" i="11"/>
  <c r="P431" i="11" s="1"/>
  <c r="L431" i="11"/>
  <c r="N431" i="11" s="1"/>
  <c r="O158" i="11"/>
  <c r="P158" i="11" s="1"/>
  <c r="L158" i="11"/>
  <c r="N158" i="11" s="1"/>
  <c r="O192" i="11"/>
  <c r="P192" i="11" s="1"/>
  <c r="L192" i="11"/>
  <c r="N192" i="11" s="1"/>
  <c r="O63" i="11"/>
  <c r="P63" i="11" s="1"/>
  <c r="L63" i="11"/>
  <c r="N63" i="11" s="1"/>
  <c r="L136" i="11"/>
  <c r="N136" i="11" s="1"/>
  <c r="O136" i="11"/>
  <c r="P136" i="11" s="1"/>
  <c r="L326" i="11"/>
  <c r="N326" i="11" s="1"/>
  <c r="O326" i="11"/>
  <c r="P326" i="11" s="1"/>
  <c r="O348" i="11"/>
  <c r="P348" i="11" s="1"/>
  <c r="L348" i="11"/>
  <c r="N348" i="11" s="1"/>
  <c r="O222" i="11"/>
  <c r="P222" i="11" s="1"/>
  <c r="L222" i="11"/>
  <c r="N222" i="11" s="1"/>
  <c r="O413" i="11"/>
  <c r="P413" i="11" s="1"/>
  <c r="L413" i="11"/>
  <c r="N413" i="11" s="1"/>
  <c r="O402" i="11"/>
  <c r="P402" i="11" s="1"/>
  <c r="L402" i="11"/>
  <c r="N402" i="11" s="1"/>
  <c r="L106" i="11"/>
  <c r="N106" i="11" s="1"/>
  <c r="O106" i="11"/>
  <c r="P106" i="11" s="1"/>
  <c r="O83" i="11"/>
  <c r="P83" i="11" s="1"/>
  <c r="L83" i="11"/>
  <c r="N83" i="11" s="1"/>
  <c r="O278" i="11"/>
  <c r="P278" i="11" s="1"/>
  <c r="L278" i="11"/>
  <c r="N278" i="11" s="1"/>
  <c r="L213" i="11"/>
  <c r="N213" i="11" s="1"/>
  <c r="O213" i="11"/>
  <c r="P213" i="11" s="1"/>
  <c r="L286" i="11"/>
  <c r="N286" i="11" s="1"/>
  <c r="O286" i="11"/>
  <c r="P286" i="11" s="1"/>
  <c r="O316" i="11"/>
  <c r="P316" i="11" s="1"/>
  <c r="L316" i="11"/>
  <c r="N316" i="11" s="1"/>
  <c r="O238" i="11"/>
  <c r="P238" i="11" s="1"/>
  <c r="L238" i="11"/>
  <c r="N238" i="11" s="1"/>
  <c r="O250" i="11"/>
  <c r="P250" i="11" s="1"/>
  <c r="L250" i="11"/>
  <c r="N250" i="11" s="1"/>
  <c r="O389" i="11"/>
  <c r="P389" i="11" s="1"/>
  <c r="L389" i="11"/>
  <c r="N389" i="11" s="1"/>
  <c r="O76" i="11"/>
  <c r="P76" i="11" s="1"/>
  <c r="L76" i="11"/>
  <c r="N76" i="11" s="1"/>
  <c r="O303" i="11"/>
  <c r="P303" i="11" s="1"/>
  <c r="L303" i="11"/>
  <c r="N303" i="11" s="1"/>
  <c r="O404" i="11"/>
  <c r="P404" i="11" s="1"/>
  <c r="L404" i="11"/>
  <c r="N404" i="11" s="1"/>
  <c r="O92" i="11"/>
  <c r="P92" i="11" s="1"/>
  <c r="L92" i="11"/>
  <c r="N92" i="11" s="1"/>
  <c r="O93" i="11"/>
  <c r="P93" i="11" s="1"/>
  <c r="L93" i="11"/>
  <c r="N93" i="11" s="1"/>
  <c r="O161" i="11"/>
  <c r="P161" i="11" s="1"/>
  <c r="L161" i="11"/>
  <c r="N161" i="11" s="1"/>
  <c r="O18" i="11"/>
  <c r="P18" i="11" s="1"/>
  <c r="L18" i="11"/>
  <c r="N18" i="11" s="1"/>
  <c r="O363" i="11"/>
  <c r="P363" i="11" s="1"/>
  <c r="L363" i="11"/>
  <c r="N363" i="11" s="1"/>
  <c r="O19" i="11"/>
  <c r="P19" i="11" s="1"/>
  <c r="L19" i="11"/>
  <c r="N19" i="11" s="1"/>
  <c r="L155" i="11"/>
  <c r="N155" i="11" s="1"/>
  <c r="O155" i="11"/>
  <c r="P155" i="11" s="1"/>
  <c r="O426" i="11"/>
  <c r="P426" i="11" s="1"/>
  <c r="L426" i="11"/>
  <c r="N426" i="11" s="1"/>
  <c r="O49" i="11"/>
  <c r="P49" i="11" s="1"/>
  <c r="L49" i="11"/>
  <c r="N49" i="11" s="1"/>
  <c r="O307" i="11"/>
  <c r="P307" i="11" s="1"/>
  <c r="L307" i="11"/>
  <c r="N307" i="11" s="1"/>
  <c r="L364" i="11"/>
  <c r="N364" i="11" s="1"/>
  <c r="O364" i="11"/>
  <c r="P364" i="11" s="1"/>
  <c r="O164" i="11"/>
  <c r="P164" i="11" s="1"/>
  <c r="L164" i="11"/>
  <c r="N164" i="11" s="1"/>
  <c r="L193" i="11"/>
  <c r="N193" i="11" s="1"/>
  <c r="O193" i="11"/>
  <c r="P193" i="11" s="1"/>
  <c r="O123" i="11"/>
  <c r="P123" i="11" s="1"/>
  <c r="L123" i="11"/>
  <c r="N123" i="11" s="1"/>
  <c r="L137" i="11"/>
  <c r="N137" i="11" s="1"/>
  <c r="O137" i="11"/>
  <c r="P137" i="11" s="1"/>
  <c r="L321" i="11"/>
  <c r="N321" i="11" s="1"/>
  <c r="O321" i="11"/>
  <c r="P321" i="11" s="1"/>
  <c r="O342" i="11"/>
  <c r="P342" i="11" s="1"/>
  <c r="L342" i="11"/>
  <c r="N342" i="11" s="1"/>
  <c r="O223" i="11"/>
  <c r="P223" i="11" s="1"/>
  <c r="L223" i="11"/>
  <c r="N223" i="11" s="1"/>
  <c r="O414" i="11"/>
  <c r="P414" i="11" s="1"/>
  <c r="L414" i="11"/>
  <c r="N414" i="11" s="1"/>
  <c r="O403" i="11"/>
  <c r="P403" i="11" s="1"/>
  <c r="L403" i="11"/>
  <c r="N403" i="11" s="1"/>
  <c r="O107" i="11"/>
  <c r="P107" i="11" s="1"/>
  <c r="L107" i="11"/>
  <c r="N107" i="11" s="1"/>
  <c r="O84" i="11"/>
  <c r="P84" i="11" s="1"/>
  <c r="L84" i="11"/>
  <c r="N84" i="11" s="1"/>
  <c r="L353" i="11"/>
  <c r="N353" i="11" s="1"/>
  <c r="O353" i="11"/>
  <c r="P353" i="11" s="1"/>
  <c r="L214" i="11"/>
  <c r="N214" i="11" s="1"/>
  <c r="O214" i="11"/>
  <c r="P214" i="11" s="1"/>
  <c r="O289" i="11"/>
  <c r="P289" i="11" s="1"/>
  <c r="L289" i="11"/>
  <c r="N289" i="11" s="1"/>
  <c r="O240" i="11"/>
  <c r="P240" i="11" s="1"/>
  <c r="L240" i="11"/>
  <c r="N240" i="11" s="1"/>
  <c r="O179" i="11"/>
  <c r="P179" i="11" s="1"/>
  <c r="L179" i="11"/>
  <c r="N179" i="11" s="1"/>
  <c r="O386" i="11"/>
  <c r="P386" i="11" s="1"/>
  <c r="L386" i="11"/>
  <c r="N386" i="11" s="1"/>
  <c r="O77" i="11"/>
  <c r="P77" i="11" s="1"/>
  <c r="L77" i="11"/>
  <c r="N77" i="11" s="1"/>
  <c r="O338" i="11"/>
  <c r="P338" i="11" s="1"/>
  <c r="L338" i="11"/>
  <c r="N338" i="11" s="1"/>
  <c r="O59" i="11"/>
  <c r="P59" i="11" s="1"/>
  <c r="L59" i="11"/>
  <c r="N59" i="11" s="1"/>
  <c r="O168" i="11"/>
  <c r="P168" i="11" s="1"/>
  <c r="L168" i="11"/>
  <c r="N168" i="11" s="1"/>
  <c r="O115" i="11"/>
  <c r="P115" i="11" s="1"/>
  <c r="L115" i="11"/>
  <c r="N115" i="11" s="1"/>
  <c r="O116" i="11"/>
  <c r="P116" i="11" s="1"/>
  <c r="L116" i="11"/>
  <c r="N116" i="11" s="1"/>
  <c r="O66" i="11"/>
  <c r="P66" i="11" s="1"/>
  <c r="L66" i="11"/>
  <c r="N66" i="11" s="1"/>
  <c r="L46" i="11"/>
  <c r="N46" i="11" s="1"/>
  <c r="O46" i="11"/>
  <c r="P46" i="11" s="1"/>
  <c r="L376" i="11"/>
  <c r="N376" i="11" s="1"/>
  <c r="O376" i="11"/>
  <c r="P376" i="11" s="1"/>
  <c r="L337" i="11"/>
  <c r="N337" i="11" s="1"/>
  <c r="O337" i="11"/>
  <c r="P337" i="11" s="1"/>
  <c r="L156" i="11"/>
  <c r="N156" i="11" s="1"/>
  <c r="O156" i="11"/>
  <c r="P156" i="11" s="1"/>
  <c r="L432" i="11"/>
  <c r="N432" i="11" s="1"/>
  <c r="O432" i="11"/>
  <c r="P432" i="11" s="1"/>
  <c r="O47" i="11"/>
  <c r="P47" i="11" s="1"/>
  <c r="L47" i="11"/>
  <c r="N47" i="11" s="1"/>
  <c r="L308" i="11"/>
  <c r="N308" i="11" s="1"/>
  <c r="O308" i="11"/>
  <c r="P308" i="11" s="1"/>
  <c r="O370" i="11"/>
  <c r="P370" i="11" s="1"/>
  <c r="L370" i="11"/>
  <c r="N370" i="11" s="1"/>
  <c r="O159" i="11"/>
  <c r="P159" i="11" s="1"/>
  <c r="L159" i="11"/>
  <c r="N159" i="11" s="1"/>
  <c r="L194" i="11"/>
  <c r="N194" i="11" s="1"/>
  <c r="O194" i="11"/>
  <c r="P194" i="11" s="1"/>
  <c r="O121" i="11"/>
  <c r="P121" i="11" s="1"/>
  <c r="L121" i="11"/>
  <c r="N121" i="11" s="1"/>
  <c r="L130" i="11"/>
  <c r="N130" i="11" s="1"/>
  <c r="O130" i="11"/>
  <c r="P130" i="11" s="1"/>
  <c r="O327" i="11"/>
  <c r="P327" i="11" s="1"/>
  <c r="L327" i="11"/>
  <c r="N327" i="11" s="1"/>
  <c r="L344" i="11"/>
  <c r="N344" i="11" s="1"/>
  <c r="O344" i="11"/>
  <c r="P344" i="11" s="1"/>
  <c r="O224" i="11"/>
  <c r="P224" i="11" s="1"/>
  <c r="L224" i="11"/>
  <c r="N224" i="11" s="1"/>
  <c r="O415" i="11"/>
  <c r="P415" i="11" s="1"/>
  <c r="L415" i="11"/>
  <c r="N415" i="11" s="1"/>
  <c r="O294" i="11"/>
  <c r="P294" i="11" s="1"/>
  <c r="L294" i="11"/>
  <c r="N294" i="11" s="1"/>
  <c r="O11" i="11"/>
  <c r="P11" i="11" s="1"/>
  <c r="L11" i="11"/>
  <c r="N11" i="11" s="1"/>
  <c r="O80" i="11"/>
  <c r="P80" i="11" s="1"/>
  <c r="L80" i="11"/>
  <c r="N80" i="11" s="1"/>
  <c r="L350" i="11"/>
  <c r="N350" i="11" s="1"/>
  <c r="O350" i="11"/>
  <c r="P350" i="11" s="1"/>
  <c r="O198" i="11"/>
  <c r="P198" i="11" s="1"/>
  <c r="L198" i="11"/>
  <c r="N198" i="11" s="1"/>
  <c r="L287" i="11"/>
  <c r="N287" i="11" s="1"/>
  <c r="O287" i="11"/>
  <c r="P287" i="11" s="1"/>
  <c r="L237" i="11"/>
  <c r="N237" i="11" s="1"/>
  <c r="O237" i="11"/>
  <c r="P237" i="11" s="1"/>
  <c r="O180" i="11"/>
  <c r="P180" i="11" s="1"/>
  <c r="L180" i="11"/>
  <c r="N180" i="11" s="1"/>
  <c r="O387" i="11"/>
  <c r="P387" i="11" s="1"/>
  <c r="L387" i="11"/>
  <c r="N387" i="11" s="1"/>
  <c r="O78" i="11"/>
  <c r="P78" i="11" s="1"/>
  <c r="L78" i="11"/>
  <c r="N78" i="11" s="1"/>
  <c r="O44" i="11"/>
  <c r="P44" i="11" s="1"/>
  <c r="L44" i="11"/>
  <c r="N44" i="11" s="1"/>
  <c r="L232" i="11"/>
  <c r="N232" i="11" s="1"/>
  <c r="O232" i="11"/>
  <c r="P232" i="11" s="1"/>
  <c r="L375" i="11"/>
  <c r="N375" i="11" s="1"/>
  <c r="O375" i="11"/>
  <c r="P375" i="11" s="1"/>
  <c r="O379" i="11"/>
  <c r="P379" i="11" s="1"/>
  <c r="L379" i="11"/>
  <c r="N379" i="11" s="1"/>
  <c r="O362" i="11"/>
  <c r="P362" i="11" s="1"/>
  <c r="L362" i="11"/>
  <c r="N362" i="11" s="1"/>
  <c r="O154" i="11"/>
  <c r="P154" i="11" s="1"/>
  <c r="L154" i="11"/>
  <c r="N154" i="11" s="1"/>
  <c r="O306" i="11"/>
  <c r="P306" i="11" s="1"/>
  <c r="L306" i="11"/>
  <c r="N306" i="11" s="1"/>
  <c r="O372" i="11"/>
  <c r="P372" i="11" s="1"/>
  <c r="L372" i="11"/>
  <c r="N372" i="11" s="1"/>
  <c r="L340" i="11"/>
  <c r="N340" i="11" s="1"/>
  <c r="O340" i="11"/>
  <c r="P340" i="11" s="1"/>
  <c r="O153" i="11"/>
  <c r="P153" i="11" s="1"/>
  <c r="L153" i="11"/>
  <c r="N153" i="11" s="1"/>
  <c r="O427" i="11"/>
  <c r="P427" i="11" s="1"/>
  <c r="L427" i="11"/>
  <c r="N427" i="11" s="1"/>
  <c r="L48" i="11"/>
  <c r="N48" i="11" s="1"/>
  <c r="O48" i="11"/>
  <c r="P48" i="11" s="1"/>
  <c r="L309" i="11"/>
  <c r="N309" i="11" s="1"/>
  <c r="O309" i="11"/>
  <c r="P309" i="11" s="1"/>
  <c r="O365" i="11"/>
  <c r="P365" i="11" s="1"/>
  <c r="L365" i="11"/>
  <c r="N365" i="11" s="1"/>
  <c r="L160" i="11"/>
  <c r="N160" i="11" s="1"/>
  <c r="O160" i="11"/>
  <c r="P160" i="11" s="1"/>
  <c r="O190" i="11"/>
  <c r="P190" i="11" s="1"/>
  <c r="L190" i="11"/>
  <c r="N190" i="11" s="1"/>
  <c r="O122" i="11"/>
  <c r="P122" i="11" s="1"/>
  <c r="L122" i="11"/>
  <c r="N122" i="11" s="1"/>
  <c r="L131" i="11"/>
  <c r="N131" i="11" s="1"/>
  <c r="O131" i="11"/>
  <c r="P131" i="11" s="1"/>
  <c r="O322" i="11"/>
  <c r="P322" i="11" s="1"/>
  <c r="L322" i="11"/>
  <c r="N322" i="11" s="1"/>
  <c r="O346" i="11"/>
  <c r="P346" i="11" s="1"/>
  <c r="L346" i="11"/>
  <c r="N346" i="11" s="1"/>
  <c r="O225" i="11"/>
  <c r="P225" i="11" s="1"/>
  <c r="L225" i="11"/>
  <c r="N225" i="11" s="1"/>
  <c r="O410" i="11"/>
  <c r="P410" i="11" s="1"/>
  <c r="L410" i="11"/>
  <c r="N410" i="11" s="1"/>
  <c r="L290" i="11"/>
  <c r="N290" i="11" s="1"/>
  <c r="O290" i="11"/>
  <c r="P290" i="11" s="1"/>
  <c r="O12" i="11"/>
  <c r="P12" i="11" s="1"/>
  <c r="L12" i="11"/>
  <c r="N12" i="11" s="1"/>
  <c r="O81" i="11"/>
  <c r="P81" i="11" s="1"/>
  <c r="L81" i="11"/>
  <c r="N81" i="11" s="1"/>
  <c r="O351" i="11"/>
  <c r="P351" i="11" s="1"/>
  <c r="L351" i="11"/>
  <c r="N351" i="11" s="1"/>
  <c r="L199" i="11"/>
  <c r="N199" i="11" s="1"/>
  <c r="O199" i="11"/>
  <c r="P199" i="11" s="1"/>
  <c r="L285" i="11"/>
  <c r="N285" i="11" s="1"/>
  <c r="O285" i="11"/>
  <c r="P285" i="11" s="1"/>
  <c r="O241" i="11"/>
  <c r="P241" i="11" s="1"/>
  <c r="L241" i="11"/>
  <c r="N241" i="11" s="1"/>
  <c r="L185" i="11"/>
  <c r="N185" i="11" s="1"/>
  <c r="O185" i="11"/>
  <c r="P185" i="11" s="1"/>
  <c r="O390" i="11"/>
  <c r="P390" i="11" s="1"/>
  <c r="L390" i="11"/>
  <c r="N390" i="11" s="1"/>
  <c r="L73" i="11"/>
  <c r="N73" i="11" s="1"/>
  <c r="O73" i="11"/>
  <c r="P73" i="11" s="1"/>
  <c r="L157" i="11"/>
  <c r="N157" i="11" s="1"/>
  <c r="O157" i="11"/>
  <c r="P157" i="11" s="1"/>
  <c r="L433" i="11"/>
  <c r="N433" i="11" s="1"/>
  <c r="O433" i="11"/>
  <c r="P433" i="11" s="1"/>
  <c r="O50" i="11"/>
  <c r="P50" i="11" s="1"/>
  <c r="L50" i="11"/>
  <c r="N50" i="11" s="1"/>
  <c r="O310" i="11"/>
  <c r="P310" i="11" s="1"/>
  <c r="L310" i="11"/>
  <c r="N310" i="11" s="1"/>
  <c r="L360" i="11"/>
  <c r="N360" i="11" s="1"/>
  <c r="O360" i="11"/>
  <c r="P360" i="11" s="1"/>
  <c r="O163" i="11"/>
  <c r="P163" i="11" s="1"/>
  <c r="L163" i="11"/>
  <c r="N163" i="11" s="1"/>
  <c r="O62" i="11"/>
  <c r="P62" i="11" s="1"/>
  <c r="L62" i="11"/>
  <c r="N62" i="11" s="1"/>
  <c r="O112" i="11"/>
  <c r="P112" i="11" s="1"/>
  <c r="L112" i="11"/>
  <c r="N112" i="11" s="1"/>
  <c r="O135" i="11"/>
  <c r="P135" i="11" s="1"/>
  <c r="L135" i="11"/>
  <c r="N135" i="11" s="1"/>
  <c r="L328" i="11"/>
  <c r="N328" i="11" s="1"/>
  <c r="O328" i="11"/>
  <c r="P328" i="11" s="1"/>
  <c r="O343" i="11"/>
  <c r="P343" i="11" s="1"/>
  <c r="L343" i="11"/>
  <c r="N343" i="11" s="1"/>
  <c r="O215" i="11"/>
  <c r="P215" i="11" s="1"/>
  <c r="L215" i="11"/>
  <c r="N215" i="11" s="1"/>
  <c r="O416" i="11"/>
  <c r="P416" i="11" s="1"/>
  <c r="L416" i="11"/>
  <c r="N416" i="11" s="1"/>
  <c r="O292" i="11"/>
  <c r="P292" i="11" s="1"/>
  <c r="L292" i="11"/>
  <c r="N292" i="11" s="1"/>
  <c r="O170" i="11"/>
  <c r="P170" i="11" s="1"/>
  <c r="L170" i="11"/>
  <c r="N170" i="11" s="1"/>
  <c r="L271" i="11"/>
  <c r="N271" i="11" s="1"/>
  <c r="O271" i="11"/>
  <c r="P271" i="11" s="1"/>
  <c r="O352" i="11"/>
  <c r="P352" i="11" s="1"/>
  <c r="L352" i="11"/>
  <c r="N352" i="11" s="1"/>
  <c r="O200" i="11"/>
  <c r="P200" i="11" s="1"/>
  <c r="L200" i="11"/>
  <c r="N200" i="11" s="1"/>
  <c r="L148" i="11"/>
  <c r="N148" i="11" s="1"/>
  <c r="O148" i="11"/>
  <c r="P148" i="11" s="1"/>
  <c r="L242" i="11"/>
  <c r="N242" i="11" s="1"/>
  <c r="O242" i="11"/>
  <c r="P242" i="11" s="1"/>
  <c r="O182" i="11"/>
  <c r="P182" i="11" s="1"/>
  <c r="L182" i="11"/>
  <c r="N182" i="11" s="1"/>
  <c r="O388" i="11"/>
  <c r="P388" i="11" s="1"/>
  <c r="L388" i="11"/>
  <c r="N388" i="11" s="1"/>
  <c r="L79" i="11"/>
  <c r="N79" i="11" s="1"/>
  <c r="O79" i="11"/>
  <c r="P79" i="11" s="1"/>
  <c r="O380" i="11"/>
  <c r="P380" i="11" s="1"/>
  <c r="L380" i="11"/>
  <c r="N380" i="11" s="1"/>
  <c r="L339" i="11"/>
  <c r="N339" i="11" s="1"/>
  <c r="O339" i="11"/>
  <c r="P339" i="11" s="1"/>
  <c r="O428" i="11"/>
  <c r="P428" i="11" s="1"/>
  <c r="L428" i="11"/>
  <c r="N428" i="11" s="1"/>
  <c r="O53" i="11"/>
  <c r="P53" i="11" s="1"/>
  <c r="L53" i="11"/>
  <c r="N53" i="11" s="1"/>
  <c r="O311" i="11"/>
  <c r="P311" i="11" s="1"/>
  <c r="L311" i="11"/>
  <c r="N311" i="11" s="1"/>
  <c r="L366" i="11"/>
  <c r="N366" i="11" s="1"/>
  <c r="O366" i="11"/>
  <c r="P366" i="11" s="1"/>
  <c r="O251" i="11"/>
  <c r="P251" i="11" s="1"/>
  <c r="L251" i="11"/>
  <c r="N251" i="11" s="1"/>
  <c r="O64" i="11"/>
  <c r="P64" i="11" s="1"/>
  <c r="L64" i="11"/>
  <c r="N64" i="11" s="1"/>
  <c r="L113" i="11"/>
  <c r="N113" i="11" s="1"/>
  <c r="O113" i="11"/>
  <c r="P113" i="11" s="1"/>
  <c r="L141" i="11"/>
  <c r="N141" i="11" s="1"/>
  <c r="O141" i="11"/>
  <c r="P141" i="11" s="1"/>
  <c r="O323" i="11"/>
  <c r="P323" i="11" s="1"/>
  <c r="L323" i="11"/>
  <c r="N323" i="11" s="1"/>
  <c r="O216" i="11"/>
  <c r="P216" i="11" s="1"/>
  <c r="L216" i="11"/>
  <c r="N216" i="11" s="1"/>
  <c r="O228" i="11"/>
  <c r="P228" i="11" s="1"/>
  <c r="L228" i="11"/>
  <c r="N228" i="11" s="1"/>
  <c r="L411" i="11"/>
  <c r="N411" i="11" s="1"/>
  <c r="O411" i="11"/>
  <c r="P411" i="11" s="1"/>
  <c r="O291" i="11"/>
  <c r="P291" i="11" s="1"/>
  <c r="L291" i="11"/>
  <c r="N291" i="11" s="1"/>
  <c r="O171" i="11"/>
  <c r="P171" i="11" s="1"/>
  <c r="L171" i="11"/>
  <c r="N171" i="11" s="1"/>
  <c r="O277" i="11"/>
  <c r="P277" i="11" s="1"/>
  <c r="L277" i="11"/>
  <c r="N277" i="11" s="1"/>
  <c r="O349" i="11"/>
  <c r="P349" i="11" s="1"/>
  <c r="L349" i="11"/>
  <c r="N349" i="11" s="1"/>
  <c r="O195" i="11"/>
  <c r="P195" i="11" s="1"/>
  <c r="L195" i="11"/>
  <c r="N195" i="11" s="1"/>
  <c r="O150" i="11"/>
  <c r="P150" i="11" s="1"/>
  <c r="L150" i="11"/>
  <c r="N150" i="11" s="1"/>
  <c r="L243" i="11"/>
  <c r="N243" i="11" s="1"/>
  <c r="O243" i="11"/>
  <c r="P243" i="11" s="1"/>
  <c r="O183" i="11"/>
  <c r="P183" i="11" s="1"/>
  <c r="L183" i="11"/>
  <c r="N183" i="11" s="1"/>
  <c r="O253" i="11"/>
  <c r="P253" i="11" s="1"/>
  <c r="L253" i="11"/>
  <c r="N253" i="11" s="1"/>
  <c r="O74" i="11"/>
  <c r="P74" i="11" s="1"/>
  <c r="L74" i="11"/>
  <c r="N74" i="11" s="1"/>
  <c r="O373" i="11"/>
  <c r="P373" i="11" s="1"/>
  <c r="L373" i="11"/>
  <c r="N373" i="11" s="1"/>
  <c r="L117" i="11"/>
  <c r="N117" i="11" s="1"/>
  <c r="O117" i="11"/>
  <c r="P117" i="11" s="1"/>
  <c r="L377" i="11"/>
  <c r="N377" i="11" s="1"/>
  <c r="O377" i="11"/>
  <c r="P377" i="11" s="1"/>
  <c r="O335" i="11"/>
  <c r="P335" i="11" s="1"/>
  <c r="L335" i="11"/>
  <c r="N335" i="11" s="1"/>
  <c r="L118" i="11"/>
  <c r="N118" i="11" s="1"/>
  <c r="O118" i="11"/>
  <c r="P118" i="11" s="1"/>
  <c r="O434" i="11"/>
  <c r="P434" i="11" s="1"/>
  <c r="L434" i="11"/>
  <c r="N434" i="11" s="1"/>
  <c r="O54" i="11"/>
  <c r="P54" i="11" s="1"/>
  <c r="L54" i="11"/>
  <c r="N54" i="11" s="1"/>
  <c r="L302" i="11"/>
  <c r="N302" i="11" s="1"/>
  <c r="O302" i="11"/>
  <c r="P302" i="11" s="1"/>
  <c r="O369" i="11"/>
  <c r="P369" i="11" s="1"/>
  <c r="L369" i="11"/>
  <c r="N369" i="11" s="1"/>
  <c r="O252" i="11"/>
  <c r="P252" i="11" s="1"/>
  <c r="L252" i="11"/>
  <c r="N252" i="11" s="1"/>
  <c r="O58" i="11"/>
  <c r="P58" i="11" s="1"/>
  <c r="L58" i="11"/>
  <c r="N58" i="11" s="1"/>
  <c r="O111" i="11"/>
  <c r="P111" i="11" s="1"/>
  <c r="L111" i="11"/>
  <c r="N111" i="11" s="1"/>
  <c r="O132" i="11"/>
  <c r="P132" i="11" s="1"/>
  <c r="L132" i="11"/>
  <c r="N132" i="11" s="1"/>
  <c r="O329" i="11"/>
  <c r="P329" i="11" s="1"/>
  <c r="L329" i="11"/>
  <c r="N329" i="11" s="1"/>
  <c r="O217" i="11"/>
  <c r="P217" i="11" s="1"/>
  <c r="L217" i="11"/>
  <c r="N217" i="11" s="1"/>
  <c r="L227" i="11"/>
  <c r="N227" i="11" s="1"/>
  <c r="O227" i="11"/>
  <c r="P227" i="11" s="1"/>
  <c r="O412" i="11"/>
  <c r="P412" i="11" s="1"/>
  <c r="L412" i="11"/>
  <c r="N412" i="11" s="1"/>
  <c r="L293" i="11"/>
  <c r="N293" i="11" s="1"/>
  <c r="O293" i="11"/>
  <c r="P293" i="11" s="1"/>
  <c r="O173" i="11"/>
  <c r="P173" i="11" s="1"/>
  <c r="L173" i="11"/>
  <c r="N173" i="11" s="1"/>
  <c r="O275" i="11"/>
  <c r="P275" i="11" s="1"/>
  <c r="L275" i="11"/>
  <c r="N275" i="11" s="1"/>
  <c r="O298" i="11"/>
  <c r="P298" i="11" s="1"/>
  <c r="L298" i="11"/>
  <c r="N298" i="11" s="1"/>
  <c r="L201" i="11"/>
  <c r="N201" i="11" s="1"/>
  <c r="O201" i="11"/>
  <c r="P201" i="11" s="1"/>
  <c r="O151" i="11"/>
  <c r="P151" i="11" s="1"/>
  <c r="L151" i="11"/>
  <c r="N151" i="11" s="1"/>
  <c r="L244" i="11"/>
  <c r="N244" i="11" s="1"/>
  <c r="O244" i="11"/>
  <c r="P244" i="11" s="1"/>
  <c r="L178" i="11"/>
  <c r="N178" i="11" s="1"/>
  <c r="O178" i="11"/>
  <c r="P178" i="11" s="1"/>
  <c r="O254" i="11"/>
  <c r="P254" i="11" s="1"/>
  <c r="L254" i="11"/>
  <c r="N254" i="11" s="1"/>
  <c r="O75" i="11"/>
  <c r="P75" i="11" s="1"/>
  <c r="L75" i="11"/>
  <c r="N75" i="11" s="1"/>
  <c r="O10" i="11"/>
  <c r="P10" i="11" s="1"/>
  <c r="L10" i="11"/>
  <c r="N10" i="11" s="1"/>
  <c r="S320" i="11" l="1"/>
  <c r="S319" i="11"/>
  <c r="S318" i="11"/>
  <c r="S22" i="11"/>
  <c r="S21" i="11"/>
  <c r="S20" i="11"/>
  <c r="S25" i="11"/>
  <c r="S24" i="11"/>
  <c r="S23" i="11"/>
  <c r="S293" i="11"/>
  <c r="S308" i="11"/>
  <c r="S111" i="11"/>
  <c r="S434" i="11"/>
  <c r="S74" i="11"/>
  <c r="S195" i="11"/>
  <c r="S228" i="11"/>
  <c r="S251" i="11"/>
  <c r="S380" i="11"/>
  <c r="S416" i="11"/>
  <c r="S62" i="11"/>
  <c r="S410" i="11"/>
  <c r="S190" i="11"/>
  <c r="S153" i="11"/>
  <c r="S379" i="11"/>
  <c r="S180" i="11"/>
  <c r="S80" i="11"/>
  <c r="S327" i="11"/>
  <c r="S338" i="11"/>
  <c r="S289" i="11"/>
  <c r="S414" i="11"/>
  <c r="S92" i="11"/>
  <c r="S238" i="11"/>
  <c r="S52" i="11"/>
  <c r="S249" i="11"/>
  <c r="S82" i="11"/>
  <c r="S424" i="11"/>
  <c r="S104" i="11"/>
  <c r="S430" i="11"/>
  <c r="S247" i="11"/>
  <c r="S139" i="11"/>
  <c r="S218" i="11"/>
  <c r="S317" i="11"/>
  <c r="S405" i="11"/>
  <c r="S65" i="11"/>
  <c r="S120" i="11"/>
  <c r="S36" i="11"/>
  <c r="S157" i="11"/>
  <c r="S46" i="11"/>
  <c r="S136" i="11"/>
  <c r="S169" i="11"/>
  <c r="S118" i="11"/>
  <c r="S366" i="11"/>
  <c r="S79" i="11"/>
  <c r="S73" i="11"/>
  <c r="S199" i="11"/>
  <c r="S160" i="11"/>
  <c r="S340" i="11"/>
  <c r="S375" i="11"/>
  <c r="S237" i="11"/>
  <c r="S130" i="11"/>
  <c r="S214" i="11"/>
  <c r="S45" i="11"/>
  <c r="S196" i="11"/>
  <c r="S38" i="11"/>
  <c r="S35" i="11"/>
  <c r="S265" i="11"/>
  <c r="S202" i="11"/>
  <c r="S91" i="11"/>
  <c r="S148" i="11"/>
  <c r="S140" i="11"/>
  <c r="S412" i="11"/>
  <c r="S253" i="11"/>
  <c r="S349" i="11"/>
  <c r="S216" i="11"/>
  <c r="S200" i="11"/>
  <c r="S215" i="11"/>
  <c r="S163" i="11"/>
  <c r="S225" i="11"/>
  <c r="S11" i="11"/>
  <c r="S47" i="11"/>
  <c r="S66" i="11"/>
  <c r="S77" i="11"/>
  <c r="S223" i="11"/>
  <c r="S164" i="11"/>
  <c r="S19" i="11"/>
  <c r="S404" i="11"/>
  <c r="S316" i="11"/>
  <c r="S402" i="11"/>
  <c r="S63" i="11"/>
  <c r="S101" i="11"/>
  <c r="S236" i="11"/>
  <c r="S105" i="11"/>
  <c r="T100" i="11"/>
  <c r="U100" i="11" s="1"/>
  <c r="S276" i="11"/>
  <c r="S314" i="11"/>
  <c r="S406" i="11"/>
  <c r="S103" i="11"/>
  <c r="S231" i="11"/>
  <c r="S264" i="11"/>
  <c r="S149" i="11"/>
  <c r="S106" i="11"/>
  <c r="S201" i="11"/>
  <c r="S227" i="11"/>
  <c r="S360" i="11"/>
  <c r="S232" i="11"/>
  <c r="S432" i="11"/>
  <c r="S353" i="11"/>
  <c r="S364" i="11"/>
  <c r="S286" i="11"/>
  <c r="S203" i="11"/>
  <c r="S229" i="11"/>
  <c r="S378" i="11"/>
  <c r="S155" i="11"/>
  <c r="S239" i="11"/>
  <c r="S151" i="11"/>
  <c r="S252" i="11"/>
  <c r="S335" i="11"/>
  <c r="S183" i="11"/>
  <c r="S277" i="11"/>
  <c r="S323" i="11"/>
  <c r="S311" i="11"/>
  <c r="S388" i="11"/>
  <c r="S352" i="11"/>
  <c r="S343" i="11"/>
  <c r="S390" i="11"/>
  <c r="S351" i="11"/>
  <c r="S346" i="11"/>
  <c r="S365" i="11"/>
  <c r="S372" i="11"/>
  <c r="S294" i="11"/>
  <c r="S121" i="11"/>
  <c r="S116" i="11"/>
  <c r="S386" i="11"/>
  <c r="S342" i="11"/>
  <c r="S363" i="11"/>
  <c r="S303" i="11"/>
  <c r="S413" i="11"/>
  <c r="S192" i="11"/>
  <c r="S114" i="11"/>
  <c r="S315" i="11"/>
  <c r="S401" i="11"/>
  <c r="S61" i="11"/>
  <c r="S425" i="11"/>
  <c r="S371" i="11"/>
  <c r="S138" i="11"/>
  <c r="S313" i="11"/>
  <c r="S400" i="11"/>
  <c r="S60" i="11"/>
  <c r="S256" i="11"/>
  <c r="S299" i="11"/>
  <c r="S219" i="11"/>
  <c r="S361" i="11"/>
  <c r="S300" i="11"/>
  <c r="S377" i="11"/>
  <c r="S243" i="11"/>
  <c r="S141" i="11"/>
  <c r="S271" i="11"/>
  <c r="S328" i="11"/>
  <c r="S185" i="11"/>
  <c r="S309" i="11"/>
  <c r="S287" i="11"/>
  <c r="S194" i="11"/>
  <c r="S156" i="11"/>
  <c r="S321" i="11"/>
  <c r="S213" i="11"/>
  <c r="S233" i="11"/>
  <c r="S142" i="11"/>
  <c r="S259" i="11"/>
  <c r="S263" i="11"/>
  <c r="S274" i="11"/>
  <c r="S75" i="11"/>
  <c r="S254" i="11"/>
  <c r="S298" i="11"/>
  <c r="S217" i="11"/>
  <c r="S369" i="11"/>
  <c r="S171" i="11"/>
  <c r="S53" i="11"/>
  <c r="S182" i="11"/>
  <c r="S310" i="11"/>
  <c r="S81" i="11"/>
  <c r="S322" i="11"/>
  <c r="S306" i="11"/>
  <c r="S44" i="11"/>
  <c r="S415" i="11"/>
  <c r="S115" i="11"/>
  <c r="S179" i="11"/>
  <c r="S84" i="11"/>
  <c r="S307" i="11"/>
  <c r="S18" i="11"/>
  <c r="S76" i="11"/>
  <c r="S222" i="11"/>
  <c r="S158" i="11"/>
  <c r="S374" i="11"/>
  <c r="S288" i="11"/>
  <c r="S191" i="11"/>
  <c r="S211" i="11"/>
  <c r="S220" i="11"/>
  <c r="S119" i="11"/>
  <c r="S197" i="11"/>
  <c r="S230" i="11"/>
  <c r="S186" i="11"/>
  <c r="S325" i="11"/>
  <c r="S304" i="11"/>
  <c r="S255" i="11"/>
  <c r="S324" i="11"/>
  <c r="S285" i="11"/>
  <c r="S58" i="11"/>
  <c r="S178" i="11"/>
  <c r="S302" i="11"/>
  <c r="S117" i="11"/>
  <c r="S113" i="11"/>
  <c r="S242" i="11"/>
  <c r="S131" i="11"/>
  <c r="S48" i="11"/>
  <c r="S337" i="11"/>
  <c r="S137" i="11"/>
  <c r="S162" i="11"/>
  <c r="S341" i="11"/>
  <c r="S258" i="11"/>
  <c r="S246" i="11"/>
  <c r="S301" i="11"/>
  <c r="S275" i="11"/>
  <c r="S329" i="11"/>
  <c r="S291" i="11"/>
  <c r="S428" i="11"/>
  <c r="S170" i="11"/>
  <c r="S135" i="11"/>
  <c r="S50" i="11"/>
  <c r="S241" i="11"/>
  <c r="S12" i="11"/>
  <c r="S154" i="11"/>
  <c r="S78" i="11"/>
  <c r="S198" i="11"/>
  <c r="S224" i="11"/>
  <c r="S159" i="11"/>
  <c r="S168" i="11"/>
  <c r="S240" i="11"/>
  <c r="S107" i="11"/>
  <c r="S49" i="11"/>
  <c r="S161" i="11"/>
  <c r="S389" i="11"/>
  <c r="S278" i="11"/>
  <c r="S348" i="11"/>
  <c r="S431" i="11"/>
  <c r="S257" i="11"/>
  <c r="S212" i="11"/>
  <c r="S221" i="11"/>
  <c r="S17" i="11"/>
  <c r="S384" i="11"/>
  <c r="S270" i="11"/>
  <c r="S210" i="11"/>
  <c r="S226" i="11"/>
  <c r="S367" i="11"/>
  <c r="S174" i="11"/>
  <c r="S133" i="11"/>
  <c r="S51" i="11"/>
  <c r="S184" i="11"/>
  <c r="S423" i="11"/>
  <c r="S244" i="11"/>
  <c r="S411" i="11"/>
  <c r="S339" i="11"/>
  <c r="S433" i="11"/>
  <c r="S290" i="11"/>
  <c r="S350" i="11"/>
  <c r="S344" i="11"/>
  <c r="S376" i="11"/>
  <c r="S326" i="11"/>
  <c r="S266" i="11"/>
  <c r="S305" i="11"/>
  <c r="S181" i="11"/>
  <c r="S273" i="11"/>
  <c r="S347" i="11"/>
  <c r="S37" i="11"/>
  <c r="S34" i="11"/>
  <c r="S429" i="11"/>
  <c r="S193" i="11"/>
  <c r="S173" i="11"/>
  <c r="S132" i="11"/>
  <c r="S54" i="11"/>
  <c r="S373" i="11"/>
  <c r="S150" i="11"/>
  <c r="S64" i="11"/>
  <c r="S292" i="11"/>
  <c r="S112" i="11"/>
  <c r="S122" i="11"/>
  <c r="S427" i="11"/>
  <c r="S362" i="11"/>
  <c r="S387" i="11"/>
  <c r="S370" i="11"/>
  <c r="S59" i="11"/>
  <c r="S403" i="11"/>
  <c r="S123" i="11"/>
  <c r="S426" i="11"/>
  <c r="S93" i="11"/>
  <c r="S250" i="11"/>
  <c r="S83" i="11"/>
  <c r="S385" i="11"/>
  <c r="S272" i="11"/>
  <c r="S345" i="11"/>
  <c r="S368" i="11"/>
  <c r="S248" i="11"/>
  <c r="S172" i="11"/>
  <c r="S134" i="11"/>
  <c r="S312" i="11"/>
  <c r="S102" i="11"/>
  <c r="S245" i="11"/>
  <c r="S336" i="11"/>
  <c r="S10" i="11"/>
  <c r="AJ442" i="11"/>
  <c r="T318" i="11" l="1"/>
  <c r="U318" i="11" s="1"/>
  <c r="T319" i="11"/>
  <c r="U319" i="11" s="1"/>
  <c r="T320" i="11"/>
  <c r="U320" i="11" s="1"/>
  <c r="T23" i="11"/>
  <c r="U23" i="11" s="1"/>
  <c r="T24" i="11"/>
  <c r="U24" i="11" s="1"/>
  <c r="T25" i="11"/>
  <c r="U25" i="11" s="1"/>
  <c r="T20" i="11"/>
  <c r="U20" i="11" s="1"/>
  <c r="T21" i="11"/>
  <c r="U21" i="11" s="1"/>
  <c r="T22" i="11"/>
  <c r="U22" i="11" s="1"/>
  <c r="V100" i="11"/>
  <c r="B100" i="11"/>
  <c r="A100" i="11" s="1"/>
  <c r="T423" i="11"/>
  <c r="U423" i="11" s="1"/>
  <c r="T369" i="11"/>
  <c r="U369" i="11" s="1"/>
  <c r="T195" i="11"/>
  <c r="U195" i="11" s="1"/>
  <c r="T134" i="11"/>
  <c r="U134" i="11" s="1"/>
  <c r="T385" i="11"/>
  <c r="U385" i="11" s="1"/>
  <c r="T403" i="11"/>
  <c r="U403" i="11" s="1"/>
  <c r="T64" i="11"/>
  <c r="U64" i="11" s="1"/>
  <c r="T350" i="11"/>
  <c r="U350" i="11" s="1"/>
  <c r="T161" i="11"/>
  <c r="U161" i="11" s="1"/>
  <c r="T197" i="11"/>
  <c r="U197" i="11" s="1"/>
  <c r="T271" i="11"/>
  <c r="U271" i="11" s="1"/>
  <c r="T252" i="11"/>
  <c r="U252" i="11" s="1"/>
  <c r="T203" i="11"/>
  <c r="U203" i="11" s="1"/>
  <c r="T404" i="11"/>
  <c r="U404" i="11" s="1"/>
  <c r="T216" i="11"/>
  <c r="U216" i="11" s="1"/>
  <c r="T52" i="11"/>
  <c r="U52" i="11" s="1"/>
  <c r="T50" i="11"/>
  <c r="U50" i="11" s="1"/>
  <c r="T322" i="11"/>
  <c r="U322" i="11" s="1"/>
  <c r="T138" i="11"/>
  <c r="U138" i="11" s="1"/>
  <c r="T105" i="11"/>
  <c r="U105" i="11" s="1"/>
  <c r="T172" i="11"/>
  <c r="U172" i="11" s="1"/>
  <c r="T83" i="11"/>
  <c r="U83" i="11" s="1"/>
  <c r="T150" i="11"/>
  <c r="U150" i="11" s="1"/>
  <c r="T429" i="11"/>
  <c r="U429" i="11" s="1"/>
  <c r="T290" i="11"/>
  <c r="U290" i="11" s="1"/>
  <c r="T257" i="11"/>
  <c r="U257" i="11" s="1"/>
  <c r="T49" i="11"/>
  <c r="U49" i="11" s="1"/>
  <c r="T275" i="11"/>
  <c r="U275" i="11" s="1"/>
  <c r="T137" i="11"/>
  <c r="U137" i="11" s="1"/>
  <c r="T119" i="11"/>
  <c r="U119" i="11" s="1"/>
  <c r="T217" i="11"/>
  <c r="U217" i="11" s="1"/>
  <c r="T259" i="11"/>
  <c r="U259" i="11" s="1"/>
  <c r="T194" i="11"/>
  <c r="U194" i="11" s="1"/>
  <c r="T299" i="11"/>
  <c r="U299" i="11" s="1"/>
  <c r="T192" i="11"/>
  <c r="U192" i="11" s="1"/>
  <c r="T346" i="11"/>
  <c r="U346" i="11" s="1"/>
  <c r="T311" i="11"/>
  <c r="U311" i="11" s="1"/>
  <c r="T286" i="11"/>
  <c r="U286" i="11" s="1"/>
  <c r="T103" i="11"/>
  <c r="U103" i="11" s="1"/>
  <c r="T11" i="11"/>
  <c r="U11" i="11" s="1"/>
  <c r="T349" i="11"/>
  <c r="U349" i="11" s="1"/>
  <c r="T91" i="11"/>
  <c r="U91" i="11" s="1"/>
  <c r="T65" i="11"/>
  <c r="U65" i="11" s="1"/>
  <c r="T238" i="11"/>
  <c r="U238" i="11" s="1"/>
  <c r="T80" i="11"/>
  <c r="U80" i="11" s="1"/>
  <c r="T62" i="11"/>
  <c r="U62" i="11" s="1"/>
  <c r="T74" i="11"/>
  <c r="U74" i="11" s="1"/>
  <c r="T181" i="11"/>
  <c r="U181" i="11" s="1"/>
  <c r="T113" i="11"/>
  <c r="U113" i="11" s="1"/>
  <c r="T263" i="11"/>
  <c r="U263" i="11" s="1"/>
  <c r="T365" i="11"/>
  <c r="U365" i="11" s="1"/>
  <c r="T231" i="11"/>
  <c r="U231" i="11" s="1"/>
  <c r="T118" i="11"/>
  <c r="U118" i="11" s="1"/>
  <c r="T122" i="11"/>
  <c r="U122" i="11" s="1"/>
  <c r="T305" i="11"/>
  <c r="U305" i="11" s="1"/>
  <c r="T184" i="11"/>
  <c r="U184" i="11" s="1"/>
  <c r="T210" i="11"/>
  <c r="U210" i="11" s="1"/>
  <c r="T198" i="11"/>
  <c r="U198" i="11" s="1"/>
  <c r="T135" i="11"/>
  <c r="U135" i="11" s="1"/>
  <c r="T117" i="11"/>
  <c r="U117" i="11" s="1"/>
  <c r="T255" i="11"/>
  <c r="U255" i="11" s="1"/>
  <c r="T158" i="11"/>
  <c r="U158" i="11" s="1"/>
  <c r="T179" i="11"/>
  <c r="U179" i="11" s="1"/>
  <c r="T81" i="11"/>
  <c r="U81" i="11" s="1"/>
  <c r="T141" i="11"/>
  <c r="U141" i="11" s="1"/>
  <c r="T371" i="11"/>
  <c r="U371" i="11" s="1"/>
  <c r="T116" i="11"/>
  <c r="U116" i="11" s="1"/>
  <c r="T151" i="11"/>
  <c r="U151" i="11" s="1"/>
  <c r="T227" i="11"/>
  <c r="U227" i="11" s="1"/>
  <c r="T236" i="11"/>
  <c r="U236" i="11" s="1"/>
  <c r="T19" i="11"/>
  <c r="U19" i="11" s="1"/>
  <c r="T45" i="11"/>
  <c r="U45" i="11" s="1"/>
  <c r="T160" i="11"/>
  <c r="U160" i="11" s="1"/>
  <c r="T169" i="11"/>
  <c r="U169" i="11" s="1"/>
  <c r="T430" i="11"/>
  <c r="U430" i="11" s="1"/>
  <c r="T410" i="11"/>
  <c r="U410" i="11" s="1"/>
  <c r="T336" i="11"/>
  <c r="U336" i="11" s="1"/>
  <c r="T248" i="11"/>
  <c r="U248" i="11" s="1"/>
  <c r="T250" i="11"/>
  <c r="U250" i="11" s="1"/>
  <c r="T59" i="11"/>
  <c r="U59" i="11" s="1"/>
  <c r="T373" i="11"/>
  <c r="U373" i="11" s="1"/>
  <c r="T266" i="11"/>
  <c r="U266" i="11" s="1"/>
  <c r="T433" i="11"/>
  <c r="U433" i="11" s="1"/>
  <c r="T51" i="11"/>
  <c r="U51" i="11" s="1"/>
  <c r="T78" i="11"/>
  <c r="U78" i="11" s="1"/>
  <c r="T302" i="11"/>
  <c r="U302" i="11" s="1"/>
  <c r="T220" i="11"/>
  <c r="U220" i="11" s="1"/>
  <c r="T222" i="11"/>
  <c r="U222" i="11" s="1"/>
  <c r="T115" i="11"/>
  <c r="U115" i="11" s="1"/>
  <c r="T310" i="11"/>
  <c r="U310" i="11" s="1"/>
  <c r="T298" i="11"/>
  <c r="U298" i="11" s="1"/>
  <c r="T287" i="11"/>
  <c r="U287" i="11" s="1"/>
  <c r="T243" i="11"/>
  <c r="U243" i="11" s="1"/>
  <c r="T121" i="11"/>
  <c r="U121" i="11" s="1"/>
  <c r="T351" i="11"/>
  <c r="U351" i="11" s="1"/>
  <c r="T323" i="11"/>
  <c r="U323" i="11" s="1"/>
  <c r="T364" i="11"/>
  <c r="U364" i="11" s="1"/>
  <c r="T201" i="11"/>
  <c r="U201" i="11" s="1"/>
  <c r="T406" i="11"/>
  <c r="U406" i="11" s="1"/>
  <c r="T101" i="11"/>
  <c r="U101" i="11" s="1"/>
  <c r="T225" i="11"/>
  <c r="U225" i="11" s="1"/>
  <c r="T202" i="11"/>
  <c r="U202" i="11" s="1"/>
  <c r="T214" i="11"/>
  <c r="U214" i="11" s="1"/>
  <c r="T199" i="11"/>
  <c r="U199" i="11" s="1"/>
  <c r="T405" i="11"/>
  <c r="U405" i="11" s="1"/>
  <c r="T104" i="11"/>
  <c r="U104" i="11" s="1"/>
  <c r="T92" i="11"/>
  <c r="U92" i="11" s="1"/>
  <c r="T180" i="11"/>
  <c r="U180" i="11" s="1"/>
  <c r="T416" i="11"/>
  <c r="U416" i="11" s="1"/>
  <c r="T434" i="11"/>
  <c r="U434" i="11" s="1"/>
  <c r="T324" i="11"/>
  <c r="U324" i="11" s="1"/>
  <c r="T386" i="11"/>
  <c r="U386" i="11" s="1"/>
  <c r="T34" i="11"/>
  <c r="U34" i="11" s="1"/>
  <c r="T270" i="11"/>
  <c r="U270" i="11" s="1"/>
  <c r="T431" i="11"/>
  <c r="U431" i="11" s="1"/>
  <c r="T107" i="11"/>
  <c r="U107" i="11" s="1"/>
  <c r="T170" i="11"/>
  <c r="U170" i="11" s="1"/>
  <c r="T301" i="11"/>
  <c r="U301" i="11" s="1"/>
  <c r="T337" i="11"/>
  <c r="U337" i="11" s="1"/>
  <c r="T304" i="11"/>
  <c r="U304" i="11" s="1"/>
  <c r="T142" i="11"/>
  <c r="U142" i="11" s="1"/>
  <c r="T256" i="11"/>
  <c r="U256" i="11" s="1"/>
  <c r="T425" i="11"/>
  <c r="U425" i="11" s="1"/>
  <c r="T413" i="11"/>
  <c r="U413" i="11" s="1"/>
  <c r="T239" i="11"/>
  <c r="U239" i="11" s="1"/>
  <c r="T164" i="11"/>
  <c r="U164" i="11" s="1"/>
  <c r="T253" i="11"/>
  <c r="U253" i="11" s="1"/>
  <c r="T136" i="11"/>
  <c r="U136" i="11" s="1"/>
  <c r="T120" i="11"/>
  <c r="U120" i="11" s="1"/>
  <c r="T245" i="11"/>
  <c r="U245" i="11" s="1"/>
  <c r="T112" i="11"/>
  <c r="U112" i="11" s="1"/>
  <c r="T54" i="11"/>
  <c r="U54" i="11" s="1"/>
  <c r="T37" i="11"/>
  <c r="U37" i="11" s="1"/>
  <c r="T339" i="11"/>
  <c r="U339" i="11" s="1"/>
  <c r="T133" i="11"/>
  <c r="U133" i="11" s="1"/>
  <c r="T384" i="11"/>
  <c r="U384" i="11" s="1"/>
  <c r="T348" i="11"/>
  <c r="U348" i="11" s="1"/>
  <c r="T240" i="11"/>
  <c r="U240" i="11" s="1"/>
  <c r="T428" i="11"/>
  <c r="U428" i="11" s="1"/>
  <c r="T246" i="11"/>
  <c r="U246" i="11" s="1"/>
  <c r="T48" i="11"/>
  <c r="U48" i="11" s="1"/>
  <c r="T211" i="11"/>
  <c r="U211" i="11" s="1"/>
  <c r="T415" i="11"/>
  <c r="U415" i="11" s="1"/>
  <c r="T233" i="11"/>
  <c r="U233" i="11" s="1"/>
  <c r="T377" i="11"/>
  <c r="U377" i="11" s="1"/>
  <c r="T60" i="11"/>
  <c r="U60" i="11" s="1"/>
  <c r="T390" i="11"/>
  <c r="U390" i="11" s="1"/>
  <c r="T155" i="11"/>
  <c r="U155" i="11" s="1"/>
  <c r="T106" i="11"/>
  <c r="U106" i="11" s="1"/>
  <c r="T63" i="11"/>
  <c r="U63" i="11" s="1"/>
  <c r="T223" i="11"/>
  <c r="U223" i="11" s="1"/>
  <c r="T163" i="11"/>
  <c r="U163" i="11" s="1"/>
  <c r="T265" i="11"/>
  <c r="U265" i="11" s="1"/>
  <c r="T73" i="11"/>
  <c r="U73" i="11" s="1"/>
  <c r="T46" i="11"/>
  <c r="U46" i="11" s="1"/>
  <c r="T414" i="11"/>
  <c r="U414" i="11" s="1"/>
  <c r="T379" i="11"/>
  <c r="U379" i="11" s="1"/>
  <c r="T226" i="11"/>
  <c r="U226" i="11" s="1"/>
  <c r="T156" i="11"/>
  <c r="U156" i="11" s="1"/>
  <c r="T327" i="11"/>
  <c r="U327" i="11" s="1"/>
  <c r="T368" i="11"/>
  <c r="U368" i="11" s="1"/>
  <c r="T93" i="11"/>
  <c r="U93" i="11" s="1"/>
  <c r="T370" i="11"/>
  <c r="U370" i="11" s="1"/>
  <c r="T326" i="11"/>
  <c r="U326" i="11" s="1"/>
  <c r="T154" i="11"/>
  <c r="U154" i="11" s="1"/>
  <c r="T178" i="11"/>
  <c r="U178" i="11" s="1"/>
  <c r="T325" i="11"/>
  <c r="U325" i="11" s="1"/>
  <c r="T76" i="11"/>
  <c r="U76" i="11" s="1"/>
  <c r="T182" i="11"/>
  <c r="U182" i="11" s="1"/>
  <c r="T254" i="11"/>
  <c r="U254" i="11" s="1"/>
  <c r="T309" i="11"/>
  <c r="U309" i="11" s="1"/>
  <c r="T61" i="11"/>
  <c r="U61" i="11" s="1"/>
  <c r="T303" i="11"/>
  <c r="U303" i="11" s="1"/>
  <c r="T294" i="11"/>
  <c r="U294" i="11" s="1"/>
  <c r="T277" i="11"/>
  <c r="U277" i="11" s="1"/>
  <c r="T353" i="11"/>
  <c r="U353" i="11" s="1"/>
  <c r="T314" i="11"/>
  <c r="U314" i="11" s="1"/>
  <c r="T412" i="11"/>
  <c r="U412" i="11" s="1"/>
  <c r="T130" i="11"/>
  <c r="U130" i="11" s="1"/>
  <c r="T317" i="11"/>
  <c r="U317" i="11" s="1"/>
  <c r="T424" i="11"/>
  <c r="U424" i="11" s="1"/>
  <c r="T380" i="11"/>
  <c r="U380" i="11" s="1"/>
  <c r="T111" i="11"/>
  <c r="U111" i="11" s="1"/>
  <c r="T329" i="11"/>
  <c r="U329" i="11" s="1"/>
  <c r="T247" i="11"/>
  <c r="U247" i="11" s="1"/>
  <c r="T426" i="11"/>
  <c r="U426" i="11" s="1"/>
  <c r="T387" i="11"/>
  <c r="U387" i="11" s="1"/>
  <c r="T292" i="11"/>
  <c r="U292" i="11" s="1"/>
  <c r="T132" i="11"/>
  <c r="U132" i="11" s="1"/>
  <c r="T347" i="11"/>
  <c r="U347" i="11" s="1"/>
  <c r="T376" i="11"/>
  <c r="U376" i="11" s="1"/>
  <c r="T411" i="11"/>
  <c r="U411" i="11" s="1"/>
  <c r="T174" i="11"/>
  <c r="U174" i="11" s="1"/>
  <c r="T17" i="11"/>
  <c r="U17" i="11" s="1"/>
  <c r="T278" i="11"/>
  <c r="U278" i="11" s="1"/>
  <c r="T168" i="11"/>
  <c r="U168" i="11" s="1"/>
  <c r="T12" i="11"/>
  <c r="U12" i="11" s="1"/>
  <c r="T291" i="11"/>
  <c r="U291" i="11" s="1"/>
  <c r="T131" i="11"/>
  <c r="U131" i="11" s="1"/>
  <c r="T186" i="11"/>
  <c r="U186" i="11" s="1"/>
  <c r="T18" i="11"/>
  <c r="U18" i="11" s="1"/>
  <c r="T213" i="11"/>
  <c r="U213" i="11" s="1"/>
  <c r="T185" i="11"/>
  <c r="U185" i="11" s="1"/>
  <c r="T300" i="11"/>
  <c r="U300" i="11" s="1"/>
  <c r="T400" i="11"/>
  <c r="U400" i="11" s="1"/>
  <c r="T401" i="11"/>
  <c r="U401" i="11" s="1"/>
  <c r="T363" i="11"/>
  <c r="U363" i="11" s="1"/>
  <c r="T343" i="11"/>
  <c r="U343" i="11" s="1"/>
  <c r="T183" i="11"/>
  <c r="U183" i="11" s="1"/>
  <c r="T378" i="11"/>
  <c r="U378" i="11" s="1"/>
  <c r="T432" i="11"/>
  <c r="U432" i="11" s="1"/>
  <c r="T149" i="11"/>
  <c r="U149" i="11" s="1"/>
  <c r="T402" i="11"/>
  <c r="U402" i="11" s="1"/>
  <c r="T77" i="11"/>
  <c r="U77" i="11" s="1"/>
  <c r="T35" i="11"/>
  <c r="U35" i="11" s="1"/>
  <c r="T237" i="11"/>
  <c r="U237" i="11" s="1"/>
  <c r="T79" i="11"/>
  <c r="U79" i="11" s="1"/>
  <c r="T157" i="11"/>
  <c r="U157" i="11" s="1"/>
  <c r="T218" i="11"/>
  <c r="U218" i="11" s="1"/>
  <c r="T193" i="11"/>
  <c r="U193" i="11" s="1"/>
  <c r="T162" i="11"/>
  <c r="U162" i="11" s="1"/>
  <c r="T388" i="11"/>
  <c r="U388" i="11" s="1"/>
  <c r="T196" i="11"/>
  <c r="U196" i="11" s="1"/>
  <c r="T102" i="11"/>
  <c r="U102" i="11" s="1"/>
  <c r="T345" i="11"/>
  <c r="U345" i="11" s="1"/>
  <c r="T258" i="11"/>
  <c r="U258" i="11" s="1"/>
  <c r="T58" i="11"/>
  <c r="U58" i="11" s="1"/>
  <c r="T191" i="11"/>
  <c r="U191" i="11" s="1"/>
  <c r="T44" i="11"/>
  <c r="U44" i="11" s="1"/>
  <c r="T53" i="11"/>
  <c r="U53" i="11" s="1"/>
  <c r="T75" i="11"/>
  <c r="U75" i="11" s="1"/>
  <c r="T276" i="11"/>
  <c r="U276" i="11" s="1"/>
  <c r="T215" i="11"/>
  <c r="U215" i="11" s="1"/>
  <c r="T140" i="11"/>
  <c r="U140" i="11" s="1"/>
  <c r="T82" i="11"/>
  <c r="U82" i="11" s="1"/>
  <c r="T289" i="11"/>
  <c r="U289" i="11" s="1"/>
  <c r="T153" i="11"/>
  <c r="U153" i="11" s="1"/>
  <c r="T251" i="11"/>
  <c r="U251" i="11" s="1"/>
  <c r="T308" i="11"/>
  <c r="U308" i="11" s="1"/>
  <c r="T427" i="11"/>
  <c r="U427" i="11" s="1"/>
  <c r="T224" i="11"/>
  <c r="U224" i="11" s="1"/>
  <c r="T374" i="11"/>
  <c r="U374" i="11" s="1"/>
  <c r="T219" i="11"/>
  <c r="U219" i="11" s="1"/>
  <c r="T47" i="11"/>
  <c r="U47" i="11" s="1"/>
  <c r="T312" i="11"/>
  <c r="U312" i="11" s="1"/>
  <c r="T272" i="11"/>
  <c r="U272" i="11" s="1"/>
  <c r="T273" i="11"/>
  <c r="U273" i="11" s="1"/>
  <c r="T244" i="11"/>
  <c r="U244" i="11" s="1"/>
  <c r="T221" i="11"/>
  <c r="U221" i="11" s="1"/>
  <c r="T159" i="11"/>
  <c r="U159" i="11" s="1"/>
  <c r="T241" i="11"/>
  <c r="U241" i="11" s="1"/>
  <c r="T341" i="11"/>
  <c r="U341" i="11" s="1"/>
  <c r="T242" i="11"/>
  <c r="U242" i="11" s="1"/>
  <c r="T285" i="11"/>
  <c r="U285" i="11" s="1"/>
  <c r="T230" i="11"/>
  <c r="U230" i="11" s="1"/>
  <c r="T288" i="11"/>
  <c r="U288" i="11" s="1"/>
  <c r="T171" i="11"/>
  <c r="U171" i="11" s="1"/>
  <c r="T274" i="11"/>
  <c r="U274" i="11" s="1"/>
  <c r="T321" i="11"/>
  <c r="U321" i="11" s="1"/>
  <c r="T328" i="11"/>
  <c r="U328" i="11" s="1"/>
  <c r="T313" i="11"/>
  <c r="U313" i="11" s="1"/>
  <c r="T342" i="11"/>
  <c r="U342" i="11" s="1"/>
  <c r="T372" i="11"/>
  <c r="U372" i="11" s="1"/>
  <c r="T335" i="11"/>
  <c r="U335" i="11" s="1"/>
  <c r="T229" i="11"/>
  <c r="U229" i="11" s="1"/>
  <c r="T232" i="11"/>
  <c r="U232" i="11" s="1"/>
  <c r="T264" i="11"/>
  <c r="U264" i="11" s="1"/>
  <c r="T66" i="11"/>
  <c r="U66" i="11" s="1"/>
  <c r="T200" i="11"/>
  <c r="U200" i="11" s="1"/>
  <c r="T148" i="11"/>
  <c r="U148" i="11" s="1"/>
  <c r="T38" i="11"/>
  <c r="U38" i="11" s="1"/>
  <c r="T366" i="11"/>
  <c r="U366" i="11" s="1"/>
  <c r="T36" i="11"/>
  <c r="U36" i="11" s="1"/>
  <c r="T139" i="11"/>
  <c r="U139" i="11" s="1"/>
  <c r="T249" i="11"/>
  <c r="U249" i="11" s="1"/>
  <c r="T338" i="11"/>
  <c r="U338" i="11" s="1"/>
  <c r="T293" i="11"/>
  <c r="U293" i="11" s="1"/>
  <c r="T212" i="11"/>
  <c r="U212" i="11" s="1"/>
  <c r="T84" i="11"/>
  <c r="U84" i="11" s="1"/>
  <c r="T114" i="11"/>
  <c r="U114" i="11" s="1"/>
  <c r="T360" i="11"/>
  <c r="U360" i="11" s="1"/>
  <c r="T340" i="11"/>
  <c r="U340" i="11" s="1"/>
  <c r="T123" i="11"/>
  <c r="U123" i="11" s="1"/>
  <c r="T362" i="11"/>
  <c r="U362" i="11" s="1"/>
  <c r="T173" i="11"/>
  <c r="U173" i="11" s="1"/>
  <c r="T344" i="11"/>
  <c r="U344" i="11" s="1"/>
  <c r="T367" i="11"/>
  <c r="U367" i="11" s="1"/>
  <c r="T389" i="11"/>
  <c r="U389" i="11" s="1"/>
  <c r="T307" i="11"/>
  <c r="U307" i="11" s="1"/>
  <c r="T306" i="11"/>
  <c r="U306" i="11" s="1"/>
  <c r="T361" i="11"/>
  <c r="U361" i="11" s="1"/>
  <c r="T315" i="11"/>
  <c r="U315" i="11" s="1"/>
  <c r="T352" i="11"/>
  <c r="U352" i="11" s="1"/>
  <c r="T316" i="11"/>
  <c r="U316" i="11" s="1"/>
  <c r="T375" i="11"/>
  <c r="U375" i="11" s="1"/>
  <c r="T190" i="11"/>
  <c r="U190" i="11" s="1"/>
  <c r="T228" i="11"/>
  <c r="U228" i="11" s="1"/>
  <c r="T10" i="11"/>
  <c r="U10" i="11" s="1"/>
  <c r="V319" i="11" l="1"/>
  <c r="B319" i="11"/>
  <c r="A319" i="11" s="1"/>
  <c r="V320" i="11"/>
  <c r="B320" i="11"/>
  <c r="A320" i="11" s="1"/>
  <c r="V318" i="11"/>
  <c r="B318" i="11"/>
  <c r="A318" i="11" s="1"/>
  <c r="V23" i="11"/>
  <c r="B23" i="11"/>
  <c r="A23" i="11" s="1"/>
  <c r="V20" i="11"/>
  <c r="B20" i="11"/>
  <c r="A20" i="11" s="1"/>
  <c r="V21" i="11"/>
  <c r="B21" i="11"/>
  <c r="A21" i="11" s="1"/>
  <c r="V25" i="11"/>
  <c r="B25" i="11"/>
  <c r="A25" i="11" s="1"/>
  <c r="V22" i="11"/>
  <c r="B22" i="11"/>
  <c r="A22" i="11" s="1"/>
  <c r="V24" i="11"/>
  <c r="B24" i="11"/>
  <c r="A24" i="11" s="1"/>
  <c r="V79" i="11"/>
  <c r="B79" i="11"/>
  <c r="A79" i="11" s="1"/>
  <c r="V196" i="11"/>
  <c r="B196" i="11"/>
  <c r="A196" i="11" s="1"/>
  <c r="V133" i="11"/>
  <c r="B133" i="11"/>
  <c r="A133" i="11" s="1"/>
  <c r="V310" i="11"/>
  <c r="B310" i="11"/>
  <c r="A310" i="11" s="1"/>
  <c r="V200" i="11"/>
  <c r="B200" i="11"/>
  <c r="A200" i="11" s="1"/>
  <c r="V313" i="11"/>
  <c r="B313" i="11"/>
  <c r="A313" i="11" s="1"/>
  <c r="V285" i="11"/>
  <c r="B285" i="11"/>
  <c r="A285" i="11" s="1"/>
  <c r="V273" i="11"/>
  <c r="B273" i="11"/>
  <c r="A273" i="11" s="1"/>
  <c r="V388" i="11"/>
  <c r="B388" i="11"/>
  <c r="A388" i="11" s="1"/>
  <c r="V401" i="11"/>
  <c r="B401" i="11"/>
  <c r="A401" i="11" s="1"/>
  <c r="V132" i="11"/>
  <c r="B132" i="11"/>
  <c r="A132" i="11" s="1"/>
  <c r="V303" i="11"/>
  <c r="B303" i="11"/>
  <c r="A303" i="11" s="1"/>
  <c r="V223" i="11"/>
  <c r="B223" i="11"/>
  <c r="A223" i="11" s="1"/>
  <c r="V107" i="11"/>
  <c r="B107" i="11"/>
  <c r="A107" i="11" s="1"/>
  <c r="V201" i="11"/>
  <c r="B201" i="11"/>
  <c r="A201" i="11" s="1"/>
  <c r="V430" i="11"/>
  <c r="B430" i="11"/>
  <c r="A430" i="11" s="1"/>
  <c r="V80" i="11"/>
  <c r="B80" i="11"/>
  <c r="A80" i="11" s="1"/>
  <c r="V404" i="11"/>
  <c r="B404" i="11"/>
  <c r="A404" i="11" s="1"/>
  <c r="V58" i="11"/>
  <c r="B58" i="11"/>
  <c r="A58" i="11" s="1"/>
  <c r="V353" i="11"/>
  <c r="B353" i="11"/>
  <c r="A353" i="11" s="1"/>
  <c r="V316" i="11"/>
  <c r="B316" i="11"/>
  <c r="A316" i="11" s="1"/>
  <c r="V342" i="11"/>
  <c r="B342" i="11"/>
  <c r="A342" i="11" s="1"/>
  <c r="V163" i="11"/>
  <c r="B163" i="11"/>
  <c r="A163" i="11" s="1"/>
  <c r="V406" i="11"/>
  <c r="B406" i="11"/>
  <c r="A406" i="11" s="1"/>
  <c r="V410" i="11"/>
  <c r="B410" i="11"/>
  <c r="A410" i="11" s="1"/>
  <c r="V172" i="11"/>
  <c r="B172" i="11"/>
  <c r="A172" i="11" s="1"/>
  <c r="V362" i="11"/>
  <c r="B362" i="11"/>
  <c r="A362" i="11" s="1"/>
  <c r="V308" i="11"/>
  <c r="B308" i="11"/>
  <c r="A308" i="11" s="1"/>
  <c r="V400" i="11"/>
  <c r="B400" i="11"/>
  <c r="A400" i="11" s="1"/>
  <c r="V226" i="11"/>
  <c r="B226" i="11"/>
  <c r="A226" i="11" s="1"/>
  <c r="V104" i="11"/>
  <c r="B104" i="11"/>
  <c r="A104" i="11" s="1"/>
  <c r="V364" i="11"/>
  <c r="B364" i="11"/>
  <c r="A364" i="11" s="1"/>
  <c r="V169" i="11"/>
  <c r="B169" i="11"/>
  <c r="A169" i="11" s="1"/>
  <c r="V238" i="11"/>
  <c r="B238" i="11"/>
  <c r="A238" i="11" s="1"/>
  <c r="V346" i="11"/>
  <c r="B346" i="11"/>
  <c r="A346" i="11" s="1"/>
  <c r="V275" i="11"/>
  <c r="B275" i="11"/>
  <c r="A275" i="11" s="1"/>
  <c r="V345" i="11"/>
  <c r="B345" i="11"/>
  <c r="A345" i="11" s="1"/>
  <c r="V173" i="11"/>
  <c r="B173" i="11"/>
  <c r="A173" i="11" s="1"/>
  <c r="V111" i="11"/>
  <c r="B111" i="11"/>
  <c r="A111" i="11" s="1"/>
  <c r="V361" i="11"/>
  <c r="B361" i="11"/>
  <c r="A361" i="11" s="1"/>
  <c r="V249" i="11"/>
  <c r="B249" i="11"/>
  <c r="A249" i="11" s="1"/>
  <c r="V272" i="11"/>
  <c r="B272" i="11"/>
  <c r="A272" i="11" s="1"/>
  <c r="V251" i="11"/>
  <c r="B251" i="11"/>
  <c r="A251" i="11" s="1"/>
  <c r="V300" i="11"/>
  <c r="B300" i="11"/>
  <c r="A300" i="11" s="1"/>
  <c r="V424" i="11"/>
  <c r="B424" i="11"/>
  <c r="A424" i="11" s="1"/>
  <c r="V37" i="11"/>
  <c r="B37" i="11"/>
  <c r="A37" i="11" s="1"/>
  <c r="V413" i="11"/>
  <c r="B413" i="11"/>
  <c r="A413" i="11" s="1"/>
  <c r="V405" i="11"/>
  <c r="B405" i="11"/>
  <c r="A405" i="11" s="1"/>
  <c r="V231" i="11"/>
  <c r="B231" i="11"/>
  <c r="A231" i="11" s="1"/>
  <c r="V192" i="11"/>
  <c r="B192" i="11"/>
  <c r="A192" i="11" s="1"/>
  <c r="V49" i="11"/>
  <c r="B49" i="11"/>
  <c r="A49" i="11" s="1"/>
  <c r="V335" i="11"/>
  <c r="B335" i="11"/>
  <c r="A335" i="11" s="1"/>
  <c r="V344" i="11"/>
  <c r="B344" i="11"/>
  <c r="A344" i="11" s="1"/>
  <c r="V340" i="11"/>
  <c r="B340" i="11"/>
  <c r="A340" i="11" s="1"/>
  <c r="B264" i="11"/>
  <c r="A264" i="11" s="1"/>
  <c r="V264" i="11"/>
  <c r="V341" i="11"/>
  <c r="B341" i="11"/>
  <c r="A341" i="11" s="1"/>
  <c r="V312" i="11"/>
  <c r="B312" i="11"/>
  <c r="A312" i="11" s="1"/>
  <c r="V53" i="11"/>
  <c r="B53" i="11"/>
  <c r="A53" i="11" s="1"/>
  <c r="V149" i="11"/>
  <c r="B149" i="11"/>
  <c r="A149" i="11" s="1"/>
  <c r="V185" i="11"/>
  <c r="B185" i="11"/>
  <c r="A185" i="11" s="1"/>
  <c r="V317" i="11"/>
  <c r="B317" i="11"/>
  <c r="A317" i="11" s="1"/>
  <c r="V309" i="11"/>
  <c r="B309" i="11"/>
  <c r="A309" i="11" s="1"/>
  <c r="V54" i="11"/>
  <c r="B54" i="11"/>
  <c r="A54" i="11" s="1"/>
  <c r="V199" i="11"/>
  <c r="B199" i="11"/>
  <c r="A199" i="11" s="1"/>
  <c r="V371" i="11"/>
  <c r="B371" i="11"/>
  <c r="A371" i="11" s="1"/>
  <c r="V365" i="11"/>
  <c r="B365" i="11"/>
  <c r="A365" i="11" s="1"/>
  <c r="V134" i="11"/>
  <c r="B134" i="11"/>
  <c r="A134" i="11" s="1"/>
  <c r="V174" i="11"/>
  <c r="B174" i="11"/>
  <c r="A174" i="11" s="1"/>
  <c r="V432" i="11"/>
  <c r="B432" i="11"/>
  <c r="A432" i="11" s="1"/>
  <c r="V130" i="11"/>
  <c r="B130" i="11"/>
  <c r="A130" i="11" s="1"/>
  <c r="V48" i="11"/>
  <c r="B48" i="11"/>
  <c r="A48" i="11" s="1"/>
  <c r="V214" i="11"/>
  <c r="B214" i="11"/>
  <c r="A214" i="11" s="1"/>
  <c r="V351" i="11"/>
  <c r="B351" i="11"/>
  <c r="A351" i="11" s="1"/>
  <c r="V220" i="11"/>
  <c r="B220" i="11"/>
  <c r="A220" i="11" s="1"/>
  <c r="V45" i="11"/>
  <c r="B45" i="11"/>
  <c r="A45" i="11" s="1"/>
  <c r="V198" i="11"/>
  <c r="B198" i="11"/>
  <c r="A198" i="11" s="1"/>
  <c r="V374" i="11"/>
  <c r="B374" i="11"/>
  <c r="A374" i="11" s="1"/>
  <c r="V352" i="11"/>
  <c r="B352" i="11"/>
  <c r="A352" i="11" s="1"/>
  <c r="V360" i="11"/>
  <c r="B360" i="11"/>
  <c r="A360" i="11" s="1"/>
  <c r="V44" i="11"/>
  <c r="B44" i="11"/>
  <c r="A44" i="11" s="1"/>
  <c r="V278" i="11"/>
  <c r="B278" i="11"/>
  <c r="A278" i="11" s="1"/>
  <c r="V254" i="11"/>
  <c r="B254" i="11"/>
  <c r="A254" i="11" s="1"/>
  <c r="V112" i="11"/>
  <c r="B112" i="11"/>
  <c r="A112" i="11" s="1"/>
  <c r="V36" i="11"/>
  <c r="B36" i="11"/>
  <c r="A36" i="11" s="1"/>
  <c r="V274" i="11"/>
  <c r="B274" i="11"/>
  <c r="A274" i="11" s="1"/>
  <c r="V191" i="11"/>
  <c r="B191" i="11"/>
  <c r="A191" i="11" s="1"/>
  <c r="V218" i="11"/>
  <c r="B218" i="11"/>
  <c r="A218" i="11" s="1"/>
  <c r="V378" i="11"/>
  <c r="B378" i="11"/>
  <c r="A378" i="11" s="1"/>
  <c r="V17" i="11"/>
  <c r="B17" i="11"/>
  <c r="A17" i="11" s="1"/>
  <c r="V182" i="11"/>
  <c r="B182" i="11"/>
  <c r="A182" i="11" s="1"/>
  <c r="V155" i="11"/>
  <c r="B155" i="11"/>
  <c r="A155" i="11" s="1"/>
  <c r="V246" i="11"/>
  <c r="B246" i="11"/>
  <c r="A246" i="11" s="1"/>
  <c r="V245" i="11"/>
  <c r="B245" i="11"/>
  <c r="A245" i="11" s="1"/>
  <c r="V256" i="11"/>
  <c r="B256" i="11"/>
  <c r="A256" i="11" s="1"/>
  <c r="V34" i="11"/>
  <c r="B34" i="11"/>
  <c r="A34" i="11" s="1"/>
  <c r="V59" i="11"/>
  <c r="B59" i="11"/>
  <c r="A59" i="11" s="1"/>
  <c r="V210" i="11"/>
  <c r="B210" i="11"/>
  <c r="A210" i="11" s="1"/>
  <c r="V290" i="11"/>
  <c r="B290" i="11"/>
  <c r="A290" i="11" s="1"/>
  <c r="V271" i="11"/>
  <c r="B271" i="11"/>
  <c r="A271" i="11" s="1"/>
  <c r="V390" i="11"/>
  <c r="B390" i="11"/>
  <c r="A390" i="11" s="1"/>
  <c r="V183" i="11"/>
  <c r="B183" i="11"/>
  <c r="A183" i="11" s="1"/>
  <c r="V428" i="11"/>
  <c r="B428" i="11"/>
  <c r="A428" i="11" s="1"/>
  <c r="V120" i="11"/>
  <c r="B120" i="11"/>
  <c r="A120" i="11" s="1"/>
  <c r="V142" i="11"/>
  <c r="B142" i="11"/>
  <c r="A142" i="11" s="1"/>
  <c r="V386" i="11"/>
  <c r="B386" i="11"/>
  <c r="A386" i="11" s="1"/>
  <c r="V81" i="11"/>
  <c r="B81" i="11"/>
  <c r="A81" i="11" s="1"/>
  <c r="V184" i="11"/>
  <c r="B184" i="11"/>
  <c r="A184" i="11" s="1"/>
  <c r="V113" i="11"/>
  <c r="B113" i="11"/>
  <c r="A113" i="11" s="1"/>
  <c r="V349" i="11"/>
  <c r="B349" i="11"/>
  <c r="A349" i="11" s="1"/>
  <c r="V197" i="11"/>
  <c r="B197" i="11"/>
  <c r="A197" i="11" s="1"/>
  <c r="V369" i="11"/>
  <c r="B369" i="11"/>
  <c r="A369" i="11" s="1"/>
  <c r="V84" i="11"/>
  <c r="B84" i="11"/>
  <c r="A84" i="11" s="1"/>
  <c r="V159" i="11"/>
  <c r="B159" i="11"/>
  <c r="A159" i="11" s="1"/>
  <c r="V82" i="11"/>
  <c r="B82" i="11"/>
  <c r="A82" i="11" s="1"/>
  <c r="V258" i="11"/>
  <c r="B258" i="11"/>
  <c r="A258" i="11" s="1"/>
  <c r="V186" i="11"/>
  <c r="B186" i="11"/>
  <c r="A186" i="11" s="1"/>
  <c r="V314" i="11"/>
  <c r="B314" i="11"/>
  <c r="A314" i="11" s="1"/>
  <c r="V60" i="11"/>
  <c r="B60" i="11"/>
  <c r="A60" i="11" s="1"/>
  <c r="V304" i="11"/>
  <c r="B304" i="11"/>
  <c r="A304" i="11" s="1"/>
  <c r="V324" i="11"/>
  <c r="B324" i="11"/>
  <c r="A324" i="11" s="1"/>
  <c r="V243" i="11"/>
  <c r="B243" i="11"/>
  <c r="A243" i="11" s="1"/>
  <c r="V78" i="11"/>
  <c r="B78" i="11"/>
  <c r="A78" i="11" s="1"/>
  <c r="V11" i="11"/>
  <c r="B11" i="11"/>
  <c r="A11" i="11" s="1"/>
  <c r="V259" i="11"/>
  <c r="B259" i="11"/>
  <c r="A259" i="11" s="1"/>
  <c r="V161" i="11"/>
  <c r="B161" i="11"/>
  <c r="A161" i="11" s="1"/>
  <c r="V18" i="11"/>
  <c r="B18" i="11"/>
  <c r="A18" i="11" s="1"/>
  <c r="V368" i="11"/>
  <c r="B368" i="11"/>
  <c r="A368" i="11" s="1"/>
  <c r="V337" i="11"/>
  <c r="B337" i="11"/>
  <c r="A337" i="11" s="1"/>
  <c r="V434" i="11"/>
  <c r="B434" i="11"/>
  <c r="A434" i="11" s="1"/>
  <c r="V52" i="11"/>
  <c r="B52" i="11"/>
  <c r="A52" i="11" s="1"/>
  <c r="V350" i="11"/>
  <c r="B350" i="11"/>
  <c r="A350" i="11" s="1"/>
  <c r="V375" i="11"/>
  <c r="B375" i="11"/>
  <c r="A375" i="11" s="1"/>
  <c r="V367" i="11"/>
  <c r="B367" i="11"/>
  <c r="A367" i="11" s="1"/>
  <c r="V237" i="11"/>
  <c r="B237" i="11"/>
  <c r="A237" i="11" s="1"/>
  <c r="V376" i="11"/>
  <c r="B376" i="11"/>
  <c r="A376" i="11" s="1"/>
  <c r="V277" i="11"/>
  <c r="B277" i="11"/>
  <c r="A277" i="11" s="1"/>
  <c r="V348" i="11"/>
  <c r="B348" i="11"/>
  <c r="A348" i="11" s="1"/>
  <c r="V253" i="11"/>
  <c r="B253" i="11"/>
  <c r="A253" i="11" s="1"/>
  <c r="V301" i="11"/>
  <c r="B301" i="11"/>
  <c r="A301" i="11" s="1"/>
  <c r="V416" i="11"/>
  <c r="B416" i="11"/>
  <c r="A416" i="11" s="1"/>
  <c r="V158" i="11"/>
  <c r="B158" i="11"/>
  <c r="A158" i="11" s="1"/>
  <c r="V74" i="11"/>
  <c r="B74" i="11"/>
  <c r="A74" i="11" s="1"/>
  <c r="V215" i="11"/>
  <c r="B215" i="11"/>
  <c r="A215" i="11" s="1"/>
  <c r="V35" i="11"/>
  <c r="B35" i="11"/>
  <c r="A35" i="11" s="1"/>
  <c r="V265" i="11"/>
  <c r="B265" i="11"/>
  <c r="A265" i="11" s="1"/>
  <c r="V384" i="11"/>
  <c r="B384" i="11"/>
  <c r="A384" i="11" s="1"/>
  <c r="V180" i="11"/>
  <c r="B180" i="11"/>
  <c r="A180" i="11" s="1"/>
  <c r="V298" i="11"/>
  <c r="B298" i="11"/>
  <c r="A298" i="11" s="1"/>
  <c r="V336" i="11"/>
  <c r="B336" i="11"/>
  <c r="A336" i="11" s="1"/>
  <c r="V286" i="11"/>
  <c r="B286" i="11"/>
  <c r="A286" i="11" s="1"/>
  <c r="V119" i="11"/>
  <c r="B119" i="11"/>
  <c r="A119" i="11" s="1"/>
  <c r="V83" i="11"/>
  <c r="B83" i="11"/>
  <c r="A83" i="11" s="1"/>
  <c r="V224" i="11"/>
  <c r="B224" i="11"/>
  <c r="A224" i="11" s="1"/>
  <c r="V287" i="11"/>
  <c r="B287" i="11"/>
  <c r="A287" i="11" s="1"/>
  <c r="V179" i="11"/>
  <c r="B179" i="11"/>
  <c r="A179" i="11" s="1"/>
  <c r="V62" i="11"/>
  <c r="B62" i="11"/>
  <c r="A62" i="11" s="1"/>
  <c r="V385" i="11"/>
  <c r="B385" i="11"/>
  <c r="A385" i="11" s="1"/>
  <c r="V302" i="11"/>
  <c r="B302" i="11"/>
  <c r="A302" i="11" s="1"/>
  <c r="V131" i="11"/>
  <c r="B131" i="11"/>
  <c r="A131" i="11" s="1"/>
  <c r="V387" i="11"/>
  <c r="B387" i="11"/>
  <c r="A387" i="11" s="1"/>
  <c r="V370" i="11"/>
  <c r="B370" i="11"/>
  <c r="A370" i="11" s="1"/>
  <c r="V379" i="11"/>
  <c r="B379" i="11"/>
  <c r="A379" i="11" s="1"/>
  <c r="V377" i="11"/>
  <c r="B377" i="11"/>
  <c r="A377" i="11" s="1"/>
  <c r="V431" i="11"/>
  <c r="B431" i="11"/>
  <c r="A431" i="11" s="1"/>
  <c r="V151" i="11"/>
  <c r="B151" i="11"/>
  <c r="A151" i="11" s="1"/>
  <c r="V103" i="11"/>
  <c r="B103" i="11"/>
  <c r="A103" i="11" s="1"/>
  <c r="V194" i="11"/>
  <c r="B194" i="11"/>
  <c r="A194" i="11" s="1"/>
  <c r="V171" i="11"/>
  <c r="B171" i="11"/>
  <c r="A171" i="11" s="1"/>
  <c r="V299" i="11"/>
  <c r="B299" i="11"/>
  <c r="A299" i="11" s="1"/>
  <c r="V315" i="11"/>
  <c r="B315" i="11"/>
  <c r="A315" i="11" s="1"/>
  <c r="V114" i="11"/>
  <c r="B114" i="11"/>
  <c r="A114" i="11" s="1"/>
  <c r="V139" i="11"/>
  <c r="B139" i="11"/>
  <c r="A139" i="11" s="1"/>
  <c r="V66" i="11"/>
  <c r="B66" i="11"/>
  <c r="A66" i="11" s="1"/>
  <c r="V288" i="11"/>
  <c r="B288" i="11"/>
  <c r="A288" i="11" s="1"/>
  <c r="V241" i="11"/>
  <c r="B241" i="11"/>
  <c r="A241" i="11" s="1"/>
  <c r="V427" i="11"/>
  <c r="B427" i="11"/>
  <c r="A427" i="11" s="1"/>
  <c r="V140" i="11"/>
  <c r="B140" i="11"/>
  <c r="A140" i="11" s="1"/>
  <c r="V380" i="11"/>
  <c r="B380" i="11"/>
  <c r="A380" i="11" s="1"/>
  <c r="V230" i="11"/>
  <c r="B230" i="11"/>
  <c r="A230" i="11" s="1"/>
  <c r="V162" i="11"/>
  <c r="B162" i="11"/>
  <c r="A162" i="11" s="1"/>
  <c r="V136" i="11"/>
  <c r="B136" i="11"/>
  <c r="A136" i="11" s="1"/>
  <c r="V227" i="11"/>
  <c r="B227" i="11"/>
  <c r="A227" i="11" s="1"/>
  <c r="V228" i="11"/>
  <c r="B228" i="11"/>
  <c r="A228" i="11" s="1"/>
  <c r="V291" i="11"/>
  <c r="B291" i="11"/>
  <c r="A291" i="11" s="1"/>
  <c r="V411" i="11"/>
  <c r="B411" i="11"/>
  <c r="A411" i="11" s="1"/>
  <c r="V426" i="11"/>
  <c r="B426" i="11"/>
  <c r="A426" i="11" s="1"/>
  <c r="V294" i="11"/>
  <c r="B294" i="11"/>
  <c r="A294" i="11" s="1"/>
  <c r="V76" i="11"/>
  <c r="B76" i="11"/>
  <c r="A76" i="11" s="1"/>
  <c r="V93" i="11"/>
  <c r="B93" i="11"/>
  <c r="A93" i="11" s="1"/>
  <c r="V414" i="11"/>
  <c r="B414" i="11"/>
  <c r="A414" i="11" s="1"/>
  <c r="V63" i="11"/>
  <c r="B63" i="11"/>
  <c r="A63" i="11" s="1"/>
  <c r="V233" i="11"/>
  <c r="B233" i="11"/>
  <c r="A233" i="11" s="1"/>
  <c r="V240" i="11"/>
  <c r="B240" i="11"/>
  <c r="A240" i="11" s="1"/>
  <c r="V164" i="11"/>
  <c r="B164" i="11"/>
  <c r="A164" i="11" s="1"/>
  <c r="V270" i="11"/>
  <c r="B270" i="11"/>
  <c r="A270" i="11" s="1"/>
  <c r="V202" i="11"/>
  <c r="B202" i="11"/>
  <c r="A202" i="11" s="1"/>
  <c r="V323" i="11"/>
  <c r="B323" i="11"/>
  <c r="A323" i="11" s="1"/>
  <c r="V51" i="11"/>
  <c r="B51" i="11"/>
  <c r="A51" i="11" s="1"/>
  <c r="V250" i="11"/>
  <c r="B250" i="11"/>
  <c r="A250" i="11" s="1"/>
  <c r="V160" i="11"/>
  <c r="B160" i="11"/>
  <c r="A160" i="11" s="1"/>
  <c r="V116" i="11"/>
  <c r="B116" i="11"/>
  <c r="A116" i="11" s="1"/>
  <c r="V255" i="11"/>
  <c r="B255" i="11"/>
  <c r="A255" i="11" s="1"/>
  <c r="V305" i="11"/>
  <c r="B305" i="11"/>
  <c r="A305" i="11" s="1"/>
  <c r="V263" i="11"/>
  <c r="B263" i="11"/>
  <c r="A263" i="11" s="1"/>
  <c r="V257" i="11"/>
  <c r="B257" i="11"/>
  <c r="A257" i="11" s="1"/>
  <c r="V105" i="11"/>
  <c r="B105" i="11"/>
  <c r="A105" i="11" s="1"/>
  <c r="V216" i="11"/>
  <c r="B216" i="11"/>
  <c r="A216" i="11" s="1"/>
  <c r="V195" i="11"/>
  <c r="B195" i="11"/>
  <c r="A195" i="11" s="1"/>
  <c r="V372" i="11"/>
  <c r="B372" i="11"/>
  <c r="A372" i="11" s="1"/>
  <c r="V292" i="11"/>
  <c r="B292" i="11"/>
  <c r="A292" i="11" s="1"/>
  <c r="V190" i="11"/>
  <c r="B190" i="11"/>
  <c r="A190" i="11" s="1"/>
  <c r="V212" i="11"/>
  <c r="B212" i="11"/>
  <c r="A212" i="11" s="1"/>
  <c r="V232" i="11"/>
  <c r="B232" i="11"/>
  <c r="A232" i="11" s="1"/>
  <c r="V47" i="11"/>
  <c r="B47" i="11"/>
  <c r="A47" i="11" s="1"/>
  <c r="V276" i="11"/>
  <c r="B276" i="11"/>
  <c r="A276" i="11" s="1"/>
  <c r="V193" i="11"/>
  <c r="B193" i="11"/>
  <c r="A193" i="11" s="1"/>
  <c r="V343" i="11"/>
  <c r="B343" i="11"/>
  <c r="A343" i="11" s="1"/>
  <c r="V46" i="11"/>
  <c r="B46" i="11"/>
  <c r="A46" i="11" s="1"/>
  <c r="V106" i="11"/>
  <c r="B106" i="11"/>
  <c r="A106" i="11" s="1"/>
  <c r="V415" i="11"/>
  <c r="B415" i="11"/>
  <c r="A415" i="11" s="1"/>
  <c r="V239" i="11"/>
  <c r="B239" i="11"/>
  <c r="A239" i="11" s="1"/>
  <c r="V92" i="11"/>
  <c r="B92" i="11"/>
  <c r="A92" i="11" s="1"/>
  <c r="V225" i="11"/>
  <c r="B225" i="11"/>
  <c r="A225" i="11" s="1"/>
  <c r="V115" i="11"/>
  <c r="B115" i="11"/>
  <c r="A115" i="11" s="1"/>
  <c r="V433" i="11"/>
  <c r="B433" i="11"/>
  <c r="A433" i="11" s="1"/>
  <c r="V248" i="11"/>
  <c r="B248" i="11"/>
  <c r="A248" i="11" s="1"/>
  <c r="V117" i="11"/>
  <c r="B117" i="11"/>
  <c r="A117" i="11" s="1"/>
  <c r="V122" i="11"/>
  <c r="B122" i="11"/>
  <c r="A122" i="11" s="1"/>
  <c r="V65" i="11"/>
  <c r="B65" i="11"/>
  <c r="A65" i="11" s="1"/>
  <c r="V311" i="11"/>
  <c r="B311" i="11"/>
  <c r="A311" i="11" s="1"/>
  <c r="V217" i="11"/>
  <c r="B217" i="11"/>
  <c r="A217" i="11" s="1"/>
  <c r="V138" i="11"/>
  <c r="B138" i="11"/>
  <c r="A138" i="11" s="1"/>
  <c r="V326" i="11"/>
  <c r="B326" i="11"/>
  <c r="A326" i="11" s="1"/>
  <c r="V366" i="11"/>
  <c r="B366" i="11"/>
  <c r="A366" i="11" s="1"/>
  <c r="V328" i="11"/>
  <c r="B328" i="11"/>
  <c r="A328" i="11" s="1"/>
  <c r="V221" i="11"/>
  <c r="B221" i="11"/>
  <c r="A221" i="11" s="1"/>
  <c r="V77" i="11"/>
  <c r="B77" i="11"/>
  <c r="A77" i="11" s="1"/>
  <c r="V12" i="11"/>
  <c r="B12" i="11"/>
  <c r="A12" i="11" s="1"/>
  <c r="V247" i="11"/>
  <c r="B247" i="11"/>
  <c r="A247" i="11" s="1"/>
  <c r="V325" i="11"/>
  <c r="B325" i="11"/>
  <c r="A325" i="11" s="1"/>
  <c r="V307" i="11"/>
  <c r="B307" i="11"/>
  <c r="A307" i="11" s="1"/>
  <c r="V229" i="11"/>
  <c r="B229" i="11"/>
  <c r="A229" i="11" s="1"/>
  <c r="V242" i="11"/>
  <c r="B242" i="11"/>
  <c r="A242" i="11" s="1"/>
  <c r="V219" i="11"/>
  <c r="B219" i="11"/>
  <c r="A219" i="11" s="1"/>
  <c r="V75" i="11"/>
  <c r="B75" i="11"/>
  <c r="A75" i="11" s="1"/>
  <c r="V402" i="11"/>
  <c r="B402" i="11"/>
  <c r="A402" i="11" s="1"/>
  <c r="V213" i="11"/>
  <c r="B213" i="11"/>
  <c r="A213" i="11" s="1"/>
  <c r="V168" i="11"/>
  <c r="B168" i="11"/>
  <c r="A168" i="11" s="1"/>
  <c r="V347" i="11"/>
  <c r="B347" i="11"/>
  <c r="A347" i="11" s="1"/>
  <c r="V329" i="11"/>
  <c r="B329" i="11"/>
  <c r="A329" i="11" s="1"/>
  <c r="V412" i="11"/>
  <c r="B412" i="11"/>
  <c r="A412" i="11" s="1"/>
  <c r="V61" i="11"/>
  <c r="B61" i="11"/>
  <c r="A61" i="11" s="1"/>
  <c r="V178" i="11"/>
  <c r="B178" i="11"/>
  <c r="A178" i="11" s="1"/>
  <c r="V327" i="11"/>
  <c r="B327" i="11"/>
  <c r="A327" i="11" s="1"/>
  <c r="V73" i="11"/>
  <c r="B73" i="11"/>
  <c r="A73" i="11" s="1"/>
  <c r="V211" i="11"/>
  <c r="B211" i="11"/>
  <c r="A211" i="11" s="1"/>
  <c r="V101" i="11"/>
  <c r="B101" i="11"/>
  <c r="A101" i="11" s="1"/>
  <c r="V121" i="11"/>
  <c r="B121" i="11"/>
  <c r="A121" i="11" s="1"/>
  <c r="V222" i="11"/>
  <c r="B222" i="11"/>
  <c r="A222" i="11" s="1"/>
  <c r="V266" i="11"/>
  <c r="B266" i="11"/>
  <c r="A266" i="11" s="1"/>
  <c r="V19" i="11"/>
  <c r="B19" i="11"/>
  <c r="A19" i="11" s="1"/>
  <c r="V141" i="11"/>
  <c r="B141" i="11"/>
  <c r="A141" i="11" s="1"/>
  <c r="V135" i="11"/>
  <c r="B135" i="11"/>
  <c r="A135" i="11" s="1"/>
  <c r="V181" i="11"/>
  <c r="B181" i="11"/>
  <c r="A181" i="11" s="1"/>
  <c r="V91" i="11"/>
  <c r="B91" i="11"/>
  <c r="A91" i="11" s="1"/>
  <c r="V429" i="11"/>
  <c r="B429" i="11"/>
  <c r="A429" i="11" s="1"/>
  <c r="V322" i="11"/>
  <c r="B322" i="11"/>
  <c r="A322" i="11" s="1"/>
  <c r="V203" i="11"/>
  <c r="B203" i="11"/>
  <c r="A203" i="11" s="1"/>
  <c r="V64" i="11"/>
  <c r="B64" i="11"/>
  <c r="A64" i="11" s="1"/>
  <c r="V423" i="11"/>
  <c r="B423" i="11"/>
  <c r="A423" i="11" s="1"/>
  <c r="V339" i="11"/>
  <c r="B339" i="11"/>
  <c r="A339" i="11" s="1"/>
  <c r="V38" i="11"/>
  <c r="B38" i="11"/>
  <c r="A38" i="11" s="1"/>
  <c r="V244" i="11"/>
  <c r="B244" i="11"/>
  <c r="A244" i="11" s="1"/>
  <c r="V338" i="11"/>
  <c r="B338" i="11"/>
  <c r="A338" i="11" s="1"/>
  <c r="V148" i="11"/>
  <c r="B148" i="11"/>
  <c r="A148" i="11" s="1"/>
  <c r="V154" i="11"/>
  <c r="B154" i="11"/>
  <c r="A154" i="11" s="1"/>
  <c r="V156" i="11"/>
  <c r="B156" i="11"/>
  <c r="A156" i="11" s="1"/>
  <c r="V425" i="11"/>
  <c r="B425" i="11"/>
  <c r="A425" i="11" s="1"/>
  <c r="V170" i="11"/>
  <c r="B170" i="11"/>
  <c r="A170" i="11" s="1"/>
  <c r="V373" i="11"/>
  <c r="B373" i="11"/>
  <c r="A373" i="11" s="1"/>
  <c r="V236" i="11"/>
  <c r="B236" i="11"/>
  <c r="A236" i="11" s="1"/>
  <c r="V118" i="11"/>
  <c r="B118" i="11"/>
  <c r="A118" i="11" s="1"/>
  <c r="V137" i="11"/>
  <c r="B137" i="11"/>
  <c r="A137" i="11" s="1"/>
  <c r="V150" i="11"/>
  <c r="B150" i="11"/>
  <c r="A150" i="11" s="1"/>
  <c r="V50" i="11"/>
  <c r="B50" i="11"/>
  <c r="A50" i="11" s="1"/>
  <c r="Y100" i="11"/>
  <c r="X100" i="11"/>
  <c r="W100" i="11"/>
  <c r="V306" i="11"/>
  <c r="B306" i="11"/>
  <c r="A306" i="11" s="1"/>
  <c r="V123" i="11"/>
  <c r="B123" i="11"/>
  <c r="A123" i="11" s="1"/>
  <c r="V293" i="11"/>
  <c r="B293" i="11"/>
  <c r="A293" i="11" s="1"/>
  <c r="V321" i="11"/>
  <c r="B321" i="11"/>
  <c r="A321" i="11" s="1"/>
  <c r="V153" i="11"/>
  <c r="B153" i="11"/>
  <c r="A153" i="11" s="1"/>
  <c r="V389" i="11"/>
  <c r="B389" i="11"/>
  <c r="A389" i="11" s="1"/>
  <c r="V289" i="11"/>
  <c r="B289" i="11"/>
  <c r="A289" i="11" s="1"/>
  <c r="V102" i="11"/>
  <c r="B102" i="11"/>
  <c r="A102" i="11" s="1"/>
  <c r="V157" i="11"/>
  <c r="B157" i="11"/>
  <c r="A157" i="11" s="1"/>
  <c r="V363" i="11"/>
  <c r="B363" i="11"/>
  <c r="A363" i="11" s="1"/>
  <c r="V252" i="11"/>
  <c r="B252" i="11"/>
  <c r="A252" i="11" s="1"/>
  <c r="V403" i="11"/>
  <c r="B403" i="11"/>
  <c r="A403" i="11" s="1"/>
  <c r="V10" i="11"/>
  <c r="B10" i="11"/>
  <c r="A10" i="11" s="1"/>
  <c r="Z100" i="11" l="1"/>
  <c r="Y318" i="11"/>
  <c r="Z318" i="11" s="1"/>
  <c r="X318" i="11"/>
  <c r="W318" i="11"/>
  <c r="Y320" i="11"/>
  <c r="Z320" i="11" s="1"/>
  <c r="X320" i="11"/>
  <c r="W320" i="11"/>
  <c r="Y319" i="11"/>
  <c r="Z319" i="11" s="1"/>
  <c r="X319" i="11"/>
  <c r="W319" i="11"/>
  <c r="Y22" i="11"/>
  <c r="Z22" i="11" s="1"/>
  <c r="X22" i="11"/>
  <c r="W22" i="11"/>
  <c r="Y25" i="11"/>
  <c r="Z25" i="11" s="1"/>
  <c r="X25" i="11"/>
  <c r="W25" i="11"/>
  <c r="Y24" i="11"/>
  <c r="Z24" i="11" s="1"/>
  <c r="X24" i="11"/>
  <c r="W24" i="11"/>
  <c r="Y21" i="11"/>
  <c r="Z21" i="11" s="1"/>
  <c r="X21" i="11"/>
  <c r="W21" i="11"/>
  <c r="X20" i="11"/>
  <c r="Y20" i="11"/>
  <c r="Z20" i="11" s="1"/>
  <c r="W20" i="11"/>
  <c r="Y23" i="11"/>
  <c r="X23" i="11"/>
  <c r="W23" i="11"/>
  <c r="X289" i="11"/>
  <c r="Y289" i="11"/>
  <c r="Z289" i="11" s="1"/>
  <c r="W289" i="11"/>
  <c r="Y193" i="11"/>
  <c r="X193" i="11"/>
  <c r="W193" i="11"/>
  <c r="X379" i="11"/>
  <c r="Y379" i="11"/>
  <c r="Z379" i="11" s="1"/>
  <c r="W379" i="11"/>
  <c r="Y35" i="11"/>
  <c r="X35" i="11"/>
  <c r="W35" i="11"/>
  <c r="Y301" i="11"/>
  <c r="X301" i="11"/>
  <c r="W301" i="11"/>
  <c r="Y237" i="11"/>
  <c r="X237" i="11"/>
  <c r="W237" i="11"/>
  <c r="X337" i="11"/>
  <c r="Y337" i="11"/>
  <c r="W337" i="11"/>
  <c r="Y78" i="11"/>
  <c r="Z78" i="11" s="1"/>
  <c r="X78" i="11"/>
  <c r="W78" i="11"/>
  <c r="Y186" i="11"/>
  <c r="Z186" i="11" s="1"/>
  <c r="X186" i="11"/>
  <c r="W186" i="11"/>
  <c r="Y197" i="11"/>
  <c r="X197" i="11"/>
  <c r="W197" i="11"/>
  <c r="Y142" i="11"/>
  <c r="X142" i="11"/>
  <c r="W142" i="11"/>
  <c r="X290" i="11"/>
  <c r="Y290" i="11"/>
  <c r="W290" i="11"/>
  <c r="Y246" i="11"/>
  <c r="Z246" i="11" s="1"/>
  <c r="X246" i="11"/>
  <c r="W246" i="11"/>
  <c r="Y191" i="11"/>
  <c r="X191" i="11"/>
  <c r="W191" i="11"/>
  <c r="Y44" i="11"/>
  <c r="X44" i="11"/>
  <c r="W44" i="11"/>
  <c r="Y432" i="11"/>
  <c r="Z432" i="11" s="1"/>
  <c r="X432" i="11"/>
  <c r="W432" i="11"/>
  <c r="Y199" i="11"/>
  <c r="X199" i="11"/>
  <c r="W199" i="11"/>
  <c r="Y53" i="11"/>
  <c r="Z53" i="11" s="1"/>
  <c r="X53" i="11"/>
  <c r="W53" i="11"/>
  <c r="Y335" i="11"/>
  <c r="X335" i="11"/>
  <c r="W335" i="11"/>
  <c r="Y37" i="11"/>
  <c r="X37" i="11"/>
  <c r="W37" i="11"/>
  <c r="Y361" i="11"/>
  <c r="X361" i="11"/>
  <c r="W361" i="11"/>
  <c r="Y238" i="11"/>
  <c r="X238" i="11"/>
  <c r="W238" i="11"/>
  <c r="X308" i="11"/>
  <c r="Y308" i="11"/>
  <c r="Z308" i="11" s="1"/>
  <c r="W308" i="11"/>
  <c r="Y163" i="11"/>
  <c r="Z163" i="11" s="1"/>
  <c r="X163" i="11"/>
  <c r="W163" i="11"/>
  <c r="Y80" i="11"/>
  <c r="X80" i="11"/>
  <c r="W80" i="11"/>
  <c r="Y132" i="11"/>
  <c r="X132" i="11"/>
  <c r="W132" i="11"/>
  <c r="Y200" i="11"/>
  <c r="X200" i="11"/>
  <c r="W200" i="11"/>
  <c r="Y306" i="11"/>
  <c r="Z306" i="11" s="1"/>
  <c r="X306" i="11"/>
  <c r="W306" i="11"/>
  <c r="Y61" i="11"/>
  <c r="X61" i="11"/>
  <c r="W61" i="11"/>
  <c r="Y171" i="11"/>
  <c r="Z171" i="11" s="1"/>
  <c r="X171" i="11"/>
  <c r="W171" i="11"/>
  <c r="Y148" i="11"/>
  <c r="Z148" i="11" s="1"/>
  <c r="X148" i="11"/>
  <c r="W148" i="11"/>
  <c r="X135" i="11"/>
  <c r="Y135" i="11"/>
  <c r="Z135" i="11" s="1"/>
  <c r="W135" i="11"/>
  <c r="Y412" i="11"/>
  <c r="X412" i="11"/>
  <c r="W412" i="11"/>
  <c r="Y247" i="11"/>
  <c r="Z247" i="11" s="1"/>
  <c r="X247" i="11"/>
  <c r="W247" i="11"/>
  <c r="Y326" i="11"/>
  <c r="X326" i="11"/>
  <c r="W326" i="11"/>
  <c r="X276" i="11"/>
  <c r="Y276" i="11"/>
  <c r="W276" i="11"/>
  <c r="Y305" i="11"/>
  <c r="X305" i="11"/>
  <c r="W305" i="11"/>
  <c r="Y323" i="11"/>
  <c r="X323" i="11"/>
  <c r="W323" i="11"/>
  <c r="Y230" i="11"/>
  <c r="Z230" i="11" s="1"/>
  <c r="X230" i="11"/>
  <c r="W230" i="11"/>
  <c r="Y194" i="11"/>
  <c r="X194" i="11"/>
  <c r="W194" i="11"/>
  <c r="Y179" i="11"/>
  <c r="X179" i="11"/>
  <c r="W179" i="11"/>
  <c r="Y215" i="11"/>
  <c r="X215" i="11"/>
  <c r="W215" i="11"/>
  <c r="Y367" i="11"/>
  <c r="Z367" i="11" s="1"/>
  <c r="X367" i="11"/>
  <c r="W367" i="11"/>
  <c r="X243" i="11"/>
  <c r="Y243" i="11"/>
  <c r="Z243" i="11" s="1"/>
  <c r="W243" i="11"/>
  <c r="X258" i="11"/>
  <c r="Y258" i="11"/>
  <c r="Z258" i="11" s="1"/>
  <c r="W258" i="11"/>
  <c r="X349" i="11"/>
  <c r="Y349" i="11"/>
  <c r="W349" i="11"/>
  <c r="Y120" i="11"/>
  <c r="Z120" i="11" s="1"/>
  <c r="X120" i="11"/>
  <c r="W120" i="11"/>
  <c r="Y155" i="11"/>
  <c r="Z155" i="11" s="1"/>
  <c r="X155" i="11"/>
  <c r="W155" i="11"/>
  <c r="X274" i="11"/>
  <c r="Y274" i="11"/>
  <c r="W274" i="11"/>
  <c r="X360" i="11"/>
  <c r="Y360" i="11"/>
  <c r="W360" i="11"/>
  <c r="Y220" i="11"/>
  <c r="X220" i="11"/>
  <c r="W220" i="11"/>
  <c r="Y54" i="11"/>
  <c r="Z54" i="11" s="1"/>
  <c r="X54" i="11"/>
  <c r="W54" i="11"/>
  <c r="Y312" i="11"/>
  <c r="Z312" i="11" s="1"/>
  <c r="X312" i="11"/>
  <c r="W312" i="11"/>
  <c r="Y49" i="11"/>
  <c r="X49" i="11"/>
  <c r="W49" i="11"/>
  <c r="Y424" i="11"/>
  <c r="X424" i="11"/>
  <c r="W424" i="11"/>
  <c r="X111" i="11"/>
  <c r="Y111" i="11"/>
  <c r="Z111" i="11" s="1"/>
  <c r="W111" i="11"/>
  <c r="X169" i="11"/>
  <c r="Y169" i="11"/>
  <c r="W169" i="11"/>
  <c r="X342" i="11"/>
  <c r="Y342" i="11"/>
  <c r="W342" i="11"/>
  <c r="Y430" i="11"/>
  <c r="Z430" i="11" s="1"/>
  <c r="X430" i="11"/>
  <c r="W430" i="11"/>
  <c r="Y401" i="11"/>
  <c r="X401" i="11"/>
  <c r="W401" i="11"/>
  <c r="Y121" i="11"/>
  <c r="X121" i="11"/>
  <c r="W121" i="11"/>
  <c r="X292" i="11"/>
  <c r="Y292" i="11"/>
  <c r="W292" i="11"/>
  <c r="X62" i="11"/>
  <c r="Y62" i="11"/>
  <c r="W62" i="11"/>
  <c r="Y403" i="11"/>
  <c r="X403" i="11"/>
  <c r="W403" i="11"/>
  <c r="Y389" i="11"/>
  <c r="Z389" i="11" s="1"/>
  <c r="X389" i="11"/>
  <c r="W389" i="11"/>
  <c r="X236" i="11"/>
  <c r="Y236" i="11"/>
  <c r="W236" i="11"/>
  <c r="Y64" i="11"/>
  <c r="X64" i="11"/>
  <c r="W64" i="11"/>
  <c r="Y101" i="11"/>
  <c r="X101" i="11"/>
  <c r="W101" i="11"/>
  <c r="Y75" i="11"/>
  <c r="X75" i="11"/>
  <c r="W75" i="11"/>
  <c r="X117" i="11"/>
  <c r="Y117" i="11"/>
  <c r="W117" i="11"/>
  <c r="Y239" i="11"/>
  <c r="X239" i="11"/>
  <c r="W239" i="11"/>
  <c r="X372" i="11"/>
  <c r="Y372" i="11"/>
  <c r="W372" i="11"/>
  <c r="Y63" i="11"/>
  <c r="X63" i="11"/>
  <c r="W63" i="11"/>
  <c r="X411" i="11"/>
  <c r="Y411" i="11"/>
  <c r="W411" i="11"/>
  <c r="Y66" i="11"/>
  <c r="Z66" i="11" s="1"/>
  <c r="X66" i="11"/>
  <c r="W66" i="11"/>
  <c r="X370" i="11"/>
  <c r="Y370" i="11"/>
  <c r="Z370" i="11" s="1"/>
  <c r="W370" i="11"/>
  <c r="X336" i="11"/>
  <c r="Y336" i="11"/>
  <c r="W336" i="11"/>
  <c r="Y253" i="11"/>
  <c r="X253" i="11"/>
  <c r="W253" i="11"/>
  <c r="Y368" i="11"/>
  <c r="Z368" i="11" s="1"/>
  <c r="X368" i="11"/>
  <c r="W368" i="11"/>
  <c r="Y210" i="11"/>
  <c r="X210" i="11"/>
  <c r="W210" i="11"/>
  <c r="Y118" i="11"/>
  <c r="X118" i="11"/>
  <c r="W118" i="11"/>
  <c r="Y325" i="11"/>
  <c r="X325" i="11"/>
  <c r="W325" i="11"/>
  <c r="Y426" i="11"/>
  <c r="X426" i="11"/>
  <c r="W426" i="11"/>
  <c r="Y219" i="11"/>
  <c r="X219" i="11"/>
  <c r="W219" i="11"/>
  <c r="Y138" i="11"/>
  <c r="Z138" i="11" s="1"/>
  <c r="X138" i="11"/>
  <c r="W138" i="11"/>
  <c r="Y415" i="11"/>
  <c r="Z415" i="11" s="1"/>
  <c r="X415" i="11"/>
  <c r="W415" i="11"/>
  <c r="Y195" i="11"/>
  <c r="X195" i="11"/>
  <c r="W195" i="11"/>
  <c r="Y414" i="11"/>
  <c r="X414" i="11"/>
  <c r="W414" i="11"/>
  <c r="X380" i="11"/>
  <c r="Y380" i="11"/>
  <c r="Z380" i="11" s="1"/>
  <c r="W380" i="11"/>
  <c r="Y139" i="11"/>
  <c r="Z139" i="11" s="1"/>
  <c r="X139" i="11"/>
  <c r="W139" i="11"/>
  <c r="X387" i="11"/>
  <c r="Y387" i="11"/>
  <c r="W387" i="11"/>
  <c r="Y298" i="11"/>
  <c r="X298" i="11"/>
  <c r="W298" i="11"/>
  <c r="X375" i="11"/>
  <c r="Y375" i="11"/>
  <c r="W375" i="11"/>
  <c r="Y82" i="11"/>
  <c r="X82" i="11"/>
  <c r="W82" i="11"/>
  <c r="Y59" i="11"/>
  <c r="X59" i="11"/>
  <c r="W59" i="11"/>
  <c r="X352" i="11"/>
  <c r="Y352" i="11"/>
  <c r="Z352" i="11" s="1"/>
  <c r="W352" i="11"/>
  <c r="X174" i="11"/>
  <c r="Y174" i="11"/>
  <c r="Z174" i="11" s="1"/>
  <c r="W174" i="11"/>
  <c r="Y309" i="11"/>
  <c r="Z309" i="11" s="1"/>
  <c r="X309" i="11"/>
  <c r="W309" i="11"/>
  <c r="Y341" i="11"/>
  <c r="X341" i="11"/>
  <c r="W341" i="11"/>
  <c r="Y192" i="11"/>
  <c r="X192" i="11"/>
  <c r="W192" i="11"/>
  <c r="Y300" i="11"/>
  <c r="Z300" i="11" s="1"/>
  <c r="X300" i="11"/>
  <c r="W300" i="11"/>
  <c r="Y173" i="11"/>
  <c r="Z173" i="11" s="1"/>
  <c r="X173" i="11"/>
  <c r="W173" i="11"/>
  <c r="Y364" i="11"/>
  <c r="X364" i="11"/>
  <c r="W364" i="11"/>
  <c r="Y362" i="11"/>
  <c r="X362" i="11"/>
  <c r="W362" i="11"/>
  <c r="Y316" i="11"/>
  <c r="Z316" i="11" s="1"/>
  <c r="X316" i="11"/>
  <c r="W316" i="11"/>
  <c r="Y201" i="11"/>
  <c r="X201" i="11"/>
  <c r="W201" i="11"/>
  <c r="Y388" i="11"/>
  <c r="X388" i="11"/>
  <c r="W388" i="11"/>
  <c r="Y310" i="11"/>
  <c r="Z310" i="11" s="1"/>
  <c r="X310" i="11"/>
  <c r="W310" i="11"/>
  <c r="X402" i="11"/>
  <c r="Y402" i="11"/>
  <c r="W402" i="11"/>
  <c r="Y203" i="11"/>
  <c r="Z203" i="11" s="1"/>
  <c r="X203" i="11"/>
  <c r="W203" i="11"/>
  <c r="Y211" i="11"/>
  <c r="X211" i="11"/>
  <c r="W211" i="11"/>
  <c r="Y329" i="11"/>
  <c r="Z329" i="11" s="1"/>
  <c r="X329" i="11"/>
  <c r="W329" i="11"/>
  <c r="Y12" i="11"/>
  <c r="Z12" i="11" s="1"/>
  <c r="X12" i="11"/>
  <c r="W12" i="11"/>
  <c r="Y248" i="11"/>
  <c r="Z248" i="11" s="1"/>
  <c r="X248" i="11"/>
  <c r="W248" i="11"/>
  <c r="Y47" i="11"/>
  <c r="X47" i="11"/>
  <c r="W47" i="11"/>
  <c r="X255" i="11"/>
  <c r="Y255" i="11"/>
  <c r="W255" i="11"/>
  <c r="X202" i="11"/>
  <c r="Y202" i="11"/>
  <c r="Z202" i="11" s="1"/>
  <c r="W202" i="11"/>
  <c r="Y291" i="11"/>
  <c r="X291" i="11"/>
  <c r="W291" i="11"/>
  <c r="Y103" i="11"/>
  <c r="X103" i="11"/>
  <c r="W103" i="11"/>
  <c r="Y287" i="11"/>
  <c r="X287" i="11"/>
  <c r="W287" i="11"/>
  <c r="X348" i="11"/>
  <c r="Y348" i="11"/>
  <c r="Z348" i="11" s="1"/>
  <c r="W348" i="11"/>
  <c r="X18" i="11"/>
  <c r="Y18" i="11"/>
  <c r="Z18" i="11" s="1"/>
  <c r="W18" i="11"/>
  <c r="Y324" i="11"/>
  <c r="X324" i="11"/>
  <c r="W324" i="11"/>
  <c r="Y113" i="11"/>
  <c r="Z113" i="11" s="1"/>
  <c r="X113" i="11"/>
  <c r="W113" i="11"/>
  <c r="Y428" i="11"/>
  <c r="Z428" i="11" s="1"/>
  <c r="X428" i="11"/>
  <c r="W428" i="11"/>
  <c r="Y182" i="11"/>
  <c r="X182" i="11"/>
  <c r="W182" i="11"/>
  <c r="Y36" i="11"/>
  <c r="X36" i="11"/>
  <c r="W36" i="11"/>
  <c r="Y351" i="11"/>
  <c r="X351" i="11"/>
  <c r="W351" i="11"/>
  <c r="X122" i="11"/>
  <c r="Y122" i="11"/>
  <c r="Z122" i="11" s="1"/>
  <c r="W122" i="11"/>
  <c r="X51" i="11"/>
  <c r="Y51" i="11"/>
  <c r="Z51" i="11" s="1"/>
  <c r="W51" i="11"/>
  <c r="X373" i="11"/>
  <c r="Y373" i="11"/>
  <c r="W373" i="11"/>
  <c r="Y363" i="11"/>
  <c r="X363" i="11"/>
  <c r="W363" i="11"/>
  <c r="Y321" i="11"/>
  <c r="X321" i="11"/>
  <c r="W321" i="11"/>
  <c r="Y50" i="11"/>
  <c r="X50" i="11"/>
  <c r="W50" i="11"/>
  <c r="Y170" i="11"/>
  <c r="X170" i="11"/>
  <c r="W170" i="11"/>
  <c r="Y322" i="11"/>
  <c r="X322" i="11"/>
  <c r="W322" i="11"/>
  <c r="Y19" i="11"/>
  <c r="Z19" i="11" s="1"/>
  <c r="X19" i="11"/>
  <c r="W19" i="11"/>
  <c r="Y242" i="11"/>
  <c r="X242" i="11"/>
  <c r="W242" i="11"/>
  <c r="Y217" i="11"/>
  <c r="X217" i="11"/>
  <c r="W217" i="11"/>
  <c r="Y106" i="11"/>
  <c r="Z106" i="11" s="1"/>
  <c r="X106" i="11"/>
  <c r="W106" i="11"/>
  <c r="Y216" i="11"/>
  <c r="X216" i="11"/>
  <c r="W216" i="11"/>
  <c r="X116" i="11"/>
  <c r="Y116" i="11"/>
  <c r="W116" i="11"/>
  <c r="Y93" i="11"/>
  <c r="X93" i="11"/>
  <c r="W93" i="11"/>
  <c r="Y140" i="11"/>
  <c r="Z140" i="11" s="1"/>
  <c r="X140" i="11"/>
  <c r="W140" i="11"/>
  <c r="Y131" i="11"/>
  <c r="X131" i="11"/>
  <c r="W131" i="11"/>
  <c r="Y180" i="11"/>
  <c r="X180" i="11"/>
  <c r="W180" i="11"/>
  <c r="Y277" i="11"/>
  <c r="Z277" i="11" s="1"/>
  <c r="X277" i="11"/>
  <c r="W277" i="11"/>
  <c r="Y161" i="11"/>
  <c r="X161" i="11"/>
  <c r="W161" i="11"/>
  <c r="X159" i="11"/>
  <c r="Y159" i="11"/>
  <c r="W159" i="11"/>
  <c r="Y34" i="11"/>
  <c r="X34" i="11"/>
  <c r="W34" i="11"/>
  <c r="Y112" i="11"/>
  <c r="Z112" i="11" s="1"/>
  <c r="X112" i="11"/>
  <c r="W112" i="11"/>
  <c r="X374" i="11"/>
  <c r="Y374" i="11"/>
  <c r="W374" i="11"/>
  <c r="Y214" i="11"/>
  <c r="X214" i="11"/>
  <c r="W214" i="11"/>
  <c r="X134" i="11"/>
  <c r="Y134" i="11"/>
  <c r="W134" i="11"/>
  <c r="Y317" i="11"/>
  <c r="Z317" i="11" s="1"/>
  <c r="X317" i="11"/>
  <c r="W317" i="11"/>
  <c r="Y231" i="11"/>
  <c r="Z231" i="11" s="1"/>
  <c r="X231" i="11"/>
  <c r="W231" i="11"/>
  <c r="Y251" i="11"/>
  <c r="X251" i="11"/>
  <c r="W251" i="11"/>
  <c r="Y345" i="11"/>
  <c r="X345" i="11"/>
  <c r="W345" i="11"/>
  <c r="Y104" i="11"/>
  <c r="X104" i="11"/>
  <c r="W104" i="11"/>
  <c r="Y172" i="11"/>
  <c r="Z172" i="11" s="1"/>
  <c r="X172" i="11"/>
  <c r="W172" i="11"/>
  <c r="Y353" i="11"/>
  <c r="Z353" i="11" s="1"/>
  <c r="X353" i="11"/>
  <c r="W353" i="11"/>
  <c r="X107" i="11"/>
  <c r="Y107" i="11"/>
  <c r="Z107" i="11" s="1"/>
  <c r="W107" i="11"/>
  <c r="Y273" i="11"/>
  <c r="X273" i="11"/>
  <c r="W273" i="11"/>
  <c r="Y133" i="11"/>
  <c r="X133" i="11"/>
  <c r="W133" i="11"/>
  <c r="X423" i="11"/>
  <c r="Y423" i="11"/>
  <c r="W423" i="11"/>
  <c r="Y162" i="11"/>
  <c r="X162" i="11"/>
  <c r="W162" i="11"/>
  <c r="Y338" i="11"/>
  <c r="X338" i="11"/>
  <c r="W338" i="11"/>
  <c r="X141" i="11"/>
  <c r="Y141" i="11"/>
  <c r="Z141" i="11" s="1"/>
  <c r="W141" i="11"/>
  <c r="X244" i="11"/>
  <c r="Y244" i="11"/>
  <c r="W244" i="11"/>
  <c r="Y73" i="11"/>
  <c r="X73" i="11"/>
  <c r="W73" i="11"/>
  <c r="Y347" i="11"/>
  <c r="X347" i="11"/>
  <c r="W347" i="11"/>
  <c r="Y77" i="11"/>
  <c r="Z77" i="11" s="1"/>
  <c r="X77" i="11"/>
  <c r="W77" i="11"/>
  <c r="Y433" i="11"/>
  <c r="Z433" i="11" s="1"/>
  <c r="X433" i="11"/>
  <c r="W433" i="11"/>
  <c r="X232" i="11"/>
  <c r="Y232" i="11"/>
  <c r="Z232" i="11" s="1"/>
  <c r="W232" i="11"/>
  <c r="Y270" i="11"/>
  <c r="X270" i="11"/>
  <c r="W270" i="11"/>
  <c r="X228" i="11"/>
  <c r="Y228" i="11"/>
  <c r="W228" i="11"/>
  <c r="Y114" i="11"/>
  <c r="Z114" i="11" s="1"/>
  <c r="X114" i="11"/>
  <c r="W114" i="11"/>
  <c r="Y151" i="11"/>
  <c r="Z151" i="11" s="1"/>
  <c r="X151" i="11"/>
  <c r="W151" i="11"/>
  <c r="Y224" i="11"/>
  <c r="Z224" i="11" s="1"/>
  <c r="X224" i="11"/>
  <c r="W224" i="11"/>
  <c r="Y74" i="11"/>
  <c r="X74" i="11"/>
  <c r="W74" i="11"/>
  <c r="Y350" i="11"/>
  <c r="X350" i="11"/>
  <c r="W350" i="11"/>
  <c r="Y304" i="11"/>
  <c r="X304" i="11"/>
  <c r="W304" i="11"/>
  <c r="Y184" i="11"/>
  <c r="X184" i="11"/>
  <c r="W184" i="11"/>
  <c r="X183" i="11"/>
  <c r="Y183" i="11"/>
  <c r="W183" i="11"/>
  <c r="Y17" i="11"/>
  <c r="X17" i="11"/>
  <c r="W17" i="11"/>
  <c r="Y264" i="11"/>
  <c r="X264" i="11"/>
  <c r="W264" i="11"/>
  <c r="Y263" i="11"/>
  <c r="X263" i="11"/>
  <c r="W263" i="11"/>
  <c r="Y252" i="11"/>
  <c r="X252" i="11"/>
  <c r="W252" i="11"/>
  <c r="Y293" i="11"/>
  <c r="Z293" i="11" s="1"/>
  <c r="X293" i="11"/>
  <c r="W293" i="11"/>
  <c r="X38" i="11"/>
  <c r="Y38" i="11"/>
  <c r="Z38" i="11" s="1"/>
  <c r="W38" i="11"/>
  <c r="Y266" i="11"/>
  <c r="Z266" i="11" s="1"/>
  <c r="X266" i="11"/>
  <c r="W266" i="11"/>
  <c r="X168" i="11"/>
  <c r="Y168" i="11"/>
  <c r="W168" i="11"/>
  <c r="Y221" i="11"/>
  <c r="X221" i="11"/>
  <c r="W221" i="11"/>
  <c r="Y311" i="11"/>
  <c r="Z311" i="11" s="1"/>
  <c r="X311" i="11"/>
  <c r="W311" i="11"/>
  <c r="Y115" i="11"/>
  <c r="X115" i="11"/>
  <c r="W115" i="11"/>
  <c r="Y212" i="11"/>
  <c r="X212" i="11"/>
  <c r="W212" i="11"/>
  <c r="X160" i="11"/>
  <c r="Y160" i="11"/>
  <c r="W160" i="11"/>
  <c r="Y76" i="11"/>
  <c r="X76" i="11"/>
  <c r="W76" i="11"/>
  <c r="Y427" i="11"/>
  <c r="X427" i="11"/>
  <c r="W427" i="11"/>
  <c r="Y315" i="11"/>
  <c r="X315" i="11"/>
  <c r="W315" i="11"/>
  <c r="Y431" i="11"/>
  <c r="Z431" i="11" s="1"/>
  <c r="X431" i="11"/>
  <c r="W431" i="11"/>
  <c r="Y83" i="11"/>
  <c r="X83" i="11"/>
  <c r="W83" i="11"/>
  <c r="X384" i="11"/>
  <c r="Y384" i="11"/>
  <c r="W384" i="11"/>
  <c r="X376" i="11"/>
  <c r="Y376" i="11"/>
  <c r="W376" i="11"/>
  <c r="X259" i="11"/>
  <c r="Y259" i="11"/>
  <c r="Z259" i="11" s="1"/>
  <c r="W259" i="11"/>
  <c r="Y84" i="11"/>
  <c r="X84" i="11"/>
  <c r="W84" i="11"/>
  <c r="X390" i="11"/>
  <c r="Y390" i="11"/>
  <c r="Z390" i="11" s="1"/>
  <c r="W390" i="11"/>
  <c r="Y256" i="11"/>
  <c r="X256" i="11"/>
  <c r="W256" i="11"/>
  <c r="Y254" i="11"/>
  <c r="X254" i="11"/>
  <c r="W254" i="11"/>
  <c r="Y198" i="11"/>
  <c r="X198" i="11"/>
  <c r="W198" i="11"/>
  <c r="Y48" i="11"/>
  <c r="X48" i="11"/>
  <c r="W48" i="11"/>
  <c r="Y365" i="11"/>
  <c r="X365" i="11"/>
  <c r="W365" i="11"/>
  <c r="Y185" i="11"/>
  <c r="Z185" i="11" s="1"/>
  <c r="X185" i="11"/>
  <c r="W185" i="11"/>
  <c r="X340" i="11"/>
  <c r="Y340" i="11"/>
  <c r="Z340" i="11" s="1"/>
  <c r="W340" i="11"/>
  <c r="Y405" i="11"/>
  <c r="Z405" i="11" s="1"/>
  <c r="X405" i="11"/>
  <c r="W405" i="11"/>
  <c r="X272" i="11"/>
  <c r="Y272" i="11"/>
  <c r="W272" i="11"/>
  <c r="Y275" i="11"/>
  <c r="X275" i="11"/>
  <c r="W275" i="11"/>
  <c r="X226" i="11"/>
  <c r="Y226" i="11"/>
  <c r="Z226" i="11" s="1"/>
  <c r="W226" i="11"/>
  <c r="Y410" i="11"/>
  <c r="X410" i="11"/>
  <c r="W410" i="11"/>
  <c r="Y58" i="11"/>
  <c r="X58" i="11"/>
  <c r="W58" i="11"/>
  <c r="Y223" i="11"/>
  <c r="Z223" i="11" s="1"/>
  <c r="X223" i="11"/>
  <c r="W223" i="11"/>
  <c r="Y285" i="11"/>
  <c r="X285" i="11"/>
  <c r="W285" i="11"/>
  <c r="Y196" i="11"/>
  <c r="X196" i="11"/>
  <c r="W196" i="11"/>
  <c r="X154" i="11"/>
  <c r="Y154" i="11"/>
  <c r="W154" i="11"/>
  <c r="Y92" i="11"/>
  <c r="Z92" i="11" s="1"/>
  <c r="X92" i="11"/>
  <c r="W92" i="11"/>
  <c r="Y233" i="11"/>
  <c r="Z233" i="11" s="1"/>
  <c r="X233" i="11"/>
  <c r="W233" i="11"/>
  <c r="Y157" i="11"/>
  <c r="Z157" i="11" s="1"/>
  <c r="X157" i="11"/>
  <c r="W157" i="11"/>
  <c r="Y150" i="11"/>
  <c r="Z150" i="11" s="1"/>
  <c r="X150" i="11"/>
  <c r="W150" i="11"/>
  <c r="Y425" i="11"/>
  <c r="X425" i="11"/>
  <c r="W425" i="11"/>
  <c r="X429" i="11"/>
  <c r="Y429" i="11"/>
  <c r="Z429" i="11" s="1"/>
  <c r="W429" i="11"/>
  <c r="Y327" i="11"/>
  <c r="X327" i="11"/>
  <c r="W327" i="11"/>
  <c r="Y229" i="11"/>
  <c r="X229" i="11"/>
  <c r="W229" i="11"/>
  <c r="Y46" i="11"/>
  <c r="X46" i="11"/>
  <c r="W46" i="11"/>
  <c r="Y105" i="11"/>
  <c r="X105" i="11"/>
  <c r="W105" i="11"/>
  <c r="Y164" i="11"/>
  <c r="Z164" i="11" s="1"/>
  <c r="X164" i="11"/>
  <c r="W164" i="11"/>
  <c r="Y227" i="11"/>
  <c r="X227" i="11"/>
  <c r="W227" i="11"/>
  <c r="X302" i="11"/>
  <c r="Y302" i="11"/>
  <c r="W302" i="11"/>
  <c r="Y158" i="11"/>
  <c r="X158" i="11"/>
  <c r="W158" i="11"/>
  <c r="X52" i="11"/>
  <c r="Y52" i="11"/>
  <c r="Z52" i="11" s="1"/>
  <c r="W52" i="11"/>
  <c r="X60" i="11"/>
  <c r="Y60" i="11"/>
  <c r="W60" i="11"/>
  <c r="Y81" i="11"/>
  <c r="X81" i="11"/>
  <c r="W81" i="11"/>
  <c r="X378" i="11"/>
  <c r="Y378" i="11"/>
  <c r="W378" i="11"/>
  <c r="X366" i="11"/>
  <c r="Y366" i="11"/>
  <c r="W366" i="11"/>
  <c r="X286" i="11"/>
  <c r="Y286" i="11"/>
  <c r="W286" i="11"/>
  <c r="X102" i="11"/>
  <c r="Y102" i="11"/>
  <c r="W102" i="11"/>
  <c r="Y156" i="11"/>
  <c r="Z156" i="11" s="1"/>
  <c r="X156" i="11"/>
  <c r="W156" i="11"/>
  <c r="Y91" i="11"/>
  <c r="X91" i="11"/>
  <c r="W91" i="11"/>
  <c r="Y213" i="11"/>
  <c r="X213" i="11"/>
  <c r="W213" i="11"/>
  <c r="Y65" i="11"/>
  <c r="Z65" i="11" s="1"/>
  <c r="X65" i="11"/>
  <c r="W65" i="11"/>
  <c r="X343" i="11"/>
  <c r="Y343" i="11"/>
  <c r="W343" i="11"/>
  <c r="Y250" i="11"/>
  <c r="Z250" i="11" s="1"/>
  <c r="X250" i="11"/>
  <c r="W250" i="11"/>
  <c r="X294" i="11"/>
  <c r="Y294" i="11"/>
  <c r="Z294" i="11" s="1"/>
  <c r="W294" i="11"/>
  <c r="Y136" i="11"/>
  <c r="Z136" i="11" s="1"/>
  <c r="X136" i="11"/>
  <c r="W136" i="11"/>
  <c r="Y299" i="11"/>
  <c r="Z299" i="11" s="1"/>
  <c r="X299" i="11"/>
  <c r="W299" i="11"/>
  <c r="Y119" i="11"/>
  <c r="X119" i="11"/>
  <c r="W119" i="11"/>
  <c r="Y265" i="11"/>
  <c r="Z265" i="11" s="1"/>
  <c r="X265" i="11"/>
  <c r="W265" i="11"/>
  <c r="Y434" i="11"/>
  <c r="Z434" i="11" s="1"/>
  <c r="X434" i="11"/>
  <c r="W434" i="11"/>
  <c r="Y11" i="11"/>
  <c r="Z11" i="11" s="1"/>
  <c r="X11" i="11"/>
  <c r="W11" i="11"/>
  <c r="Y369" i="11"/>
  <c r="Z369" i="11" s="1"/>
  <c r="X369" i="11"/>
  <c r="W369" i="11"/>
  <c r="Y271" i="11"/>
  <c r="X271" i="11"/>
  <c r="W271" i="11"/>
  <c r="Y218" i="11"/>
  <c r="X218" i="11"/>
  <c r="W218" i="11"/>
  <c r="X278" i="11"/>
  <c r="Y278" i="11"/>
  <c r="Z278" i="11" s="1"/>
  <c r="W278" i="11"/>
  <c r="Y130" i="11"/>
  <c r="X130" i="11"/>
  <c r="W130" i="11"/>
  <c r="X371" i="11"/>
  <c r="Y371" i="11"/>
  <c r="Z371" i="11" s="1"/>
  <c r="W371" i="11"/>
  <c r="X149" i="11"/>
  <c r="Y149" i="11"/>
  <c r="Z149" i="11" s="1"/>
  <c r="W149" i="11"/>
  <c r="Y344" i="11"/>
  <c r="X344" i="11"/>
  <c r="W344" i="11"/>
  <c r="Y413" i="11"/>
  <c r="X413" i="11"/>
  <c r="W413" i="11"/>
  <c r="X249" i="11"/>
  <c r="Y249" i="11"/>
  <c r="Z249" i="11" s="1"/>
  <c r="W249" i="11"/>
  <c r="X346" i="11"/>
  <c r="Y346" i="11"/>
  <c r="W346" i="11"/>
  <c r="X400" i="11"/>
  <c r="Y400" i="11"/>
  <c r="W400" i="11"/>
  <c r="Y406" i="11"/>
  <c r="Z406" i="11" s="1"/>
  <c r="X406" i="11"/>
  <c r="W406" i="11"/>
  <c r="Y404" i="11"/>
  <c r="X404" i="11"/>
  <c r="W404" i="11"/>
  <c r="Y303" i="11"/>
  <c r="X303" i="11"/>
  <c r="W303" i="11"/>
  <c r="Y313" i="11"/>
  <c r="X313" i="11"/>
  <c r="W313" i="11"/>
  <c r="Y79" i="11"/>
  <c r="Z79" i="11" s="1"/>
  <c r="X79" i="11"/>
  <c r="W79" i="11"/>
  <c r="Y181" i="11"/>
  <c r="X181" i="11"/>
  <c r="W181" i="11"/>
  <c r="X288" i="11"/>
  <c r="Y288" i="11"/>
  <c r="Z288" i="11" s="1"/>
  <c r="W288" i="11"/>
  <c r="X153" i="11"/>
  <c r="Y153" i="11"/>
  <c r="W153" i="11"/>
  <c r="X123" i="11"/>
  <c r="Y123" i="11"/>
  <c r="W123" i="11"/>
  <c r="Y137" i="11"/>
  <c r="Z137" i="11" s="1"/>
  <c r="X137" i="11"/>
  <c r="W137" i="11"/>
  <c r="Y339" i="11"/>
  <c r="Z339" i="11" s="1"/>
  <c r="X339" i="11"/>
  <c r="W339" i="11"/>
  <c r="X222" i="11"/>
  <c r="Y222" i="11"/>
  <c r="Z222" i="11" s="1"/>
  <c r="W222" i="11"/>
  <c r="X178" i="11"/>
  <c r="Y178" i="11"/>
  <c r="W178" i="11"/>
  <c r="Y307" i="11"/>
  <c r="Z307" i="11" s="1"/>
  <c r="X307" i="11"/>
  <c r="W307" i="11"/>
  <c r="Y328" i="11"/>
  <c r="Z328" i="11" s="1"/>
  <c r="X328" i="11"/>
  <c r="W328" i="11"/>
  <c r="Y225" i="11"/>
  <c r="Z225" i="11" s="1"/>
  <c r="X225" i="11"/>
  <c r="W225" i="11"/>
  <c r="Y190" i="11"/>
  <c r="X190" i="11"/>
  <c r="W190" i="11"/>
  <c r="Y257" i="11"/>
  <c r="X257" i="11"/>
  <c r="W257" i="11"/>
  <c r="X240" i="11"/>
  <c r="Y240" i="11"/>
  <c r="W240" i="11"/>
  <c r="X241" i="11"/>
  <c r="Y241" i="11"/>
  <c r="W241" i="11"/>
  <c r="X377" i="11"/>
  <c r="Y377" i="11"/>
  <c r="W377" i="11"/>
  <c r="X385" i="11"/>
  <c r="Y385" i="11"/>
  <c r="W385" i="11"/>
  <c r="Y416" i="11"/>
  <c r="Z416" i="11" s="1"/>
  <c r="X416" i="11"/>
  <c r="W416" i="11"/>
  <c r="X314" i="11"/>
  <c r="Y314" i="11"/>
  <c r="W314" i="11"/>
  <c r="Y386" i="11"/>
  <c r="X386" i="11"/>
  <c r="W386" i="11"/>
  <c r="Y245" i="11"/>
  <c r="X245" i="11"/>
  <c r="W245" i="11"/>
  <c r="Y45" i="11"/>
  <c r="X45" i="11"/>
  <c r="W45" i="11"/>
  <c r="Y10" i="11"/>
  <c r="X10" i="11"/>
  <c r="W10"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Z76" i="11" l="1"/>
  <c r="Z123" i="11"/>
  <c r="Y443" i="11"/>
  <c r="Z93" i="11"/>
  <c r="Z23" i="11"/>
  <c r="H31" i="2"/>
  <c r="H34" i="2"/>
  <c r="H33" i="2"/>
  <c r="H35" i="2"/>
  <c r="H30" i="2"/>
  <c r="Z158" i="11"/>
  <c r="Z162" i="11"/>
  <c r="Z242" i="11"/>
  <c r="Z388" i="11"/>
  <c r="Z401" i="11"/>
  <c r="Z323" i="11"/>
  <c r="Z44" i="11"/>
  <c r="Z198" i="11"/>
  <c r="Z264" i="11"/>
  <c r="Z59" i="11"/>
  <c r="Z238" i="11"/>
  <c r="Z244" i="11"/>
  <c r="Z117" i="11"/>
  <c r="Z245" i="11"/>
  <c r="Z257" i="11"/>
  <c r="Z181" i="11"/>
  <c r="Z404" i="11"/>
  <c r="Z271" i="11"/>
  <c r="Z81" i="11"/>
  <c r="Z46" i="11"/>
  <c r="Z425" i="11"/>
  <c r="Z275" i="11"/>
  <c r="Z254" i="11"/>
  <c r="Z221" i="11"/>
  <c r="Z350" i="11"/>
  <c r="Z251" i="11"/>
  <c r="Z214" i="11"/>
  <c r="Z131" i="11"/>
  <c r="Z216" i="11"/>
  <c r="Z321" i="11"/>
  <c r="Z291" i="11"/>
  <c r="Z201" i="11"/>
  <c r="Z82" i="11"/>
  <c r="Z325" i="11"/>
  <c r="Z253" i="11"/>
  <c r="Z179" i="11"/>
  <c r="Z305" i="11"/>
  <c r="Z412" i="11"/>
  <c r="Z61" i="11"/>
  <c r="Z80" i="11"/>
  <c r="Z361" i="11"/>
  <c r="Z199" i="11"/>
  <c r="Z191" i="11"/>
  <c r="Z197" i="11"/>
  <c r="Z237" i="11"/>
  <c r="Z193" i="11"/>
  <c r="Z84" i="11"/>
  <c r="Z73" i="11"/>
  <c r="Z211" i="11"/>
  <c r="Z302" i="11"/>
  <c r="Z423" i="11"/>
  <c r="Z292" i="11"/>
  <c r="Z45" i="11"/>
  <c r="Z285" i="11"/>
  <c r="Z182" i="11"/>
  <c r="Z341" i="11"/>
  <c r="Z239" i="11"/>
  <c r="Z132" i="11"/>
  <c r="Z411" i="11"/>
  <c r="Z377" i="11"/>
  <c r="Z178" i="11"/>
  <c r="Z286" i="11"/>
  <c r="Z60" i="11"/>
  <c r="Z154" i="11"/>
  <c r="Z272" i="11"/>
  <c r="Z376" i="11"/>
  <c r="Z168" i="11"/>
  <c r="Z183" i="11"/>
  <c r="Z228" i="11"/>
  <c r="Z374" i="11"/>
  <c r="Z402" i="11"/>
  <c r="Z375" i="11"/>
  <c r="Z336" i="11"/>
  <c r="Z342" i="11"/>
  <c r="Z276" i="11"/>
  <c r="Z47" i="11"/>
  <c r="Z195" i="11"/>
  <c r="Z159" i="11"/>
  <c r="Z236" i="11"/>
  <c r="Z274" i="11"/>
  <c r="Z386" i="11"/>
  <c r="Z190" i="11"/>
  <c r="Z413" i="11"/>
  <c r="Z130" i="11"/>
  <c r="Z213" i="11"/>
  <c r="Z227" i="11"/>
  <c r="Z229" i="11"/>
  <c r="Z58" i="11"/>
  <c r="Z365" i="11"/>
  <c r="Z256" i="11"/>
  <c r="Z315" i="11"/>
  <c r="Z212" i="11"/>
  <c r="Z252" i="11"/>
  <c r="Z74" i="11"/>
  <c r="Z133" i="11"/>
  <c r="Z161" i="11"/>
  <c r="Z322" i="11"/>
  <c r="Z363" i="11"/>
  <c r="Z351" i="11"/>
  <c r="Z118" i="11"/>
  <c r="Z63" i="11"/>
  <c r="Z121" i="11"/>
  <c r="Z424" i="11"/>
  <c r="Z194" i="11"/>
  <c r="Z301" i="11"/>
  <c r="Z303" i="11"/>
  <c r="Z83" i="11"/>
  <c r="Z50" i="11"/>
  <c r="Z364" i="11"/>
  <c r="Z64" i="11"/>
  <c r="Z215" i="11"/>
  <c r="Z218" i="11"/>
  <c r="Z105" i="11"/>
  <c r="Z304" i="11"/>
  <c r="Z180" i="11"/>
  <c r="Z103" i="11"/>
  <c r="Z142" i="11"/>
  <c r="Z385" i="11"/>
  <c r="Z314" i="11"/>
  <c r="Z241" i="11"/>
  <c r="Z153" i="11"/>
  <c r="Z400" i="11"/>
  <c r="Z366" i="11"/>
  <c r="Z384" i="11"/>
  <c r="Z373" i="11"/>
  <c r="Z255" i="11"/>
  <c r="Z372" i="11"/>
  <c r="Z290" i="11"/>
  <c r="Z345" i="11"/>
  <c r="Z426" i="11"/>
  <c r="Z102" i="11"/>
  <c r="Z160" i="11"/>
  <c r="Z313" i="11"/>
  <c r="Z344" i="11"/>
  <c r="Z119" i="11"/>
  <c r="Z91" i="11"/>
  <c r="Z327" i="11"/>
  <c r="Z196" i="11"/>
  <c r="Z410" i="11"/>
  <c r="Z48" i="11"/>
  <c r="Z427" i="11"/>
  <c r="Z115" i="11"/>
  <c r="Z263" i="11"/>
  <c r="Z184" i="11"/>
  <c r="Z270" i="11"/>
  <c r="Z347" i="11"/>
  <c r="Z338" i="11"/>
  <c r="Z273" i="11"/>
  <c r="Z104" i="11"/>
  <c r="Z217" i="11"/>
  <c r="Z170" i="11"/>
  <c r="Z324" i="11"/>
  <c r="Z287" i="11"/>
  <c r="Z362" i="11"/>
  <c r="Z192" i="11"/>
  <c r="Z298" i="11"/>
  <c r="Z414" i="11"/>
  <c r="Z219" i="11"/>
  <c r="Z210" i="11"/>
  <c r="Z101" i="11"/>
  <c r="Z403" i="11"/>
  <c r="Z49" i="11"/>
  <c r="Z220" i="11"/>
  <c r="Z326" i="11"/>
  <c r="Z200" i="11"/>
  <c r="Z335" i="11"/>
  <c r="Z35" i="11"/>
  <c r="Z240" i="11"/>
  <c r="Z346" i="11"/>
  <c r="Z343" i="11"/>
  <c r="Z378" i="11"/>
  <c r="Z134" i="11"/>
  <c r="Z116" i="11"/>
  <c r="Z387" i="11"/>
  <c r="Z62" i="11"/>
  <c r="Z169" i="11"/>
  <c r="Z360" i="11"/>
  <c r="Z349" i="11"/>
  <c r="Z337" i="11"/>
  <c r="Z34" i="11"/>
  <c r="Z17" i="11"/>
  <c r="E3" i="2"/>
  <c r="Z75" i="11"/>
  <c r="G32" i="2"/>
  <c r="Z37" i="11"/>
  <c r="G4" i="2"/>
  <c r="Z10" i="11"/>
  <c r="G3" i="2"/>
  <c r="Z36" i="11"/>
  <c r="E4" i="2"/>
  <c r="H18" i="2"/>
  <c r="H24" i="2"/>
  <c r="H12" i="2"/>
  <c r="H6" i="2"/>
  <c r="H9" i="2"/>
  <c r="H15" i="2"/>
  <c r="H21" i="2"/>
  <c r="H5" i="2"/>
  <c r="H11" i="2"/>
  <c r="H8" i="2"/>
  <c r="H14" i="2"/>
  <c r="H20" i="2"/>
  <c r="H17" i="2"/>
  <c r="H23" i="2"/>
  <c r="H7" i="2"/>
  <c r="H13" i="2"/>
  <c r="H19" i="2"/>
  <c r="H29" i="2"/>
  <c r="H10" i="2"/>
  <c r="H16" i="2"/>
  <c r="H22" i="2"/>
  <c r="M4" i="13"/>
  <c r="M106" i="13"/>
  <c r="M107" i="13"/>
  <c r="M3" i="13"/>
  <c r="L8" i="2"/>
  <c r="Z443" i="11" l="1"/>
  <c r="E32" i="2"/>
  <c r="F32" i="2" s="1"/>
  <c r="AR7" i="11"/>
  <c r="F4" i="2"/>
  <c r="I109" i="13"/>
  <c r="D36" i="2"/>
  <c r="K13" i="2" s="1"/>
  <c r="D25" i="2"/>
  <c r="K12" i="2" s="1"/>
  <c r="F36" i="2" l="1"/>
  <c r="M13" i="2" s="1"/>
  <c r="H32" i="2"/>
  <c r="H36" i="2" s="1"/>
  <c r="O13" i="2" s="1"/>
  <c r="AS7" i="1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Z5" i="11"/>
  <c r="AA5" i="11"/>
  <c r="AA4" i="11"/>
  <c r="AA3" i="11"/>
  <c r="B3" i="11"/>
  <c r="B4" i="11"/>
  <c r="P6" i="2"/>
  <c r="H25" i="2"/>
  <c r="Z4" i="11" l="1"/>
  <c r="Z3" i="11"/>
  <c r="B5" i="11"/>
  <c r="O12" i="2"/>
  <c r="O14" i="2" s="1"/>
  <c r="AR443" i="11"/>
  <c r="O8" i="2"/>
  <c r="AS443"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BA5" authorId="0" shapeId="0" xr:uid="{5FD34519-FB02-4A31-9E9E-68679130E175}">
      <text>
        <r>
          <rPr>
            <b/>
            <sz val="9"/>
            <color indexed="81"/>
            <rFont val="Tahoma"/>
            <family val="2"/>
            <charset val="238"/>
          </rPr>
          <t>Ha mínusz 1-2 forint az eltérés, akkor én lecsökkentem a bruttó bért annyival. Ha plusz 1-2 forint, akkor marad az alaplevél szerinti bére</t>
        </r>
        <r>
          <rPr>
            <sz val="9"/>
            <color indexed="81"/>
            <rFont val="Tahoma"/>
            <family val="2"/>
            <charset val="238"/>
          </rPr>
          <t xml:space="preserve">
</t>
        </r>
      </text>
    </comment>
    <comment ref="AI35" authorId="0" shapeId="0" xr:uid="{48D73457-4B15-4AAD-B616-C134D246638F}">
      <text>
        <r>
          <rPr>
            <b/>
            <sz val="9"/>
            <color indexed="81"/>
            <rFont val="Tahoma"/>
            <family val="2"/>
            <charset val="238"/>
          </rPr>
          <t>2022.11.08-ig dolgozott</t>
        </r>
        <r>
          <rPr>
            <sz val="9"/>
            <color indexed="81"/>
            <rFont val="Tahoma"/>
            <family val="2"/>
            <charset val="238"/>
          </rPr>
          <t xml:space="preserve">
</t>
        </r>
      </text>
    </comment>
    <comment ref="AM73" authorId="0" shapeId="0" xr:uid="{89AC260C-D5CF-4422-AE08-D115E8A6188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4" authorId="0" shapeId="0" xr:uid="{072BDE67-4C4B-4C8A-BBA6-641FB79112D9}">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5" authorId="0" shapeId="0" xr:uid="{74D0776A-0053-477C-A5D4-67C987C9B93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6" authorId="0" shapeId="0" xr:uid="{FC80106C-BF93-4A5D-A1E9-7A851D4B16B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7" authorId="0" shapeId="0" xr:uid="{0D074AB7-73C9-4C12-A7A1-088437C9FFB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8" authorId="0" shapeId="0" xr:uid="{B2B7DCCF-4C16-45BE-992A-2A49D79598F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9" authorId="0" shapeId="0" xr:uid="{89AE3363-9F69-432A-9A9F-DA302D6DE10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83" authorId="0" shapeId="0" xr:uid="{B8E7E6F6-46BE-42AD-83AD-7FE8C8168CB2}">
      <text>
        <r>
          <rPr>
            <b/>
            <sz val="9"/>
            <color indexed="81"/>
            <rFont val="Tahoma"/>
            <family val="2"/>
            <charset val="238"/>
          </rPr>
          <t>gyermekápolási</t>
        </r>
        <r>
          <rPr>
            <sz val="9"/>
            <color indexed="81"/>
            <rFont val="Tahoma"/>
            <family val="2"/>
            <charset val="238"/>
          </rPr>
          <t xml:space="preserve">
</t>
        </r>
      </text>
    </comment>
    <comment ref="AM100" authorId="0" shapeId="0" xr:uid="{C58DEEFE-BCDE-49E6-9336-52579B9814B7}">
      <text>
        <r>
          <rPr>
            <b/>
            <sz val="9"/>
            <color indexed="81"/>
            <rFont val="Tahoma"/>
            <family val="2"/>
            <charset val="238"/>
          </rPr>
          <t>betegszabi</t>
        </r>
        <r>
          <rPr>
            <sz val="9"/>
            <color indexed="81"/>
            <rFont val="Tahoma"/>
            <family val="2"/>
            <charset val="238"/>
          </rPr>
          <t xml:space="preserve">
</t>
        </r>
      </text>
    </comment>
    <comment ref="AI152" authorId="0" shapeId="0" xr:uid="{6EFCCFA6-7A0B-4A59-B0BD-343208CA25C2}">
      <text>
        <r>
          <rPr>
            <b/>
            <sz val="9"/>
            <color indexed="81"/>
            <rFont val="Tahoma"/>
            <family val="2"/>
            <charset val="238"/>
          </rPr>
          <t>2023.03.13-24 dolgozott</t>
        </r>
        <r>
          <rPr>
            <sz val="9"/>
            <color indexed="81"/>
            <rFont val="Tahoma"/>
            <family val="2"/>
            <charset val="238"/>
          </rPr>
          <t xml:space="preserve">
</t>
        </r>
      </text>
    </comment>
    <comment ref="AF178" authorId="0" shapeId="0" xr:uid="{8ED36484-3EC4-4F1C-95A2-6A3489C83781}">
      <text>
        <r>
          <rPr>
            <b/>
            <sz val="9"/>
            <color indexed="81"/>
            <rFont val="Tahoma"/>
            <family val="2"/>
            <charset val="238"/>
          </rPr>
          <t>alaplevél c017000149 témasámra indult, javítottam</t>
        </r>
      </text>
    </comment>
    <comment ref="AN178" authorId="0" shapeId="0" xr:uid="{30ED9661-AFC1-4548-BA96-F8D00B282423}">
      <text>
        <r>
          <rPr>
            <b/>
            <sz val="9"/>
            <color indexed="81"/>
            <rFont val="Tahoma"/>
            <family val="2"/>
            <charset val="238"/>
          </rPr>
          <t>járulékkedvezmény</t>
        </r>
        <r>
          <rPr>
            <sz val="9"/>
            <color indexed="81"/>
            <rFont val="Tahoma"/>
            <family val="2"/>
            <charset val="238"/>
          </rPr>
          <t xml:space="preserve">
</t>
        </r>
      </text>
    </comment>
    <comment ref="AS178" authorId="0" shapeId="0" xr:uid="{D605FE45-D867-47D7-8696-66474C7F8091}">
      <text>
        <r>
          <rPr>
            <b/>
            <sz val="9"/>
            <color indexed="81"/>
            <rFont val="Tahoma"/>
            <family val="2"/>
            <charset val="238"/>
          </rPr>
          <t>eredetileg 56.034-et könyveltem járulékot. javítottam</t>
        </r>
        <r>
          <rPr>
            <sz val="9"/>
            <color indexed="81"/>
            <rFont val="Tahoma"/>
            <family val="2"/>
            <charset val="238"/>
          </rPr>
          <t xml:space="preserve">
</t>
        </r>
      </text>
    </comment>
    <comment ref="AF179" authorId="0" shapeId="0" xr:uid="{407B31E0-E845-4757-B45B-99B95EE495B0}">
      <text>
        <r>
          <rPr>
            <b/>
            <sz val="9"/>
            <color indexed="81"/>
            <rFont val="Tahoma"/>
            <family val="2"/>
            <charset val="238"/>
          </rPr>
          <t>alaplevél c017000149 témasámra indult, javítottam</t>
        </r>
      </text>
    </comment>
    <comment ref="AN179" authorId="0" shapeId="0" xr:uid="{CC1D1B13-7151-46CF-A20D-7FEC0ADDFD02}">
      <text>
        <r>
          <rPr>
            <b/>
            <sz val="9"/>
            <color indexed="81"/>
            <rFont val="Tahoma"/>
            <family val="2"/>
            <charset val="238"/>
          </rPr>
          <t>járulékkedvezmény</t>
        </r>
        <r>
          <rPr>
            <sz val="9"/>
            <color indexed="81"/>
            <rFont val="Tahoma"/>
            <family val="2"/>
            <charset val="238"/>
          </rPr>
          <t xml:space="preserve">
</t>
        </r>
      </text>
    </comment>
    <comment ref="AN180" authorId="0" shapeId="0" xr:uid="{769AF6A9-0BE8-4419-8BA3-E6FC4FB86BD6}">
      <text>
        <r>
          <rPr>
            <b/>
            <sz val="9"/>
            <color indexed="81"/>
            <rFont val="Tahoma"/>
            <family val="2"/>
            <charset val="238"/>
          </rPr>
          <t>járulékkedvezmény</t>
        </r>
        <r>
          <rPr>
            <sz val="9"/>
            <color indexed="81"/>
            <rFont val="Tahoma"/>
            <family val="2"/>
            <charset val="238"/>
          </rPr>
          <t xml:space="preserve">
</t>
        </r>
      </text>
    </comment>
    <comment ref="AN181" authorId="0" shapeId="0" xr:uid="{D610E3C4-8753-4779-9EBA-5837CB73BA18}">
      <text>
        <r>
          <rPr>
            <b/>
            <sz val="9"/>
            <color indexed="81"/>
            <rFont val="Tahoma"/>
            <family val="2"/>
            <charset val="238"/>
          </rPr>
          <t>járulékkedvezmény</t>
        </r>
        <r>
          <rPr>
            <sz val="9"/>
            <color indexed="81"/>
            <rFont val="Tahoma"/>
            <family val="2"/>
            <charset val="238"/>
          </rPr>
          <t xml:space="preserve">
</t>
        </r>
      </text>
    </comment>
    <comment ref="AN182" authorId="0" shapeId="0" xr:uid="{59A7D96F-8CE8-4D36-9EE0-25F74360EA95}">
      <text>
        <r>
          <rPr>
            <b/>
            <sz val="9"/>
            <color indexed="81"/>
            <rFont val="Tahoma"/>
            <family val="2"/>
            <charset val="238"/>
          </rPr>
          <t>járulékkedvezmény</t>
        </r>
        <r>
          <rPr>
            <sz val="9"/>
            <color indexed="81"/>
            <rFont val="Tahoma"/>
            <family val="2"/>
            <charset val="238"/>
          </rPr>
          <t xml:space="preserve">
</t>
        </r>
      </text>
    </comment>
    <comment ref="AN183" authorId="0" shapeId="0" xr:uid="{186DDFAD-35A8-4F58-AA7F-4424C3A9FC42}">
      <text>
        <r>
          <rPr>
            <b/>
            <sz val="9"/>
            <color indexed="81"/>
            <rFont val="Tahoma"/>
            <family val="2"/>
            <charset val="238"/>
          </rPr>
          <t>járulékkedvezmény</t>
        </r>
        <r>
          <rPr>
            <sz val="9"/>
            <color indexed="81"/>
            <rFont val="Tahoma"/>
            <family val="2"/>
            <charset val="238"/>
          </rPr>
          <t xml:space="preserve">
</t>
        </r>
      </text>
    </comment>
    <comment ref="AN184" authorId="0" shapeId="0" xr:uid="{30F40D0C-0F7D-43AC-ACEA-4BBCE4D1059C}">
      <text>
        <r>
          <rPr>
            <b/>
            <sz val="9"/>
            <color indexed="81"/>
            <rFont val="Tahoma"/>
            <family val="2"/>
            <charset val="238"/>
          </rPr>
          <t>járulékkedvezmény</t>
        </r>
        <r>
          <rPr>
            <sz val="9"/>
            <color indexed="81"/>
            <rFont val="Tahoma"/>
            <family val="2"/>
            <charset val="238"/>
          </rPr>
          <t xml:space="preserve">
</t>
        </r>
      </text>
    </comment>
    <comment ref="AN185" authorId="0" shapeId="0" xr:uid="{AF3F5D97-9C09-4D98-B57C-AF217FC793BA}">
      <text>
        <r>
          <rPr>
            <b/>
            <sz val="9"/>
            <color indexed="81"/>
            <rFont val="Tahoma"/>
            <family val="2"/>
            <charset val="238"/>
          </rPr>
          <t>járulékkedvezmény</t>
        </r>
        <r>
          <rPr>
            <sz val="9"/>
            <color indexed="81"/>
            <rFont val="Tahoma"/>
            <family val="2"/>
            <charset val="238"/>
          </rPr>
          <t xml:space="preserve">
</t>
        </r>
      </text>
    </comment>
    <comment ref="AN186" authorId="0" shapeId="0" xr:uid="{85F25C8D-93DF-4DB4-882B-95461C0D2EE2}">
      <text>
        <r>
          <rPr>
            <b/>
            <sz val="9"/>
            <color indexed="81"/>
            <rFont val="Tahoma"/>
            <family val="2"/>
            <charset val="238"/>
          </rPr>
          <t>járulékkedvezmény</t>
        </r>
        <r>
          <rPr>
            <sz val="9"/>
            <color indexed="81"/>
            <rFont val="Tahoma"/>
            <family val="2"/>
            <charset val="238"/>
          </rPr>
          <t xml:space="preserve">
</t>
        </r>
      </text>
    </comment>
    <comment ref="AN187" authorId="0" shapeId="0" xr:uid="{C71A356B-3568-48C6-A043-BDEE879E86BC}">
      <text>
        <r>
          <rPr>
            <b/>
            <sz val="9"/>
            <color indexed="81"/>
            <rFont val="Tahoma"/>
            <family val="2"/>
            <charset val="238"/>
          </rPr>
          <t>járulékkedvezmény</t>
        </r>
        <r>
          <rPr>
            <sz val="9"/>
            <color indexed="81"/>
            <rFont val="Tahoma"/>
            <family val="2"/>
            <charset val="238"/>
          </rPr>
          <t xml:space="preserve">
</t>
        </r>
      </text>
    </comment>
    <comment ref="AN188" authorId="0" shapeId="0" xr:uid="{87D6B769-0648-4268-BA07-DC3D6BBE15AA}">
      <text>
        <r>
          <rPr>
            <b/>
            <sz val="9"/>
            <color indexed="81"/>
            <rFont val="Tahoma"/>
            <family val="2"/>
            <charset val="238"/>
          </rPr>
          <t>járulékkedvezmény</t>
        </r>
        <r>
          <rPr>
            <sz val="9"/>
            <color indexed="81"/>
            <rFont val="Tahoma"/>
            <family val="2"/>
            <charset val="238"/>
          </rPr>
          <t xml:space="preserve">
</t>
        </r>
      </text>
    </comment>
    <comment ref="AN189" authorId="0" shapeId="0" xr:uid="{DC9DE555-0D0D-404D-AD32-6C81F7E6E86A}">
      <text>
        <r>
          <rPr>
            <b/>
            <sz val="9"/>
            <color indexed="81"/>
            <rFont val="Tahoma"/>
            <family val="2"/>
            <charset val="238"/>
          </rPr>
          <t>járulékkedvezmény</t>
        </r>
        <r>
          <rPr>
            <sz val="9"/>
            <color indexed="81"/>
            <rFont val="Tahoma"/>
            <family val="2"/>
            <charset val="238"/>
          </rPr>
          <t xml:space="preserve">
</t>
        </r>
      </text>
    </comment>
    <comment ref="AM190" authorId="0" shapeId="0" xr:uid="{05D7D455-2026-4536-9A8D-FBF503E72E02}">
      <text>
        <r>
          <rPr>
            <b/>
            <sz val="9"/>
            <color indexed="81"/>
            <rFont val="Tahoma"/>
            <family val="2"/>
            <charset val="238"/>
          </rPr>
          <t>táppénz</t>
        </r>
        <r>
          <rPr>
            <sz val="9"/>
            <color indexed="81"/>
            <rFont val="Tahoma"/>
            <family val="2"/>
            <charset val="238"/>
          </rPr>
          <t xml:space="preserve">
</t>
        </r>
      </text>
    </comment>
    <comment ref="AN196" authorId="0" shapeId="0" xr:uid="{77DA23BC-72D2-422F-BD46-8898A2E982D3}">
      <text>
        <r>
          <rPr>
            <b/>
            <sz val="9"/>
            <color indexed="81"/>
            <rFont val="Tahoma"/>
            <family val="2"/>
            <charset val="238"/>
          </rPr>
          <t>járulékkedvezmény</t>
        </r>
        <r>
          <rPr>
            <sz val="9"/>
            <color indexed="81"/>
            <rFont val="Tahoma"/>
            <family val="2"/>
            <charset val="238"/>
          </rPr>
          <t xml:space="preserve">
</t>
        </r>
      </text>
    </comment>
    <comment ref="AN197" authorId="0" shapeId="0" xr:uid="{2076CBAA-DA52-4753-B3EE-2F0B5C1D3310}">
      <text>
        <r>
          <rPr>
            <b/>
            <sz val="9"/>
            <color indexed="81"/>
            <rFont val="Tahoma"/>
            <family val="2"/>
            <charset val="238"/>
          </rPr>
          <t>járulékkedvezmény</t>
        </r>
        <r>
          <rPr>
            <sz val="9"/>
            <color indexed="81"/>
            <rFont val="Tahoma"/>
            <family val="2"/>
            <charset val="238"/>
          </rPr>
          <t xml:space="preserve">
</t>
        </r>
      </text>
    </comment>
    <comment ref="AN198" authorId="0" shapeId="0" xr:uid="{2914D6AB-6921-4B08-BFFD-D83C4973E420}">
      <text>
        <r>
          <rPr>
            <b/>
            <sz val="9"/>
            <color indexed="81"/>
            <rFont val="Tahoma"/>
            <family val="2"/>
            <charset val="238"/>
          </rPr>
          <t>járulékkedvezmény</t>
        </r>
        <r>
          <rPr>
            <sz val="9"/>
            <color indexed="81"/>
            <rFont val="Tahoma"/>
            <family val="2"/>
            <charset val="238"/>
          </rPr>
          <t xml:space="preserve">
</t>
        </r>
      </text>
    </comment>
    <comment ref="AS198" authorId="0" shapeId="0" xr:uid="{A9E3169F-E5CE-4922-B48B-D2F2E8B0AAB2}">
      <text>
        <r>
          <rPr>
            <b/>
            <sz val="9"/>
            <color indexed="81"/>
            <rFont val="Tahoma"/>
            <family val="2"/>
            <charset val="238"/>
          </rPr>
          <t>52000 ft-ot könyveltem, javítani</t>
        </r>
        <r>
          <rPr>
            <sz val="9"/>
            <color indexed="81"/>
            <rFont val="Tahoma"/>
            <family val="2"/>
            <charset val="238"/>
          </rPr>
          <t xml:space="preserve">
</t>
        </r>
      </text>
    </comment>
    <comment ref="AN199" authorId="0" shapeId="0" xr:uid="{488C7D00-6EBA-4697-BCFF-EAD0EE5FF9B8}">
      <text>
        <r>
          <rPr>
            <b/>
            <sz val="9"/>
            <color indexed="81"/>
            <rFont val="Tahoma"/>
            <family val="2"/>
            <charset val="238"/>
          </rPr>
          <t>járulékkedvezmény</t>
        </r>
        <r>
          <rPr>
            <sz val="9"/>
            <color indexed="81"/>
            <rFont val="Tahoma"/>
            <family val="2"/>
            <charset val="238"/>
          </rPr>
          <t xml:space="preserve">
</t>
        </r>
      </text>
    </comment>
    <comment ref="AN200" authorId="0" shapeId="0" xr:uid="{D3729C79-4FA0-4CC7-A7C3-D0F6BD2356DD}">
      <text>
        <r>
          <rPr>
            <b/>
            <sz val="9"/>
            <color indexed="81"/>
            <rFont val="Tahoma"/>
            <family val="2"/>
            <charset val="238"/>
          </rPr>
          <t>járulékkedvezmény</t>
        </r>
        <r>
          <rPr>
            <sz val="9"/>
            <color indexed="81"/>
            <rFont val="Tahoma"/>
            <family val="2"/>
            <charset val="238"/>
          </rPr>
          <t xml:space="preserve">
</t>
        </r>
      </text>
    </comment>
    <comment ref="AN201" authorId="0" shapeId="0" xr:uid="{ACA6FB32-1575-41A7-948F-817500045BA6}">
      <text>
        <r>
          <rPr>
            <b/>
            <sz val="9"/>
            <color indexed="81"/>
            <rFont val="Tahoma"/>
            <family val="2"/>
            <charset val="238"/>
          </rPr>
          <t>járulékkedvezmény</t>
        </r>
        <r>
          <rPr>
            <sz val="9"/>
            <color indexed="81"/>
            <rFont val="Tahoma"/>
            <family val="2"/>
            <charset val="238"/>
          </rPr>
          <t xml:space="preserve">
</t>
        </r>
      </text>
    </comment>
    <comment ref="AN202" authorId="0" shapeId="0" xr:uid="{6CD0F333-0FD9-476E-B363-6D930EB19AC4}">
      <text>
        <r>
          <rPr>
            <b/>
            <sz val="9"/>
            <color indexed="81"/>
            <rFont val="Tahoma"/>
            <family val="2"/>
            <charset val="238"/>
          </rPr>
          <t>járulékkedvezmény</t>
        </r>
        <r>
          <rPr>
            <sz val="9"/>
            <color indexed="81"/>
            <rFont val="Tahoma"/>
            <family val="2"/>
            <charset val="238"/>
          </rPr>
          <t xml:space="preserve">
</t>
        </r>
      </text>
    </comment>
    <comment ref="AN203" authorId="0" shapeId="0" xr:uid="{218BD9EE-57A6-4DC1-BE41-057B79B0D868}">
      <text>
        <r>
          <rPr>
            <b/>
            <sz val="9"/>
            <color indexed="81"/>
            <rFont val="Tahoma"/>
            <family val="2"/>
            <charset val="238"/>
          </rPr>
          <t>járulékkedvezmény</t>
        </r>
        <r>
          <rPr>
            <sz val="9"/>
            <color indexed="81"/>
            <rFont val="Tahoma"/>
            <family val="2"/>
            <charset val="238"/>
          </rPr>
          <t xml:space="preserve">
</t>
        </r>
      </text>
    </comment>
    <comment ref="AN204" authorId="0" shapeId="0" xr:uid="{2216D25A-E40A-42EB-B90E-9B916FC63C11}">
      <text>
        <r>
          <rPr>
            <b/>
            <sz val="9"/>
            <color indexed="81"/>
            <rFont val="Tahoma"/>
            <family val="2"/>
            <charset val="238"/>
          </rPr>
          <t>járulékkedvezmény</t>
        </r>
        <r>
          <rPr>
            <sz val="9"/>
            <color indexed="81"/>
            <rFont val="Tahoma"/>
            <family val="2"/>
            <charset val="238"/>
          </rPr>
          <t xml:space="preserve">
</t>
        </r>
      </text>
    </comment>
    <comment ref="AN205" authorId="0" shapeId="0" xr:uid="{9E4B802C-8F35-4C86-B4A4-CB2D2254BD49}">
      <text>
        <r>
          <rPr>
            <b/>
            <sz val="9"/>
            <color indexed="81"/>
            <rFont val="Tahoma"/>
            <family val="2"/>
            <charset val="238"/>
          </rPr>
          <t>járulékkedvezmény</t>
        </r>
        <r>
          <rPr>
            <sz val="9"/>
            <color indexed="81"/>
            <rFont val="Tahoma"/>
            <family val="2"/>
            <charset val="238"/>
          </rPr>
          <t xml:space="preserve">
</t>
        </r>
      </text>
    </comment>
    <comment ref="AN206" authorId="0" shapeId="0" xr:uid="{71E73E0D-7C1C-40A3-AAA3-3BDC9B17EB67}">
      <text>
        <r>
          <rPr>
            <b/>
            <sz val="9"/>
            <color indexed="81"/>
            <rFont val="Tahoma"/>
            <family val="2"/>
            <charset val="238"/>
          </rPr>
          <t>járulékkedvezmény</t>
        </r>
        <r>
          <rPr>
            <sz val="9"/>
            <color indexed="81"/>
            <rFont val="Tahoma"/>
            <family val="2"/>
            <charset val="238"/>
          </rPr>
          <t xml:space="preserve">
</t>
        </r>
      </text>
    </comment>
    <comment ref="AN207" authorId="0" shapeId="0" xr:uid="{46853F50-2E0E-4834-84BD-DF07EA68E647}">
      <text>
        <r>
          <rPr>
            <b/>
            <sz val="9"/>
            <color indexed="81"/>
            <rFont val="Tahoma"/>
            <family val="2"/>
            <charset val="238"/>
          </rPr>
          <t>járulékkedvezmény</t>
        </r>
        <r>
          <rPr>
            <sz val="9"/>
            <color indexed="81"/>
            <rFont val="Tahoma"/>
            <family val="2"/>
            <charset val="238"/>
          </rPr>
          <t xml:space="preserve">
</t>
        </r>
      </text>
    </comment>
    <comment ref="AN208" authorId="0" shapeId="0" xr:uid="{E85696FE-E734-49D3-B126-050ED4167307}">
      <text>
        <r>
          <rPr>
            <b/>
            <sz val="9"/>
            <color indexed="81"/>
            <rFont val="Tahoma"/>
            <family val="2"/>
            <charset val="238"/>
          </rPr>
          <t>járulékkedvezmény</t>
        </r>
        <r>
          <rPr>
            <sz val="9"/>
            <color indexed="81"/>
            <rFont val="Tahoma"/>
            <family val="2"/>
            <charset val="238"/>
          </rPr>
          <t xml:space="preserve">
</t>
        </r>
      </text>
    </comment>
    <comment ref="AN209" authorId="0" shapeId="0" xr:uid="{701F259F-3640-4D3C-B4D3-CED42D817545}">
      <text>
        <r>
          <rPr>
            <b/>
            <sz val="9"/>
            <color indexed="81"/>
            <rFont val="Tahoma"/>
            <family val="2"/>
            <charset val="238"/>
          </rPr>
          <t>járulékkedvezmény</t>
        </r>
        <r>
          <rPr>
            <sz val="9"/>
            <color indexed="81"/>
            <rFont val="Tahoma"/>
            <family val="2"/>
            <charset val="238"/>
          </rPr>
          <t xml:space="preserve">
</t>
        </r>
      </text>
    </comment>
    <comment ref="AN244" authorId="0" shapeId="0" xr:uid="{8840EDAB-6E4A-44F8-AE0B-EFAF7577340C}">
      <text>
        <r>
          <rPr>
            <b/>
            <sz val="9"/>
            <color indexed="81"/>
            <rFont val="Tahoma"/>
            <family val="2"/>
            <charset val="238"/>
          </rPr>
          <t>járulékkedvezmény</t>
        </r>
        <r>
          <rPr>
            <sz val="9"/>
            <color indexed="81"/>
            <rFont val="Tahoma"/>
            <family val="2"/>
            <charset val="238"/>
          </rPr>
          <t xml:space="preserve">
</t>
        </r>
      </text>
    </comment>
    <comment ref="AN245" authorId="0" shapeId="0" xr:uid="{661012D4-3683-4C37-8EF4-72376B9953AD}">
      <text>
        <r>
          <rPr>
            <b/>
            <sz val="9"/>
            <color indexed="81"/>
            <rFont val="Tahoma"/>
            <family val="2"/>
            <charset val="238"/>
          </rPr>
          <t>járulékkedvezmény</t>
        </r>
        <r>
          <rPr>
            <sz val="9"/>
            <color indexed="81"/>
            <rFont val="Tahoma"/>
            <family val="2"/>
            <charset val="238"/>
          </rPr>
          <t xml:space="preserve">
</t>
        </r>
      </text>
    </comment>
    <comment ref="AM246" authorId="0" shapeId="0" xr:uid="{DE75BC57-906B-4936-9AAD-97DFE976BEE2}">
      <text>
        <r>
          <rPr>
            <b/>
            <sz val="9"/>
            <color indexed="81"/>
            <rFont val="Tahoma"/>
            <family val="2"/>
            <charset val="238"/>
          </rPr>
          <t>betegszabi</t>
        </r>
        <r>
          <rPr>
            <sz val="9"/>
            <color indexed="81"/>
            <rFont val="Tahoma"/>
            <family val="2"/>
            <charset val="238"/>
          </rPr>
          <t xml:space="preserve">
</t>
        </r>
      </text>
    </comment>
    <comment ref="AN246" authorId="0" shapeId="0" xr:uid="{C6271E83-4C38-4364-8F0F-7CB04A02CFEB}">
      <text>
        <r>
          <rPr>
            <b/>
            <sz val="9"/>
            <color indexed="81"/>
            <rFont val="Tahoma"/>
            <family val="2"/>
            <charset val="238"/>
          </rPr>
          <t>járulékkedvezmény</t>
        </r>
        <r>
          <rPr>
            <sz val="9"/>
            <color indexed="81"/>
            <rFont val="Tahoma"/>
            <family val="2"/>
            <charset val="238"/>
          </rPr>
          <t xml:space="preserve">
</t>
        </r>
      </text>
    </comment>
    <comment ref="AM247" authorId="0" shapeId="0" xr:uid="{52C5B8D0-70B1-4418-9C8F-449071225508}">
      <text>
        <r>
          <rPr>
            <b/>
            <sz val="9"/>
            <color indexed="81"/>
            <rFont val="Tahoma"/>
            <family val="2"/>
            <charset val="238"/>
          </rPr>
          <t>táppénz</t>
        </r>
        <r>
          <rPr>
            <sz val="9"/>
            <color indexed="81"/>
            <rFont val="Tahoma"/>
            <family val="2"/>
            <charset val="238"/>
          </rPr>
          <t xml:space="preserve">
</t>
        </r>
      </text>
    </comment>
    <comment ref="AN247" authorId="0" shapeId="0" xr:uid="{5BA941EE-9790-4515-8468-088A25E26FC9}">
      <text>
        <r>
          <rPr>
            <b/>
            <sz val="9"/>
            <color indexed="81"/>
            <rFont val="Tahoma"/>
            <family val="2"/>
            <charset val="238"/>
          </rPr>
          <t>járulékkedvezmény</t>
        </r>
        <r>
          <rPr>
            <sz val="9"/>
            <color indexed="81"/>
            <rFont val="Tahoma"/>
            <family val="2"/>
            <charset val="238"/>
          </rPr>
          <t xml:space="preserve">
</t>
        </r>
      </text>
    </comment>
    <comment ref="AN248" authorId="0" shapeId="0" xr:uid="{5218CFD9-BCA4-44E4-9E19-9C745B0D0E8D}">
      <text>
        <r>
          <rPr>
            <b/>
            <sz val="9"/>
            <color indexed="81"/>
            <rFont val="Tahoma"/>
            <family val="2"/>
            <charset val="238"/>
          </rPr>
          <t>jár. Kedv.</t>
        </r>
        <r>
          <rPr>
            <sz val="9"/>
            <color indexed="81"/>
            <rFont val="Tahoma"/>
            <family val="2"/>
            <charset val="238"/>
          </rPr>
          <t xml:space="preserve">
</t>
        </r>
      </text>
    </comment>
    <comment ref="AN267" authorId="0" shapeId="0" xr:uid="{196D814C-997D-40AA-99A3-D82A883712FE}">
      <text>
        <r>
          <rPr>
            <b/>
            <sz val="9"/>
            <color indexed="81"/>
            <rFont val="Tahoma"/>
            <family val="2"/>
            <charset val="238"/>
          </rPr>
          <t>nyugdíjas</t>
        </r>
        <r>
          <rPr>
            <sz val="9"/>
            <color indexed="81"/>
            <rFont val="Tahoma"/>
            <family val="2"/>
            <charset val="238"/>
          </rPr>
          <t xml:space="preserve">
</t>
        </r>
      </text>
    </comment>
    <comment ref="AC270" authorId="0" shapeId="0" xr:uid="{E9EDF6BD-35ED-42C7-8708-A359A18BE22E}">
      <text>
        <r>
          <rPr>
            <b/>
            <sz val="9"/>
            <color indexed="81"/>
            <rFont val="Tahoma"/>
            <family val="2"/>
            <charset val="238"/>
          </rPr>
          <t>Ő MINDIG 100%-BAN A PROJEKTEN LEGYEN!!!</t>
        </r>
        <r>
          <rPr>
            <sz val="9"/>
            <color indexed="81"/>
            <rFont val="Tahoma"/>
            <family val="2"/>
            <charset val="238"/>
          </rPr>
          <t xml:space="preserve">
</t>
        </r>
      </text>
    </comment>
    <comment ref="AF270" authorId="0" shapeId="0" xr:uid="{146B9057-E8C7-4A4C-BD1B-9A59AC270227}">
      <text>
        <r>
          <rPr>
            <b/>
            <sz val="9"/>
            <color indexed="81"/>
            <rFont val="Tahoma"/>
            <family val="2"/>
            <charset val="238"/>
          </rPr>
          <t>alaplevél c017000149 témasámra indult, javítottam</t>
        </r>
      </text>
    </comment>
    <comment ref="AC271" authorId="0" shapeId="0" xr:uid="{2B7017CA-15C1-4154-B87D-ABFC5BCDC5BD}">
      <text>
        <r>
          <rPr>
            <b/>
            <sz val="9"/>
            <color indexed="81"/>
            <rFont val="Tahoma"/>
            <family val="2"/>
            <charset val="238"/>
          </rPr>
          <t>Ő MINDIG 100%-BAN A PROJEKTEN LEGYEN!!!</t>
        </r>
        <r>
          <rPr>
            <sz val="9"/>
            <color indexed="81"/>
            <rFont val="Tahoma"/>
            <family val="2"/>
            <charset val="238"/>
          </rPr>
          <t xml:space="preserve">
</t>
        </r>
      </text>
    </comment>
    <comment ref="AF271" authorId="0" shapeId="0" xr:uid="{08C2C30B-F7B6-4CDB-BA13-CAD822CDD460}">
      <text>
        <r>
          <rPr>
            <b/>
            <sz val="9"/>
            <color indexed="81"/>
            <rFont val="Tahoma"/>
            <family val="2"/>
            <charset val="238"/>
          </rPr>
          <t>alaplevél c017000149 témasámra indult, javítottam</t>
        </r>
      </text>
    </comment>
    <comment ref="AC272" authorId="0" shapeId="0" xr:uid="{00A81B71-3748-48E5-98E1-15D5D5B418AB}">
      <text>
        <r>
          <rPr>
            <b/>
            <sz val="9"/>
            <color indexed="81"/>
            <rFont val="Tahoma"/>
            <family val="2"/>
            <charset val="238"/>
          </rPr>
          <t>Ő MINDIG 100%-BAN A PROJEKTEN LEGYEN!!!</t>
        </r>
        <r>
          <rPr>
            <sz val="9"/>
            <color indexed="81"/>
            <rFont val="Tahoma"/>
            <family val="2"/>
            <charset val="238"/>
          </rPr>
          <t xml:space="preserve">
</t>
        </r>
      </text>
    </comment>
    <comment ref="AC273" authorId="0" shapeId="0" xr:uid="{090DD6FB-8126-471E-A92C-D245CA9E4E42}">
      <text>
        <r>
          <rPr>
            <b/>
            <sz val="9"/>
            <color indexed="81"/>
            <rFont val="Tahoma"/>
            <family val="2"/>
            <charset val="238"/>
          </rPr>
          <t>Ő MINDIG 100%-BAN A PROJEKTEN LEGYEN!!!</t>
        </r>
        <r>
          <rPr>
            <sz val="9"/>
            <color indexed="81"/>
            <rFont val="Tahoma"/>
            <family val="2"/>
            <charset val="238"/>
          </rPr>
          <t xml:space="preserve">
</t>
        </r>
      </text>
    </comment>
    <comment ref="AC274" authorId="0" shapeId="0" xr:uid="{3521D64E-2144-482A-B824-FCF0AF5F5358}">
      <text>
        <r>
          <rPr>
            <b/>
            <sz val="9"/>
            <color indexed="81"/>
            <rFont val="Tahoma"/>
            <family val="2"/>
            <charset val="238"/>
          </rPr>
          <t>Ő MINDIG 100%-BAN A PROJEKTEN LEGYEN!!!</t>
        </r>
        <r>
          <rPr>
            <sz val="9"/>
            <color indexed="81"/>
            <rFont val="Tahoma"/>
            <family val="2"/>
            <charset val="238"/>
          </rPr>
          <t xml:space="preserve">
</t>
        </r>
      </text>
    </comment>
    <comment ref="AC275" authorId="0" shapeId="0" xr:uid="{28688AB8-3FD5-4AFE-A778-D420606A76B6}">
      <text>
        <r>
          <rPr>
            <b/>
            <sz val="9"/>
            <color indexed="81"/>
            <rFont val="Tahoma"/>
            <family val="2"/>
            <charset val="238"/>
          </rPr>
          <t>Ő MINDIG 100%-BAN A PROJEKTEN LEGYEN!!!</t>
        </r>
        <r>
          <rPr>
            <sz val="9"/>
            <color indexed="81"/>
            <rFont val="Tahoma"/>
            <family val="2"/>
            <charset val="238"/>
          </rPr>
          <t xml:space="preserve">
</t>
        </r>
      </text>
    </comment>
    <comment ref="AC276" authorId="0" shapeId="0" xr:uid="{5503DE2A-2D12-4EBB-81C7-CAB7B2FB1656}">
      <text>
        <r>
          <rPr>
            <b/>
            <sz val="9"/>
            <color indexed="81"/>
            <rFont val="Tahoma"/>
            <family val="2"/>
            <charset val="238"/>
          </rPr>
          <t>Ő MINDIG 100%-BAN A PROJEKTEN LEGYEN!!!</t>
        </r>
        <r>
          <rPr>
            <sz val="9"/>
            <color indexed="81"/>
            <rFont val="Tahoma"/>
            <family val="2"/>
            <charset val="238"/>
          </rPr>
          <t xml:space="preserve">
</t>
        </r>
      </text>
    </comment>
    <comment ref="AC277" authorId="0" shapeId="0" xr:uid="{FFF574DC-98E3-472E-A1B8-2D74058A19A5}">
      <text>
        <r>
          <rPr>
            <b/>
            <sz val="9"/>
            <color indexed="81"/>
            <rFont val="Tahoma"/>
            <family val="2"/>
            <charset val="238"/>
          </rPr>
          <t>Ő MINDIG 100%-BAN A PROJEKTEN LEGYEN!!!</t>
        </r>
        <r>
          <rPr>
            <sz val="9"/>
            <color indexed="81"/>
            <rFont val="Tahoma"/>
            <family val="2"/>
            <charset val="238"/>
          </rPr>
          <t xml:space="preserve">
</t>
        </r>
      </text>
    </comment>
    <comment ref="AC278" authorId="0" shapeId="0" xr:uid="{8B893ADC-A0E0-4992-BF0D-71AC8451449E}">
      <text>
        <r>
          <rPr>
            <b/>
            <sz val="9"/>
            <color indexed="81"/>
            <rFont val="Tahoma"/>
            <family val="2"/>
            <charset val="238"/>
          </rPr>
          <t>Ő MINDIG 100%-BAN A PROJEKTEN LEGYEN!!!</t>
        </r>
        <r>
          <rPr>
            <sz val="9"/>
            <color indexed="81"/>
            <rFont val="Tahoma"/>
            <family val="2"/>
            <charset val="238"/>
          </rPr>
          <t xml:space="preserve">
</t>
        </r>
      </text>
    </comment>
    <comment ref="AC279" authorId="0" shapeId="0" xr:uid="{43620079-45CA-411E-9674-A77B0166F815}">
      <text>
        <r>
          <rPr>
            <b/>
            <sz val="9"/>
            <color indexed="81"/>
            <rFont val="Tahoma"/>
            <family val="2"/>
            <charset val="238"/>
          </rPr>
          <t>Ő MINDIG 100%-BAN A PROJEKTEN LEGYEN!!!</t>
        </r>
        <r>
          <rPr>
            <sz val="9"/>
            <color indexed="81"/>
            <rFont val="Tahoma"/>
            <family val="2"/>
            <charset val="238"/>
          </rPr>
          <t xml:space="preserve">
</t>
        </r>
      </text>
    </comment>
    <comment ref="AC280" authorId="0" shapeId="0" xr:uid="{7221F99D-C64D-4F8A-99B5-B07C7F60B84D}">
      <text>
        <r>
          <rPr>
            <b/>
            <sz val="9"/>
            <color indexed="81"/>
            <rFont val="Tahoma"/>
            <family val="2"/>
            <charset val="238"/>
          </rPr>
          <t>Ő MINDIG 100%-BAN A PROJEKTEN LEGYEN!!!</t>
        </r>
        <r>
          <rPr>
            <sz val="9"/>
            <color indexed="81"/>
            <rFont val="Tahoma"/>
            <family val="2"/>
            <charset val="238"/>
          </rPr>
          <t xml:space="preserve">
</t>
        </r>
      </text>
    </comment>
    <comment ref="AC281" authorId="0" shapeId="0" xr:uid="{44B41299-635D-45DB-A930-AC529695F95F}">
      <text>
        <r>
          <rPr>
            <b/>
            <sz val="9"/>
            <color indexed="81"/>
            <rFont val="Tahoma"/>
            <family val="2"/>
            <charset val="238"/>
          </rPr>
          <t>Ő MINDIG 100%-BAN A PROJEKTEN LEGYEN!!!</t>
        </r>
        <r>
          <rPr>
            <sz val="9"/>
            <color indexed="81"/>
            <rFont val="Tahoma"/>
            <family val="2"/>
            <charset val="238"/>
          </rPr>
          <t xml:space="preserve">
</t>
        </r>
      </text>
    </comment>
    <comment ref="AC282" authorId="0" shapeId="0" xr:uid="{16BBF534-6755-46C7-9BD2-578730BE24A0}">
      <text>
        <r>
          <rPr>
            <b/>
            <sz val="9"/>
            <color indexed="81"/>
            <rFont val="Tahoma"/>
            <family val="2"/>
            <charset val="238"/>
          </rPr>
          <t>Ő MINDIG 100%-BAN A PROJEKTEN LEGYEN!!!</t>
        </r>
        <r>
          <rPr>
            <sz val="9"/>
            <color indexed="81"/>
            <rFont val="Tahoma"/>
            <family val="2"/>
            <charset val="238"/>
          </rPr>
          <t xml:space="preserve">
</t>
        </r>
      </text>
    </comment>
    <comment ref="AC283" authorId="0" shapeId="0" xr:uid="{9FC14953-0D7C-4FC3-BEDA-930A7C34337D}">
      <text>
        <r>
          <rPr>
            <b/>
            <sz val="9"/>
            <color indexed="81"/>
            <rFont val="Tahoma"/>
            <family val="2"/>
            <charset val="238"/>
          </rPr>
          <t>Ő MINDIG 100%-BAN A PROJEKTEN LEGYEN!!!</t>
        </r>
        <r>
          <rPr>
            <sz val="9"/>
            <color indexed="81"/>
            <rFont val="Tahoma"/>
            <family val="2"/>
            <charset val="238"/>
          </rPr>
          <t xml:space="preserve">
</t>
        </r>
      </text>
    </comment>
    <comment ref="AC284" authorId="0" shapeId="0" xr:uid="{0761964B-DA42-478E-9CF4-97CC13F64507}">
      <text>
        <r>
          <rPr>
            <b/>
            <sz val="9"/>
            <color indexed="81"/>
            <rFont val="Tahoma"/>
            <family val="2"/>
            <charset val="238"/>
          </rPr>
          <t>Ő MINDIG 100%-BAN A PROJEKTEN LEGYEN!!!</t>
        </r>
        <r>
          <rPr>
            <sz val="9"/>
            <color indexed="81"/>
            <rFont val="Tahoma"/>
            <family val="2"/>
            <charset val="238"/>
          </rPr>
          <t xml:space="preserve">
</t>
        </r>
      </text>
    </comment>
    <comment ref="AM323" authorId="0" shapeId="0" xr:uid="{9E791847-A2A0-42D0-A37A-BB0F133C2F13}">
      <text>
        <r>
          <rPr>
            <b/>
            <sz val="9"/>
            <color indexed="81"/>
            <rFont val="Tahoma"/>
            <family val="2"/>
            <charset val="238"/>
          </rPr>
          <t>haláleset szabadság</t>
        </r>
      </text>
    </comment>
    <comment ref="AN361" authorId="0" shapeId="0" xr:uid="{F564FF58-5F9B-4DA8-944D-B6E5B640A8CD}">
      <text>
        <r>
          <rPr>
            <b/>
            <sz val="9"/>
            <color indexed="81"/>
            <rFont val="Tahoma"/>
            <family val="2"/>
            <charset val="238"/>
          </rPr>
          <t>járulékkedvezmény</t>
        </r>
        <r>
          <rPr>
            <sz val="9"/>
            <color indexed="81"/>
            <rFont val="Tahoma"/>
            <family val="2"/>
            <charset val="238"/>
          </rPr>
          <t xml:space="preserve">
</t>
        </r>
      </text>
    </comment>
    <comment ref="AN362" authorId="0" shapeId="0" xr:uid="{E4248E46-EB12-499C-B9E6-22E0167F19D6}">
      <text>
        <r>
          <rPr>
            <b/>
            <sz val="9"/>
            <color indexed="81"/>
            <rFont val="Tahoma"/>
            <family val="2"/>
            <charset val="238"/>
          </rPr>
          <t>járulékkedvezmény</t>
        </r>
        <r>
          <rPr>
            <sz val="9"/>
            <color indexed="81"/>
            <rFont val="Tahoma"/>
            <family val="2"/>
            <charset val="238"/>
          </rPr>
          <t xml:space="preserve">
</t>
        </r>
      </text>
    </comment>
    <comment ref="AN363" authorId="0" shapeId="0" xr:uid="{DA6967F6-2EC7-409B-9599-928934860987}">
      <text>
        <r>
          <rPr>
            <b/>
            <sz val="9"/>
            <color indexed="81"/>
            <rFont val="Tahoma"/>
            <family val="2"/>
            <charset val="238"/>
          </rPr>
          <t>járulékkedvezmény</t>
        </r>
        <r>
          <rPr>
            <sz val="9"/>
            <color indexed="81"/>
            <rFont val="Tahoma"/>
            <family val="2"/>
            <charset val="238"/>
          </rPr>
          <t xml:space="preserve">
</t>
        </r>
      </text>
    </comment>
    <comment ref="AN364" authorId="0" shapeId="0" xr:uid="{70BA637B-EF0E-47DB-B428-B7FC60A983F6}">
      <text>
        <r>
          <rPr>
            <b/>
            <sz val="9"/>
            <color indexed="81"/>
            <rFont val="Tahoma"/>
            <family val="2"/>
            <charset val="238"/>
          </rPr>
          <t>járulékkedvezmény</t>
        </r>
        <r>
          <rPr>
            <sz val="9"/>
            <color indexed="81"/>
            <rFont val="Tahoma"/>
            <family val="2"/>
            <charset val="238"/>
          </rPr>
          <t xml:space="preserve">
</t>
        </r>
      </text>
    </comment>
    <comment ref="AN365" authorId="0" shapeId="0" xr:uid="{2E9CE5BE-F5AF-4C49-9210-FF9C8AFAB885}">
      <text>
        <r>
          <rPr>
            <b/>
            <sz val="9"/>
            <color indexed="81"/>
            <rFont val="Tahoma"/>
            <family val="2"/>
            <charset val="238"/>
          </rPr>
          <t>járulékkedvezmény</t>
        </r>
        <r>
          <rPr>
            <sz val="9"/>
            <color indexed="81"/>
            <rFont val="Tahoma"/>
            <family val="2"/>
            <charset val="238"/>
          </rPr>
          <t xml:space="preserve">
</t>
        </r>
      </text>
    </comment>
    <comment ref="AN366" authorId="0" shapeId="0" xr:uid="{6F1E1375-77BC-4B17-AA1A-CD83D3E8528F}">
      <text>
        <r>
          <rPr>
            <b/>
            <sz val="9"/>
            <color indexed="81"/>
            <rFont val="Tahoma"/>
            <family val="2"/>
            <charset val="238"/>
          </rPr>
          <t>járulékkedvezmény</t>
        </r>
        <r>
          <rPr>
            <sz val="9"/>
            <color indexed="81"/>
            <rFont val="Tahoma"/>
            <family val="2"/>
            <charset val="238"/>
          </rPr>
          <t xml:space="preserve">
</t>
        </r>
      </text>
    </comment>
    <comment ref="AN367" authorId="0" shapeId="0" xr:uid="{F5C728FE-79E6-4FF8-901D-FDFE86E2CA14}">
      <text>
        <r>
          <rPr>
            <b/>
            <sz val="9"/>
            <color indexed="81"/>
            <rFont val="Tahoma"/>
            <family val="2"/>
            <charset val="238"/>
          </rPr>
          <t>járulékkedvezmény</t>
        </r>
        <r>
          <rPr>
            <sz val="9"/>
            <color indexed="81"/>
            <rFont val="Tahoma"/>
            <family val="2"/>
            <charset val="238"/>
          </rPr>
          <t xml:space="preserve">
</t>
        </r>
      </text>
    </comment>
    <comment ref="AN368" authorId="0" shapeId="0" xr:uid="{7709C99D-08DE-47CB-A05D-55EC5EE30EA4}">
      <text>
        <r>
          <rPr>
            <b/>
            <sz val="9"/>
            <color indexed="81"/>
            <rFont val="Tahoma"/>
            <family val="2"/>
            <charset val="238"/>
          </rPr>
          <t>járulékkedvezmény</t>
        </r>
        <r>
          <rPr>
            <sz val="9"/>
            <color indexed="81"/>
            <rFont val="Tahoma"/>
            <family val="2"/>
            <charset val="238"/>
          </rPr>
          <t xml:space="preserve">
</t>
        </r>
      </text>
    </comment>
    <comment ref="AN369" authorId="0" shapeId="0" xr:uid="{F318760E-A17A-4D0F-AC32-5DA460F77B3C}">
      <text>
        <r>
          <rPr>
            <b/>
            <sz val="9"/>
            <color indexed="81"/>
            <rFont val="Tahoma"/>
            <family val="2"/>
            <charset val="238"/>
          </rPr>
          <t>járulékkedvezmény</t>
        </r>
        <r>
          <rPr>
            <sz val="9"/>
            <color indexed="81"/>
            <rFont val="Tahoma"/>
            <family val="2"/>
            <charset val="238"/>
          </rPr>
          <t xml:space="preserve">
</t>
        </r>
      </text>
    </comment>
    <comment ref="AN370" authorId="0" shapeId="0" xr:uid="{BAB5326A-8E38-4590-8630-D0AA06C5689E}">
      <text>
        <r>
          <rPr>
            <b/>
            <sz val="9"/>
            <color indexed="81"/>
            <rFont val="Tahoma"/>
            <family val="2"/>
            <charset val="238"/>
          </rPr>
          <t>járulékkedvezmény</t>
        </r>
        <r>
          <rPr>
            <sz val="9"/>
            <color indexed="81"/>
            <rFont val="Tahoma"/>
            <family val="2"/>
            <charset val="238"/>
          </rPr>
          <t xml:space="preserve">
</t>
        </r>
      </text>
    </comment>
    <comment ref="AN371" authorId="0" shapeId="0" xr:uid="{7E442A02-9AF1-48A1-B2E8-ED6A3F619187}">
      <text>
        <r>
          <rPr>
            <b/>
            <sz val="9"/>
            <color indexed="81"/>
            <rFont val="Tahoma"/>
            <family val="2"/>
            <charset val="238"/>
          </rPr>
          <t>járulékkedvezmény</t>
        </r>
        <r>
          <rPr>
            <sz val="9"/>
            <color indexed="81"/>
            <rFont val="Tahoma"/>
            <family val="2"/>
            <charset val="238"/>
          </rPr>
          <t xml:space="preserve">
</t>
        </r>
      </text>
    </comment>
    <comment ref="AN372" authorId="0" shapeId="0" xr:uid="{0C663809-E464-4809-AF00-B583188A803A}">
      <text>
        <r>
          <rPr>
            <b/>
            <sz val="9"/>
            <color indexed="81"/>
            <rFont val="Tahoma"/>
            <family val="2"/>
            <charset val="238"/>
          </rPr>
          <t>járulékkedvezmény</t>
        </r>
        <r>
          <rPr>
            <sz val="9"/>
            <color indexed="81"/>
            <rFont val="Tahoma"/>
            <family val="2"/>
            <charset val="238"/>
          </rPr>
          <t xml:space="preserve">
</t>
        </r>
      </text>
    </comment>
    <comment ref="AS372" authorId="0" shapeId="0" xr:uid="{4C0BA012-789B-4D38-8C5C-98B76BE5435F}">
      <text>
        <r>
          <rPr>
            <b/>
            <sz val="9"/>
            <color indexed="81"/>
            <rFont val="Tahoma"/>
            <family val="2"/>
            <charset val="238"/>
          </rPr>
          <t>eredetileg 12.604 ft-ot könyveltem. Javítottam</t>
        </r>
        <r>
          <rPr>
            <sz val="9"/>
            <color indexed="81"/>
            <rFont val="Tahoma"/>
            <family val="2"/>
            <charset val="238"/>
          </rPr>
          <t xml:space="preserve">
</t>
        </r>
      </text>
    </comment>
    <comment ref="AN373" authorId="0" shapeId="0" xr:uid="{01460D17-BC5F-46A2-81AB-447DC24EEABB}">
      <text>
        <r>
          <rPr>
            <b/>
            <sz val="9"/>
            <color indexed="81"/>
            <rFont val="Tahoma"/>
            <family val="2"/>
            <charset val="238"/>
          </rPr>
          <t>járulékkedvezmény</t>
        </r>
        <r>
          <rPr>
            <sz val="9"/>
            <color indexed="81"/>
            <rFont val="Tahoma"/>
            <family val="2"/>
            <charset val="238"/>
          </rPr>
          <t xml:space="preserve">
</t>
        </r>
      </text>
    </comment>
    <comment ref="AS373" authorId="0" shapeId="0" xr:uid="{7ABF976C-8607-43CE-8E20-726D1E68D75A}">
      <text>
        <r>
          <rPr>
            <b/>
            <sz val="9"/>
            <color indexed="81"/>
            <rFont val="Tahoma"/>
            <family val="2"/>
            <charset val="238"/>
          </rPr>
          <t xml:space="preserve"> számítás módja a bomba szabi miatt:
(9620/274000)*214435*(46/130)</t>
        </r>
        <r>
          <rPr>
            <sz val="9"/>
            <color indexed="81"/>
            <rFont val="Tahoma"/>
            <family val="2"/>
            <charset val="238"/>
          </rPr>
          <t xml:space="preserve">
</t>
        </r>
      </text>
    </comment>
    <comment ref="AN374" authorId="0" shapeId="0" xr:uid="{2584E875-2AF4-448A-B263-7EFD3D26D105}">
      <text>
        <r>
          <rPr>
            <b/>
            <sz val="9"/>
            <color indexed="81"/>
            <rFont val="Tahoma"/>
            <family val="2"/>
            <charset val="238"/>
          </rPr>
          <t>járulékkedvezmény</t>
        </r>
        <r>
          <rPr>
            <sz val="9"/>
            <color indexed="81"/>
            <rFont val="Tahoma"/>
            <family val="2"/>
            <charset val="238"/>
          </rPr>
          <t xml:space="preserve">
</t>
        </r>
      </text>
    </comment>
    <comment ref="AN375" authorId="0" shapeId="0" xr:uid="{C2891AE5-99DE-44DE-9B29-742828066D34}">
      <text>
        <r>
          <rPr>
            <b/>
            <sz val="9"/>
            <color indexed="81"/>
            <rFont val="Tahoma"/>
            <family val="2"/>
            <charset val="238"/>
          </rPr>
          <t>járulékkedvezmény</t>
        </r>
        <r>
          <rPr>
            <sz val="9"/>
            <color indexed="81"/>
            <rFont val="Tahoma"/>
            <family val="2"/>
            <charset val="238"/>
          </rPr>
          <t xml:space="preserve">
</t>
        </r>
      </text>
    </comment>
    <comment ref="AM376" authorId="0" shapeId="0" xr:uid="{4C3A0E87-9619-4363-BBB2-43E66EC93337}">
      <text>
        <r>
          <rPr>
            <b/>
            <sz val="9"/>
            <color indexed="81"/>
            <rFont val="Tahoma"/>
            <family val="2"/>
            <charset val="238"/>
          </rPr>
          <t>betegszabi</t>
        </r>
        <r>
          <rPr>
            <sz val="9"/>
            <color indexed="81"/>
            <rFont val="Tahoma"/>
            <family val="2"/>
            <charset val="238"/>
          </rPr>
          <t xml:space="preserve">
</t>
        </r>
      </text>
    </comment>
    <comment ref="AN376" authorId="0" shapeId="0" xr:uid="{ED6B1CC4-623F-4CE7-A4E2-EF5D02B3313E}">
      <text>
        <r>
          <rPr>
            <b/>
            <sz val="9"/>
            <color indexed="81"/>
            <rFont val="Tahoma"/>
            <family val="2"/>
            <charset val="238"/>
          </rPr>
          <t>járulékkedvezmény</t>
        </r>
        <r>
          <rPr>
            <sz val="9"/>
            <color indexed="81"/>
            <rFont val="Tahoma"/>
            <family val="2"/>
            <charset val="238"/>
          </rPr>
          <t xml:space="preserve">
</t>
        </r>
      </text>
    </comment>
    <comment ref="AN377" authorId="0" shapeId="0" xr:uid="{BC54EB9A-E06E-410C-B360-7DAD39B5E0CE}">
      <text>
        <r>
          <rPr>
            <b/>
            <sz val="9"/>
            <color indexed="81"/>
            <rFont val="Tahoma"/>
            <family val="2"/>
            <charset val="238"/>
          </rPr>
          <t>járulékkedvezmény</t>
        </r>
        <r>
          <rPr>
            <sz val="9"/>
            <color indexed="81"/>
            <rFont val="Tahoma"/>
            <family val="2"/>
            <charset val="238"/>
          </rPr>
          <t xml:space="preserve">
</t>
        </r>
      </text>
    </comment>
    <comment ref="AM378" authorId="0" shapeId="0" xr:uid="{F418114E-75F1-40BA-BA07-032BB7C8E4C9}">
      <text>
        <r>
          <rPr>
            <b/>
            <sz val="9"/>
            <color indexed="81"/>
            <rFont val="Tahoma"/>
            <family val="2"/>
            <charset val="238"/>
          </rPr>
          <t>gyermekápolási táppénzt</t>
        </r>
      </text>
    </comment>
    <comment ref="AN378" authorId="0" shapeId="0" xr:uid="{323AAACB-98D9-4C33-B1EC-398792BA4FB3}">
      <text>
        <r>
          <rPr>
            <b/>
            <sz val="9"/>
            <color indexed="81"/>
            <rFont val="Tahoma"/>
            <family val="2"/>
            <charset val="238"/>
          </rPr>
          <t>járulékkedvezmény</t>
        </r>
        <r>
          <rPr>
            <sz val="9"/>
            <color indexed="81"/>
            <rFont val="Tahoma"/>
            <family val="2"/>
            <charset val="238"/>
          </rPr>
          <t xml:space="preserve">
</t>
        </r>
      </text>
    </comment>
    <comment ref="AM379" authorId="0" shapeId="0" xr:uid="{C7DA94A9-2BAD-492A-8470-CEF87C83EB93}">
      <text>
        <r>
          <rPr>
            <b/>
            <sz val="9"/>
            <color indexed="81"/>
            <rFont val="Tahoma"/>
            <family val="2"/>
            <charset val="238"/>
          </rPr>
          <t>betegszabi</t>
        </r>
        <r>
          <rPr>
            <sz val="9"/>
            <color indexed="81"/>
            <rFont val="Tahoma"/>
            <family val="2"/>
            <charset val="238"/>
          </rPr>
          <t xml:space="preserve">
</t>
        </r>
      </text>
    </comment>
    <comment ref="AN379" authorId="0" shapeId="0" xr:uid="{552154DE-981C-4D05-8D18-60C4A8143127}">
      <text>
        <r>
          <rPr>
            <b/>
            <sz val="9"/>
            <color indexed="81"/>
            <rFont val="Tahoma"/>
            <family val="2"/>
            <charset val="238"/>
          </rPr>
          <t>járulékkedvezmény</t>
        </r>
        <r>
          <rPr>
            <sz val="9"/>
            <color indexed="81"/>
            <rFont val="Tahoma"/>
            <family val="2"/>
            <charset val="238"/>
          </rPr>
          <t xml:space="preserve">
</t>
        </r>
      </text>
    </comment>
    <comment ref="AM380" authorId="0" shapeId="0" xr:uid="{E23FEF2C-0055-4E0B-9045-5353AEED22D4}">
      <text>
        <r>
          <rPr>
            <b/>
            <sz val="9"/>
            <color indexed="81"/>
            <rFont val="Tahoma"/>
            <family val="2"/>
            <charset val="238"/>
          </rPr>
          <t>táppénzt</t>
        </r>
        <r>
          <rPr>
            <sz val="9"/>
            <color indexed="81"/>
            <rFont val="Tahoma"/>
            <family val="2"/>
            <charset val="238"/>
          </rPr>
          <t xml:space="preserve">
</t>
        </r>
      </text>
    </comment>
    <comment ref="AN380" authorId="0" shapeId="0" xr:uid="{89C27188-2CD2-4F92-8FDE-86D0B3428DDC}">
      <text>
        <r>
          <rPr>
            <b/>
            <sz val="9"/>
            <color indexed="81"/>
            <rFont val="Tahoma"/>
            <family val="2"/>
            <charset val="238"/>
          </rPr>
          <t>járulékkedvezmény</t>
        </r>
        <r>
          <rPr>
            <sz val="9"/>
            <color indexed="81"/>
            <rFont val="Tahoma"/>
            <family val="2"/>
            <charset val="238"/>
          </rPr>
          <t xml:space="preserve">
</t>
        </r>
      </text>
    </comment>
    <comment ref="AN381" authorId="0" shapeId="0" xr:uid="{8B3749C3-2958-4492-AEA2-A29D7233AAEE}">
      <text>
        <r>
          <rPr>
            <b/>
            <sz val="9"/>
            <color indexed="81"/>
            <rFont val="Tahoma"/>
            <family val="2"/>
            <charset val="238"/>
          </rPr>
          <t>járulékkedvezmény</t>
        </r>
        <r>
          <rPr>
            <sz val="9"/>
            <color indexed="81"/>
            <rFont val="Tahoma"/>
            <family val="2"/>
            <charset val="238"/>
          </rPr>
          <t xml:space="preserve">
</t>
        </r>
      </text>
    </comment>
    <comment ref="AN382" authorId="0" shapeId="0" xr:uid="{E13C408F-1ECD-42DC-8FC7-EA655C2A7696}">
      <text>
        <r>
          <rPr>
            <b/>
            <sz val="9"/>
            <color indexed="81"/>
            <rFont val="Tahoma"/>
            <family val="2"/>
            <charset val="238"/>
          </rPr>
          <t>járulékkedvezmény</t>
        </r>
        <r>
          <rPr>
            <sz val="9"/>
            <color indexed="81"/>
            <rFont val="Tahoma"/>
            <family val="2"/>
            <charset val="238"/>
          </rPr>
          <t xml:space="preserve">
</t>
        </r>
      </text>
    </comment>
    <comment ref="AN383" authorId="0" shapeId="0" xr:uid="{A7B8E0F6-8F8D-4FA5-B782-9FD640EAE8A6}">
      <text>
        <r>
          <rPr>
            <b/>
            <sz val="9"/>
            <color indexed="81"/>
            <rFont val="Tahoma"/>
            <family val="2"/>
            <charset val="238"/>
          </rPr>
          <t>járulékkedvezmény</t>
        </r>
        <r>
          <rPr>
            <sz val="9"/>
            <color indexed="81"/>
            <rFont val="Tahoma"/>
            <family val="2"/>
            <charset val="238"/>
          </rPr>
          <t xml:space="preserve">
</t>
        </r>
      </text>
    </comment>
    <comment ref="AN415" authorId="0" shapeId="0" xr:uid="{5817FC89-D09B-444A-9F74-7F51896391DB}">
      <text>
        <r>
          <rPr>
            <b/>
            <sz val="9"/>
            <color indexed="81"/>
            <rFont val="Tahoma"/>
            <family val="2"/>
            <charset val="238"/>
          </rPr>
          <t>nyugdíjas</t>
        </r>
        <r>
          <rPr>
            <sz val="9"/>
            <color indexed="81"/>
            <rFont val="Tahoma"/>
            <family val="2"/>
            <charset val="238"/>
          </rPr>
          <t xml:space="preserve">
</t>
        </r>
      </text>
    </comment>
    <comment ref="AN416" authorId="0" shapeId="0" xr:uid="{AC10C07B-826C-4370-A8CB-C9722A952E4D}">
      <text>
        <r>
          <rPr>
            <b/>
            <sz val="9"/>
            <color indexed="81"/>
            <rFont val="Tahoma"/>
            <family val="2"/>
            <charset val="238"/>
          </rPr>
          <t>nyugdíjas</t>
        </r>
        <r>
          <rPr>
            <sz val="9"/>
            <color indexed="81"/>
            <rFont val="Tahoma"/>
            <family val="2"/>
            <charset val="238"/>
          </rPr>
          <t xml:space="preserve">
</t>
        </r>
      </text>
    </comment>
    <comment ref="AN417" authorId="0" shapeId="0" xr:uid="{64F13281-F512-4716-8241-95366F42F37E}">
      <text>
        <r>
          <rPr>
            <b/>
            <sz val="9"/>
            <color indexed="81"/>
            <rFont val="Tahoma"/>
            <family val="2"/>
            <charset val="238"/>
          </rPr>
          <t>nyugdíjas</t>
        </r>
        <r>
          <rPr>
            <sz val="9"/>
            <color indexed="81"/>
            <rFont val="Tahoma"/>
            <family val="2"/>
            <charset val="238"/>
          </rPr>
          <t xml:space="preserve">
</t>
        </r>
      </text>
    </comment>
    <comment ref="AN418" authorId="0" shapeId="0" xr:uid="{844B5C72-BA21-4D86-9B93-D98147CEB143}">
      <text>
        <r>
          <rPr>
            <b/>
            <sz val="9"/>
            <color indexed="81"/>
            <rFont val="Tahoma"/>
            <family val="2"/>
            <charset val="238"/>
          </rPr>
          <t>nyugdíjas</t>
        </r>
        <r>
          <rPr>
            <sz val="9"/>
            <color indexed="81"/>
            <rFont val="Tahoma"/>
            <family val="2"/>
            <charset val="238"/>
          </rPr>
          <t xml:space="preserve">
</t>
        </r>
      </text>
    </comment>
    <comment ref="AN419" authorId="0" shapeId="0" xr:uid="{98B5FFE8-CC29-4A15-9CFF-C0F6D6E16693}">
      <text>
        <r>
          <rPr>
            <b/>
            <sz val="9"/>
            <color indexed="81"/>
            <rFont val="Tahoma"/>
            <family val="2"/>
            <charset val="238"/>
          </rPr>
          <t>nyugdíjas</t>
        </r>
        <r>
          <rPr>
            <sz val="9"/>
            <color indexed="81"/>
            <rFont val="Tahoma"/>
            <family val="2"/>
            <charset val="238"/>
          </rPr>
          <t xml:space="preserve">
</t>
        </r>
      </text>
    </comment>
    <comment ref="AN420" authorId="0" shapeId="0" xr:uid="{BEE6A441-796C-4E29-915D-35125ECC0171}">
      <text>
        <r>
          <rPr>
            <b/>
            <sz val="9"/>
            <color indexed="81"/>
            <rFont val="Tahoma"/>
            <family val="2"/>
            <charset val="238"/>
          </rPr>
          <t>nyugdíjas</t>
        </r>
        <r>
          <rPr>
            <sz val="9"/>
            <color indexed="81"/>
            <rFont val="Tahoma"/>
            <family val="2"/>
            <charset val="238"/>
          </rPr>
          <t xml:space="preserve">
</t>
        </r>
      </text>
    </comment>
    <comment ref="AN421" authorId="0" shapeId="0" xr:uid="{915BD910-B938-4154-BDA4-E110F3A08D53}">
      <text>
        <r>
          <rPr>
            <b/>
            <sz val="9"/>
            <color indexed="81"/>
            <rFont val="Tahoma"/>
            <family val="2"/>
            <charset val="238"/>
          </rPr>
          <t>nyugdíjas</t>
        </r>
        <r>
          <rPr>
            <sz val="9"/>
            <color indexed="81"/>
            <rFont val="Tahoma"/>
            <family val="2"/>
            <charset val="238"/>
          </rPr>
          <t xml:space="preserve">
</t>
        </r>
      </text>
    </comment>
    <comment ref="AN422" authorId="0" shapeId="0" xr:uid="{77E67ED6-6714-44F8-A8DB-0250E40D2385}">
      <text>
        <r>
          <rPr>
            <b/>
            <sz val="9"/>
            <color indexed="81"/>
            <rFont val="Tahoma"/>
            <family val="2"/>
            <charset val="238"/>
          </rPr>
          <t>nyugdíjas</t>
        </r>
        <r>
          <rPr>
            <sz val="9"/>
            <color indexed="81"/>
            <rFont val="Tahoma"/>
            <family val="2"/>
            <charset val="238"/>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2"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<sst xmlns="http://schemas.openxmlformats.org/spreadsheetml/2006/main" count="14430" uniqueCount="2898">
  <si>
    <t>Fennmaradó 
egyenleg</t>
  </si>
  <si>
    <t>ÖSSZESEN</t>
  </si>
  <si>
    <t>Összeg</t>
  </si>
  <si>
    <t>Szállító</t>
  </si>
  <si>
    <t>Megnevezés</t>
  </si>
  <si>
    <t>Témaszám</t>
  </si>
  <si>
    <t>Költség típus</t>
  </si>
  <si>
    <t>Tény</t>
  </si>
  <si>
    <t>Köt. váll.</t>
  </si>
  <si>
    <t xml:space="preserve">Köt. váll. </t>
  </si>
  <si>
    <t>Köt. vállal terhelt egyenleg</t>
  </si>
  <si>
    <t>Megjegyzés</t>
  </si>
  <si>
    <t>Tény/Köt. váll.</t>
  </si>
  <si>
    <t>Kifizetési kérelem</t>
  </si>
  <si>
    <t>Felhasználás</t>
  </si>
  <si>
    <t>Bér</t>
  </si>
  <si>
    <t>Megbízási</t>
  </si>
  <si>
    <t>Többlet</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</si>
  <si>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</si>
  <si>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</si>
  <si>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</si>
  <si>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</si>
  <si>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</si>
  <si>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</si>
  <si>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</si>
  <si>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</si>
  <si>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</si>
  <si>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</si>
  <si>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</si>
  <si>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</si>
  <si>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</si>
  <si>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E017200159</t>
  </si>
  <si>
    <t>2023.01</t>
  </si>
  <si>
    <t>2023.02</t>
  </si>
  <si>
    <t>2023.03</t>
  </si>
  <si>
    <t>2023.04</t>
  </si>
  <si>
    <t>2023.05</t>
  </si>
  <si>
    <t>2023.06</t>
  </si>
  <si>
    <t>2023.07</t>
  </si>
  <si>
    <t>2023.08</t>
  </si>
  <si>
    <t>2023.09</t>
  </si>
  <si>
    <t>2023.10</t>
  </si>
  <si>
    <t>2023.11</t>
  </si>
  <si>
    <t>Fejlesztő - 1. mérföldkő</t>
  </si>
  <si>
    <t>Fejlesztő - 2. mérföldkő</t>
  </si>
  <si>
    <t>Fejlesztő - 3. mérföldkő</t>
  </si>
  <si>
    <t>Technikus - 1. mérföldkő</t>
  </si>
  <si>
    <t>Technikus - 2. mérföldkő</t>
  </si>
  <si>
    <t>Technikus - 3. mérföldkő</t>
  </si>
  <si>
    <t>Projektmenedzsment -  1. mérföldkő</t>
  </si>
  <si>
    <t>Projektmenedzsment -  2. mérföldkő</t>
  </si>
  <si>
    <t>Projektmenedzsment -  3. mérföldkő</t>
  </si>
  <si>
    <t>Kutató</t>
  </si>
  <si>
    <t>Technikus</t>
  </si>
  <si>
    <t>Segédszemélyzet</t>
  </si>
  <si>
    <t>Projektmenedzser</t>
  </si>
  <si>
    <t>Munkabér</t>
  </si>
  <si>
    <t>3 tizedesre kerekített munkaidő%</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</si>
  <si>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</si>
  <si>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</si>
  <si>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</si>
  <si>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</si>
  <si>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</si>
  <si>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</si>
  <si>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</si>
  <si>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</si>
  <si>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</si>
  <si>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Elszámolás</t>
  </si>
  <si>
    <t>Foglalkoztatás típusa</t>
  </si>
  <si>
    <t>Célfeladat</t>
  </si>
  <si>
    <t>Megbízási szerződés</t>
  </si>
  <si>
    <t>Bruttó bér</t>
  </si>
  <si>
    <t>Bruttó járuléka</t>
  </si>
  <si>
    <t>Tevékenység szerinti költségsorok</t>
  </si>
  <si>
    <t xml:space="preserve">Projekt elszámolás szerinti </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</si>
  <si>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</si>
  <si>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</si>
  <si>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</si>
  <si>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</si>
  <si>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</si>
  <si>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</si>
  <si>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</si>
  <si>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</si>
  <si>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</si>
  <si>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</si>
  <si>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</si>
  <si>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</si>
  <si>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</si>
  <si>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Adott kolléga milyen munkakört tölt be a projektben (legördülő menüből választani)</t>
  </si>
  <si>
    <t>SZAKMAI KÖLTSÉGEK</t>
  </si>
  <si>
    <t>Időszak
(hónap)</t>
  </si>
  <si>
    <t>Tény/
Köt.váll</t>
  </si>
  <si>
    <t>Foglalkoztatás 
típusa</t>
  </si>
  <si>
    <t>Munkában  
töltött
óra</t>
  </si>
  <si>
    <t>Projekten
elszámolt 
óra</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</si>
  <si>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</si>
  <si>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</si>
  <si>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</si>
  <si>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</si>
  <si>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</si>
  <si>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</si>
  <si>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</si>
  <si>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</si>
  <si>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</si>
  <si>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</si>
  <si>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</si>
  <si>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</si>
  <si>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</si>
  <si>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</si>
  <si>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</si>
  <si>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</si>
  <si>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</si>
  <si>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</si>
  <si>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</si>
  <si>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</si>
  <si>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</si>
  <si>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</si>
  <si>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</si>
  <si>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</si>
  <si>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</si>
  <si>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</si>
  <si>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</si>
  <si>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</si>
  <si>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</si>
  <si>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</si>
  <si>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</si>
  <si>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</si>
  <si>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</si>
  <si>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</si>
  <si>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</si>
  <si>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</si>
  <si>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</si>
  <si>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</si>
  <si>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</si>
  <si>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</si>
  <si>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</si>
  <si>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</si>
  <si>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</si>
  <si>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</si>
  <si>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</si>
  <si>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</si>
  <si>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</si>
  <si>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</si>
  <si>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</si>
  <si>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</si>
  <si>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</si>
  <si>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</si>
  <si>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</si>
  <si>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</si>
  <si>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</si>
  <si>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</si>
  <si>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</si>
  <si>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</si>
  <si>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</si>
  <si>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</si>
  <si>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</si>
  <si>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</si>
  <si>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</si>
  <si>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</si>
  <si>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</si>
  <si>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</si>
  <si>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Tevékenység -
Költségelem
neve</t>
  </si>
  <si>
    <t>Megvalósításban 
közreműködő 
munkatárs neve</t>
  </si>
  <si>
    <t>Pénzügyi
központ 
(terhelés)</t>
  </si>
  <si>
    <t>Pénzügyi
központ 
(számfejtés)</t>
  </si>
  <si>
    <t>Adószám</t>
  </si>
  <si>
    <t>K031110000</t>
  </si>
  <si>
    <t>Czikkelyné Dr. Ágh Nóra</t>
  </si>
  <si>
    <t>C241100000</t>
  </si>
  <si>
    <t>Koók László</t>
  </si>
  <si>
    <t>C211100000</t>
  </si>
  <si>
    <t>Liker András</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</si>
  <si>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</si>
  <si>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</si>
  <si>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</si>
  <si>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</si>
  <si>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</si>
  <si>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</si>
  <si>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</si>
  <si>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</si>
  <si>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</si>
  <si>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</si>
  <si>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</si>
  <si>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</si>
  <si>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</si>
  <si>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</si>
  <si>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</si>
  <si>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</si>
  <si>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</si>
  <si>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</si>
  <si>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</si>
  <si>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</si>
  <si>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</si>
  <si>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Nyírő-Kósa Ilona</t>
  </si>
  <si>
    <t>C201100000</t>
  </si>
  <si>
    <t>Pék Dorottya</t>
  </si>
  <si>
    <t>M211120000</t>
  </si>
  <si>
    <t>Rózsenberszki Tamás</t>
  </si>
  <si>
    <t>Szolga Szilárd</t>
  </si>
  <si>
    <t>Varga Noémi</t>
  </si>
  <si>
    <t>C221110000</t>
  </si>
  <si>
    <t>Varga-Szabó Szilvia</t>
  </si>
  <si>
    <t>-</t>
  </si>
  <si>
    <t>C221100000</t>
  </si>
  <si>
    <t>Tomasek Szabina</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</si>
  <si>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</si>
  <si>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</si>
  <si>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</si>
  <si>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</si>
  <si>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</si>
  <si>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</si>
  <si>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</si>
  <si>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</si>
  <si>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</si>
  <si>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</si>
  <si>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</si>
  <si>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</si>
  <si>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</si>
  <si>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</si>
  <si>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</si>
  <si>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</si>
  <si>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</si>
  <si>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</si>
  <si>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</si>
  <si>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</si>
  <si>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</si>
  <si>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</si>
  <si>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</si>
  <si>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</si>
  <si>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</si>
  <si>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Zsiborács Henrik Dr.</t>
  </si>
  <si>
    <t>Takács-Bárkányi Ágnes</t>
  </si>
  <si>
    <t>Novogene Company Limited</t>
  </si>
  <si>
    <t>gDNS izolálás, vizsgálatok</t>
  </si>
  <si>
    <t>5100008724</t>
  </si>
  <si>
    <t>700112</t>
  </si>
  <si>
    <t>Földháziné Császár Edit</t>
  </si>
  <si>
    <t>Budapesti kiküldetés</t>
  </si>
  <si>
    <t>Seress Gábor</t>
  </si>
  <si>
    <t>Kiss Gyula</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</si>
  <si>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</si>
  <si>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</si>
  <si>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</si>
  <si>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</si>
  <si>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</si>
  <si>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</si>
  <si>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</si>
  <si>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</si>
  <si>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</si>
  <si>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</si>
  <si>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</si>
  <si>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</si>
  <si>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</si>
  <si>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</si>
  <si>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</si>
  <si>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</si>
  <si>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</si>
  <si>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</si>
  <si>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</si>
  <si>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</si>
  <si>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</si>
  <si>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</si>
  <si>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</si>
  <si>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</si>
  <si>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</si>
  <si>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</si>
  <si>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</si>
  <si>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</si>
  <si>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</si>
  <si>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</si>
  <si>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</si>
  <si>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</si>
  <si>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</si>
  <si>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</si>
  <si>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</si>
  <si>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</si>
  <si>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</si>
  <si>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</si>
  <si>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</si>
  <si>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</si>
  <si>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</si>
  <si>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</si>
  <si>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</si>
  <si>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</si>
  <si>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</si>
  <si>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</si>
  <si>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</si>
  <si>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</si>
  <si>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</si>
  <si>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</si>
  <si>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</si>
  <si>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</si>
  <si>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</si>
  <si>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</si>
  <si>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</si>
  <si>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</si>
  <si>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</si>
  <si>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Pancsa Kata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</si>
  <si>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</si>
  <si>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</si>
  <si>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</si>
  <si>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</si>
  <si>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</si>
  <si>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</si>
  <si>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</si>
  <si>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</si>
  <si>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</si>
  <si>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</si>
  <si>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</si>
  <si>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</si>
  <si>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</si>
  <si>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</si>
  <si>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</si>
  <si>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</si>
  <si>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</si>
  <si>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</si>
  <si>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</si>
  <si>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</si>
  <si>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</si>
  <si>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</si>
  <si>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</si>
  <si>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</si>
  <si>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</si>
  <si>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</si>
  <si>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</si>
  <si>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</si>
  <si>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</si>
  <si>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</si>
  <si>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</si>
  <si>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</si>
  <si>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</si>
  <si>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</si>
  <si>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</si>
  <si>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</si>
  <si>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</si>
  <si>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</si>
  <si>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</si>
  <si>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</si>
  <si>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</si>
  <si>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</si>
  <si>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</si>
  <si>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</si>
  <si>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</si>
  <si>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</si>
  <si>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</si>
  <si>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</si>
  <si>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</si>
  <si>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</si>
  <si>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</si>
  <si>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</si>
  <si>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</si>
  <si>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</si>
  <si>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</si>
  <si>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Farkas Gergely</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</si>
  <si>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</si>
  <si>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</si>
  <si>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</si>
  <si>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</si>
  <si>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</si>
  <si>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</si>
  <si>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</si>
  <si>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</si>
  <si>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</si>
  <si>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</si>
  <si>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</si>
  <si>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</si>
  <si>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</si>
  <si>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</si>
  <si>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</si>
  <si>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</si>
  <si>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</si>
  <si>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</si>
  <si>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</si>
  <si>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</si>
  <si>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</si>
  <si>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</si>
  <si>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</si>
  <si>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</si>
  <si>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</si>
  <si>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</si>
  <si>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</si>
  <si>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</si>
  <si>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</si>
  <si>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</si>
  <si>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</si>
  <si>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</si>
  <si>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</si>
  <si>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</si>
  <si>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</si>
  <si>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</si>
  <si>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</si>
  <si>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</si>
  <si>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</si>
  <si>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</si>
  <si>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</si>
  <si>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</si>
  <si>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</si>
  <si>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</si>
  <si>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</si>
  <si>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</si>
  <si>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</si>
  <si>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</si>
  <si>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</si>
  <si>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</si>
  <si>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</si>
  <si>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</si>
  <si>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</si>
  <si>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</si>
  <si>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</si>
  <si>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</si>
  <si>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</si>
  <si>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</si>
  <si>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</si>
  <si>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</si>
  <si>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</si>
  <si>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</si>
  <si>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</si>
  <si>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</si>
  <si>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</si>
  <si>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</si>
  <si>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</si>
  <si>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</si>
  <si>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</si>
  <si>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</si>
  <si>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</si>
  <si>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</si>
  <si>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</si>
  <si>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</si>
  <si>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</si>
  <si>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</si>
  <si>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</si>
  <si>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</si>
  <si>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</si>
  <si>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</si>
  <si>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</si>
  <si>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</si>
  <si>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</si>
  <si>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</si>
  <si>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</si>
  <si>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</si>
  <si>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</si>
  <si>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</si>
  <si>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</si>
  <si>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</si>
  <si>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</si>
  <si>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</si>
  <si>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</si>
  <si>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</si>
  <si>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</si>
  <si>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</si>
  <si>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</si>
  <si>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</si>
  <si>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</si>
  <si>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</si>
  <si>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</si>
  <si>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</si>
  <si>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</si>
  <si>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</si>
  <si>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</si>
  <si>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</si>
  <si>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</si>
  <si>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</si>
  <si>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</si>
  <si>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</si>
  <si>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</si>
  <si>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</si>
  <si>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</si>
  <si>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</si>
  <si>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</si>
  <si>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</si>
  <si>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</si>
  <si>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</si>
  <si>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</si>
  <si>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</si>
  <si>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</si>
  <si>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</si>
  <si>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</si>
  <si>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</si>
  <si>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</si>
  <si>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</si>
  <si>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</si>
  <si>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</si>
  <si>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</si>
  <si>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</si>
  <si>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</si>
  <si>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</si>
  <si>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</si>
  <si>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</si>
  <si>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</si>
  <si>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</si>
  <si>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</si>
  <si>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</si>
  <si>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</si>
  <si>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</si>
  <si>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</si>
  <si>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</si>
  <si>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</si>
  <si>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</si>
  <si>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</si>
  <si>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</si>
  <si>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</si>
  <si>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</si>
  <si>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</si>
  <si>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</si>
  <si>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</si>
  <si>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</si>
  <si>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</si>
  <si>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</si>
  <si>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</si>
  <si>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</si>
  <si>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</si>
  <si>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</si>
  <si>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</si>
  <si>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</si>
  <si>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</si>
  <si>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</si>
  <si>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</si>
  <si>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</si>
  <si>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</si>
  <si>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</si>
  <si>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</si>
  <si>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</si>
  <si>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</si>
  <si>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</si>
  <si>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</si>
  <si>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</si>
  <si>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</si>
  <si>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</si>
  <si>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</si>
  <si>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</si>
  <si>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</si>
  <si>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</si>
  <si>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</si>
  <si>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</si>
  <si>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</si>
  <si>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</si>
  <si>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</si>
  <si>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</si>
  <si>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</si>
  <si>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</si>
  <si>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</si>
  <si>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</si>
  <si>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</si>
  <si>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</si>
  <si>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</si>
  <si>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</si>
  <si>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</si>
  <si>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</si>
  <si>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</si>
  <si>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</si>
  <si>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</si>
  <si>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</si>
  <si>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</si>
  <si>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</si>
  <si>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</si>
  <si>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</si>
  <si>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</si>
  <si>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</si>
  <si>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</si>
  <si>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</si>
  <si>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</si>
  <si>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</si>
  <si>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</si>
  <si>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</si>
  <si>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</si>
  <si>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</si>
  <si>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</si>
  <si>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</si>
  <si>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</si>
  <si>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</si>
  <si>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</si>
  <si>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</si>
  <si>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</si>
  <si>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</si>
  <si>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</si>
  <si>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</si>
  <si>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</si>
  <si>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</si>
  <si>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</si>
  <si>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</si>
  <si>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</si>
  <si>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</si>
  <si>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</si>
  <si>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</si>
  <si>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</si>
  <si>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</si>
  <si>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</si>
  <si>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</si>
  <si>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</si>
  <si>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</si>
  <si>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</si>
  <si>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</si>
  <si>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</si>
  <si>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</si>
  <si>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</si>
  <si>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</si>
  <si>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</si>
  <si>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</si>
  <si>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</si>
  <si>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</si>
  <si>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</si>
  <si>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</si>
  <si>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</si>
  <si>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</si>
  <si>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</si>
  <si>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</si>
  <si>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</si>
  <si>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</si>
  <si>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</si>
  <si>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</si>
  <si>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</si>
  <si>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</si>
  <si>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</si>
  <si>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</si>
  <si>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</si>
  <si>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</si>
  <si>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</si>
  <si>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</si>
  <si>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</si>
  <si>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</si>
  <si>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</si>
  <si>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</si>
  <si>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</si>
  <si>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</si>
  <si>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</si>
  <si>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</si>
  <si>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</si>
  <si>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</si>
  <si>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</si>
  <si>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</si>
  <si>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</si>
  <si>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</si>
  <si>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</si>
  <si>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</si>
  <si>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</si>
  <si>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</si>
  <si>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</si>
  <si>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</si>
  <si>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</si>
  <si>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</si>
  <si>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</si>
  <si>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</si>
  <si>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</si>
  <si>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</si>
  <si>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</si>
  <si>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</si>
  <si>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</si>
  <si>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</si>
  <si>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</si>
  <si>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</si>
  <si>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</si>
  <si>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</si>
  <si>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</si>
  <si>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</si>
  <si>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</si>
  <si>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</si>
  <si>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</si>
  <si>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</si>
  <si>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</si>
  <si>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</si>
  <si>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</si>
  <si>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</si>
  <si>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</si>
  <si>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</si>
  <si>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</si>
  <si>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</si>
  <si>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</si>
  <si>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</si>
  <si>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</si>
  <si>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</si>
  <si>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</si>
  <si>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</si>
  <si>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</si>
  <si>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</si>
  <si>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</si>
  <si>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</si>
  <si>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</si>
  <si>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</si>
  <si>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</si>
  <si>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</si>
  <si>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</si>
  <si>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</si>
  <si>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</si>
  <si>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</si>
  <si>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</si>
  <si>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</si>
  <si>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</si>
  <si>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</si>
  <si>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</si>
  <si>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</si>
  <si>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</si>
  <si>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</si>
  <si>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</si>
  <si>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</si>
  <si>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</si>
  <si>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</si>
  <si>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</si>
  <si>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</si>
  <si>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</si>
  <si>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</si>
  <si>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</si>
  <si>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</si>
  <si>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</si>
  <si>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</si>
  <si>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</si>
  <si>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</si>
  <si>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</si>
  <si>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</si>
  <si>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</si>
  <si>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</si>
  <si>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</si>
  <si>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</si>
  <si>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</si>
  <si>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</si>
  <si>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</si>
  <si>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</si>
  <si>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</si>
  <si>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</si>
  <si>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</si>
  <si>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</si>
  <si>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</si>
  <si>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</si>
  <si>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</si>
  <si>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</si>
  <si>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</si>
  <si>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</si>
  <si>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</si>
  <si>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</si>
  <si>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</si>
  <si>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</si>
  <si>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</si>
  <si>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</si>
  <si>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</si>
  <si>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</si>
  <si>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</si>
  <si>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</si>
  <si>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</si>
  <si>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</si>
  <si>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</si>
  <si>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</si>
  <si>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</si>
  <si>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</si>
  <si>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</si>
  <si>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</si>
  <si>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</si>
  <si>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</si>
  <si>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</si>
  <si>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</si>
  <si>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</si>
  <si>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</si>
  <si>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</si>
  <si>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</si>
  <si>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</si>
  <si>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</si>
  <si>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</si>
  <si>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</si>
  <si>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</si>
  <si>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</si>
  <si>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</si>
  <si>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</si>
  <si>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</si>
  <si>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</si>
  <si>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</si>
  <si>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</si>
  <si>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</si>
  <si>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</si>
  <si>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</si>
  <si>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</si>
  <si>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</si>
  <si>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</si>
  <si>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</si>
  <si>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</si>
  <si>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</si>
  <si>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</si>
  <si>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</si>
  <si>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</si>
  <si>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</si>
  <si>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</si>
  <si>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</si>
  <si>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</si>
  <si>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</si>
  <si>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</si>
  <si>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</si>
  <si>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</si>
  <si>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</si>
  <si>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</si>
  <si>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</si>
  <si>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</si>
  <si>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</si>
  <si>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</si>
  <si>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</si>
  <si>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</si>
  <si>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</si>
  <si>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</si>
  <si>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</si>
  <si>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</si>
  <si>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</si>
  <si>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</si>
  <si>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</si>
  <si>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</si>
  <si>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</si>
  <si>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</si>
  <si>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</si>
  <si>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</si>
  <si>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</si>
  <si>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</si>
  <si>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</si>
  <si>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</si>
  <si>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</si>
  <si>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</si>
  <si>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</si>
  <si>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</si>
  <si>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</si>
  <si>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</si>
  <si>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</si>
  <si>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</si>
  <si>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</si>
  <si>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</si>
  <si>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</si>
  <si>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</si>
  <si>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</si>
  <si>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</si>
  <si>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</si>
  <si>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</si>
  <si>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</si>
  <si>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</si>
  <si>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</si>
  <si>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</si>
  <si>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</si>
  <si>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</si>
  <si>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</si>
  <si>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</si>
  <si>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</si>
  <si>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</si>
  <si>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</si>
  <si>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</si>
  <si>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</si>
  <si>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</si>
  <si>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</si>
  <si>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</si>
  <si>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</si>
  <si>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</si>
  <si>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</si>
  <si>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</si>
  <si>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</si>
  <si>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</si>
  <si>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</si>
  <si>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</si>
  <si>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</si>
  <si>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</si>
  <si>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</si>
  <si>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</si>
  <si>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</si>
  <si>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</si>
  <si>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</si>
  <si>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</si>
  <si>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</si>
  <si>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</si>
  <si>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</si>
  <si>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</si>
  <si>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</si>
  <si>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</si>
  <si>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</si>
  <si>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</si>
  <si>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</si>
  <si>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</si>
  <si>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</si>
  <si>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</si>
  <si>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</si>
  <si>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</si>
  <si>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</si>
  <si>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</si>
  <si>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</si>
  <si>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</si>
  <si>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</si>
  <si>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</si>
  <si>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</si>
  <si>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</si>
  <si>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</si>
  <si>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</si>
  <si>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</si>
  <si>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</si>
  <si>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</si>
  <si>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</si>
  <si>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</si>
  <si>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</si>
  <si>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</si>
  <si>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</si>
  <si>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</si>
  <si>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</si>
  <si>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</si>
  <si>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</si>
  <si>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</si>
  <si>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</si>
  <si>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</si>
  <si>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</si>
  <si>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</si>
  <si>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</si>
  <si>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</si>
  <si>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</si>
  <si>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</si>
  <si>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</si>
  <si>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</si>
  <si>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</si>
  <si>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</si>
  <si>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</si>
  <si>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</si>
  <si>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</si>
  <si>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</si>
  <si>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</si>
  <si>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</si>
  <si>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</si>
  <si>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</si>
  <si>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</si>
  <si>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</si>
  <si>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</si>
  <si>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</si>
  <si>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</si>
  <si>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</si>
  <si>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</si>
  <si>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</si>
  <si>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</si>
  <si>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</si>
  <si>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</si>
  <si>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</si>
  <si>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</si>
  <si>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</si>
  <si>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</si>
  <si>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</si>
  <si>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</si>
  <si>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</si>
  <si>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</si>
  <si>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</si>
  <si>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</si>
  <si>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</si>
  <si>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</si>
  <si>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</si>
  <si>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</si>
  <si>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</si>
  <si>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</si>
  <si>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</si>
  <si>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</si>
  <si>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</si>
  <si>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</si>
  <si>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</si>
  <si>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</si>
  <si>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</si>
  <si>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</si>
  <si>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</si>
  <si>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</si>
  <si>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</si>
  <si>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</si>
  <si>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</si>
  <si>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</si>
  <si>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</si>
  <si>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</si>
  <si>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</si>
  <si>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</si>
  <si>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</si>
  <si>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</si>
  <si>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</si>
  <si>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</si>
  <si>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</si>
  <si>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</si>
  <si>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</si>
  <si>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</si>
  <si>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</si>
  <si>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</si>
  <si>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</si>
  <si>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</si>
  <si>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</si>
  <si>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</si>
  <si>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</si>
  <si>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</si>
  <si>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</si>
  <si>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</si>
  <si>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</si>
  <si>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</si>
  <si>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</si>
  <si>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</si>
  <si>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</si>
  <si>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</si>
  <si>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</si>
  <si>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</si>
  <si>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</si>
  <si>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</si>
  <si>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</si>
  <si>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</si>
  <si>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</si>
  <si>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</si>
  <si>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</si>
  <si>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</si>
  <si>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</si>
  <si>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</si>
  <si>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</si>
  <si>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</si>
  <si>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</si>
  <si>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</si>
  <si>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</si>
  <si>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</si>
  <si>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</si>
  <si>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</si>
  <si>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</si>
  <si>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</si>
  <si>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</si>
  <si>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</si>
  <si>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</si>
  <si>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</si>
  <si>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</si>
  <si>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</si>
  <si>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</si>
  <si>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</si>
  <si>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</si>
  <si>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</si>
  <si>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</si>
  <si>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</si>
  <si>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</si>
  <si>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</si>
  <si>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</si>
  <si>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</si>
  <si>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</si>
  <si>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</si>
  <si>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</si>
  <si>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</si>
  <si>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</si>
  <si>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</si>
  <si>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</si>
  <si>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</si>
  <si>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</si>
  <si>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</si>
  <si>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</si>
  <si>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</si>
  <si>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</si>
  <si>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</si>
  <si>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</si>
  <si>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</si>
  <si>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</si>
  <si>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</si>
  <si>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</si>
  <si>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</si>
  <si>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</si>
  <si>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</si>
  <si>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</si>
  <si>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</si>
  <si>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</si>
  <si>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</si>
  <si>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</si>
  <si>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</si>
  <si>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</si>
  <si>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</si>
  <si>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</si>
  <si>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</si>
  <si>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</si>
  <si>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</si>
  <si>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</si>
  <si>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</si>
  <si>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</si>
  <si>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</si>
  <si>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</si>
  <si>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</si>
  <si>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</si>
  <si>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</si>
  <si>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</si>
  <si>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</si>
  <si>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</si>
  <si>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</si>
  <si>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</si>
  <si>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</si>
  <si>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</si>
  <si>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</si>
  <si>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</si>
  <si>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</si>
  <si>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</si>
  <si>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</si>
  <si>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</si>
  <si>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</si>
  <si>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</si>
  <si>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</si>
  <si>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</si>
  <si>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</si>
  <si>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</si>
  <si>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</si>
  <si>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</si>
  <si>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</si>
  <si>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</si>
  <si>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</si>
  <si>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</si>
  <si>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</si>
  <si>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</si>
  <si>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</si>
  <si>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</si>
  <si>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</si>
  <si>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</si>
  <si>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</si>
  <si>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</si>
  <si>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</si>
  <si>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</si>
  <si>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</si>
  <si>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</si>
  <si>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</si>
  <si>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</si>
  <si>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</si>
  <si>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</si>
  <si>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</si>
  <si>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</si>
  <si>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</si>
  <si>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</si>
  <si>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</si>
  <si>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</si>
  <si>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</si>
  <si>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</si>
  <si>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</si>
  <si>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</si>
  <si>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</si>
  <si>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</si>
  <si>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</si>
  <si>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</si>
  <si>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</si>
  <si>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</si>
  <si>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</si>
  <si>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</si>
  <si>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</si>
  <si>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</si>
  <si>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</si>
  <si>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</si>
  <si>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</si>
  <si>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</si>
  <si>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</si>
  <si>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</si>
  <si>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</si>
  <si>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</si>
  <si>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</si>
  <si>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</si>
  <si>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</si>
  <si>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</si>
  <si>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</si>
  <si>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</si>
  <si>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</si>
  <si>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</si>
  <si>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</si>
  <si>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</si>
  <si>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</si>
  <si>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</si>
  <si>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</si>
  <si>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</si>
  <si>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</si>
  <si>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</si>
  <si>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</si>
  <si>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</si>
  <si>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</si>
  <si>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</si>
  <si>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</si>
  <si>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</si>
  <si>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</si>
  <si>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</si>
  <si>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</si>
  <si>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</si>
  <si>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</si>
  <si>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</si>
  <si>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</si>
  <si>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</si>
  <si>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</si>
  <si>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</si>
  <si>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</si>
  <si>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</si>
  <si>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</si>
  <si>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</si>
  <si>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</si>
  <si>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</si>
  <si>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</si>
  <si>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</si>
  <si>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</si>
  <si>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</si>
  <si>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</si>
  <si>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</si>
  <si>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</si>
  <si>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</si>
  <si>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</si>
  <si>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</si>
  <si>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</si>
  <si>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</si>
  <si>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</si>
  <si>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</si>
  <si>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</si>
  <si>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</si>
  <si>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</si>
  <si>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</si>
  <si>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</si>
  <si>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</si>
  <si>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</si>
  <si>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</si>
  <si>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</si>
  <si>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</si>
  <si>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</si>
  <si>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</si>
  <si>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</si>
  <si>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</si>
  <si>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</si>
  <si>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</si>
  <si>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</si>
  <si>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</si>
  <si>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</si>
  <si>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</si>
  <si>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</si>
  <si>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</si>
  <si>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</si>
  <si>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</si>
  <si>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</si>
  <si>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</si>
  <si>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</si>
  <si>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</si>
  <si>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</si>
  <si>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</si>
  <si>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</si>
  <si>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</si>
  <si>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</si>
  <si>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</si>
  <si>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</si>
  <si>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</si>
  <si>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</si>
  <si>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</si>
  <si>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</si>
  <si>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</si>
  <si>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</si>
  <si>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</si>
  <si>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</si>
  <si>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</si>
  <si>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</si>
  <si>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</si>
  <si>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</si>
  <si>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</si>
  <si>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</si>
  <si>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</si>
  <si>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</si>
  <si>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</si>
  <si>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</si>
  <si>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</si>
  <si>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</si>
  <si>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</si>
  <si>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</si>
  <si>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</si>
  <si>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</si>
  <si>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</si>
  <si>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</si>
  <si>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</si>
  <si>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</si>
  <si>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</si>
  <si>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</si>
  <si>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</si>
  <si>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</si>
  <si>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</si>
  <si>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</si>
  <si>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</si>
  <si>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</si>
  <si>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</si>
  <si>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</si>
  <si>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</si>
  <si>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</si>
  <si>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</si>
  <si>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</si>
  <si>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</si>
  <si>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</si>
  <si>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</si>
  <si>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</si>
  <si>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</si>
  <si>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</si>
  <si>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</si>
  <si>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</si>
  <si>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</si>
  <si>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</si>
  <si>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</si>
  <si>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</si>
  <si>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</si>
  <si>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</si>
  <si>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</si>
  <si>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</si>
  <si>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</si>
  <si>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</si>
  <si>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</si>
  <si>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</si>
  <si>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</si>
  <si>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</si>
  <si>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</si>
  <si>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</si>
  <si>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</si>
  <si>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</si>
  <si>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</si>
  <si>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</si>
  <si>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</si>
  <si>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</si>
  <si>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</si>
  <si>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</si>
  <si>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</si>
  <si>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</si>
  <si>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</si>
  <si>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</si>
  <si>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</si>
  <si>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</si>
  <si>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</si>
  <si>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</si>
  <si>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</si>
  <si>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</si>
  <si>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</si>
  <si>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</si>
  <si>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</si>
  <si>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</si>
  <si>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</si>
  <si>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</si>
  <si>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</si>
  <si>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</si>
  <si>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</si>
  <si>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</si>
  <si>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</si>
  <si>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</si>
  <si>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</si>
  <si>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</si>
  <si>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</si>
  <si>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</si>
  <si>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</si>
  <si>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</si>
  <si>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</si>
  <si>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</si>
  <si>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</si>
  <si>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</si>
  <si>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</si>
  <si>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</si>
  <si>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</si>
  <si>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</si>
  <si>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</si>
  <si>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</si>
  <si>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</si>
  <si>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</si>
  <si>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</si>
  <si>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</si>
  <si>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</si>
  <si>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</si>
  <si>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</si>
  <si>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</si>
  <si>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</si>
  <si>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</si>
  <si>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</si>
  <si>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</si>
  <si>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</si>
  <si>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</si>
  <si>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</si>
  <si>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</si>
  <si>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</si>
  <si>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</si>
  <si>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</si>
  <si>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</si>
  <si>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</si>
  <si>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</si>
  <si>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</si>
  <si>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</si>
  <si>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</si>
  <si>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</si>
  <si>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</si>
  <si>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</si>
  <si>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</si>
  <si>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</si>
  <si>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</si>
  <si>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</si>
  <si>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</si>
  <si>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</si>
  <si>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</si>
  <si>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</si>
  <si>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</si>
  <si>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</si>
  <si>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</si>
  <si>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</si>
  <si>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</si>
  <si>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</si>
  <si>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</si>
  <si>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</si>
  <si>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</si>
  <si>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</si>
  <si>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</si>
  <si>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</si>
  <si>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</si>
  <si>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</si>
  <si>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</si>
  <si>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</si>
  <si>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</si>
  <si>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</si>
  <si>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</si>
  <si>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</si>
  <si>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</si>
  <si>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</si>
  <si>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</si>
  <si>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</si>
  <si>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</si>
  <si>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</si>
  <si>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</si>
  <si>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</si>
  <si>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</si>
  <si>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</si>
  <si>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</si>
  <si>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</si>
  <si>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</si>
  <si>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</si>
  <si>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</si>
  <si>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</si>
  <si>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</si>
  <si>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</si>
  <si>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</si>
  <si>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</si>
  <si>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</si>
  <si>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</si>
  <si>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</si>
  <si>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</si>
  <si>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</si>
  <si>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</si>
  <si>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</si>
  <si>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</si>
  <si>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</si>
  <si>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</si>
  <si>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</si>
  <si>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</si>
  <si>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</si>
  <si>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</si>
  <si>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</si>
  <si>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</si>
  <si>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</si>
  <si>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</si>
  <si>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</si>
  <si>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</si>
  <si>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</si>
  <si>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</si>
  <si>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</si>
  <si>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</si>
  <si>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</si>
  <si>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</si>
  <si>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</si>
  <si>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</si>
  <si>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</si>
  <si>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</si>
  <si>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</si>
  <si>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</si>
  <si>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</si>
  <si>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</si>
  <si>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</si>
  <si>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</si>
  <si>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</si>
  <si>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</si>
  <si>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</si>
  <si>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</si>
  <si>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</si>
  <si>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</si>
  <si>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</si>
  <si>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</si>
  <si>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</si>
  <si>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</si>
  <si>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</si>
  <si>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</si>
  <si>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</si>
  <si>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</si>
  <si>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</si>
  <si>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</si>
  <si>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</si>
  <si>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</si>
  <si>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</si>
  <si>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</si>
  <si>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</si>
  <si>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</si>
  <si>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</si>
  <si>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</si>
  <si>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</si>
  <si>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</si>
  <si>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</si>
  <si>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</si>
  <si>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</si>
  <si>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</si>
  <si>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</si>
  <si>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</si>
  <si>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</si>
  <si>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</si>
  <si>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</si>
  <si>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</si>
  <si>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</si>
  <si>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</si>
  <si>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</si>
  <si>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</si>
  <si>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</si>
  <si>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</si>
  <si>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</si>
  <si>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</si>
  <si>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</si>
  <si>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</si>
  <si>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</si>
  <si>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</si>
  <si>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</si>
  <si>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</si>
  <si>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</si>
  <si>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</si>
  <si>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</si>
  <si>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</si>
  <si>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</si>
  <si>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</si>
  <si>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</si>
  <si>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</si>
  <si>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</si>
  <si>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</si>
  <si>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</si>
  <si>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</si>
  <si>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</si>
  <si>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</si>
  <si>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</si>
  <si>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</si>
  <si>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</si>
  <si>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</si>
  <si>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</si>
  <si>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</si>
  <si>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</si>
  <si>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</si>
  <si>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</si>
  <si>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</si>
  <si>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</si>
  <si>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</si>
  <si>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</si>
  <si>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</si>
  <si>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</si>
  <si>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</si>
  <si>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</si>
  <si>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</si>
  <si>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</si>
  <si>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</si>
  <si>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</si>
  <si>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</si>
  <si>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</si>
  <si>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</si>
  <si>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</si>
  <si>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</si>
  <si>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</si>
  <si>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</si>
  <si>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</si>
  <si>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</si>
  <si>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</si>
  <si>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</si>
  <si>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</si>
  <si>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</si>
  <si>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</si>
  <si>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</si>
  <si>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</si>
  <si>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</si>
  <si>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</si>
  <si>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</si>
  <si>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</si>
  <si>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</si>
  <si>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</si>
  <si>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</si>
  <si>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</si>
  <si>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</si>
  <si>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</si>
  <si>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</si>
  <si>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</si>
  <si>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</si>
  <si>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</si>
  <si>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</si>
  <si>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</si>
  <si>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</si>
  <si>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</si>
  <si>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</si>
  <si>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</si>
  <si>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</si>
  <si>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</si>
  <si>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</si>
  <si>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</si>
  <si>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</si>
  <si>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</si>
  <si>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</si>
  <si>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</si>
  <si>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</si>
  <si>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</si>
  <si>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</si>
  <si>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</si>
  <si>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</si>
  <si>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</si>
  <si>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</si>
  <si>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</si>
  <si>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</si>
  <si>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</si>
  <si>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</si>
  <si>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</si>
  <si>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</si>
  <si>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</si>
  <si>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</si>
  <si>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</si>
  <si>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</si>
  <si>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</si>
  <si>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</si>
  <si>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</si>
  <si>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</si>
  <si>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</si>
  <si>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</si>
  <si>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</si>
  <si>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</si>
  <si>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</si>
  <si>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</si>
  <si>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</si>
  <si>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</si>
  <si>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</si>
  <si>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</si>
  <si>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</si>
  <si>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</si>
  <si>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</si>
  <si>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</si>
  <si>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</si>
  <si>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</si>
  <si>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</si>
  <si>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</si>
  <si>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</si>
  <si>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</si>
  <si>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</si>
  <si>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</si>
  <si>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</si>
  <si>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</si>
  <si>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</si>
  <si>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</si>
  <si>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</si>
  <si>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</si>
  <si>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</si>
  <si>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</si>
  <si>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</si>
  <si>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</si>
  <si>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</si>
  <si>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</si>
  <si>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</si>
  <si>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</si>
  <si>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</si>
  <si>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</si>
  <si>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</si>
  <si>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</si>
  <si>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</si>
  <si>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</si>
  <si>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</si>
  <si>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</si>
  <si>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</si>
  <si>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</si>
  <si>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</si>
  <si>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</si>
  <si>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</si>
  <si>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</si>
  <si>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</si>
  <si>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</si>
  <si>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</si>
  <si>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</si>
  <si>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</si>
  <si>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</si>
  <si>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</si>
  <si>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</si>
  <si>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</si>
  <si>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</si>
  <si>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</si>
  <si>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</si>
  <si>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</si>
  <si>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</si>
  <si>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</si>
  <si>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</si>
  <si>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</si>
  <si>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</si>
  <si>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</si>
  <si>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</si>
  <si>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</si>
  <si>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</si>
  <si>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</si>
  <si>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</si>
  <si>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</si>
  <si>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</si>
  <si>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</si>
  <si>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</si>
  <si>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</si>
  <si>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</si>
  <si>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</si>
  <si>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</si>
  <si>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</si>
  <si>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</si>
  <si>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</si>
  <si>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</si>
  <si>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</si>
  <si>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</si>
  <si>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</si>
  <si>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</si>
  <si>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</si>
  <si>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</si>
  <si>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</si>
  <si>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</si>
  <si>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</si>
  <si>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</si>
  <si>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</si>
  <si>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</si>
  <si>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</si>
  <si>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</si>
  <si>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</si>
  <si>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</si>
  <si>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</si>
  <si>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</si>
  <si>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</si>
  <si>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</si>
  <si>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</si>
  <si>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</si>
  <si>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</si>
  <si>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</si>
  <si>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</si>
  <si>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</si>
  <si>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</si>
  <si>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</si>
  <si>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</si>
  <si>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</si>
  <si>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</si>
  <si>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</si>
  <si>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</si>
  <si>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</si>
  <si>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</si>
  <si>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</si>
  <si>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</si>
  <si>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</si>
  <si>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</si>
  <si>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</si>
  <si>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</si>
  <si>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</si>
  <si>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</si>
  <si>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</si>
  <si>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</si>
  <si>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</si>
  <si>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</si>
  <si>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</si>
  <si>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</si>
  <si>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</si>
  <si>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</si>
  <si>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</si>
  <si>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</si>
  <si>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</si>
  <si>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</si>
  <si>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</si>
  <si>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</si>
  <si>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</si>
  <si>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</si>
  <si>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</si>
  <si>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</si>
  <si>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</si>
  <si>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</si>
  <si>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</si>
  <si>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</si>
  <si>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</si>
  <si>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</si>
  <si>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</si>
  <si>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</si>
  <si>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</si>
  <si>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</si>
  <si>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</si>
  <si>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</si>
  <si>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</si>
  <si>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</si>
  <si>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</si>
  <si>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</si>
  <si>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</si>
  <si>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</si>
  <si>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</si>
  <si>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</si>
  <si>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</si>
  <si>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</si>
  <si>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</si>
  <si>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</si>
  <si>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</si>
  <si>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</si>
  <si>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</si>
  <si>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</si>
  <si>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</si>
  <si>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</si>
  <si>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</si>
  <si>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</si>
  <si>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</si>
  <si>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</si>
  <si>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</si>
  <si>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</si>
  <si>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</si>
  <si>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</si>
  <si>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</si>
  <si>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</si>
  <si>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</si>
  <si>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</si>
  <si>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</si>
  <si>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</si>
  <si>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</si>
  <si>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</si>
  <si>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</si>
  <si>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</si>
  <si>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</si>
  <si>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</si>
  <si>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</si>
  <si>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</si>
  <si>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</si>
  <si>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</si>
  <si>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</si>
  <si>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</si>
  <si>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</si>
  <si>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</si>
  <si>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</si>
  <si>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</si>
  <si>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</si>
  <si>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</si>
  <si>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</si>
  <si>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</si>
  <si>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</si>
  <si>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</si>
  <si>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</si>
  <si>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</si>
  <si>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</si>
  <si>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</si>
  <si>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</si>
  <si>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</si>
  <si>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</si>
  <si>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</si>
  <si>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</si>
  <si>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</si>
  <si>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</si>
  <si>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</si>
  <si>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</si>
  <si>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</si>
  <si>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</si>
  <si>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</si>
  <si>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</si>
  <si>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</si>
  <si>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</si>
  <si>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</si>
  <si>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</si>
  <si>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</si>
  <si>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</si>
  <si>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</si>
  <si>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</si>
  <si>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</si>
  <si>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</si>
  <si>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</si>
  <si>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</si>
  <si>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</si>
  <si>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</si>
  <si>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</si>
  <si>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</si>
  <si>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</si>
  <si>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</si>
  <si>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</si>
  <si>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</si>
  <si>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</si>
  <si>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</si>
  <si>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</si>
  <si>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</si>
  <si>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</si>
  <si>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</si>
  <si>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</si>
  <si>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</si>
  <si>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</si>
  <si>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</si>
  <si>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</si>
  <si>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</si>
  <si>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</si>
  <si>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</si>
  <si>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</si>
  <si>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</si>
  <si>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</si>
  <si>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</si>
  <si>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</si>
  <si>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</si>
  <si>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</si>
  <si>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</si>
  <si>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</si>
  <si>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</si>
  <si>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</si>
  <si>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</si>
  <si>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</si>
  <si>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</si>
  <si>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</si>
  <si>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</si>
  <si>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</si>
  <si>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</si>
  <si>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</si>
  <si>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</si>
  <si>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</si>
  <si>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</si>
  <si>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</si>
  <si>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</si>
  <si>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</si>
  <si>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</si>
  <si>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</si>
  <si>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</si>
  <si>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</si>
  <si>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</si>
  <si>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</si>
  <si>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</si>
  <si>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</si>
  <si>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</si>
  <si>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</si>
  <si>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</si>
  <si>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</si>
  <si>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</si>
  <si>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</si>
  <si>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</si>
  <si>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</si>
  <si>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</si>
  <si>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</si>
  <si>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</si>
  <si>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</si>
  <si>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</si>
  <si>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</si>
  <si>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</si>
  <si>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</si>
  <si>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</si>
  <si>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</si>
  <si>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</si>
  <si>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</si>
  <si>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</si>
  <si>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</si>
  <si>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</si>
  <si>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</si>
  <si>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</si>
  <si>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</si>
  <si>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</si>
  <si>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</si>
  <si>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</si>
  <si>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</si>
  <si>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</si>
  <si>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</si>
  <si>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</si>
  <si>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</si>
  <si>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</si>
  <si>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</si>
  <si>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</si>
  <si>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</si>
  <si>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</si>
  <si>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</si>
  <si>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</si>
  <si>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</si>
  <si>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</si>
  <si>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</si>
  <si>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</si>
  <si>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</si>
  <si>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</si>
  <si>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</si>
  <si>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</si>
  <si>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</si>
  <si>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</si>
  <si>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</si>
  <si>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</si>
  <si>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</si>
  <si>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</si>
  <si>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</si>
  <si>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</si>
  <si>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</si>
  <si>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</si>
  <si>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</si>
  <si>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</si>
  <si>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</si>
  <si>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</si>
  <si>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</si>
  <si>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</si>
  <si>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</si>
  <si>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</si>
  <si>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</si>
  <si>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</si>
  <si>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</si>
  <si>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</si>
  <si>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</si>
  <si>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</si>
  <si>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</si>
  <si>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</si>
  <si>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</si>
  <si>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</si>
  <si>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</si>
  <si>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</si>
  <si>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</si>
  <si>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</si>
  <si>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</si>
  <si>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</si>
  <si>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</si>
  <si>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</si>
  <si>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</si>
  <si>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</si>
  <si>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</si>
  <si>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</si>
  <si>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</si>
  <si>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</si>
  <si>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</si>
  <si>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</si>
  <si>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</si>
  <si>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</si>
  <si>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</si>
  <si>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</si>
  <si>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</si>
  <si>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</si>
  <si>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</si>
  <si>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</si>
  <si>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</si>
  <si>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</si>
  <si>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</si>
  <si>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</si>
  <si>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</si>
  <si>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</si>
  <si>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</si>
  <si>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</si>
  <si>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</si>
  <si>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</si>
  <si>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</si>
  <si>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</si>
  <si>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</si>
  <si>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</si>
  <si>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</si>
  <si>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</si>
  <si>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</si>
  <si>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</si>
  <si>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</si>
  <si>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</si>
  <si>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</si>
  <si>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</si>
  <si>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</si>
  <si>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</si>
  <si>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</si>
  <si>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</si>
  <si>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</si>
  <si>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</si>
  <si>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</si>
  <si>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</si>
  <si>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</si>
  <si>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</si>
  <si>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</si>
  <si>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</si>
  <si>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</si>
  <si>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</si>
  <si>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</si>
  <si>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</si>
  <si>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</si>
  <si>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</si>
  <si>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</si>
  <si>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</si>
  <si>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</si>
  <si>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</si>
  <si>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</si>
  <si>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</si>
  <si>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</si>
  <si>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</si>
  <si>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</si>
  <si>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</si>
  <si>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</si>
  <si>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</si>
  <si>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</si>
  <si>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</si>
  <si>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</si>
  <si>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</si>
  <si>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</si>
  <si>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</si>
  <si>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</si>
  <si>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</si>
  <si>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</si>
  <si>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</si>
  <si>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</si>
  <si>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</si>
  <si>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</si>
  <si>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</si>
  <si>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</si>
  <si>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</si>
  <si>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</si>
  <si>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</si>
  <si>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</si>
  <si>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</si>
  <si>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</si>
  <si>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</si>
  <si>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</si>
  <si>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</si>
  <si>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</si>
  <si>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</si>
  <si>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</si>
  <si>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</si>
  <si>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</si>
  <si>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</si>
  <si>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</si>
  <si>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</si>
  <si>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</si>
  <si>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</si>
  <si>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</si>
  <si>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</si>
  <si>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</si>
  <si>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</si>
  <si>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</si>
  <si>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</si>
  <si>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</si>
  <si>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</si>
  <si>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</si>
  <si>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</si>
  <si>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</si>
  <si>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</si>
  <si>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</si>
  <si>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</si>
  <si>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</si>
  <si>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</si>
  <si>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</si>
  <si>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</si>
  <si>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</si>
  <si>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</si>
  <si>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</si>
  <si>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</si>
  <si>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</si>
  <si>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</si>
  <si>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</si>
  <si>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</si>
  <si>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</si>
  <si>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</si>
  <si>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</si>
  <si>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</si>
  <si>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</si>
  <si>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</si>
  <si>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</si>
  <si>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</si>
  <si>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</si>
  <si>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</si>
  <si>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</si>
  <si>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</si>
  <si>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</si>
  <si>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</si>
  <si>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</si>
  <si>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</si>
  <si>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</si>
  <si>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</si>
  <si>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</si>
  <si>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</si>
  <si>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</si>
  <si>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</si>
  <si>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</si>
  <si>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</si>
  <si>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</si>
  <si>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</si>
  <si>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</si>
  <si>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</si>
  <si>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</si>
  <si>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</si>
  <si>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</si>
  <si>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</si>
  <si>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</si>
  <si>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</si>
  <si>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</si>
  <si>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</si>
  <si>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</si>
  <si>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</si>
  <si>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</si>
  <si>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</si>
  <si>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</si>
  <si>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</si>
  <si>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</si>
  <si>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</si>
  <si>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</si>
  <si>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</si>
  <si>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</si>
  <si>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</si>
  <si>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</si>
  <si>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</si>
  <si>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</si>
  <si>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</si>
  <si>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</si>
  <si>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</si>
  <si>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</si>
  <si>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</si>
  <si>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</si>
  <si>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</si>
  <si>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</si>
  <si>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</si>
  <si>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</si>
  <si>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</si>
  <si>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</si>
  <si>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</si>
  <si>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</si>
  <si>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</si>
  <si>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</si>
  <si>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</si>
  <si>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</si>
  <si>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</si>
  <si>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</si>
  <si>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</si>
  <si>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</si>
  <si>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</si>
  <si>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</si>
  <si>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</si>
  <si>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</si>
  <si>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</si>
  <si>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</si>
  <si>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</si>
  <si>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</si>
  <si>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</si>
  <si>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</si>
  <si>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</si>
  <si>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</si>
  <si>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</si>
  <si>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</si>
  <si>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</si>
  <si>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</si>
  <si>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</si>
  <si>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</si>
  <si>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</si>
  <si>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</si>
  <si>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</si>
  <si>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</si>
  <si>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</si>
  <si>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</si>
  <si>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</si>
  <si>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</si>
  <si>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</si>
  <si>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</si>
  <si>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</si>
  <si>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</si>
  <si>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</si>
  <si>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</si>
  <si>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</si>
  <si>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</si>
  <si>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</si>
  <si>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</si>
  <si>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</si>
  <si>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</si>
  <si>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</si>
  <si>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</si>
  <si>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</si>
  <si>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</si>
  <si>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</si>
  <si>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</si>
  <si>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</si>
  <si>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</si>
  <si>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</si>
  <si>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</si>
  <si>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</si>
  <si>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</si>
  <si>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</si>
  <si>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</si>
  <si>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</si>
  <si>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</si>
  <si>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</si>
  <si>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</si>
  <si>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</si>
  <si>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</si>
  <si>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</si>
  <si>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</si>
  <si>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</si>
  <si>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</si>
  <si>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</si>
  <si>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</si>
  <si>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</si>
  <si>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</si>
  <si>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</si>
  <si>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</si>
  <si>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</si>
  <si>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</si>
  <si>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</si>
  <si>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</si>
  <si>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</si>
  <si>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</si>
  <si>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</si>
  <si>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</si>
  <si>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</si>
  <si>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</si>
  <si>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</si>
  <si>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</si>
  <si>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</si>
  <si>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</si>
  <si>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</si>
  <si>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</si>
  <si>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</si>
  <si>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</si>
  <si>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</si>
  <si>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</si>
  <si>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</si>
  <si>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</si>
  <si>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</si>
  <si>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</si>
  <si>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</si>
  <si>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</si>
  <si>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</si>
  <si>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</si>
  <si>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</si>
  <si>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</si>
  <si>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</si>
  <si>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</si>
  <si>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</si>
  <si>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</si>
  <si>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</si>
  <si>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</si>
  <si>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</si>
  <si>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</si>
  <si>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</si>
  <si>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</si>
  <si>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</si>
  <si>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</si>
  <si>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</si>
  <si>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</si>
  <si>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</si>
  <si>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</si>
  <si>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</si>
  <si>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</si>
  <si>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</si>
  <si>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</si>
  <si>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</si>
  <si>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</si>
  <si>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</si>
  <si>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</si>
  <si>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</si>
  <si>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</si>
  <si>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</si>
  <si>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</si>
  <si>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</si>
  <si>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</si>
  <si>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</si>
  <si>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</si>
  <si>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</si>
  <si>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</si>
  <si>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</si>
  <si>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</si>
  <si>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</si>
  <si>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</si>
  <si>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</si>
  <si>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</si>
  <si>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</si>
  <si>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</si>
  <si>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</si>
  <si>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</si>
  <si>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</si>
  <si>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</si>
  <si>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</si>
  <si>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</si>
  <si>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</si>
  <si>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</si>
  <si>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</si>
  <si>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</si>
  <si>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</si>
  <si>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</si>
  <si>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</si>
  <si>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</si>
  <si>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</si>
  <si>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</si>
  <si>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</si>
  <si>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</si>
  <si>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</si>
  <si>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</si>
  <si>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</si>
  <si>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</si>
  <si>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</si>
  <si>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</si>
  <si>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</si>
  <si>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</si>
  <si>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</si>
  <si>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</si>
  <si>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</si>
  <si>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</si>
  <si>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</si>
  <si>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</si>
  <si>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</si>
  <si>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</si>
  <si>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</si>
  <si>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</si>
  <si>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</si>
  <si>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</si>
  <si>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</si>
  <si>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</si>
  <si>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</si>
  <si>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</si>
  <si>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</si>
  <si>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</si>
  <si>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</si>
  <si>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</si>
  <si>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</si>
  <si>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</si>
  <si>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</si>
  <si>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</si>
  <si>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</si>
  <si>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</si>
  <si>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</si>
  <si>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</si>
  <si>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</si>
  <si>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</si>
  <si>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</si>
  <si>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</si>
  <si>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</si>
  <si>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</si>
  <si>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</si>
  <si>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</si>
  <si>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</si>
  <si>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</si>
  <si>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</si>
  <si>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</si>
  <si>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</si>
  <si>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</si>
  <si>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</si>
  <si>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</si>
  <si>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</si>
  <si>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</si>
  <si>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</si>
  <si>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</si>
  <si>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</si>
  <si>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</si>
  <si>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</si>
  <si>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</si>
  <si>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</si>
  <si>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</si>
  <si>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</si>
  <si>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</si>
  <si>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</si>
  <si>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</si>
  <si>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</si>
  <si>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</si>
  <si>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</si>
  <si>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</si>
  <si>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</si>
  <si>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</si>
  <si>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</si>
  <si>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</si>
  <si>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</si>
  <si>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</si>
  <si>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</si>
  <si>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</si>
  <si>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</si>
  <si>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</si>
  <si>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</si>
  <si>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</si>
  <si>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</si>
  <si>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</si>
  <si>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</si>
  <si>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</si>
  <si>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</si>
  <si>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</si>
  <si>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</si>
  <si>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</si>
  <si>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</si>
  <si>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</si>
  <si>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</si>
  <si>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</si>
  <si>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</si>
  <si>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</si>
  <si>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</si>
  <si>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</si>
  <si>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</si>
  <si>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</si>
  <si>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</si>
  <si>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</si>
  <si>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</si>
  <si>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</si>
  <si>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</si>
  <si>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</si>
  <si>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</si>
  <si>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</si>
  <si>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</si>
  <si>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</si>
  <si>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</si>
  <si>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</si>
  <si>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</si>
  <si>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</si>
  <si>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</si>
  <si>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</si>
  <si>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</si>
  <si>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</si>
  <si>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</si>
  <si>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</si>
  <si>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</si>
  <si>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</si>
  <si>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</si>
  <si>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</si>
  <si>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</si>
  <si>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</si>
  <si>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</si>
  <si>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</si>
  <si>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</si>
  <si>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</si>
  <si>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</si>
  <si>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</si>
  <si>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</si>
  <si>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</si>
  <si>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</si>
  <si>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</si>
  <si>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</si>
  <si>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</si>
  <si>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</si>
  <si>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</si>
  <si>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</si>
  <si>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</si>
  <si>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</si>
  <si>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</si>
  <si>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</si>
  <si>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</si>
  <si>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</si>
  <si>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</si>
  <si>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</si>
  <si>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</si>
  <si>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</si>
  <si>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</si>
  <si>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</si>
  <si>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</si>
  <si>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</si>
  <si>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</si>
  <si>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</si>
  <si>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</si>
  <si>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</si>
  <si>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</si>
  <si>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</si>
  <si>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</si>
  <si>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</si>
  <si>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</si>
  <si>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</si>
  <si>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</si>
  <si>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</si>
  <si>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</si>
  <si>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</si>
  <si>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</si>
  <si>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</si>
  <si>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</si>
  <si>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</si>
  <si>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</si>
  <si>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</si>
  <si>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</si>
  <si>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</si>
  <si>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</si>
  <si>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</si>
  <si>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</si>
  <si>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</si>
  <si>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</si>
  <si>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</si>
  <si>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</si>
  <si>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</si>
  <si>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</si>
  <si>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</si>
  <si>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</si>
  <si>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</si>
  <si>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</si>
  <si>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</si>
  <si>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</si>
  <si>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</si>
  <si>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</si>
  <si>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</si>
  <si>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</si>
  <si>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</si>
  <si>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</si>
  <si>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</si>
  <si>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</si>
  <si>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</si>
  <si>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</si>
  <si>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</si>
  <si>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</si>
  <si>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</si>
  <si>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</si>
  <si>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</si>
  <si>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</si>
  <si>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</si>
  <si>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</si>
  <si>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</si>
  <si>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</si>
  <si>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</si>
  <si>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</si>
  <si>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</si>
  <si>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</si>
  <si>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</si>
  <si>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</si>
  <si>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</si>
  <si>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</si>
  <si>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</si>
  <si>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</si>
  <si>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</si>
  <si>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</si>
  <si>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</si>
  <si>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</si>
  <si>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</si>
  <si>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</si>
  <si>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</si>
  <si>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</si>
  <si>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óra arány
bér arány
különbsége</t>
  </si>
  <si>
    <t>Szoc. Ho. adó mértéke</t>
  </si>
  <si>
    <t>Személyi törzsszám</t>
  </si>
  <si>
    <t>Aláírt 
kinevezés
többlet</t>
  </si>
  <si>
    <t>Fedezetigazolás dátuma</t>
  </si>
  <si>
    <r>
      <t xml:space="preserve">Projektre </t>
    </r>
    <r>
      <rPr>
        <b/>
        <sz val="12"/>
        <color rgb="FFFF0000"/>
        <rFont val="Calibri"/>
        <family val="2"/>
        <charset val="238"/>
        <scheme val="minor"/>
      </rPr>
      <t>EL NEM</t>
    </r>
    <r>
      <rPr>
        <sz val="11"/>
        <color theme="1"/>
        <rFont val="Calibri"/>
        <family val="2"/>
        <charset val="238"/>
        <scheme val="minor"/>
      </rPr>
      <t xml:space="preserve"> számolható bérköltség</t>
    </r>
  </si>
  <si>
    <t>FEOR</t>
  </si>
  <si>
    <t>HISTORIKUS</t>
  </si>
  <si>
    <t>RRF VÁLASZTOTT BÉRELSZÁMOLÁSI MÓDSZER</t>
  </si>
  <si>
    <t>MELYIK A JOBB?</t>
  </si>
  <si>
    <t>Hathavi átlagbér alapján az egy havi teljes bruttó átlagbér Ft/hó</t>
  </si>
  <si>
    <t>HISTORIKUS módszer alapján a beállított munkaidőre elszámolható bruttó Ft</t>
  </si>
  <si>
    <t>Elszámolni kívánt bruttó Ft/hó</t>
  </si>
  <si>
    <t>HISTORIKUS mószerrel a beállított munkaidőre EL NEM SZÁMOLHATÓ szuperbruttó FT/hó</t>
  </si>
  <si>
    <t>HISTORIKUS mószerrel a beállított munkaidőre ELSZÁMOLHATÓ 
szuperbruttó FT/hó</t>
  </si>
  <si>
    <t>FEOR
KÓD</t>
  </si>
  <si>
    <t>KOR</t>
  </si>
  <si>
    <t>FEOR
KORCSOPORT</t>
  </si>
  <si>
    <t>FEOR megnevezése</t>
  </si>
  <si>
    <r>
      <t xml:space="preserve">FEOR alapján </t>
    </r>
    <r>
      <rPr>
        <b/>
        <u/>
        <sz val="11"/>
        <rFont val="Times New Roman"/>
        <family val="1"/>
        <charset val="238"/>
      </rPr>
      <t>teljes</t>
    </r>
    <r>
      <rPr>
        <b/>
        <sz val="11"/>
        <rFont val="Times New Roman"/>
        <family val="1"/>
        <charset val="238"/>
      </rPr>
      <t xml:space="preserve"> munkaidőre INDOKLÁS NÉLKÜL elszámolható bruttó FT/hó (1x)</t>
    </r>
  </si>
  <si>
    <r>
      <t xml:space="preserve">FEOR alapján </t>
    </r>
    <r>
      <rPr>
        <b/>
        <u/>
        <sz val="11"/>
        <rFont val="Times New Roman"/>
        <family val="1"/>
        <charset val="238"/>
      </rPr>
      <t>teljes</t>
    </r>
    <r>
      <rPr>
        <b/>
        <sz val="11"/>
        <rFont val="Times New Roman"/>
        <family val="1"/>
        <charset val="238"/>
      </rPr>
      <t xml:space="preserve"> munkaidőre, INDOKLÁSSAL elszámolható bruttó FT/hó (1,5x)</t>
    </r>
  </si>
  <si>
    <r>
      <t xml:space="preserve">FEOR alapján a </t>
    </r>
    <r>
      <rPr>
        <b/>
        <u/>
        <sz val="11"/>
        <rFont val="Times New Roman"/>
        <family val="1"/>
        <charset val="238"/>
      </rPr>
      <t>beállított</t>
    </r>
    <r>
      <rPr>
        <b/>
        <sz val="11"/>
        <rFont val="Times New Roman"/>
        <family val="1"/>
        <charset val="238"/>
      </rPr>
      <t xml:space="preserve"> munkaidőre elszámolható max bruttó FT/hó (1,5x)</t>
    </r>
  </si>
  <si>
    <t>Elszámolni kívánt bruttó Ft/hó2</t>
  </si>
  <si>
    <t>Elszámolni kívánt munkaidő %</t>
  </si>
  <si>
    <r>
      <t xml:space="preserve">FEOR alapján a </t>
    </r>
    <r>
      <rPr>
        <b/>
        <u/>
        <sz val="11"/>
        <rFont val="Times New Roman"/>
        <family val="1"/>
        <charset val="238"/>
      </rPr>
      <t>beállított</t>
    </r>
    <r>
      <rPr>
        <b/>
        <sz val="11"/>
        <rFont val="Times New Roman"/>
        <family val="1"/>
        <charset val="238"/>
      </rPr>
      <t xml:space="preserve"> munkaidőre EL NEM SZÁMOLHATÓ bruttó FT/hó</t>
    </r>
  </si>
  <si>
    <r>
      <t xml:space="preserve">FEOR alapján a </t>
    </r>
    <r>
      <rPr>
        <b/>
        <u/>
        <sz val="11"/>
        <rFont val="Times New Roman"/>
        <family val="1"/>
        <charset val="238"/>
      </rPr>
      <t>beállított</t>
    </r>
    <r>
      <rPr>
        <b/>
        <sz val="11"/>
        <rFont val="Times New Roman"/>
        <family val="1"/>
        <charset val="238"/>
      </rPr>
      <t xml:space="preserve"> munkaidőre EL NEM SZÁMOLHATÓ járulék FT/hó</t>
    </r>
  </si>
  <si>
    <r>
      <t xml:space="preserve">FEOR alapján a </t>
    </r>
    <r>
      <rPr>
        <b/>
        <u/>
        <sz val="11"/>
        <rFont val="Times New Roman"/>
        <family val="1"/>
        <charset val="238"/>
      </rPr>
      <t>beállított</t>
    </r>
    <r>
      <rPr>
        <b/>
        <sz val="11"/>
        <rFont val="Times New Roman"/>
        <family val="1"/>
        <charset val="238"/>
      </rPr>
      <t xml:space="preserve"> munkaidőre EL NEM SZÁMOLHATÓ szuperbruttó FT/hó</t>
    </r>
  </si>
  <si>
    <r>
      <t xml:space="preserve">FEOR alapján a </t>
    </r>
    <r>
      <rPr>
        <b/>
        <u/>
        <sz val="11"/>
        <rFont val="Times New Roman"/>
        <family val="1"/>
        <charset val="238"/>
      </rPr>
      <t>beállított</t>
    </r>
    <r>
      <rPr>
        <b/>
        <sz val="11"/>
        <rFont val="Times New Roman"/>
        <family val="1"/>
        <charset val="238"/>
      </rPr>
      <t xml:space="preserve"> munkaidőre ELSZÁMOLHATÓ szuperbruttó FT/hó</t>
    </r>
  </si>
  <si>
    <t>INDOKLÁS</t>
  </si>
  <si>
    <r>
      <t xml:space="preserve">El nem számolható bérek/
</t>
    </r>
    <r>
      <rPr>
        <sz val="14"/>
        <color theme="1"/>
        <rFont val="Calibri"/>
        <family val="2"/>
        <charset val="238"/>
        <scheme val="minor"/>
      </rPr>
      <t>betervezett bérek</t>
    </r>
  </si>
  <si>
    <t>EREDMÉNY</t>
  </si>
  <si>
    <t>FEOR %</t>
  </si>
  <si>
    <t>FEOR/HISTORIKUS alapján  elszámolható bruttó bér:</t>
  </si>
  <si>
    <t>FEOR/HISTORIKUS alapján elszámolható járulék:</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</si>
  <si>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</si>
  <si>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</si>
  <si>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</si>
  <si>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</si>
  <si>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</si>
  <si>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</si>
  <si>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</si>
  <si>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</si>
  <si>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</si>
  <si>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</si>
  <si>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</si>
  <si>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</si>
  <si>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</si>
  <si>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</si>
  <si>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</si>
  <si>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</si>
  <si>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</si>
  <si>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</si>
  <si>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</si>
  <si>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</si>
  <si>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</si>
  <si>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</si>
  <si>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</si>
  <si>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</si>
  <si>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</si>
  <si>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</si>
  <si>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</si>
  <si>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</si>
  <si>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</si>
  <si>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</si>
  <si>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</si>
  <si>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</si>
  <si>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</si>
  <si>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eltérés</t>
  </si>
  <si>
    <t>Név</t>
  </si>
  <si>
    <t>Adóazonosító</t>
  </si>
  <si>
    <t>Számfejtés</t>
  </si>
  <si>
    <t>8346442386</t>
  </si>
  <si>
    <t>8413223210</t>
  </si>
  <si>
    <t>8405472754</t>
  </si>
  <si>
    <t>8399760935</t>
  </si>
  <si>
    <t>8421732463</t>
  </si>
  <si>
    <t>8426142613</t>
  </si>
  <si>
    <t>8372793190</t>
  </si>
  <si>
    <t>8444651087</t>
  </si>
  <si>
    <t>8405671307</t>
  </si>
  <si>
    <t>8459031489</t>
  </si>
  <si>
    <t>8430140549</t>
  </si>
  <si>
    <t>8353902435</t>
  </si>
  <si>
    <t>8454981969</t>
  </si>
  <si>
    <t>8437290244</t>
  </si>
  <si>
    <t>8442990062</t>
  </si>
  <si>
    <t>8399231932</t>
  </si>
  <si>
    <t>8428693250</t>
  </si>
  <si>
    <t>8447632261</t>
  </si>
  <si>
    <t>8437320062</t>
  </si>
  <si>
    <t>8494880098</t>
  </si>
  <si>
    <t>8450510813</t>
  </si>
  <si>
    <t>8332374189</t>
  </si>
  <si>
    <t>8469970453</t>
  </si>
  <si>
    <t>8364962566</t>
  </si>
  <si>
    <t>8391703703</t>
  </si>
  <si>
    <t>8351331759</t>
  </si>
  <si>
    <t>8440502516</t>
  </si>
  <si>
    <t>8438023282</t>
  </si>
  <si>
    <t>8407181587</t>
  </si>
  <si>
    <t>MEGBÍZÁSI SZERZŐDÉSEK</t>
  </si>
  <si>
    <t>Jaskó Szilárd</t>
  </si>
  <si>
    <t>Kazsoki Attila Sándor</t>
  </si>
  <si>
    <t>K021100000</t>
  </si>
  <si>
    <t>EGYEZIK</t>
  </si>
  <si>
    <t>HIBÁS</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</si>
  <si>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</si>
  <si>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</si>
  <si>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</si>
  <si>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</si>
  <si>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</si>
  <si>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</si>
  <si>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</si>
  <si>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</si>
  <si>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</si>
  <si>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</si>
  <si>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</si>
  <si>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</si>
  <si>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</si>
  <si>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</si>
  <si>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</si>
  <si>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</si>
  <si>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</si>
  <si>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</si>
  <si>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</si>
  <si>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</si>
  <si>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</si>
  <si>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</si>
  <si>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</si>
  <si>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</si>
  <si>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</si>
  <si>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</si>
  <si>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</si>
  <si>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</si>
  <si>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</si>
  <si>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</si>
  <si>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</si>
  <si>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</si>
  <si>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</si>
  <si>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</si>
  <si>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</si>
  <si>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</si>
  <si>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</si>
  <si>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</si>
  <si>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</si>
  <si>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</si>
  <si>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</si>
  <si>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</si>
  <si>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</si>
  <si>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</si>
  <si>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FEOR/HISTORIKUS alapján nem elszámolható rész:</t>
  </si>
  <si>
    <t>Betervezett bérköltség</t>
  </si>
  <si>
    <t>Elszámolható bérköltség</t>
  </si>
  <si>
    <t>El nem számolható</t>
  </si>
  <si>
    <t>MK</t>
  </si>
  <si>
    <t>Nagykanizsa</t>
  </si>
  <si>
    <t>FPI</t>
  </si>
  <si>
    <t>Samsung monitorok</t>
  </si>
  <si>
    <t>HP számítógép</t>
  </si>
  <si>
    <t>Számítógép közbesz. Díja</t>
  </si>
  <si>
    <t>monitor beszerzés közbesz. Díja</t>
  </si>
  <si>
    <t>Tigra Kft.</t>
  </si>
  <si>
    <t>képlet járulékkedvezményhez</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</si>
  <si>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</si>
  <si>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</si>
  <si>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</si>
  <si>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</si>
  <si>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</si>
  <si>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</si>
  <si>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</si>
  <si>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</si>
  <si>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</si>
  <si>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</si>
  <si>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</si>
  <si>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</si>
  <si>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</si>
  <si>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</si>
  <si>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</si>
  <si>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Alaplevél szerint 
elszámolt
bér</t>
  </si>
  <si>
    <t>Alaplevél szerint
elszámolt
járulék</t>
  </si>
  <si>
    <t>BR205503</t>
  </si>
  <si>
    <t>5100011879</t>
  </si>
  <si>
    <t>Vp-Szeged-Vp, 2023.01.12</t>
  </si>
  <si>
    <t>TH00251/2023</t>
  </si>
  <si>
    <t>5100013110</t>
  </si>
  <si>
    <t>Vwr International Kft.</t>
  </si>
  <si>
    <t>Nikkel nitrát hexahidrát</t>
  </si>
  <si>
    <t>Imsys Kft.</t>
  </si>
  <si>
    <t>Konferencia részvételi díj</t>
  </si>
  <si>
    <t>XXIII. Környezetvédelmi és Iparbiztonsági Konferencia</t>
  </si>
  <si>
    <t>10000903</t>
  </si>
  <si>
    <t>10000335</t>
  </si>
  <si>
    <t>10002005</t>
  </si>
  <si>
    <t>10001424</t>
  </si>
  <si>
    <t>10000021</t>
  </si>
  <si>
    <t>10002168</t>
  </si>
  <si>
    <t>10000441</t>
  </si>
  <si>
    <t>10002172</t>
  </si>
  <si>
    <t>10000074</t>
  </si>
  <si>
    <t>10001889</t>
  </si>
  <si>
    <t>10000113</t>
  </si>
  <si>
    <t>10000117</t>
  </si>
  <si>
    <t>10001410</t>
  </si>
  <si>
    <t>10000124</t>
  </si>
  <si>
    <t>10001690</t>
  </si>
  <si>
    <t>10002232</t>
  </si>
  <si>
    <t>10000132</t>
  </si>
  <si>
    <t>10001907</t>
  </si>
  <si>
    <t>10001946</t>
  </si>
  <si>
    <t>10001999</t>
  </si>
  <si>
    <t>10000184</t>
  </si>
  <si>
    <t>10002162</t>
  </si>
  <si>
    <t>10001863</t>
  </si>
  <si>
    <t>10000200</t>
  </si>
  <si>
    <t>10000214</t>
  </si>
  <si>
    <t>10002173</t>
  </si>
  <si>
    <t>10002036</t>
  </si>
  <si>
    <t>10001077</t>
  </si>
  <si>
    <t>10000230</t>
  </si>
  <si>
    <t>10001022</t>
  </si>
  <si>
    <t>10001009</t>
  </si>
  <si>
    <t>10000361</t>
  </si>
  <si>
    <t>10000747</t>
  </si>
  <si>
    <t>10000258</t>
  </si>
  <si>
    <t>10002194</t>
  </si>
  <si>
    <t>10001832</t>
  </si>
  <si>
    <t>10001463</t>
  </si>
  <si>
    <t>10000292</t>
  </si>
  <si>
    <t>10000891</t>
  </si>
  <si>
    <t>10000366</t>
  </si>
  <si>
    <t>10002169</t>
  </si>
  <si>
    <t>10002146</t>
  </si>
  <si>
    <t>10000386</t>
  </si>
  <si>
    <t>10001679</t>
  </si>
  <si>
    <t>10001066</t>
  </si>
  <si>
    <t>10001894</t>
  </si>
  <si>
    <t>10001311</t>
  </si>
  <si>
    <t>2Á</t>
  </si>
  <si>
    <t>7/2022</t>
  </si>
  <si>
    <t>8/2022</t>
  </si>
  <si>
    <t>6/2022</t>
  </si>
  <si>
    <t>Közbeszerzési díj</t>
  </si>
  <si>
    <t>Anoním személyi kód</t>
  </si>
  <si>
    <t>Kód és beosztás</t>
  </si>
  <si>
    <t>5100011878</t>
  </si>
  <si>
    <t>BR205502</t>
  </si>
  <si>
    <t>322023033093</t>
  </si>
  <si>
    <t>5100013360</t>
  </si>
  <si>
    <t>Amplicon Metagenomics Sequencing</t>
  </si>
  <si>
    <t>Kutató_NK_6</t>
  </si>
  <si>
    <t>Kutató_Szakmai vezető</t>
  </si>
  <si>
    <t>Segédszemélyzet_NK5</t>
  </si>
  <si>
    <t>Kutató_BM_1</t>
  </si>
  <si>
    <t>Kutató_NK_1</t>
  </si>
  <si>
    <t>Kutató_MK_1</t>
  </si>
  <si>
    <t>Kutató_VM_9</t>
  </si>
  <si>
    <t>Kutató_NK_5</t>
  </si>
  <si>
    <t>Kutató_NK_9</t>
  </si>
  <si>
    <t>Kutató_VM_4</t>
  </si>
  <si>
    <t>Kutató_MK_2</t>
  </si>
  <si>
    <t>Kutató_VM_5</t>
  </si>
  <si>
    <t>Kutató_NK_2</t>
  </si>
  <si>
    <t>Kutató_NK_7</t>
  </si>
  <si>
    <t>Kutató_NK_10</t>
  </si>
  <si>
    <t>Segédszemélyzet_NK_2</t>
  </si>
  <si>
    <t>Kutató_BM_2</t>
  </si>
  <si>
    <t>Kutató_BM_3</t>
  </si>
  <si>
    <t>Kutató_MK_3</t>
  </si>
  <si>
    <t>Segédszemélyzet_NK_3</t>
  </si>
  <si>
    <t>Kutató_MK_5</t>
  </si>
  <si>
    <t>Kutató_VM_1</t>
  </si>
  <si>
    <t>Kutató_BM_4</t>
  </si>
  <si>
    <t>Kutató_MK_4</t>
  </si>
  <si>
    <t>Kutató_NK_3</t>
  </si>
  <si>
    <t>Kutató_BM_5</t>
  </si>
  <si>
    <t>Segédszemélyzet_MK_3</t>
  </si>
  <si>
    <t>Segédszemélyzet_MK_2</t>
  </si>
  <si>
    <t>Kutató_VM_8</t>
  </si>
  <si>
    <t>Kutató_NK_8</t>
  </si>
  <si>
    <t>Kutató_BM_7</t>
  </si>
  <si>
    <t>Kutató_VM_2</t>
  </si>
  <si>
    <t>Kutató_VM_3</t>
  </si>
  <si>
    <t>Kutató_BM_6</t>
  </si>
  <si>
    <t>Segédszemélyzet_VM_1</t>
  </si>
  <si>
    <t>Segédszemélyzet_NK_1</t>
  </si>
  <si>
    <t>Kutató_VM_6</t>
  </si>
  <si>
    <t>Kutató_NK_4</t>
  </si>
  <si>
    <t>Segédszemélyzet_NK_4</t>
  </si>
  <si>
    <t>Kutató_VM_7</t>
  </si>
  <si>
    <t>8388423770</t>
  </si>
  <si>
    <t>8411063054</t>
  </si>
  <si>
    <t>8457461427</t>
  </si>
  <si>
    <t>8457891952</t>
  </si>
  <si>
    <t>Dimov Rosen Ivanov</t>
  </si>
  <si>
    <t>Profil-Copy 2002 Kft.</t>
  </si>
  <si>
    <t>Irodaszer beszerzése</t>
  </si>
  <si>
    <t>Hónap</t>
  </si>
  <si>
    <t>Terhelés</t>
  </si>
  <si>
    <t>BR250861</t>
  </si>
  <si>
    <t>5100013810</t>
  </si>
  <si>
    <t>Nk-Bp-Nk 2023.03.27, Nk-Bp-Nk 2023.03.28</t>
  </si>
  <si>
    <t>4500010109</t>
  </si>
  <si>
    <t>Infornax Zrt.</t>
  </si>
  <si>
    <t>toner beszerzése</t>
  </si>
  <si>
    <t>Amplicon Metagenomics Sequencing ÁFA</t>
  </si>
  <si>
    <t>2360431373</t>
  </si>
  <si>
    <t>5100013933</t>
  </si>
  <si>
    <t>Kihagyás</t>
  </si>
  <si>
    <t>5100014025</t>
  </si>
  <si>
    <t>IMSYS-2023-207</t>
  </si>
  <si>
    <t>N802150/23-V</t>
  </si>
  <si>
    <t>5100014032</t>
  </si>
  <si>
    <t>MSPCK2304067</t>
  </si>
  <si>
    <t>5100014038</t>
  </si>
  <si>
    <t>BR250864</t>
  </si>
  <si>
    <t>5100014147</t>
  </si>
  <si>
    <t>Belföldi útiktg</t>
  </si>
  <si>
    <t>Nk-Bp 2023.03.16, Bp-Nk 2023.03.24</t>
  </si>
  <si>
    <t>MSPCK2304462</t>
  </si>
  <si>
    <t>5100014103</t>
  </si>
  <si>
    <t>célfeladat</t>
  </si>
  <si>
    <t>Utazási terv</t>
  </si>
  <si>
    <t>Külföldi kiküldetés napidíj</t>
  </si>
  <si>
    <t>Bulgária, 2023.06.03-2023.06.06</t>
  </si>
  <si>
    <t>Külföldi kiküldetés napidíj járuléka</t>
  </si>
  <si>
    <t>Külföldi kiküldetés szállásktg</t>
  </si>
  <si>
    <t>Külföldi kiküldetés utazási ktg</t>
  </si>
  <si>
    <t>Külföldi kiküldetés egyéb útiktg</t>
  </si>
  <si>
    <t>nem számoljuk el, amíg nincs tanúsítvány az új keretmegállapodásra</t>
  </si>
  <si>
    <t>J3361733</t>
  </si>
  <si>
    <t>5100014368</t>
  </si>
  <si>
    <t>Nk-Bp-Nk, 2023.04.24</t>
  </si>
  <si>
    <t>J3361742</t>
  </si>
  <si>
    <t>5100014448</t>
  </si>
  <si>
    <t>Nk-Debrecen-Nk 2023.05.02, Nk-Miskolc-Nk 2023.05.05, Nk-Pécs-Nk 2023.05.08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</si>
</sst>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0.0%"/>
    <numFmt numFmtId="175" formatCode="_-* #,##0_-;\-* #,##0_-;_-* &quot;-&quot;??_-;_-@_-"/>
    <numFmt numFmtId="176" formatCode="#,##0\ _F_t"/>
  </numFmts>
  <fonts count="74"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b/>
      <u/>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color indexed="8"/>
      <name val="Times New Roman"/>
      <family val="1"/>
      <charset val="238"/>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rgb="FFFF0000"/>
      <name val="Calibri"/>
      <family val="2"/>
      <charset val="238"/>
      <scheme val="minor"/>
    </font>
    <font>
      <sz val="11"/>
      <color theme="1"/>
      <name val="Calibri"/>
      <family val="2"/>
      <scheme val="minor"/>
    </font>
    <font>
      <sz val="11"/>
      <color rgb="FFFFFFFF"/>
      <name val="Roboto"/>
      <charset val="238"/>
    </font>
    <font>
      <sz val="11"/>
      <color theme="1"/>
      <name val="Roboto"/>
      <charset val="238"/>
    </font>
    <font>
      <sz val="11"/>
      <color rgb="FF0000FF"/>
      <name val="Roboto"/>
      <charset val="238"/>
    </font>
    <font>
      <b/>
      <sz val="13.5"/>
      <color rgb="FF212529"/>
      <name val="Roboto"/>
      <charset val="238"/>
    </font>
    <font>
      <b/>
      <sz val="11"/>
      <color rgb="FF212529"/>
      <name val="Roboto"/>
      <charset val="238"/>
    </font>
    <font>
      <sz val="11"/>
      <color rgb="FF212529"/>
      <name val="Roboto"/>
      <charset val="238"/>
    </font>
    <font>
      <b/>
      <sz val="11"/>
      <color rgb="FF0000FF"/>
      <name val="Roboto"/>
      <charset val="238"/>
    </font>
    <font>
      <b/>
      <sz val="10"/>
      <name val="Arial"/>
      <family val="2"/>
      <charset val="238"/>
    </font>
    <font>
      <b/>
      <sz val="12"/>
      <color rgb="FFFF0000"/>
      <name val="Calibri"/>
      <family val="2"/>
      <charset val="238"/>
      <scheme val="minor"/>
    </font>
    <font>
      <b/>
      <sz val="14"/>
      <color theme="1"/>
      <name val="Calibri"/>
      <family val="2"/>
      <charset val="238"/>
      <scheme val="minor"/>
    </font>
    <font>
      <sz val="14"/>
      <color rgb="FF000000"/>
      <name val="Calibri"/>
      <family val="2"/>
      <charset val="238"/>
    </font>
    <font>
      <i/>
      <sz val="12"/>
      <color theme="1"/>
      <name val="Calibri"/>
      <family val="2"/>
      <charset val="238"/>
      <scheme val="minor"/>
    </font>
    <font>
      <b/>
      <i/>
      <sz val="12"/>
      <color theme="1"/>
      <name val="Calibri"/>
      <family val="2"/>
      <charset val="238"/>
      <scheme val="minor"/>
    </font>
    <font>
      <b/>
      <sz val="11"/>
      <color rgb="FFFF0000"/>
      <name val="Times New Roman"/>
      <family val="1"/>
      <charset val="238"/>
    </font>
    <font>
      <b/>
      <u/>
      <sz val="11"/>
      <name val="Times New Roman"/>
      <family val="1"/>
      <charset val="238"/>
    </font>
    <font>
      <sz val="11"/>
      <color rgb="FF00B050"/>
      <name val="Calibri"/>
      <family val="2"/>
      <charset val="238"/>
      <scheme val="minor"/>
    </font>
    <font>
      <b/>
      <sz val="14"/>
      <color rgb="FF000000"/>
      <name val="Calibri"/>
      <family val="2"/>
      <charset val="238"/>
    </font>
    <font>
      <sz val="14"/>
      <color theme="1"/>
      <name val="Calibri"/>
      <family val="2"/>
      <charset val="238"/>
      <scheme val="minor"/>
    </font>
    <font>
      <b/>
      <sz val="9"/>
      <color indexed="81"/>
      <name val="Tahoma"/>
      <family val="2"/>
      <charset val="238"/>
    </font>
    <font>
      <sz val="9"/>
      <color indexed="81"/>
      <name val="Tahoma"/>
      <family val="2"/>
      <charset val="238"/>
    </font>
    <font>
      <b/>
      <sz val="10"/>
      <color rgb="FF000000"/>
      <name val="Calibri"/>
      <family val="2"/>
      <charset val="238"/>
    </font>
    <font>
      <b/>
      <sz val="11"/>
      <color theme="1"/>
      <name val="Calibri"/>
      <family val="2"/>
      <scheme val="minor"/>
    </font>
    <font>
      <b/>
      <sz val="11"/>
      <color rgb="FFFF0000"/>
      <name val="Calibri"/>
      <family val="2"/>
      <charset val="238"/>
      <scheme val="minor"/>
    </font>
  </fonts>
  <fills count="61">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theme="4" tint="0.79998168889431442"/>
      </patternFill>
    </fill>
    <fill>
      <patternFill patternType="solid">
        <fgColor theme="6" tint="0.39997558519241921"/>
        <bgColor indexed="64"/>
      </patternFill>
    </fill>
    <fill>
      <patternFill patternType="solid">
        <fgColor rgb="FFFFFFCC"/>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
      <patternFill patternType="solid">
        <fgColor theme="2" tint="-0.249977111117893"/>
        <bgColor indexed="64"/>
      </patternFill>
    </fill>
    <fill>
      <patternFill patternType="solid">
        <fgColor theme="3" tint="0.39997558519241921"/>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6" fillId="0" borderId="0"/>
    <xf numFmtId="164" fontId="3" fillId="0" borderId="0" applyFont="0" applyFill="0" applyBorder="0" applyAlignment="0" applyProtection="0"/>
    <xf numFmtId="0" fontId="38" fillId="0" borderId="0"/>
    <xf numFmtId="44" fontId="9" fillId="0" borderId="0" applyFont="0" applyFill="0" applyBorder="0" applyAlignment="0" applyProtection="0"/>
    <xf numFmtId="0" fontId="50" fillId="0" borderId="0"/>
    <xf numFmtId="0" fontId="12" fillId="0" borderId="0"/>
    <xf numFmtId="43" fontId="9" fillId="0" borderId="0" applyFont="0" applyFill="0" applyBorder="0" applyAlignment="0" applyProtection="0"/>
  </cellStyleXfs>
  <cellXfs count="436">
    <xf numFmtId="0" fontId="0" fillId="0" borderId="0" xfId="0"/>
    <xf numFmtId="0" fontId="11" fillId="0" borderId="0" xfId="0" applyFont="1"/>
    <xf numFmtId="165" fontId="0" fillId="0" borderId="0" xfId="2" applyNumberFormat="1" applyFont="1" applyFill="1"/>
    <xf numFmtId="0" fontId="0" fillId="29" borderId="0" xfId="0" applyFill="1"/>
    <xf numFmtId="0" fontId="34" fillId="0" borderId="0" xfId="0" applyFont="1" applyAlignment="1">
      <alignment horizontal="center" vertical="center"/>
    </xf>
    <xf numFmtId="0" fontId="0" fillId="29"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7" fillId="0" borderId="1" xfId="0" applyFont="1" applyBorder="1"/>
    <xf numFmtId="167" fontId="11" fillId="0" borderId="0" xfId="0" applyNumberFormat="1" applyFont="1"/>
    <xf numFmtId="3" fontId="37"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49" fontId="0" fillId="29" borderId="0" xfId="4" applyNumberFormat="1" applyFont="1" applyFill="1" applyAlignment="1">
      <alignment horizontal="center"/>
    </xf>
    <xf numFmtId="3" fontId="37"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7" fontId="0" fillId="29" borderId="0" xfId="0" quotePrefix="1" applyNumberFormat="1" applyFill="1" applyAlignment="1">
      <alignment horizontal="center"/>
    </xf>
    <xf numFmtId="0" fontId="0" fillId="29" borderId="0" xfId="0" quotePrefix="1" applyFill="1" applyAlignment="1">
      <alignment horizontal="center"/>
    </xf>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7" fillId="0" borderId="42" xfId="0" applyFont="1" applyBorder="1"/>
    <xf numFmtId="0" fontId="37" fillId="0" borderId="43" xfId="0" applyFont="1" applyBorder="1"/>
    <xf numFmtId="0" fontId="0" fillId="38"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8" borderId="4" xfId="0" applyNumberFormat="1" applyFont="1" applyFill="1" applyBorder="1" applyAlignment="1">
      <alignment horizontal="center" vertical="center"/>
    </xf>
    <xf numFmtId="3" fontId="2" fillId="38" borderId="29" xfId="0" applyNumberFormat="1" applyFont="1" applyFill="1" applyBorder="1" applyAlignment="1">
      <alignment horizontal="center" vertical="center" wrapText="1"/>
    </xf>
    <xf numFmtId="0" fontId="0" fillId="37" borderId="34" xfId="0" applyFill="1" applyBorder="1" applyAlignment="1">
      <alignment horizontal="center" vertical="center"/>
    </xf>
    <xf numFmtId="0" fontId="0" fillId="0" borderId="45" xfId="0" applyBorder="1" applyAlignment="1">
      <alignment horizontal="center" vertical="center"/>
    </xf>
    <xf numFmtId="0" fontId="0" fillId="37"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7"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7"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3" fillId="0" borderId="0" xfId="0" applyFont="1" applyAlignment="1">
      <alignment vertical="center" wrapText="1"/>
    </xf>
    <xf numFmtId="170" fontId="45" fillId="30" borderId="38" xfId="146" applyNumberFormat="1" applyFont="1" applyFill="1" applyBorder="1" applyAlignment="1">
      <alignment vertical="center"/>
    </xf>
    <xf numFmtId="0" fontId="45" fillId="30" borderId="29" xfId="0" applyFont="1" applyFill="1" applyBorder="1" applyAlignment="1">
      <alignment horizontal="center" vertical="center"/>
    </xf>
    <xf numFmtId="0" fontId="34" fillId="30" borderId="39" xfId="0" applyFont="1" applyFill="1" applyBorder="1" applyAlignment="1">
      <alignment horizontal="center" vertical="center"/>
    </xf>
    <xf numFmtId="170" fontId="34" fillId="30" borderId="40" xfId="0" applyNumberFormat="1" applyFont="1" applyFill="1" applyBorder="1" applyAlignment="1">
      <alignment vertical="center"/>
    </xf>
    <xf numFmtId="167" fontId="39" fillId="0" borderId="37" xfId="0" applyNumberFormat="1" applyFont="1" applyBorder="1" applyAlignment="1">
      <alignment horizontal="center" vertical="center" wrapText="1"/>
    </xf>
    <xf numFmtId="167" fontId="39" fillId="0" borderId="3" xfId="0" applyNumberFormat="1" applyFont="1" applyBorder="1" applyAlignment="1">
      <alignment horizontal="center" vertical="center" wrapText="1"/>
    </xf>
    <xf numFmtId="167" fontId="39" fillId="0" borderId="51" xfId="0" applyNumberFormat="1" applyFont="1" applyBorder="1" applyAlignment="1">
      <alignment horizontal="center" vertical="center" wrapText="1"/>
    </xf>
    <xf numFmtId="0" fontId="34" fillId="37" borderId="37" xfId="0" applyFont="1" applyFill="1" applyBorder="1" applyAlignment="1">
      <alignment horizontal="center" vertical="center"/>
    </xf>
    <xf numFmtId="170" fontId="11" fillId="37" borderId="3" xfId="146" applyNumberFormat="1" applyFont="1" applyFill="1" applyBorder="1" applyAlignment="1">
      <alignment vertical="center"/>
    </xf>
    <xf numFmtId="170" fontId="11" fillId="37"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7" fillId="38" borderId="30" xfId="0" applyFont="1" applyFill="1" applyBorder="1" applyAlignment="1">
      <alignment horizontal="center"/>
    </xf>
    <xf numFmtId="0" fontId="0" fillId="37" borderId="39" xfId="0" applyFill="1" applyBorder="1" applyAlignment="1">
      <alignment horizontal="center"/>
    </xf>
    <xf numFmtId="0" fontId="0" fillId="37" borderId="40" xfId="0" applyFill="1" applyBorder="1" applyAlignment="1">
      <alignment horizontal="center"/>
    </xf>
    <xf numFmtId="0" fontId="0" fillId="37" borderId="41" xfId="0" applyFill="1" applyBorder="1" applyAlignment="1">
      <alignment horizontal="center"/>
    </xf>
    <xf numFmtId="168" fontId="37"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6"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7" fillId="0" borderId="1" xfId="1" applyNumberFormat="1" applyFont="1" applyFill="1" applyBorder="1" applyAlignment="1" applyProtection="1">
      <alignment horizontal="center" wrapText="1"/>
      <protection locked="0"/>
    </xf>
    <xf numFmtId="44" fontId="34" fillId="30"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0" fontId="0" fillId="29" borderId="0" xfId="0" applyFill="1" applyAlignment="1">
      <alignment horizontal="center" vertical="center"/>
    </xf>
    <xf numFmtId="49" fontId="0" fillId="29" borderId="0" xfId="0" applyNumberFormat="1" applyFill="1" applyAlignment="1">
      <alignment horizontal="center" vertical="center"/>
    </xf>
    <xf numFmtId="10" fontId="0" fillId="29" borderId="0" xfId="0" applyNumberFormat="1" applyFill="1" applyAlignment="1">
      <alignment horizontal="center" vertical="center"/>
    </xf>
    <xf numFmtId="9" fontId="0" fillId="29" borderId="0" xfId="0" applyNumberFormat="1" applyFill="1" applyAlignment="1">
      <alignment horizontal="center" vertical="center"/>
    </xf>
    <xf numFmtId="0" fontId="34" fillId="29" borderId="0" xfId="0" applyFont="1" applyFill="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9" fillId="0" borderId="1" xfId="0" applyNumberFormat="1" applyFont="1" applyBorder="1" applyAlignment="1">
      <alignment horizontal="center" vertical="center" wrapText="1"/>
    </xf>
    <xf numFmtId="3" fontId="0" fillId="0" borderId="0" xfId="0" applyNumberFormat="1" applyAlignment="1">
      <alignment horizontal="center" vertical="center"/>
    </xf>
    <xf numFmtId="3" fontId="0" fillId="29" borderId="0" xfId="0" applyNumberFormat="1" applyFill="1" applyAlignment="1">
      <alignment horizontal="center" vertical="center"/>
    </xf>
    <xf numFmtId="0" fontId="11" fillId="29" borderId="0" xfId="0" applyFont="1" applyFill="1" applyAlignment="1">
      <alignment horizontal="center" vertical="center"/>
    </xf>
    <xf numFmtId="166" fontId="33" fillId="29" borderId="0" xfId="0" applyNumberFormat="1" applyFont="1" applyFill="1" applyAlignment="1">
      <alignment horizontal="center" vertical="center" wrapText="1"/>
    </xf>
    <xf numFmtId="166" fontId="0" fillId="29" borderId="0" xfId="0" applyNumberFormat="1" applyFill="1" applyAlignment="1">
      <alignment horizontal="center" vertical="center"/>
    </xf>
    <xf numFmtId="170" fontId="34" fillId="30" borderId="20" xfId="146" applyNumberFormat="1" applyFont="1" applyFill="1" applyBorder="1" applyAlignment="1">
      <alignment horizontal="center" vertical="center"/>
    </xf>
    <xf numFmtId="170" fontId="34" fillId="30" borderId="21" xfId="146" applyNumberFormat="1" applyFont="1" applyFill="1" applyBorder="1" applyAlignment="1">
      <alignment horizontal="center" vertical="center"/>
    </xf>
    <xf numFmtId="168" fontId="0" fillId="29" borderId="0" xfId="0" applyNumberFormat="1" applyFill="1" applyAlignment="1">
      <alignment horizontal="left"/>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4" fillId="28" borderId="62" xfId="146" applyNumberFormat="1" applyFont="1" applyFill="1" applyBorder="1" applyAlignment="1">
      <alignment horizontal="center" vertical="center" wrapText="1"/>
    </xf>
    <xf numFmtId="170" fontId="44" fillId="28" borderId="28" xfId="146" applyNumberFormat="1" applyFont="1" applyFill="1" applyBorder="1" applyAlignment="1">
      <alignment horizontal="center" vertical="center" wrapText="1"/>
    </xf>
    <xf numFmtId="0" fontId="0" fillId="40" borderId="18" xfId="0" applyFill="1" applyBorder="1" applyAlignment="1">
      <alignment horizontal="left" vertical="center" wrapText="1"/>
    </xf>
    <xf numFmtId="0" fontId="0" fillId="40" borderId="1" xfId="0" applyFill="1" applyBorder="1" applyAlignment="1">
      <alignment horizontal="left" vertical="center" wrapText="1"/>
    </xf>
    <xf numFmtId="0" fontId="43" fillId="40" borderId="1" xfId="0" applyFont="1" applyFill="1" applyBorder="1" applyAlignment="1">
      <alignment horizontal="center" vertical="center" wrapText="1"/>
    </xf>
    <xf numFmtId="3" fontId="44" fillId="40" borderId="1" xfId="0" applyNumberFormat="1" applyFont="1" applyFill="1" applyBorder="1" applyAlignment="1">
      <alignment horizontal="center" vertical="center" wrapText="1"/>
    </xf>
    <xf numFmtId="0" fontId="0" fillId="40" borderId="18" xfId="0" applyFill="1" applyBorder="1" applyAlignment="1">
      <alignment wrapText="1"/>
    </xf>
    <xf numFmtId="0" fontId="43" fillId="40" borderId="1" xfId="0" applyFont="1" applyFill="1" applyBorder="1" applyAlignment="1">
      <alignment vertical="center" wrapText="1"/>
    </xf>
    <xf numFmtId="3" fontId="44" fillId="40" borderId="1" xfId="0" applyNumberFormat="1" applyFont="1" applyFill="1" applyBorder="1" applyAlignment="1">
      <alignment horizontal="left" vertical="center" wrapText="1"/>
    </xf>
    <xf numFmtId="0" fontId="0" fillId="40" borderId="50" xfId="0" applyFill="1" applyBorder="1" applyAlignment="1">
      <alignment wrapText="1"/>
    </xf>
    <xf numFmtId="0" fontId="43" fillId="40" borderId="20" xfId="0" applyFont="1" applyFill="1" applyBorder="1" applyAlignment="1">
      <alignment vertical="center" wrapText="1"/>
    </xf>
    <xf numFmtId="0" fontId="43" fillId="40" borderId="20" xfId="0" applyFont="1" applyFill="1" applyBorder="1" applyAlignment="1">
      <alignment horizontal="center" vertical="center" wrapText="1"/>
    </xf>
    <xf numFmtId="170" fontId="44" fillId="40" borderId="1" xfId="146" applyNumberFormat="1" applyFont="1" applyFill="1" applyBorder="1" applyAlignment="1">
      <alignment horizontal="center" vertical="center" wrapText="1"/>
    </xf>
    <xf numFmtId="170" fontId="44" fillId="40" borderId="19" xfId="146" applyNumberFormat="1" applyFont="1" applyFill="1" applyBorder="1" applyAlignment="1">
      <alignment horizontal="center" vertical="center" wrapText="1"/>
    </xf>
    <xf numFmtId="170" fontId="44" fillId="40" borderId="20" xfId="146" applyNumberFormat="1" applyFont="1" applyFill="1" applyBorder="1" applyAlignment="1">
      <alignment horizontal="center" vertical="center" wrapText="1"/>
    </xf>
    <xf numFmtId="170" fontId="44" fillId="40" borderId="21" xfId="146" applyNumberFormat="1" applyFont="1" applyFill="1" applyBorder="1" applyAlignment="1">
      <alignment horizontal="center" vertical="center" wrapText="1"/>
    </xf>
    <xf numFmtId="0" fontId="0" fillId="40" borderId="47" xfId="0" applyFill="1" applyBorder="1" applyAlignment="1">
      <alignment horizontal="left" vertical="center" wrapText="1"/>
    </xf>
    <xf numFmtId="0" fontId="0" fillId="40" borderId="48" xfId="0" applyFill="1" applyBorder="1" applyAlignment="1">
      <alignment horizontal="left" vertical="center" wrapText="1"/>
    </xf>
    <xf numFmtId="170" fontId="44" fillId="40" borderId="48" xfId="146" applyNumberFormat="1" applyFont="1" applyFill="1" applyBorder="1" applyAlignment="1">
      <alignment horizontal="center" vertical="center" wrapText="1"/>
    </xf>
    <xf numFmtId="170" fontId="44" fillId="40" borderId="49" xfId="146" applyNumberFormat="1" applyFont="1" applyFill="1" applyBorder="1" applyAlignment="1">
      <alignment horizontal="center" vertical="center" wrapText="1"/>
    </xf>
    <xf numFmtId="0" fontId="0" fillId="40" borderId="50" xfId="0" applyFill="1" applyBorder="1" applyAlignment="1">
      <alignment horizontal="left" vertical="center" wrapText="1"/>
    </xf>
    <xf numFmtId="0" fontId="0" fillId="40" borderId="20" xfId="0" applyFill="1" applyBorder="1" applyAlignment="1">
      <alignment horizontal="left" vertical="center" wrapText="1"/>
    </xf>
    <xf numFmtId="170" fontId="44" fillId="28" borderId="1" xfId="146" applyNumberFormat="1" applyFont="1" applyFill="1" applyBorder="1" applyAlignment="1">
      <alignment horizontal="center" vertical="center" wrapText="1"/>
    </xf>
    <xf numFmtId="170" fontId="44" fillId="28" borderId="19" xfId="146" applyNumberFormat="1" applyFont="1" applyFill="1" applyBorder="1" applyAlignment="1">
      <alignment horizontal="center" vertical="center" wrapText="1"/>
    </xf>
    <xf numFmtId="169" fontId="46" fillId="40" borderId="48" xfId="0" applyNumberFormat="1" applyFont="1" applyFill="1" applyBorder="1" applyAlignment="1">
      <alignment horizontal="center" vertical="center" wrapText="1"/>
    </xf>
    <xf numFmtId="169" fontId="46" fillId="40" borderId="1" xfId="0" applyNumberFormat="1" applyFont="1" applyFill="1" applyBorder="1" applyAlignment="1">
      <alignment horizontal="center" vertical="center" wrapText="1"/>
    </xf>
    <xf numFmtId="169" fontId="46" fillId="28" borderId="1" xfId="0" applyNumberFormat="1" applyFont="1" applyFill="1" applyBorder="1" applyAlignment="1">
      <alignment horizontal="center" vertical="center" wrapText="1"/>
    </xf>
    <xf numFmtId="169" fontId="46" fillId="40" borderId="20" xfId="0" applyNumberFormat="1" applyFont="1" applyFill="1" applyBorder="1" applyAlignment="1">
      <alignment horizontal="center" vertical="center" wrapText="1"/>
    </xf>
    <xf numFmtId="169" fontId="46" fillId="28" borderId="48" xfId="0" applyNumberFormat="1" applyFont="1" applyFill="1" applyBorder="1" applyAlignment="1">
      <alignment horizontal="center" vertical="center" wrapText="1"/>
    </xf>
    <xf numFmtId="170" fontId="39" fillId="31" borderId="4" xfId="146" applyNumberFormat="1" applyFont="1" applyFill="1" applyBorder="1" applyAlignment="1">
      <alignment vertical="center"/>
    </xf>
    <xf numFmtId="170" fontId="39" fillId="31" borderId="1" xfId="146" applyNumberFormat="1" applyFont="1" applyFill="1" applyBorder="1" applyAlignment="1">
      <alignment vertical="center"/>
    </xf>
    <xf numFmtId="170" fontId="39" fillId="31" borderId="2" xfId="146" applyNumberFormat="1" applyFont="1" applyFill="1" applyBorder="1" applyAlignment="1">
      <alignment vertical="center"/>
    </xf>
    <xf numFmtId="170" fontId="39" fillId="37" borderId="3" xfId="146" applyNumberFormat="1" applyFont="1" applyFill="1" applyBorder="1" applyAlignment="1">
      <alignment vertical="center"/>
    </xf>
    <xf numFmtId="0" fontId="39" fillId="41" borderId="39" xfId="0" applyFont="1" applyFill="1" applyBorder="1" applyAlignment="1">
      <alignment horizontal="center" vertical="center"/>
    </xf>
    <xf numFmtId="170" fontId="42" fillId="41" borderId="40" xfId="146" applyNumberFormat="1" applyFont="1" applyFill="1" applyBorder="1" applyAlignment="1">
      <alignment horizontal="center" vertical="center"/>
    </xf>
    <xf numFmtId="170" fontId="41" fillId="41" borderId="40" xfId="146" applyNumberFormat="1" applyFont="1" applyFill="1" applyBorder="1" applyAlignment="1">
      <alignment horizontal="center" vertical="center"/>
    </xf>
    <xf numFmtId="170" fontId="42" fillId="41"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9" fillId="0" borderId="15" xfId="0" applyNumberFormat="1" applyFont="1" applyBorder="1" applyAlignment="1">
      <alignment horizontal="center" vertical="center" wrapText="1"/>
    </xf>
    <xf numFmtId="3" fontId="39" fillId="0" borderId="34" xfId="0" applyNumberFormat="1" applyFont="1" applyBorder="1" applyAlignment="1">
      <alignment horizontal="center" vertical="center" wrapText="1"/>
    </xf>
    <xf numFmtId="167" fontId="39" fillId="0" borderId="39" xfId="0" applyNumberFormat="1" applyFont="1" applyBorder="1" applyAlignment="1">
      <alignment horizontal="center" vertical="center" wrapText="1"/>
    </xf>
    <xf numFmtId="167" fontId="39" fillId="0" borderId="40" xfId="0" applyNumberFormat="1" applyFont="1" applyBorder="1" applyAlignment="1">
      <alignment horizontal="center" vertical="center" wrapText="1"/>
    </xf>
    <xf numFmtId="167" fontId="39"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8" borderId="50" xfId="0" applyFill="1" applyBorder="1"/>
    <xf numFmtId="0" fontId="8" fillId="38" borderId="20" xfId="0" applyFont="1" applyFill="1" applyBorder="1"/>
    <xf numFmtId="0" fontId="8" fillId="38" borderId="20" xfId="0" applyFont="1" applyFill="1" applyBorder="1" applyAlignment="1">
      <alignment horizontal="center"/>
    </xf>
    <xf numFmtId="3" fontId="11" fillId="38" borderId="20" xfId="1" applyNumberFormat="1" applyFont="1" applyFill="1" applyBorder="1" applyAlignment="1" applyProtection="1">
      <alignment wrapText="1"/>
      <protection locked="0"/>
    </xf>
    <xf numFmtId="3" fontId="11" fillId="38" borderId="60" xfId="1" applyNumberFormat="1" applyFont="1" applyFill="1" applyBorder="1" applyAlignment="1" applyProtection="1">
      <alignment wrapText="1"/>
      <protection locked="0"/>
    </xf>
    <xf numFmtId="3" fontId="11" fillId="38" borderId="31" xfId="1" applyNumberFormat="1" applyFont="1" applyFill="1" applyBorder="1" applyAlignment="1" applyProtection="1">
      <alignment horizontal="center" wrapText="1"/>
      <protection locked="0"/>
    </xf>
    <xf numFmtId="3" fontId="11" fillId="38" borderId="38" xfId="1" applyNumberFormat="1" applyFont="1" applyFill="1" applyBorder="1" applyAlignment="1" applyProtection="1">
      <alignment horizontal="center" wrapText="1"/>
      <protection locked="0"/>
    </xf>
    <xf numFmtId="0" fontId="11" fillId="38" borderId="20" xfId="0" applyFont="1" applyFill="1" applyBorder="1"/>
    <xf numFmtId="3" fontId="7" fillId="38" borderId="20" xfId="0" applyNumberFormat="1" applyFont="1" applyFill="1" applyBorder="1" applyAlignment="1">
      <alignment horizontal="center" vertical="center" wrapText="1"/>
    </xf>
    <xf numFmtId="9" fontId="7" fillId="38" borderId="20" xfId="0" applyNumberFormat="1" applyFont="1" applyFill="1" applyBorder="1" applyAlignment="1">
      <alignment horizontal="center" vertical="center" wrapText="1"/>
    </xf>
    <xf numFmtId="0" fontId="7" fillId="38" borderId="20" xfId="0" applyFont="1" applyFill="1" applyBorder="1" applyAlignment="1">
      <alignment horizontal="center" vertical="center" wrapText="1"/>
    </xf>
    <xf numFmtId="166" fontId="33"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5" fillId="3" borderId="29" xfId="146" applyNumberFormat="1" applyFont="1" applyFill="1" applyBorder="1"/>
    <xf numFmtId="0" fontId="48" fillId="0" borderId="0" xfId="0" applyFont="1"/>
    <xf numFmtId="0" fontId="11" fillId="0" borderId="0" xfId="0" applyFont="1" applyAlignment="1">
      <alignment vertical="center"/>
    </xf>
    <xf numFmtId="0" fontId="51" fillId="42" borderId="63" xfId="147" applyFont="1" applyFill="1" applyBorder="1" applyAlignment="1">
      <alignment horizontal="center" vertical="center"/>
    </xf>
    <xf numFmtId="0" fontId="51" fillId="42" borderId="64" xfId="147" applyFont="1" applyFill="1" applyBorder="1" applyAlignment="1">
      <alignment horizontal="center" vertical="center"/>
    </xf>
    <xf numFmtId="0" fontId="51" fillId="42" borderId="65" xfId="147" applyFont="1" applyFill="1" applyBorder="1" applyAlignment="1">
      <alignment horizontal="center" vertical="center"/>
    </xf>
    <xf numFmtId="0" fontId="50" fillId="0" borderId="0" xfId="147"/>
    <xf numFmtId="0" fontId="51" fillId="42" borderId="66" xfId="147" applyFont="1" applyFill="1" applyBorder="1" applyAlignment="1">
      <alignment horizontal="center" vertical="center"/>
    </xf>
    <xf numFmtId="0" fontId="51" fillId="42" borderId="67"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2" fillId="43" borderId="71" xfId="147" applyFont="1" applyFill="1" applyBorder="1" applyAlignment="1">
      <alignment horizontal="center" vertical="center"/>
    </xf>
    <xf numFmtId="0" fontId="52" fillId="43" borderId="72" xfId="147" applyFont="1" applyFill="1" applyBorder="1" applyAlignment="1">
      <alignment horizontal="left" vertical="center"/>
    </xf>
    <xf numFmtId="3" fontId="53" fillId="43" borderId="71" xfId="147" applyNumberFormat="1" applyFont="1" applyFill="1" applyBorder="1" applyAlignment="1">
      <alignment horizontal="right"/>
    </xf>
    <xf numFmtId="0" fontId="52" fillId="44" borderId="73" xfId="147" applyFont="1" applyFill="1" applyBorder="1" applyAlignment="1">
      <alignment horizontal="center" vertical="center"/>
    </xf>
    <xf numFmtId="0" fontId="52" fillId="44" borderId="74" xfId="147" applyFont="1" applyFill="1" applyBorder="1" applyAlignment="1">
      <alignment horizontal="left" vertical="center"/>
    </xf>
    <xf numFmtId="3" fontId="53" fillId="44" borderId="73" xfId="147" applyNumberFormat="1" applyFont="1" applyFill="1" applyBorder="1" applyAlignment="1">
      <alignment horizontal="right"/>
    </xf>
    <xf numFmtId="0" fontId="52" fillId="44" borderId="73" xfId="147" applyFont="1" applyFill="1" applyBorder="1" applyAlignment="1">
      <alignment horizontal="right"/>
    </xf>
    <xf numFmtId="0" fontId="53" fillId="44" borderId="73" xfId="147" applyFont="1" applyFill="1" applyBorder="1" applyAlignment="1">
      <alignment horizontal="right"/>
    </xf>
    <xf numFmtId="0" fontId="52" fillId="43" borderId="71" xfId="147" applyFont="1" applyFill="1" applyBorder="1" applyAlignment="1">
      <alignment horizontal="right"/>
    </xf>
    <xf numFmtId="0" fontId="53" fillId="43" borderId="71" xfId="147" applyFont="1" applyFill="1" applyBorder="1" applyAlignment="1">
      <alignment horizontal="right"/>
    </xf>
    <xf numFmtId="0" fontId="52" fillId="44" borderId="0" xfId="147" applyFont="1" applyFill="1" applyAlignment="1">
      <alignment horizontal="left" vertical="center"/>
    </xf>
    <xf numFmtId="3" fontId="53" fillId="44" borderId="0" xfId="147" applyNumberFormat="1" applyFont="1" applyFill="1" applyAlignment="1">
      <alignment horizontal="right"/>
    </xf>
    <xf numFmtId="0" fontId="54" fillId="0" borderId="0" xfId="147" applyFont="1" applyAlignment="1">
      <alignment horizontal="left" vertical="center"/>
    </xf>
    <xf numFmtId="0" fontId="50" fillId="0" borderId="0" xfId="147" applyAlignment="1">
      <alignment horizontal="left" vertical="center"/>
    </xf>
    <xf numFmtId="0" fontId="55" fillId="0" borderId="0" xfId="147" applyFont="1" applyAlignment="1">
      <alignment horizontal="left" vertical="center"/>
    </xf>
    <xf numFmtId="0" fontId="56" fillId="0" borderId="0" xfId="147" applyFont="1" applyAlignment="1">
      <alignment horizontal="left" vertical="center"/>
    </xf>
    <xf numFmtId="0" fontId="57" fillId="0" borderId="0" xfId="147" applyFont="1" applyAlignment="1">
      <alignment horizontal="left" vertical="center"/>
    </xf>
    <xf numFmtId="0" fontId="12" fillId="45" borderId="1" xfId="148" applyFill="1" applyBorder="1" applyAlignment="1">
      <alignment vertical="top"/>
    </xf>
    <xf numFmtId="0" fontId="12" fillId="45" borderId="1" xfId="148" applyFill="1" applyBorder="1" applyAlignment="1">
      <alignment vertical="top" wrapText="1"/>
    </xf>
    <xf numFmtId="14" fontId="12" fillId="45" borderId="1" xfId="148" applyNumberFormat="1" applyFill="1" applyBorder="1" applyAlignment="1">
      <alignment vertical="top"/>
    </xf>
    <xf numFmtId="1" fontId="12" fillId="45"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6" borderId="1" xfId="0" applyNumberFormat="1" applyFont="1" applyFill="1" applyBorder="1" applyAlignment="1">
      <alignment horizontal="center" vertical="center" wrapText="1"/>
    </xf>
    <xf numFmtId="0" fontId="34" fillId="46" borderId="1" xfId="0" applyFont="1" applyFill="1" applyBorder="1" applyAlignment="1">
      <alignment horizontal="center" vertical="center" wrapText="1"/>
    </xf>
    <xf numFmtId="0" fontId="58" fillId="46" borderId="1" xfId="0" applyFont="1" applyFill="1" applyBorder="1" applyAlignment="1">
      <alignment horizontal="center" vertical="center" wrapText="1"/>
    </xf>
    <xf numFmtId="1" fontId="0" fillId="0" borderId="0" xfId="0" applyNumberFormat="1"/>
    <xf numFmtId="0" fontId="49" fillId="0" borderId="0" xfId="0" applyFont="1" applyAlignment="1">
      <alignment horizontal="center"/>
    </xf>
    <xf numFmtId="170" fontId="0" fillId="0" borderId="0" xfId="146" applyNumberFormat="1" applyFont="1" applyAlignment="1">
      <alignment horizontal="center"/>
    </xf>
    <xf numFmtId="9" fontId="0" fillId="0" borderId="0" xfId="138" applyFont="1" applyAlignment="1">
      <alignment horizontal="center"/>
    </xf>
    <xf numFmtId="0" fontId="60" fillId="46" borderId="39" xfId="0" applyFont="1" applyFill="1" applyBorder="1" applyAlignment="1">
      <alignment horizontal="center" vertical="center"/>
    </xf>
    <xf numFmtId="170" fontId="61" fillId="46" borderId="41" xfId="146" applyNumberFormat="1" applyFont="1" applyFill="1" applyBorder="1" applyAlignment="1">
      <alignment wrapText="1"/>
    </xf>
    <xf numFmtId="0" fontId="62" fillId="0" borderId="0" xfId="0" applyFont="1" applyAlignment="1">
      <alignment horizontal="center" vertical="center"/>
    </xf>
    <xf numFmtId="3" fontId="8" fillId="50" borderId="39" xfId="0" applyNumberFormat="1" applyFont="1" applyFill="1" applyBorder="1" applyAlignment="1">
      <alignment horizontal="center" vertical="center" wrapText="1"/>
    </xf>
    <xf numFmtId="3" fontId="8" fillId="50" borderId="40" xfId="0" applyNumberFormat="1" applyFont="1" applyFill="1" applyBorder="1" applyAlignment="1">
      <alignment horizontal="center" vertical="center" wrapText="1"/>
    </xf>
    <xf numFmtId="169" fontId="8" fillId="35" borderId="40" xfId="0" applyNumberFormat="1" applyFont="1" applyFill="1" applyBorder="1" applyAlignment="1">
      <alignment horizontal="center" vertical="center" wrapText="1"/>
    </xf>
    <xf numFmtId="169" fontId="64" fillId="35" borderId="40" xfId="0" applyNumberFormat="1" applyFont="1" applyFill="1" applyBorder="1" applyAlignment="1">
      <alignment horizontal="center" vertical="center" wrapText="1"/>
    </xf>
    <xf numFmtId="3" fontId="8" fillId="51" borderId="40" xfId="0" applyNumberFormat="1" applyFont="1" applyFill="1" applyBorder="1" applyAlignment="1">
      <alignment horizontal="center" vertical="center" wrapText="1"/>
    </xf>
    <xf numFmtId="170" fontId="8" fillId="51" borderId="40" xfId="146" applyNumberFormat="1" applyFont="1" applyFill="1" applyBorder="1" applyAlignment="1">
      <alignment horizontal="center" vertical="center" wrapText="1"/>
    </xf>
    <xf numFmtId="9" fontId="8" fillId="51" borderId="40" xfId="138" applyFont="1" applyFill="1" applyBorder="1" applyAlignment="1">
      <alignment horizontal="center" vertical="center" wrapText="1"/>
    </xf>
    <xf numFmtId="0" fontId="11" fillId="36" borderId="76" xfId="0" applyFont="1" applyFill="1" applyBorder="1" applyAlignment="1">
      <alignment horizontal="center"/>
    </xf>
    <xf numFmtId="169" fontId="11" fillId="35" borderId="76" xfId="0" applyNumberFormat="1" applyFont="1" applyFill="1" applyBorder="1" applyAlignment="1">
      <alignment horizontal="center"/>
    </xf>
    <xf numFmtId="169" fontId="49" fillId="35" borderId="76" xfId="0" applyNumberFormat="1" applyFont="1" applyFill="1" applyBorder="1" applyAlignment="1">
      <alignment horizontal="center"/>
    </xf>
    <xf numFmtId="169" fontId="66" fillId="35" borderId="76" xfId="0" applyNumberFormat="1" applyFont="1" applyFill="1" applyBorder="1" applyAlignment="1">
      <alignment horizontal="center"/>
    </xf>
    <xf numFmtId="1" fontId="11" fillId="51" borderId="76" xfId="0" applyNumberFormat="1" applyFont="1" applyFill="1" applyBorder="1" applyAlignment="1">
      <alignment horizontal="center"/>
    </xf>
    <xf numFmtId="0" fontId="11" fillId="51" borderId="76" xfId="0" applyFont="1" applyFill="1" applyBorder="1" applyAlignment="1">
      <alignment horizontal="center"/>
    </xf>
    <xf numFmtId="170" fontId="11" fillId="51" borderId="76" xfId="146" applyNumberFormat="1" applyFont="1" applyFill="1" applyBorder="1" applyAlignment="1">
      <alignment horizontal="center"/>
    </xf>
    <xf numFmtId="170" fontId="49" fillId="51" borderId="76" xfId="0" applyNumberFormat="1" applyFont="1" applyFill="1" applyBorder="1" applyAlignment="1">
      <alignment horizontal="center"/>
    </xf>
    <xf numFmtId="170" fontId="66" fillId="51" borderId="76" xfId="0" applyNumberFormat="1" applyFont="1" applyFill="1" applyBorder="1" applyAlignment="1">
      <alignment horizontal="center"/>
    </xf>
    <xf numFmtId="173" fontId="11" fillId="51" borderId="76" xfId="0" applyNumberFormat="1" applyFont="1" applyFill="1" applyBorder="1" applyAlignment="1">
      <alignment horizontal="center"/>
    </xf>
    <xf numFmtId="1" fontId="11" fillId="0" borderId="1" xfId="0" applyNumberFormat="1" applyFont="1" applyBorder="1" applyAlignment="1">
      <alignment horizontal="center" vertical="center"/>
    </xf>
    <xf numFmtId="9" fontId="11" fillId="51" borderId="76" xfId="138" applyFont="1" applyFill="1" applyBorder="1" applyAlignment="1">
      <alignment horizontal="center"/>
    </xf>
    <xf numFmtId="0" fontId="11" fillId="51" borderId="76" xfId="0" applyFont="1" applyFill="1" applyBorder="1" applyAlignment="1">
      <alignment horizontal="center" wrapText="1"/>
    </xf>
    <xf numFmtId="166" fontId="33" fillId="38" borderId="2" xfId="0" applyNumberFormat="1" applyFont="1" applyFill="1" applyBorder="1" applyAlignment="1">
      <alignment horizontal="center" vertical="center" wrapText="1"/>
    </xf>
    <xf numFmtId="170" fontId="8" fillId="35" borderId="40" xfId="146" applyNumberFormat="1" applyFont="1" applyFill="1" applyBorder="1" applyAlignment="1">
      <alignment horizontal="center" vertical="center" wrapText="1"/>
    </xf>
    <xf numFmtId="170" fontId="11" fillId="35" borderId="76" xfId="146" applyNumberFormat="1" applyFont="1" applyFill="1" applyBorder="1" applyAlignment="1">
      <alignment horizontal="center"/>
    </xf>
    <xf numFmtId="170" fontId="0" fillId="0" borderId="0" xfId="146" applyNumberFormat="1" applyFont="1"/>
    <xf numFmtId="0" fontId="60" fillId="47" borderId="37" xfId="0" applyFont="1" applyFill="1" applyBorder="1" applyAlignment="1">
      <alignment horizontal="center" vertical="center"/>
    </xf>
    <xf numFmtId="170" fontId="61" fillId="47" borderId="51" xfId="146" applyNumberFormat="1" applyFont="1" applyFill="1" applyBorder="1" applyAlignment="1">
      <alignment wrapText="1"/>
    </xf>
    <xf numFmtId="9" fontId="67" fillId="53" borderId="41" xfId="138" applyFont="1" applyFill="1" applyBorder="1" applyAlignment="1">
      <alignment horizontal="center" vertical="center" wrapText="1"/>
    </xf>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40" fillId="35" borderId="39" xfId="0" applyNumberFormat="1" applyFont="1" applyFill="1" applyBorder="1" applyAlignment="1">
      <alignment horizontal="center" vertical="center" wrapText="1"/>
    </xf>
    <xf numFmtId="0" fontId="40" fillId="35" borderId="40" xfId="0" applyFont="1" applyFill="1" applyBorder="1" applyAlignment="1">
      <alignment horizontal="center" vertical="center" wrapText="1"/>
    </xf>
    <xf numFmtId="0" fontId="40" fillId="33" borderId="41" xfId="0" applyFont="1" applyFill="1" applyBorder="1" applyAlignment="1">
      <alignment horizontal="center" vertical="center" wrapText="1"/>
    </xf>
    <xf numFmtId="9" fontId="11" fillId="0" borderId="4" xfId="0" applyNumberFormat="1" applyFont="1" applyBorder="1" applyAlignment="1">
      <alignment horizontal="center" vertical="center"/>
    </xf>
    <xf numFmtId="3" fontId="2" fillId="28" borderId="39" xfId="0" applyNumberFormat="1" applyFont="1" applyFill="1" applyBorder="1" applyAlignment="1">
      <alignment horizontal="center" vertical="center" wrapText="1"/>
    </xf>
    <xf numFmtId="9" fontId="40" fillId="34" borderId="41" xfId="0" applyNumberFormat="1" applyFont="1" applyFill="1" applyBorder="1" applyAlignment="1">
      <alignment horizontal="center" vertical="center" wrapText="1"/>
    </xf>
    <xf numFmtId="0" fontId="60" fillId="53" borderId="39" xfId="0" applyFont="1" applyFill="1" applyBorder="1" applyAlignment="1">
      <alignment horizontal="center" vertical="center" wrapText="1"/>
    </xf>
    <xf numFmtId="0" fontId="11" fillId="0" borderId="4" xfId="0" applyFont="1" applyBorder="1"/>
    <xf numFmtId="1" fontId="11" fillId="0" borderId="4" xfId="0" applyNumberFormat="1" applyFont="1" applyBorder="1" applyAlignment="1">
      <alignment horizontal="center" vertical="center"/>
    </xf>
    <xf numFmtId="0" fontId="37" fillId="0" borderId="56" xfId="0" applyFont="1" applyBorder="1"/>
    <xf numFmtId="0" fontId="37" fillId="38" borderId="80" xfId="0" applyFont="1" applyFill="1" applyBorder="1" applyAlignment="1">
      <alignment horizontal="center"/>
    </xf>
    <xf numFmtId="0" fontId="37" fillId="0" borderId="57" xfId="0" applyFont="1" applyBorder="1"/>
    <xf numFmtId="3" fontId="37" fillId="0" borderId="4" xfId="1" applyNumberFormat="1" applyFont="1" applyFill="1" applyBorder="1" applyAlignment="1" applyProtection="1">
      <alignment horizontal="center" wrapText="1"/>
      <protection locked="0"/>
    </xf>
    <xf numFmtId="3" fontId="37" fillId="0" borderId="4" xfId="0" applyNumberFormat="1" applyFont="1" applyBorder="1" applyAlignment="1">
      <alignment horizontal="left"/>
    </xf>
    <xf numFmtId="168" fontId="37" fillId="0" borderId="4" xfId="1" applyNumberFormat="1" applyFont="1" applyFill="1" applyBorder="1" applyAlignment="1" applyProtection="1">
      <alignment horizontal="center" wrapText="1"/>
      <protection locked="0"/>
    </xf>
    <xf numFmtId="0" fontId="37"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3" fontId="2" fillId="35" borderId="39" xfId="0" applyNumberFormat="1" applyFont="1" applyFill="1" applyBorder="1" applyAlignment="1">
      <alignment horizontal="center" vertical="center" wrapText="1"/>
    </xf>
    <xf numFmtId="9" fontId="40" fillId="35" borderId="40" xfId="0" applyNumberFormat="1" applyFont="1" applyFill="1" applyBorder="1" applyAlignment="1">
      <alignment horizontal="center" vertical="center" wrapText="1"/>
    </xf>
    <xf numFmtId="3" fontId="8" fillId="35" borderId="41" xfId="0" applyNumberFormat="1" applyFont="1" applyFill="1" applyBorder="1" applyAlignment="1">
      <alignment horizontal="center" vertical="center" wrapText="1"/>
    </xf>
    <xf numFmtId="3" fontId="8" fillId="35" borderId="39" xfId="0" applyNumberFormat="1" applyFont="1" applyFill="1" applyBorder="1" applyAlignment="1">
      <alignment horizontal="center" vertical="center" wrapText="1"/>
    </xf>
    <xf numFmtId="3" fontId="2" fillId="35" borderId="40" xfId="0" applyNumberFormat="1" applyFont="1" applyFill="1" applyBorder="1" applyAlignment="1">
      <alignment horizontal="center" vertical="center" wrapText="1"/>
    </xf>
    <xf numFmtId="3" fontId="40" fillId="35" borderId="40" xfId="0" applyNumberFormat="1" applyFont="1" applyFill="1" applyBorder="1" applyAlignment="1">
      <alignment horizontal="center" vertical="center" wrapText="1"/>
    </xf>
    <xf numFmtId="3" fontId="2" fillId="35" borderId="59" xfId="0" applyNumberFormat="1" applyFont="1" applyFill="1" applyBorder="1" applyAlignment="1">
      <alignment horizontal="center" vertical="center" wrapText="1"/>
    </xf>
    <xf numFmtId="0" fontId="0" fillId="0" borderId="0" xfId="0" applyAlignment="1">
      <alignment vertical="top"/>
    </xf>
    <xf numFmtId="170" fontId="58" fillId="46" borderId="1" xfId="146" applyNumberFormat="1" applyFont="1" applyFill="1" applyBorder="1" applyAlignment="1">
      <alignment horizontal="center" vertical="center" wrapText="1"/>
    </xf>
    <xf numFmtId="172" fontId="45" fillId="54" borderId="29" xfId="0" applyNumberFormat="1" applyFont="1" applyFill="1" applyBorder="1" applyAlignment="1">
      <alignment horizontal="center" vertical="center"/>
    </xf>
    <xf numFmtId="3" fontId="8" fillId="54" borderId="29" xfId="0" applyNumberFormat="1" applyFont="1" applyFill="1" applyBorder="1" applyAlignment="1">
      <alignment horizontal="center" vertical="center" wrapText="1"/>
    </xf>
    <xf numFmtId="170" fontId="11" fillId="54" borderId="76" xfId="146" applyNumberFormat="1" applyFont="1" applyFill="1" applyBorder="1" applyAlignment="1">
      <alignment horizontal="center" vertical="center"/>
    </xf>
    <xf numFmtId="174" fontId="11" fillId="51" borderId="76" xfId="138" applyNumberFormat="1" applyFont="1" applyFill="1" applyBorder="1" applyAlignment="1">
      <alignment horizontal="center"/>
    </xf>
    <xf numFmtId="170" fontId="0" fillId="29" borderId="0" xfId="146" applyNumberFormat="1" applyFont="1" applyFill="1" applyAlignment="1">
      <alignment horizontal="center"/>
    </xf>
    <xf numFmtId="0" fontId="0" fillId="0" borderId="1" xfId="0" quotePrefix="1" applyBorder="1" applyAlignment="1">
      <alignment horizontal="center" vertical="center" wrapText="1"/>
    </xf>
    <xf numFmtId="0" fontId="0" fillId="55" borderId="0" xfId="0" applyFill="1" applyAlignment="1">
      <alignment vertical="center"/>
    </xf>
    <xf numFmtId="0" fontId="34" fillId="55" borderId="0" xfId="0" applyFont="1" applyFill="1" applyAlignment="1">
      <alignment horizontal="center" vertical="center"/>
    </xf>
    <xf numFmtId="0" fontId="71" fillId="55" borderId="0" xfId="0" applyFont="1" applyFill="1" applyAlignment="1">
      <alignment horizontal="center" vertical="center" wrapText="1"/>
    </xf>
    <xf numFmtId="3" fontId="7" fillId="0" borderId="0" xfId="0" applyNumberFormat="1" applyFont="1" applyAlignment="1">
      <alignment vertical="center"/>
    </xf>
    <xf numFmtId="170" fontId="0" fillId="0" borderId="0" xfId="0" applyNumberFormat="1" applyAlignment="1">
      <alignment vertical="center"/>
    </xf>
    <xf numFmtId="0" fontId="34" fillId="56" borderId="0" xfId="0" applyFont="1" applyFill="1" applyAlignment="1">
      <alignment horizontal="center"/>
    </xf>
    <xf numFmtId="0" fontId="72" fillId="0" borderId="0" xfId="0" applyFont="1" applyAlignment="1">
      <alignment horizontal="left"/>
    </xf>
    <xf numFmtId="0" fontId="0" fillId="0" borderId="0" xfId="0" applyAlignment="1">
      <alignment horizontal="left"/>
    </xf>
    <xf numFmtId="175" fontId="0" fillId="0" borderId="0" xfId="0" applyNumberFormat="1"/>
    <xf numFmtId="0" fontId="72" fillId="0" borderId="81" xfId="0" applyFont="1" applyBorder="1"/>
    <xf numFmtId="0" fontId="72" fillId="0" borderId="0" xfId="0" applyFont="1"/>
    <xf numFmtId="0" fontId="72" fillId="0" borderId="81" xfId="0" applyFont="1" applyBorder="1" applyAlignment="1">
      <alignment horizontal="left"/>
    </xf>
    <xf numFmtId="0" fontId="11" fillId="52" borderId="82" xfId="0" applyFont="1" applyFill="1" applyBorder="1"/>
    <xf numFmtId="0" fontId="8" fillId="57" borderId="42" xfId="0" applyFont="1" applyFill="1" applyBorder="1"/>
    <xf numFmtId="0" fontId="11" fillId="57" borderId="1" xfId="0" applyFont="1" applyFill="1" applyBorder="1"/>
    <xf numFmtId="0" fontId="11" fillId="58" borderId="82" xfId="0" applyFont="1" applyFill="1" applyBorder="1"/>
    <xf numFmtId="0" fontId="37" fillId="57" borderId="30" xfId="0" applyFont="1" applyFill="1" applyBorder="1" applyAlignment="1">
      <alignment horizontal="center"/>
    </xf>
    <xf numFmtId="0" fontId="37" fillId="57" borderId="43" xfId="0" applyFont="1" applyFill="1" applyBorder="1"/>
    <xf numFmtId="3" fontId="37" fillId="57" borderId="1" xfId="1" applyNumberFormat="1" applyFont="1" applyFill="1" applyBorder="1" applyAlignment="1" applyProtection="1">
      <alignment horizontal="center" wrapText="1"/>
      <protection locked="0"/>
    </xf>
    <xf numFmtId="3" fontId="37" fillId="57" borderId="1" xfId="0" applyNumberFormat="1" applyFont="1" applyFill="1" applyBorder="1" applyAlignment="1">
      <alignment horizontal="left"/>
    </xf>
    <xf numFmtId="168" fontId="37" fillId="57" borderId="1" xfId="1" applyNumberFormat="1" applyFont="1" applyFill="1" applyBorder="1" applyAlignment="1" applyProtection="1">
      <alignment horizontal="center" wrapText="1"/>
      <protection locked="0"/>
    </xf>
    <xf numFmtId="0" fontId="37" fillId="57" borderId="1" xfId="1" applyNumberFormat="1" applyFont="1" applyFill="1" applyBorder="1" applyAlignment="1" applyProtection="1">
      <alignment horizontal="center" wrapText="1"/>
      <protection locked="0"/>
    </xf>
    <xf numFmtId="0" fontId="37" fillId="57" borderId="1" xfId="0" applyFont="1" applyFill="1" applyBorder="1"/>
    <xf numFmtId="170" fontId="11" fillId="57" borderId="1" xfId="146" applyNumberFormat="1" applyFont="1" applyFill="1" applyBorder="1" applyAlignment="1" applyProtection="1">
      <alignment horizontal="center" vertical="center" wrapText="1"/>
      <protection locked="0"/>
    </xf>
    <xf numFmtId="170" fontId="11" fillId="57" borderId="1" xfId="146" applyNumberFormat="1" applyFont="1" applyFill="1" applyBorder="1" applyAlignment="1">
      <alignment horizontal="center" vertical="center" wrapText="1"/>
    </xf>
    <xf numFmtId="0" fontId="11" fillId="57" borderId="1" xfId="0" applyFont="1" applyFill="1" applyBorder="1" applyAlignment="1">
      <alignment horizontal="center" vertical="center" wrapText="1"/>
    </xf>
    <xf numFmtId="171" fontId="11" fillId="57" borderId="1" xfId="0" applyNumberFormat="1" applyFont="1" applyFill="1" applyBorder="1" applyAlignment="1">
      <alignment horizontal="center" vertical="center" wrapText="1"/>
    </xf>
    <xf numFmtId="166" fontId="39" fillId="57" borderId="1" xfId="0" applyNumberFormat="1" applyFont="1" applyFill="1" applyBorder="1" applyAlignment="1">
      <alignment horizontal="center" vertical="center" wrapText="1"/>
    </xf>
    <xf numFmtId="10" fontId="11" fillId="57" borderId="1" xfId="138" applyNumberFormat="1" applyFont="1" applyFill="1" applyBorder="1" applyAlignment="1">
      <alignment horizontal="center" vertical="center" wrapText="1"/>
    </xf>
    <xf numFmtId="9" fontId="11" fillId="57" borderId="1" xfId="0" applyNumberFormat="1" applyFont="1" applyFill="1" applyBorder="1" applyAlignment="1">
      <alignment horizontal="center" vertical="center"/>
    </xf>
    <xf numFmtId="49" fontId="11" fillId="57" borderId="1" xfId="0" applyNumberFormat="1" applyFont="1" applyFill="1" applyBorder="1" applyAlignment="1">
      <alignment horizontal="center" vertical="center"/>
    </xf>
    <xf numFmtId="14" fontId="11" fillId="57" borderId="1" xfId="0" applyNumberFormat="1" applyFont="1" applyFill="1" applyBorder="1" applyAlignment="1">
      <alignment horizontal="center"/>
    </xf>
    <xf numFmtId="0" fontId="11" fillId="57"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0" fontId="11" fillId="57" borderId="76" xfId="0" applyFont="1" applyFill="1" applyBorder="1" applyAlignment="1">
      <alignment horizontal="center"/>
    </xf>
    <xf numFmtId="169"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xf>
    <xf numFmtId="169" fontId="49" fillId="57" borderId="76" xfId="0" applyNumberFormat="1" applyFont="1" applyFill="1" applyBorder="1" applyAlignment="1">
      <alignment horizontal="center"/>
    </xf>
    <xf numFmtId="169" fontId="66" fillId="57" borderId="76" xfId="0" applyNumberFormat="1" applyFont="1" applyFill="1" applyBorder="1" applyAlignment="1">
      <alignment horizontal="center"/>
    </xf>
    <xf numFmtId="1" fontId="11" fillId="57" borderId="76" xfId="0" applyNumberFormat="1" applyFont="1" applyFill="1" applyBorder="1" applyAlignment="1">
      <alignment horizontal="center"/>
    </xf>
    <xf numFmtId="0" fontId="11" fillId="57" borderId="76" xfId="0" applyFont="1" applyFill="1" applyBorder="1" applyAlignment="1">
      <alignment horizontal="center" wrapText="1"/>
    </xf>
    <xf numFmtId="174" fontId="11" fillId="57" borderId="76" xfId="138" applyNumberFormat="1" applyFont="1" applyFill="1" applyBorder="1" applyAlignment="1">
      <alignment horizontal="center"/>
    </xf>
    <xf numFmtId="9" fontId="11" fillId="57" borderId="76" xfId="138" applyFont="1" applyFill="1" applyBorder="1" applyAlignment="1">
      <alignment horizontal="center"/>
    </xf>
    <xf numFmtId="170" fontId="49" fillId="57" borderId="76" xfId="0" applyNumberFormat="1" applyFont="1" applyFill="1" applyBorder="1" applyAlignment="1">
      <alignment horizontal="center"/>
    </xf>
    <xf numFmtId="170" fontId="66" fillId="57" borderId="76" xfId="0" applyNumberFormat="1" applyFont="1" applyFill="1" applyBorder="1" applyAlignment="1">
      <alignment horizontal="center"/>
    </xf>
    <xf numFmtId="173"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vertical="center"/>
    </xf>
    <xf numFmtId="172" fontId="63" fillId="3" borderId="29" xfId="0" applyNumberFormat="1" applyFont="1" applyFill="1" applyBorder="1" applyAlignment="1">
      <alignment horizontal="center" vertical="center"/>
    </xf>
    <xf numFmtId="3" fontId="8" fillId="3" borderId="26" xfId="0" applyNumberFormat="1" applyFont="1" applyFill="1" applyBorder="1" applyAlignment="1">
      <alignment horizontal="center" vertical="center" wrapText="1"/>
    </xf>
    <xf numFmtId="173" fontId="11" fillId="3" borderId="76" xfId="0" applyNumberFormat="1" applyFont="1" applyFill="1" applyBorder="1" applyAlignment="1">
      <alignment horizontal="center"/>
    </xf>
    <xf numFmtId="176" fontId="11" fillId="3" borderId="76" xfId="0" applyNumberFormat="1" applyFont="1" applyFill="1" applyBorder="1" applyAlignment="1">
      <alignment horizontal="center"/>
    </xf>
    <xf numFmtId="0" fontId="0" fillId="36" borderId="82" xfId="0" applyFill="1" applyBorder="1" applyAlignment="1">
      <alignment horizontal="center"/>
    </xf>
    <xf numFmtId="170" fontId="45" fillId="36" borderId="15" xfId="146" applyNumberFormat="1" applyFont="1" applyFill="1" applyBorder="1" applyAlignment="1">
      <alignment horizontal="center"/>
    </xf>
    <xf numFmtId="0" fontId="45" fillId="36" borderId="83" xfId="0" applyFont="1" applyFill="1" applyBorder="1" applyAlignment="1">
      <alignment horizontal="center"/>
    </xf>
    <xf numFmtId="0" fontId="59" fillId="36" borderId="83" xfId="0" applyFont="1" applyFill="1" applyBorder="1" applyAlignment="1">
      <alignment horizontal="center"/>
    </xf>
    <xf numFmtId="0" fontId="60" fillId="37" borderId="47" xfId="0" applyFont="1" applyFill="1" applyBorder="1" applyAlignment="1">
      <alignment horizontal="center" vertical="center"/>
    </xf>
    <xf numFmtId="170" fontId="0" fillId="37" borderId="48" xfId="146" applyNumberFormat="1" applyFont="1" applyFill="1" applyBorder="1" applyAlignment="1">
      <alignment horizontal="center" vertical="center"/>
    </xf>
    <xf numFmtId="170" fontId="73" fillId="37" borderId="48" xfId="146" applyNumberFormat="1" applyFont="1" applyFill="1" applyBorder="1" applyAlignment="1">
      <alignment horizontal="center" vertical="center"/>
    </xf>
    <xf numFmtId="0" fontId="60" fillId="59" borderId="18" xfId="0" applyFont="1" applyFill="1" applyBorder="1" applyAlignment="1">
      <alignment horizontal="center" vertical="center"/>
    </xf>
    <xf numFmtId="170" fontId="0" fillId="59" borderId="1" xfId="146" applyNumberFormat="1" applyFont="1" applyFill="1" applyBorder="1" applyAlignment="1">
      <alignment horizontal="center" vertical="center"/>
    </xf>
    <xf numFmtId="170" fontId="73" fillId="59" borderId="1" xfId="146" applyNumberFormat="1" applyFont="1" applyFill="1" applyBorder="1" applyAlignment="1">
      <alignment horizontal="center" vertical="center"/>
    </xf>
    <xf numFmtId="0" fontId="60" fillId="60" borderId="50" xfId="0" applyFont="1" applyFill="1" applyBorder="1" applyAlignment="1">
      <alignment horizontal="center" vertical="center" wrapText="1"/>
    </xf>
    <xf numFmtId="170" fontId="0" fillId="60" borderId="20" xfId="146" applyNumberFormat="1" applyFont="1" applyFill="1" applyBorder="1" applyAlignment="1">
      <alignment horizontal="center" vertical="center"/>
    </xf>
    <xf numFmtId="170" fontId="73" fillId="60" borderId="20" xfId="146" applyNumberFormat="1" applyFont="1" applyFill="1" applyBorder="1" applyAlignment="1">
      <alignment horizontal="center" vertical="center"/>
    </xf>
    <xf numFmtId="0" fontId="0" fillId="49" borderId="0" xfId="0" applyFill="1" applyAlignment="1">
      <alignment horizontal="center" wrapText="1"/>
    </xf>
    <xf numFmtId="172" fontId="46" fillId="40" borderId="1" xfId="0" applyNumberFormat="1" applyFont="1" applyFill="1" applyBorder="1" applyAlignment="1">
      <alignment horizontal="center" vertical="center" wrapText="1"/>
    </xf>
    <xf numFmtId="170" fontId="34" fillId="30" borderId="40" xfId="146" applyNumberFormat="1" applyFont="1" applyFill="1" applyBorder="1" applyAlignment="1">
      <alignment horizontal="center" vertical="center"/>
    </xf>
    <xf numFmtId="170" fontId="34" fillId="30" borderId="41" xfId="146" applyNumberFormat="1" applyFont="1" applyFill="1" applyBorder="1" applyAlignment="1">
      <alignment horizontal="center" vertical="center"/>
    </xf>
    <xf numFmtId="170" fontId="44" fillId="28" borderId="83" xfId="146" applyNumberFormat="1" applyFont="1" applyFill="1" applyBorder="1" applyAlignment="1">
      <alignment horizontal="center" vertical="center" wrapText="1"/>
    </xf>
    <xf numFmtId="0" fontId="66" fillId="0" borderId="0" xfId="0" applyFont="1"/>
    <xf numFmtId="17" fontId="0" fillId="0" borderId="1" xfId="0" quotePrefix="1" applyNumberFormat="1" applyBorder="1" applyAlignment="1">
      <alignment horizontal="center" vertical="center" wrapText="1"/>
    </xf>
    <xf numFmtId="9" fontId="0" fillId="0" borderId="1" xfId="0" applyNumberFormat="1" applyBorder="1" applyAlignment="1">
      <alignment horizontal="center" vertical="center"/>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0" fontId="34" fillId="41" borderId="0" xfId="0" applyFont="1" applyFill="1" applyAlignment="1">
      <alignment horizontal="center" vertical="center" wrapText="1"/>
    </xf>
    <xf numFmtId="0" fontId="34" fillId="41" borderId="0" xfId="0" applyFont="1" applyFill="1" applyAlignment="1">
      <alignment horizontal="center" vertical="center"/>
    </xf>
    <xf numFmtId="168" fontId="37" fillId="3" borderId="1" xfId="1" applyNumberFormat="1" applyFont="1" applyFill="1" applyBorder="1" applyAlignment="1" applyProtection="1">
      <alignment horizontal="center" wrapText="1"/>
      <protection locked="0"/>
    </xf>
    <xf numFmtId="165" fontId="0" fillId="3" borderId="1" xfId="2" applyNumberFormat="1" applyFont="1" applyFill="1" applyBorder="1" applyAlignment="1">
      <alignment vertical="center" wrapText="1"/>
    </xf>
    <xf numFmtId="0" fontId="11" fillId="0" borderId="0" xfId="0" applyFont="1" applyAlignment="1">
      <alignment horizontal="center"/>
    </xf>
    <xf numFmtId="0" fontId="0" fillId="0" borderId="42" xfId="0" applyBorder="1" applyAlignment="1">
      <alignment horizontal="left" vertical="center"/>
    </xf>
    <xf numFmtId="0" fontId="45" fillId="32" borderId="0" xfId="0" applyFont="1" applyFill="1" applyAlignment="1">
      <alignment horizontal="center" vertical="center"/>
    </xf>
    <xf numFmtId="0" fontId="45" fillId="32" borderId="46" xfId="0" applyFont="1" applyFill="1" applyBorder="1" applyAlignment="1">
      <alignment horizontal="center" vertical="center"/>
    </xf>
    <xf numFmtId="0" fontId="45" fillId="32" borderId="25" xfId="0" applyFont="1" applyFill="1" applyBorder="1" applyAlignment="1">
      <alignment horizontal="center" vertical="center"/>
    </xf>
    <xf numFmtId="0" fontId="45" fillId="32" borderId="26" xfId="0" applyFont="1" applyFill="1" applyBorder="1" applyAlignment="1">
      <alignment horizontal="center" vertical="center"/>
    </xf>
    <xf numFmtId="0" fontId="45" fillId="32" borderId="27" xfId="0" applyFont="1" applyFill="1" applyBorder="1" applyAlignment="1">
      <alignment horizontal="center" vertical="center"/>
    </xf>
    <xf numFmtId="0" fontId="45" fillId="32" borderId="16" xfId="0" applyFont="1" applyFill="1" applyBorder="1" applyAlignment="1">
      <alignment horizontal="center" vertical="center"/>
    </xf>
    <xf numFmtId="0" fontId="45" fillId="32" borderId="61" xfId="0" applyFont="1" applyFill="1" applyBorder="1" applyAlignment="1">
      <alignment horizontal="center" vertical="center"/>
    </xf>
    <xf numFmtId="0" fontId="45" fillId="32" borderId="17" xfId="0" applyFont="1" applyFill="1" applyBorder="1" applyAlignment="1">
      <alignment horizontal="center" vertical="center"/>
    </xf>
    <xf numFmtId="0" fontId="34" fillId="30" borderId="33" xfId="0" applyFont="1" applyFill="1" applyBorder="1" applyAlignment="1">
      <alignment horizontal="center" vertical="center"/>
    </xf>
    <xf numFmtId="0" fontId="34" fillId="30" borderId="38" xfId="0" applyFont="1" applyFill="1" applyBorder="1" applyAlignment="1">
      <alignment horizontal="center" vertical="center"/>
    </xf>
    <xf numFmtId="0" fontId="0" fillId="3" borderId="25" xfId="0" applyFill="1" applyBorder="1" applyAlignment="1">
      <alignment horizontal="center"/>
    </xf>
    <xf numFmtId="0" fontId="0" fillId="3" borderId="27" xfId="0" applyFill="1" applyBorder="1" applyAlignment="1">
      <alignment horizontal="center"/>
    </xf>
    <xf numFmtId="169" fontId="62" fillId="48" borderId="25" xfId="0" applyNumberFormat="1" applyFont="1" applyFill="1" applyBorder="1" applyAlignment="1">
      <alignment horizontal="center" vertical="center"/>
    </xf>
    <xf numFmtId="169" fontId="62" fillId="48" borderId="26" xfId="0" applyNumberFormat="1" applyFont="1" applyFill="1" applyBorder="1" applyAlignment="1">
      <alignment horizontal="center" vertical="center"/>
    </xf>
    <xf numFmtId="169" fontId="62" fillId="48" borderId="27" xfId="0" applyNumberFormat="1" applyFont="1" applyFill="1" applyBorder="1" applyAlignment="1">
      <alignment horizontal="center" vertical="center"/>
    </xf>
    <xf numFmtId="172" fontId="63" fillId="49" borderId="25" xfId="0" applyNumberFormat="1" applyFont="1" applyFill="1" applyBorder="1" applyAlignment="1">
      <alignment horizontal="center" vertical="center"/>
    </xf>
    <xf numFmtId="172" fontId="63" fillId="49" borderId="26" xfId="0" applyNumberFormat="1" applyFont="1" applyFill="1" applyBorder="1" applyAlignment="1">
      <alignment horizontal="center" vertical="center"/>
    </xf>
    <xf numFmtId="172" fontId="63" fillId="49" borderId="27" xfId="0" applyNumberFormat="1" applyFont="1" applyFill="1" applyBorder="1" applyAlignment="1">
      <alignment horizontal="center" vertical="center"/>
    </xf>
    <xf numFmtId="0" fontId="8" fillId="38" borderId="77" xfId="0" applyFont="1" applyFill="1" applyBorder="1" applyAlignment="1">
      <alignment horizontal="right"/>
    </xf>
    <xf numFmtId="0" fontId="8" fillId="38" borderId="78" xfId="0" applyFont="1" applyFill="1" applyBorder="1" applyAlignment="1">
      <alignment horizontal="right"/>
    </xf>
    <xf numFmtId="0" fontId="8" fillId="38" borderId="79" xfId="0" applyFont="1" applyFill="1" applyBorder="1" applyAlignment="1">
      <alignment horizontal="right"/>
    </xf>
    <xf numFmtId="0" fontId="35" fillId="29" borderId="0" xfId="0" applyFont="1" applyFill="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9" borderId="25" xfId="0" applyFill="1" applyBorder="1" applyAlignment="1">
      <alignment horizontal="center"/>
    </xf>
    <xf numFmtId="0" fontId="0" fillId="39" borderId="26" xfId="0" applyFill="1" applyBorder="1" applyAlignment="1">
      <alignment horizontal="center"/>
    </xf>
    <xf numFmtId="0" fontId="0" fillId="39" borderId="27" xfId="0" applyFill="1" applyBorder="1" applyAlignment="1">
      <alignment horizontal="center"/>
    </xf>
    <xf numFmtId="0" fontId="51" fillId="42" borderId="66"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1" fillId="42"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proba\MENL_RRF_berszamitas_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EMNL_RRF_berszamitas.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Hónapok"/>
      <sheetName val="Információk"/>
      <sheetName val="Admin"/>
      <sheetName val="Admin - FEOR"/>
      <sheetName val="FEOR kodok"/>
      <sheetName val="Historikus berek_2021-2"/>
      <sheetName val="Admin-BÉR-RRF-00009_MENL"/>
    </sheetNames>
    <sheetDataSet>
      <sheetData sheetId="0"/>
      <sheetData sheetId="1">
        <row r="7">
          <cell r="H7">
            <v>2410</v>
          </cell>
        </row>
      </sheetData>
      <sheetData sheetId="2"/>
      <sheetData sheetId="3"/>
      <sheetData sheetId="4"/>
      <sheetData sheetId="5">
        <row r="17">
          <cell r="B17" t="str">
            <v>FEOR</v>
          </cell>
        </row>
        <row r="18">
          <cell r="B18" t="str">
            <v>HISTORIKUS</v>
          </cell>
        </row>
      </sheetData>
      <sheetData sheetId="6">
        <row r="4">
          <cell r="A4">
            <v>110</v>
          </cell>
        </row>
      </sheetData>
      <sheetData sheetId="7">
        <row r="2">
          <cell r="A2">
            <v>10000002</v>
          </cell>
        </row>
      </sheetData>
      <sheetData sheetId="8">
        <row r="1">
          <cell r="A1" t="str">
            <v>Adószám</v>
          </cell>
        </row>
      </sheetData>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EPTK ecxel export"/>
      <sheetName val="Hónapok"/>
      <sheetName val="Admin"/>
      <sheetName val="Admin - FEOR"/>
      <sheetName val="Admin-BÉR-RRF-00014_ÉGHAJLAT"/>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1" dataDxfId="9" headerRowBorderDxfId="10" tableBorderDxfId="8" headerRowCellStyle="Normál 10" dataCellStyle="Normál 10">
  <autoFilter ref="A1:F465" xr:uid="{134BEC41-0044-4498-9682-8387D48047F7}"/>
  <tableColumns count="6">
    <tableColumn id="1" xr3:uid="{4B5B3757-85FD-43F8-9B62-258A51581B25}" name="Foglalkozás" dataDxfId="7" dataCellStyle="Normál 10"/>
    <tableColumn id="2" xr3:uid="{088A5379-AB2C-41A2-B801-84898C80E47E}" name="Oszlop1" dataDxfId="6" dataCellStyle="Normál 10"/>
    <tableColumn id="3" xr3:uid="{1F13ABBE-8719-424A-B0CA-9928AA7B7103}" name="Korcsoport" dataDxfId="5" dataCellStyle="Normál 10"/>
    <tableColumn id="4" xr3:uid="{265CADDD-7107-4B8D-8DDB-287234852308}" name="Oszlop2" dataDxfId="4" dataCellStyle="Normál 10"/>
    <tableColumn id="5" xr3:uid="{AD8DE1A1-3EAE-482F-81E1-7B13CDE144A8}" name="Oszlop3" dataDxfId="3" dataCellStyle="Normál 10"/>
    <tableColumn id="6" xr3:uid="{0FDC9587-BA60-4325-A17F-3E74875A154D}" name="Oszlop4" dataDxfId="2"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zoomScale="85" zoomScaleNormal="85" workbookViewId="0">
      <selection activeCell="D5" sqref="D5"/>
    </sheetView>
  </sheetViews>
  <sheetFormatPr defaultRowHeight="15" x14ac:dyDescent="0.25"/>
  <cols>
    <col min="1" max="1" width="16.42578125" customWidth="1"/>
    <col min="2" max="2" width="24.85546875" customWidth="1"/>
    <col min="3" max="3" width="41" customWidth="1"/>
    <col min="4" max="4" width="23" style="16" customWidth="1"/>
    <col min="5" max="5" width="19.7109375" style="10" customWidth="1"/>
    <col min="6" max="6" width="16.5703125" style="10" customWidth="1"/>
    <col min="7" max="7" width="18.28515625" style="10" customWidth="1"/>
    <col min="8" max="8" width="16.5703125" style="10" customWidth="1"/>
    <col min="9" max="9" width="2.85546875" customWidth="1"/>
    <col min="10" max="10" width="20.85546875" style="6" customWidth="1"/>
    <col min="11" max="11" width="16.140625" style="6" customWidth="1"/>
    <col min="12" max="12" width="19" style="6" customWidth="1"/>
    <col min="13" max="13" width="19.28515625" customWidth="1"/>
    <col min="14" max="14" width="17" customWidth="1"/>
    <col min="15" max="15" width="17.7109375" customWidth="1"/>
    <col min="16" max="16" width="21.5703125" customWidth="1"/>
  </cols>
  <sheetData>
    <row r="1" spans="1:16" s="7" customFormat="1" ht="31.5" customHeight="1" thickBot="1" x14ac:dyDescent="0.3">
      <c r="A1" s="402" t="s">
        <v>89</v>
      </c>
      <c r="B1" s="402"/>
      <c r="C1" s="402"/>
      <c r="D1" s="402"/>
      <c r="E1" s="402"/>
      <c r="F1" s="402"/>
      <c r="G1" s="402"/>
      <c r="H1" s="403"/>
      <c r="J1" s="407" t="s">
        <v>20</v>
      </c>
      <c r="K1" s="408"/>
      <c r="L1" s="408"/>
      <c r="M1" s="408"/>
      <c r="N1" s="408"/>
      <c r="O1" s="408"/>
      <c r="P1" s="409"/>
    </row>
    <row r="2" spans="1:16" ht="39.75" customHeight="1" thickBot="1" x14ac:dyDescent="0.3">
      <c r="A2" s="187" t="s">
        <v>120</v>
      </c>
      <c r="B2" s="187" t="s">
        <v>6</v>
      </c>
      <c r="C2" s="187" t="s">
        <v>28</v>
      </c>
      <c r="D2" s="187" t="s">
        <v>29</v>
      </c>
      <c r="E2" s="187" t="s">
        <v>14</v>
      </c>
      <c r="F2" s="187" t="s">
        <v>0</v>
      </c>
      <c r="G2" s="187" t="s">
        <v>9</v>
      </c>
      <c r="H2" s="188" t="s">
        <v>10</v>
      </c>
      <c r="J2" s="189" t="s">
        <v>30</v>
      </c>
      <c r="K2" s="190" t="s">
        <v>5</v>
      </c>
      <c r="L2" s="190" t="s">
        <v>29</v>
      </c>
      <c r="M2" s="190" t="s">
        <v>14</v>
      </c>
      <c r="N2" s="190" t="s">
        <v>0</v>
      </c>
      <c r="O2" s="190" t="s">
        <v>9</v>
      </c>
      <c r="P2" s="191" t="s">
        <v>10</v>
      </c>
    </row>
    <row r="3" spans="1:16" ht="75" x14ac:dyDescent="0.25">
      <c r="A3" s="142" t="s">
        <v>121</v>
      </c>
      <c r="B3" s="143" t="s">
        <v>64</v>
      </c>
      <c r="C3" s="144" t="s">
        <v>122</v>
      </c>
      <c r="D3" s="176">
        <v>460712300</v>
      </c>
      <c r="E3" s="390">
        <f>SUMIFS(Bérköltség!$Y$9:$Y$442,Bérköltség!$AH$9:$AH$442,$C3,Bérköltség!$AK$9:$AK$442,"Tény")+SUMIFS(Bérköltség!$Z$9:$Z$442,Bérköltség!$AH$9:$AH$442,$C3,Bérköltség!$AK$9:$AK$442,"Tény")</f>
        <v>78154717</v>
      </c>
      <c r="F3" s="390">
        <f>D3-E3</f>
        <v>382557583</v>
      </c>
      <c r="G3" s="390">
        <f>SUMIFS(Bérköltség!$Y$9:$Y$442,Bérköltség!$AH$9:$AH$442,$C3,Bérköltség!$AK$9:$AK$442,"Köt.váll")+SUMIFS(Bérköltség!$Z$9:$Z$442,Bérköltség!$AH$9:$AH$442,$C3,Bérköltség!$AK$9:$AK$442,"Köt.váll")</f>
        <v>40028507</v>
      </c>
      <c r="H3" s="148">
        <f>F3-G3</f>
        <v>342529076</v>
      </c>
      <c r="J3" s="115" t="s">
        <v>154</v>
      </c>
      <c r="K3" s="116" t="str">
        <f>Admin!$A$2</f>
        <v>C017000148</v>
      </c>
      <c r="L3" s="177">
        <v>241743768</v>
      </c>
      <c r="M3" s="117">
        <f>SUMIFS(Bérköltség!$Y$9:$Y$442,Bérköltség!$AF$9:$AF$442,$K3,Bérköltség!$AK$9:$AK$442,"Tény")+SUMIFS(Bérköltség!$Z$9:$Z$442,Bérköltség!$AF$9:$AF$442,$K3,Bérköltség!$AK$9:$AK$442,"Tény")+SUMIFS(Dologi_felhalm.!$I$3:$I$107,Dologi_felhalm.!$L$3:$L$107,$K3,Dologi_felhalm.!$J$3:$J$107,"Tény")</f>
        <v>24161756</v>
      </c>
      <c r="N3" s="117">
        <f>L3-M3</f>
        <v>217582012</v>
      </c>
      <c r="O3" s="117">
        <f>SUMIFS(Bérköltség!$Y$9:$Y$442,Bérköltség!$AF$9:$AF$442,$K3,Bérköltség!$AK$9:$AK$442,"Köt.váll")+SUMIFS(Bérköltség!$Z$9:$Z$442,Bérköltség!$AF$9:$AF$442,$K3,Bérköltség!$AK$9:$AK$442,"Köt.váll")+SUMIFS(Dologi_felhalm.!$I$3:$I$107,Dologi_felhalm.!$L$3:$L$107,$K3,Dologi_felhalm.!$J$3:$J$107,"Köt.váll")</f>
        <v>22412504</v>
      </c>
      <c r="P3" s="118">
        <f>N3-O3</f>
        <v>195169508</v>
      </c>
    </row>
    <row r="4" spans="1:16" ht="75" x14ac:dyDescent="0.25">
      <c r="A4" s="145" t="s">
        <v>121</v>
      </c>
      <c r="B4" s="146" t="s">
        <v>64</v>
      </c>
      <c r="C4" s="147" t="s">
        <v>123</v>
      </c>
      <c r="D4" s="174">
        <v>43120800</v>
      </c>
      <c r="E4" s="170">
        <f>SUMIFS(Bérköltség!$Y$9:$Y$442,Bérköltség!$AH$9:$AH$442,$C4,Bérköltség!$AK$9:$AK$442,"Tény")+SUMIFS(Bérköltség!$Z$9:$Z$442,Bérköltség!$AH$9:$AH$442,$C4,Bérköltség!$AK$9:$AK$442,"Tény")</f>
        <v>12126298</v>
      </c>
      <c r="F4" s="170">
        <f>D4-E4</f>
        <v>30994502</v>
      </c>
      <c r="G4" s="170">
        <f>SUMIFS(Bérköltség!$Y$9:$Y$442,Bérköltség!$AH$9:$AH$442,$C4,Bérköltség!$AK$9:$AK$442,"Köt.váll")+SUMIFS(Bérköltség!$Z$9:$Z$442,Bérköltség!$AH$9:$AH$442,$C4,Bérköltség!$AK$9:$AK$442,"Köt.váll")</f>
        <v>6226234</v>
      </c>
      <c r="H4" s="149">
        <f>F4-G4</f>
        <v>24768268</v>
      </c>
      <c r="J4" s="34" t="s">
        <v>155</v>
      </c>
      <c r="K4" s="29" t="str">
        <f>Admin!$A$3</f>
        <v>C017000149</v>
      </c>
      <c r="L4" s="178">
        <v>243180198</v>
      </c>
      <c r="M4" s="117">
        <f>SUMIFS(Bérköltség!$Y$9:$Y$442,Bérköltség!$AF$9:$AF$442,$K4,Bérköltség!$AK$9:$AK$442,"Tény")+SUMIFS(Bérköltség!$Z$9:$Z$442,Bérköltség!$AF$9:$AF$442,$K4,Bérköltség!$AK$9:$AK$442,"Tény")+SUMIFS(Dologi_felhalm.!$I$3:$I$107,Dologi_felhalm.!$L$3:$L$107,$K4,Dologi_felhalm.!$J$3:$J$107,"Tény")</f>
        <v>31202271</v>
      </c>
      <c r="N4" s="117">
        <f t="shared" ref="N4:N7" si="0">L4-M4</f>
        <v>211977927</v>
      </c>
      <c r="O4" s="117">
        <f>SUMIFS(Bérköltség!$Y$9:$Y$442,Bérköltség!$AF$9:$AF$442,$K4,Bérköltség!$AK$9:$AK$442,"Köt.váll")+SUMIFS(Bérköltség!$Z$9:$Z$442,Bérköltség!$AF$9:$AF$442,$K4,Bérköltség!$AK$9:$AK$442,"Köt.váll")+SUMIFS(Dologi_felhalm.!$I$3:$I$107,Dologi_felhalm.!$L$3:$L$107,$K4,Dologi_felhalm.!$J$3:$J$107,"Köt.váll")</f>
        <v>8191302</v>
      </c>
      <c r="P4" s="118">
        <f t="shared" ref="P4:P7" si="1">N4-O4</f>
        <v>203786625</v>
      </c>
    </row>
    <row r="5" spans="1:16" ht="75" x14ac:dyDescent="0.25">
      <c r="A5" s="150" t="s">
        <v>121</v>
      </c>
      <c r="B5" s="151" t="s">
        <v>124</v>
      </c>
      <c r="C5" s="152" t="s">
        <v>96</v>
      </c>
      <c r="D5" s="173">
        <v>44093130</v>
      </c>
      <c r="E5" s="160">
        <f>SUMIFS(Dologi_felhalm.!$I$3:$I$108,Dologi_felhalm.!$C$3:$C$108,$C5,Dologi_felhalm.!$J$3:$J$108,"Tény")</f>
        <v>1302126</v>
      </c>
      <c r="F5" s="160">
        <f>D5-E5</f>
        <v>42791004</v>
      </c>
      <c r="G5" s="160">
        <f>SUMIFS(Dologi_felhalm.!$I$3:$I$108,Dologi_felhalm.!$C$3:$C$108,$C5,Dologi_felhalm.!$J$3:$J$108,"Köt.váll")</f>
        <v>242804</v>
      </c>
      <c r="H5" s="161">
        <f>F5-G5</f>
        <v>42548200</v>
      </c>
      <c r="J5" s="34" t="s">
        <v>156</v>
      </c>
      <c r="K5" s="29" t="str">
        <f>Admin!$A$4</f>
        <v>C017000150</v>
      </c>
      <c r="L5" s="178">
        <v>47340932</v>
      </c>
      <c r="M5" s="117">
        <f>SUMIFS(Bérköltség!$Y$9:$Y$442,Bérköltség!$AF$9:$AF$442,$K5,Bérköltség!$AK$9:$AK$442,"Tény")+SUMIFS(Bérköltség!$Z$9:$Z$442,Bérköltség!$AF$9:$AF$442,$K5,Bérköltség!$AK$9:$AK$442,"Tény")+SUMIFS(Dologi_felhalm.!$I$3:$I$107,Dologi_felhalm.!$L$3:$L$107,$K5,Dologi_felhalm.!$J$3:$J$107,"Tény")</f>
        <v>10319120</v>
      </c>
      <c r="N5" s="117">
        <f t="shared" si="0"/>
        <v>37021812</v>
      </c>
      <c r="O5" s="117">
        <f>SUMIFS(Bérköltség!$Y$9:$Y$442,Bérköltség!$AF$9:$AF$442,$K5,Bérköltség!$AK$9:$AK$442,"Köt.váll")+SUMIFS(Bérköltség!$Z$9:$Z$442,Bérköltség!$AF$9:$AF$442,$K5,Bérköltség!$AK$9:$AK$442,"Köt.váll")+SUMIFS(Dologi_felhalm.!$I$3:$I$107,Dologi_felhalm.!$L$3:$L$107,$K5,Dologi_felhalm.!$J$3:$J$107,"Köt.váll")</f>
        <v>3549059</v>
      </c>
      <c r="P5" s="118">
        <f t="shared" si="1"/>
        <v>33472753</v>
      </c>
    </row>
    <row r="6" spans="1:16" ht="75" x14ac:dyDescent="0.25">
      <c r="A6" s="150" t="s">
        <v>121</v>
      </c>
      <c r="B6" s="151" t="s">
        <v>124</v>
      </c>
      <c r="C6" s="153" t="s">
        <v>97</v>
      </c>
      <c r="D6" s="173">
        <v>19423799</v>
      </c>
      <c r="E6" s="160">
        <f>SUMIFS(Dologi_felhalm.!$I$3:$I$108,Dologi_felhalm.!$C$3:$C$108,$C6,Dologi_felhalm.!$J$3:$J$108,"Tény")</f>
        <v>1403221</v>
      </c>
      <c r="F6" s="160">
        <f t="shared" ref="F6:F24" si="2">D6-E6</f>
        <v>18020578</v>
      </c>
      <c r="G6" s="160">
        <f>SUMIFS(Dologi_felhalm.!$I$3:$I$108,Dologi_felhalm.!$C$3:$C$108,$C6,Dologi_felhalm.!$J$3:$J$108,"Köt.váll")</f>
        <v>210000</v>
      </c>
      <c r="H6" s="161">
        <f t="shared" ref="H6:H24" si="3">F6-G6</f>
        <v>17810578</v>
      </c>
      <c r="J6" s="34" t="s">
        <v>157</v>
      </c>
      <c r="K6" s="29" t="str">
        <f>Admin!$A$5</f>
        <v>K017000151</v>
      </c>
      <c r="L6" s="178">
        <v>262160137</v>
      </c>
      <c r="M6" s="117">
        <f>SUMIFS(Bérköltség!$Y$9:$Y$442,Bérköltség!$AF$9:$AF$442,$K6,Bérköltség!$AK$9:$AK$442,"Tény")+SUMIFS(Bérköltség!$Z$9:$Z$442,Bérköltség!$AF$9:$AF$442,$K6,Bérköltség!$AK$9:$AK$442,"Tény")+SUMIFS(Dologi_felhalm.!$I$3:$I$107,Dologi_felhalm.!$L$3:$L$107,$K6,Dologi_felhalm.!$J$3:$J$107,"Tény")</f>
        <v>34482409</v>
      </c>
      <c r="N6" s="117">
        <f t="shared" si="0"/>
        <v>227677728</v>
      </c>
      <c r="O6" s="117">
        <f>SUMIFS(Bérköltség!$Y$9:$Y$442,Bérköltség!$AF$9:$AF$442,$K6,Bérköltség!$AK$9:$AK$442,"Köt.váll")+SUMIFS(Bérköltség!$Z$9:$Z$442,Bérköltség!$AF$9:$AF$442,$K6,Bérköltség!$AK$9:$AK$442,"Köt.váll")+SUMIFS(Dologi_felhalm.!$I$3:$I$107,Dologi_felhalm.!$L$3:$L$107,$K6,Dologi_felhalm.!$J$3:$J$107,"Köt.váll")</f>
        <v>19025320</v>
      </c>
      <c r="P6" s="118">
        <f t="shared" si="1"/>
        <v>208652408</v>
      </c>
    </row>
    <row r="7" spans="1:16" ht="75" x14ac:dyDescent="0.25">
      <c r="A7" s="150" t="s">
        <v>121</v>
      </c>
      <c r="B7" s="151" t="s">
        <v>124</v>
      </c>
      <c r="C7" s="152" t="s">
        <v>98</v>
      </c>
      <c r="D7" s="173">
        <v>4479500</v>
      </c>
      <c r="E7" s="160">
        <f>SUMIFS(Dologi_felhalm.!$I$3:$I$108,Dologi_felhalm.!$C$3:$C$108,$C7,Dologi_felhalm.!$J$3:$J$108,"Tény")</f>
        <v>398408</v>
      </c>
      <c r="F7" s="160">
        <f t="shared" si="2"/>
        <v>4081092</v>
      </c>
      <c r="G7" s="160">
        <f>SUMIFS(Dologi_felhalm.!$I$3:$I$108,Dologi_felhalm.!$C$3:$C$108,$C7,Dologi_felhalm.!$J$3:$J$108,"Köt.váll")</f>
        <v>242202</v>
      </c>
      <c r="H7" s="161">
        <f t="shared" si="3"/>
        <v>3838890</v>
      </c>
      <c r="J7" s="35" t="s">
        <v>158</v>
      </c>
      <c r="K7" s="29" t="str">
        <f>Admin!$A$6</f>
        <v>M217000152</v>
      </c>
      <c r="L7" s="179">
        <v>75574965</v>
      </c>
      <c r="M7" s="117">
        <f>SUMIFS(Bérköltség!$Y$9:$Y$442,Bérköltség!$AF$9:$AF$442,$K7,Bérköltség!$AK$9:$AK$442,"Tény")+SUMIFS(Bérköltség!$Z$9:$Z$442,Bérköltség!$AF$9:$AF$442,$K7,Bérköltség!$AK$9:$AK$442,"Tény")+SUMIFS(Dologi_felhalm.!$I$3:$I$107,Dologi_felhalm.!$L$3:$L$107,$K7,Dologi_felhalm.!$J$3:$J$107,"Tény")</f>
        <v>10524272</v>
      </c>
      <c r="N7" s="117">
        <f t="shared" si="0"/>
        <v>65050693</v>
      </c>
      <c r="O7" s="117">
        <f>SUMIFS(Bérköltség!$Y$9:$Y$442,Bérköltség!$AF$9:$AF$442,$K7,Bérköltség!$AK$9:$AK$442,"Köt.váll")+SUMIFS(Bérköltség!$Z$9:$Z$442,Bérköltség!$AF$9:$AF$442,$K7,Bérköltség!$AK$9:$AK$442,"Köt.váll")+SUMIFS(Dologi_felhalm.!$I$3:$I$107,Dologi_felhalm.!$L$3:$L$107,$K7,Dologi_felhalm.!$J$3:$J$107,"Köt.váll")</f>
        <v>3197588</v>
      </c>
      <c r="P7" s="118">
        <f t="shared" si="1"/>
        <v>61853105</v>
      </c>
    </row>
    <row r="8" spans="1:16" ht="75.75" thickBot="1" x14ac:dyDescent="0.3">
      <c r="A8" s="150" t="s">
        <v>125</v>
      </c>
      <c r="B8" s="151" t="s">
        <v>126</v>
      </c>
      <c r="C8" s="152" t="s">
        <v>99</v>
      </c>
      <c r="D8" s="173">
        <v>17596485</v>
      </c>
      <c r="E8" s="160">
        <f>SUMIFS(Dologi_felhalm.!$I$3:$I$108,Dologi_felhalm.!$C$3:$C$108,$C8,Dologi_felhalm.!$J$3:$J$108,"Tény")</f>
        <v>170291</v>
      </c>
      <c r="F8" s="160">
        <f t="shared" si="2"/>
        <v>17426194</v>
      </c>
      <c r="G8" s="160">
        <f>SUMIFS(Dologi_felhalm.!$I$3:$I$108,Dologi_felhalm.!$C$3:$C$108,$C8,Dologi_felhalm.!$J$3:$J$108,"Köt.váll")</f>
        <v>0</v>
      </c>
      <c r="H8" s="161">
        <f t="shared" si="3"/>
        <v>17426194</v>
      </c>
      <c r="J8" s="410" t="s">
        <v>18</v>
      </c>
      <c r="K8" s="411"/>
      <c r="L8" s="139">
        <f>SUM(L3:L7)</f>
        <v>870000000</v>
      </c>
      <c r="M8" s="139">
        <f t="shared" ref="M8:P8" si="4">SUM(M3:M7)</f>
        <v>110689828</v>
      </c>
      <c r="N8" s="139">
        <f t="shared" si="4"/>
        <v>759310172</v>
      </c>
      <c r="O8" s="139">
        <f t="shared" si="4"/>
        <v>56375773</v>
      </c>
      <c r="P8" s="140">
        <f t="shared" si="4"/>
        <v>702934399</v>
      </c>
    </row>
    <row r="9" spans="1:16" ht="60.75" thickBot="1" x14ac:dyDescent="0.3">
      <c r="A9" s="150" t="s">
        <v>127</v>
      </c>
      <c r="B9" s="151" t="s">
        <v>63</v>
      </c>
      <c r="C9" s="152" t="s">
        <v>100</v>
      </c>
      <c r="D9" s="173">
        <v>20422532</v>
      </c>
      <c r="E9" s="160">
        <f>SUMIFS(Dologi_felhalm.!$I$3:$I$108,Dologi_felhalm.!$C$3:$C$108,$C9,Dologi_felhalm.!$J$3:$J$108,"Tény")</f>
        <v>471149</v>
      </c>
      <c r="F9" s="160">
        <f t="shared" si="2"/>
        <v>19951383</v>
      </c>
      <c r="G9" s="160">
        <f>SUMIFS(Dologi_felhalm.!$I$3:$I$108,Dologi_felhalm.!$C$3:$C$108,$C9,Dologi_felhalm.!$J$3:$J$108,"Köt.váll")</f>
        <v>0</v>
      </c>
      <c r="H9" s="161">
        <f t="shared" si="3"/>
        <v>19951383</v>
      </c>
      <c r="J9" s="21"/>
      <c r="K9" s="21"/>
      <c r="L9" s="21"/>
      <c r="M9" s="22"/>
      <c r="N9" s="22"/>
      <c r="O9" s="22"/>
      <c r="P9" s="22"/>
    </row>
    <row r="10" spans="1:16" s="8" customFormat="1" ht="75.75" thickBot="1" x14ac:dyDescent="0.3">
      <c r="A10" s="150" t="s">
        <v>125</v>
      </c>
      <c r="B10" s="151" t="s">
        <v>126</v>
      </c>
      <c r="C10" s="153" t="s">
        <v>131</v>
      </c>
      <c r="D10" s="173">
        <v>5400040</v>
      </c>
      <c r="E10" s="160">
        <f>SUMIFS(Dologi_felhalm.!$I$3:$I$108,Dologi_felhalm.!$C$3:$C$108,$C10,Dologi_felhalm.!$J$3:$J$108,"Tény")</f>
        <v>672338</v>
      </c>
      <c r="F10" s="160">
        <f t="shared" si="2"/>
        <v>4727702</v>
      </c>
      <c r="G10" s="160">
        <f>SUMIFS(Dologi_felhalm.!$I$3:$I$108,Dologi_felhalm.!$C$3:$C$108,$C10,Dologi_felhalm.!$J$3:$J$108,"Köt.váll")</f>
        <v>0</v>
      </c>
      <c r="H10" s="161">
        <f t="shared" si="3"/>
        <v>4727702</v>
      </c>
      <c r="I10" s="21"/>
      <c r="J10" s="404" t="s">
        <v>77</v>
      </c>
      <c r="K10" s="405"/>
      <c r="L10" s="405"/>
      <c r="M10" s="405"/>
      <c r="N10" s="405"/>
      <c r="O10" s="406"/>
    </row>
    <row r="11" spans="1:16" ht="75.75" thickBot="1" x14ac:dyDescent="0.3">
      <c r="A11" s="154" t="s">
        <v>125</v>
      </c>
      <c r="B11" s="155" t="s">
        <v>126</v>
      </c>
      <c r="C11" s="152" t="s">
        <v>132</v>
      </c>
      <c r="D11" s="173">
        <v>7620000</v>
      </c>
      <c r="E11" s="160">
        <f>SUMIFS(Dologi_felhalm.!$I$3:$I$108,Dologi_felhalm.!$C$3:$C$108,$C11,Dologi_felhalm.!$J$3:$J$108,"Tény")</f>
        <v>753135</v>
      </c>
      <c r="F11" s="160">
        <f t="shared" si="2"/>
        <v>6866865</v>
      </c>
      <c r="G11" s="160">
        <f>SUMIFS(Dologi_felhalm.!$I$3:$I$108,Dologi_felhalm.!$C$3:$C$108,$C11,Dologi_felhalm.!$J$3:$J$108,"Köt.váll")</f>
        <v>6228438</v>
      </c>
      <c r="H11" s="161">
        <f t="shared" si="3"/>
        <v>638427</v>
      </c>
      <c r="I11" s="21"/>
      <c r="J11" s="67" t="s">
        <v>78</v>
      </c>
      <c r="K11" s="68" t="s">
        <v>29</v>
      </c>
      <c r="L11" s="68" t="s">
        <v>14</v>
      </c>
      <c r="M11" s="68" t="s">
        <v>0</v>
      </c>
      <c r="N11" s="68" t="s">
        <v>9</v>
      </c>
      <c r="O11" s="69" t="s">
        <v>10</v>
      </c>
    </row>
    <row r="12" spans="1:16" ht="45.75" thickBot="1" x14ac:dyDescent="0.3">
      <c r="A12" s="154" t="s">
        <v>128</v>
      </c>
      <c r="B12" s="155" t="s">
        <v>130</v>
      </c>
      <c r="C12" s="152" t="s">
        <v>101</v>
      </c>
      <c r="D12" s="173">
        <v>2573033</v>
      </c>
      <c r="E12" s="160">
        <f>SUMIFS(Dologi_felhalm.!$I$3:$I$108,Dologi_felhalm.!$C$3:$C$108,$C12,Dologi_felhalm.!$J$3:$J$108,"Tény")</f>
        <v>0</v>
      </c>
      <c r="F12" s="160">
        <f t="shared" si="2"/>
        <v>2573033</v>
      </c>
      <c r="G12" s="160">
        <f>SUMIFS(Dologi_felhalm.!$I$3:$I$108,Dologi_felhalm.!$C$3:$C$108,$C12,Dologi_felhalm.!$J$3:$J$108,"Köt.váll")</f>
        <v>0</v>
      </c>
      <c r="H12" s="161">
        <f t="shared" si="3"/>
        <v>2573033</v>
      </c>
      <c r="I12" s="21"/>
      <c r="J12" s="181" t="str">
        <f>Admin!A9</f>
        <v>Szakmai megvalósítás</v>
      </c>
      <c r="K12" s="182">
        <f>SUM(D25)</f>
        <v>794425035</v>
      </c>
      <c r="L12" s="183">
        <f t="shared" ref="L12:O12" si="5">SUM(E25)</f>
        <v>100165556</v>
      </c>
      <c r="M12" s="182">
        <f t="shared" si="5"/>
        <v>694259479</v>
      </c>
      <c r="N12" s="182">
        <f t="shared" si="5"/>
        <v>53178185</v>
      </c>
      <c r="O12" s="184">
        <f t="shared" si="5"/>
        <v>641081294</v>
      </c>
    </row>
    <row r="13" spans="1:16" ht="48" thickBot="1" x14ac:dyDescent="0.3">
      <c r="A13" s="154" t="s">
        <v>128</v>
      </c>
      <c r="B13" s="155" t="s">
        <v>129</v>
      </c>
      <c r="C13" s="152" t="s">
        <v>102</v>
      </c>
      <c r="D13" s="173">
        <v>4514657</v>
      </c>
      <c r="E13" s="160">
        <f>SUMIFS(Dologi_felhalm.!$I$3:$I$108,Dologi_felhalm.!$C$3:$C$108,$C13,Dologi_felhalm.!$J$3:$J$108,"Tény")</f>
        <v>0</v>
      </c>
      <c r="F13" s="160">
        <f t="shared" si="2"/>
        <v>4514657</v>
      </c>
      <c r="G13" s="160">
        <f>SUMIFS(Dologi_felhalm.!$I$3:$I$108,Dologi_felhalm.!$C$3:$C$108,$C13,Dologi_felhalm.!$J$3:$J$108,"Köt.váll")</f>
        <v>0</v>
      </c>
      <c r="H13" s="161">
        <f t="shared" si="3"/>
        <v>4514657</v>
      </c>
      <c r="I13" s="21"/>
      <c r="J13" s="70" t="str">
        <f>Admin!A10</f>
        <v>Átalány költségek</v>
      </c>
      <c r="K13" s="71">
        <f>SUM(D36)</f>
        <v>75574965</v>
      </c>
      <c r="L13" s="180">
        <f>SUM(E36)</f>
        <v>10524272</v>
      </c>
      <c r="M13" s="71">
        <f t="shared" ref="M13:O13" si="6">SUM(F36)</f>
        <v>65050693</v>
      </c>
      <c r="N13" s="71">
        <f t="shared" si="6"/>
        <v>3197588</v>
      </c>
      <c r="O13" s="72">
        <f t="shared" si="6"/>
        <v>61853105</v>
      </c>
    </row>
    <row r="14" spans="1:16" ht="48" thickBot="1" x14ac:dyDescent="0.3">
      <c r="A14" s="154" t="s">
        <v>128</v>
      </c>
      <c r="B14" s="156" t="s">
        <v>129</v>
      </c>
      <c r="C14" s="153" t="s">
        <v>103</v>
      </c>
      <c r="D14" s="173">
        <v>47969957</v>
      </c>
      <c r="E14" s="160">
        <f>SUMIFS(Dologi_felhalm.!$I$3:$I$108,Dologi_felhalm.!$C$3:$C$108,$C14,Dologi_felhalm.!$J$3:$J$108,"Tény")</f>
        <v>0</v>
      </c>
      <c r="F14" s="160">
        <f t="shared" si="2"/>
        <v>47969957</v>
      </c>
      <c r="G14" s="160">
        <f>SUMIFS(Dologi_felhalm.!$I$3:$I$108,Dologi_felhalm.!$C$3:$C$108,$C14,Dologi_felhalm.!$J$3:$J$108,"Köt.váll")</f>
        <v>0</v>
      </c>
      <c r="H14" s="161">
        <f t="shared" si="3"/>
        <v>47969957</v>
      </c>
      <c r="I14" s="6"/>
      <c r="J14" s="65" t="s">
        <v>18</v>
      </c>
      <c r="K14" s="66">
        <f>SUM(K12:K13)</f>
        <v>870000000</v>
      </c>
      <c r="L14" s="388">
        <f t="shared" ref="L14:O14" si="7">SUM(L12:L13)</f>
        <v>110689828</v>
      </c>
      <c r="M14" s="114">
        <f t="shared" si="7"/>
        <v>759310172</v>
      </c>
      <c r="N14" s="388">
        <f t="shared" si="7"/>
        <v>56375773</v>
      </c>
      <c r="O14" s="389">
        <f t="shared" si="7"/>
        <v>702934399</v>
      </c>
    </row>
    <row r="15" spans="1:16" ht="47.25" x14ac:dyDescent="0.25">
      <c r="A15" s="154" t="s">
        <v>128</v>
      </c>
      <c r="B15" s="155" t="s">
        <v>129</v>
      </c>
      <c r="C15" s="152" t="s">
        <v>104</v>
      </c>
      <c r="D15" s="173">
        <v>24804751</v>
      </c>
      <c r="E15" s="160">
        <f>SUMIFS(Dologi_felhalm.!$I$3:$I$108,Dologi_felhalm.!$C$3:$C$108,$C15,Dologi_felhalm.!$J$3:$J$108,"Tény")</f>
        <v>0</v>
      </c>
      <c r="F15" s="160">
        <f t="shared" si="2"/>
        <v>24804751</v>
      </c>
      <c r="G15" s="160">
        <f>SUMIFS(Dologi_felhalm.!$I$3:$I$108,Dologi_felhalm.!$C$3:$C$108,$C15,Dologi_felhalm.!$J$3:$J$108,"Köt.váll")</f>
        <v>0</v>
      </c>
      <c r="H15" s="161">
        <f t="shared" si="3"/>
        <v>24804751</v>
      </c>
    </row>
    <row r="16" spans="1:16" ht="47.25" x14ac:dyDescent="0.25">
      <c r="A16" s="154" t="s">
        <v>128</v>
      </c>
      <c r="B16" s="155" t="s">
        <v>129</v>
      </c>
      <c r="C16" s="152" t="s">
        <v>105</v>
      </c>
      <c r="D16" s="173">
        <v>13329910</v>
      </c>
      <c r="E16" s="160">
        <f>SUMIFS(Dologi_felhalm.!$I$3:$I$108,Dologi_felhalm.!$C$3:$C$108,$C16,Dologi_felhalm.!$J$3:$J$108,"Tény")</f>
        <v>0</v>
      </c>
      <c r="F16" s="160">
        <f t="shared" si="2"/>
        <v>13329910</v>
      </c>
      <c r="G16" s="160">
        <f>SUMIFS(Dologi_felhalm.!$I$3:$I$108,Dologi_felhalm.!$C$3:$C$108,$C16,Dologi_felhalm.!$J$3:$J$108,"Köt.váll")</f>
        <v>0</v>
      </c>
      <c r="H16" s="161">
        <f t="shared" si="3"/>
        <v>13329910</v>
      </c>
      <c r="K16" s="207" t="s">
        <v>222</v>
      </c>
      <c r="L16" s="208">
        <v>44797</v>
      </c>
    </row>
    <row r="17" spans="1:13" ht="47.25" x14ac:dyDescent="0.25">
      <c r="A17" s="154" t="s">
        <v>128</v>
      </c>
      <c r="B17" s="155" t="s">
        <v>129</v>
      </c>
      <c r="C17" s="152" t="s">
        <v>106</v>
      </c>
      <c r="D17" s="173">
        <v>2725261</v>
      </c>
      <c r="E17" s="160">
        <f>SUMIFS(Dologi_felhalm.!$I$3:$I$108,Dologi_felhalm.!$C$3:$C$108,$C17,Dologi_felhalm.!$J$3:$J$108,"Tény")</f>
        <v>0</v>
      </c>
      <c r="F17" s="160">
        <f t="shared" si="2"/>
        <v>2725261</v>
      </c>
      <c r="G17" s="160">
        <f>SUMIFS(Dologi_felhalm.!$I$3:$I$108,Dologi_felhalm.!$C$3:$C$108,$C17,Dologi_felhalm.!$J$3:$J$108,"Köt.váll")</f>
        <v>0</v>
      </c>
      <c r="H17" s="161">
        <f t="shared" si="3"/>
        <v>2725261</v>
      </c>
      <c r="K17" s="207"/>
      <c r="L17" s="209">
        <v>870000000</v>
      </c>
    </row>
    <row r="18" spans="1:13" ht="47.25" x14ac:dyDescent="0.25">
      <c r="A18" s="154" t="s">
        <v>128</v>
      </c>
      <c r="B18" s="156" t="s">
        <v>129</v>
      </c>
      <c r="C18" s="153" t="s">
        <v>107</v>
      </c>
      <c r="D18" s="173">
        <v>9798721</v>
      </c>
      <c r="E18" s="160">
        <f>SUMIFS(Dologi_felhalm.!$I$3:$I$108,Dologi_felhalm.!$C$3:$C$108,$C18,Dologi_felhalm.!$J$3:$J$108,"Tény")</f>
        <v>0</v>
      </c>
      <c r="F18" s="160">
        <f t="shared" si="2"/>
        <v>9798721</v>
      </c>
      <c r="G18" s="160">
        <f>SUMIFS(Dologi_felhalm.!$I$3:$I$108,Dologi_felhalm.!$C$3:$C$108,$C18,Dologi_felhalm.!$J$3:$J$108,"Köt.váll")</f>
        <v>0</v>
      </c>
      <c r="H18" s="161">
        <f t="shared" si="3"/>
        <v>9798721</v>
      </c>
    </row>
    <row r="19" spans="1:13" ht="47.25" x14ac:dyDescent="0.25">
      <c r="A19" s="154" t="s">
        <v>128</v>
      </c>
      <c r="B19" s="155" t="s">
        <v>129</v>
      </c>
      <c r="C19" s="152" t="s">
        <v>108</v>
      </c>
      <c r="D19" s="173">
        <v>10541201</v>
      </c>
      <c r="E19" s="160">
        <f>SUMIFS(Dologi_felhalm.!$I$3:$I$108,Dologi_felhalm.!$C$3:$C$108,$C19,Dologi_felhalm.!$J$3:$J$108,"Tény")</f>
        <v>0</v>
      </c>
      <c r="F19" s="160">
        <f t="shared" si="2"/>
        <v>10541201</v>
      </c>
      <c r="G19" s="160">
        <f>SUMIFS(Dologi_felhalm.!$I$3:$I$108,Dologi_felhalm.!$C$3:$C$108,$C19,Dologi_felhalm.!$J$3:$J$108,"Köt.váll")</f>
        <v>0</v>
      </c>
      <c r="H19" s="161">
        <f t="shared" si="3"/>
        <v>10541201</v>
      </c>
      <c r="M19" s="37"/>
    </row>
    <row r="20" spans="1:13" ht="47.25" x14ac:dyDescent="0.25">
      <c r="A20" s="154" t="s">
        <v>128</v>
      </c>
      <c r="B20" s="155" t="s">
        <v>129</v>
      </c>
      <c r="C20" s="152" t="s">
        <v>109</v>
      </c>
      <c r="D20" s="173">
        <v>7636510</v>
      </c>
      <c r="E20" s="160">
        <f>SUMIFS(Dologi_felhalm.!$I$3:$I$108,Dologi_felhalm.!$C$3:$C$108,$C20,Dologi_felhalm.!$J$3:$J$108,"Tény")</f>
        <v>0</v>
      </c>
      <c r="F20" s="160">
        <f t="shared" si="2"/>
        <v>7636510</v>
      </c>
      <c r="G20" s="160">
        <f>SUMIFS(Dologi_felhalm.!$I$3:$I$108,Dologi_felhalm.!$C$3:$C$108,$C20,Dologi_felhalm.!$J$3:$J$108,"Köt.váll")</f>
        <v>0</v>
      </c>
      <c r="H20" s="161">
        <f t="shared" si="3"/>
        <v>7636510</v>
      </c>
    </row>
    <row r="21" spans="1:13" ht="47.25" x14ac:dyDescent="0.25">
      <c r="A21" s="154" t="s">
        <v>128</v>
      </c>
      <c r="B21" s="155" t="s">
        <v>129</v>
      </c>
      <c r="C21" s="152" t="s">
        <v>110</v>
      </c>
      <c r="D21" s="173">
        <v>16074009</v>
      </c>
      <c r="E21" s="160">
        <f>SUMIFS(Dologi_felhalm.!$I$3:$I$108,Dologi_felhalm.!$C$3:$C$108,$C21,Dologi_felhalm.!$J$3:$J$108,"Tény")</f>
        <v>0</v>
      </c>
      <c r="F21" s="160">
        <f t="shared" si="2"/>
        <v>16074009</v>
      </c>
      <c r="G21" s="160">
        <f>SUMIFS(Dologi_felhalm.!$I$3:$I$108,Dologi_felhalm.!$C$3:$C$108,$C21,Dologi_felhalm.!$J$3:$J$108,"Köt.váll")</f>
        <v>0</v>
      </c>
      <c r="H21" s="161">
        <f t="shared" si="3"/>
        <v>16074009</v>
      </c>
    </row>
    <row r="22" spans="1:13" ht="47.25" x14ac:dyDescent="0.25">
      <c r="A22" s="154" t="s">
        <v>128</v>
      </c>
      <c r="B22" s="156" t="s">
        <v>129</v>
      </c>
      <c r="C22" s="153" t="s">
        <v>111</v>
      </c>
      <c r="D22" s="173">
        <v>9889171</v>
      </c>
      <c r="E22" s="160">
        <f>SUMIFS(Dologi_felhalm.!$I$3:$I$108,Dologi_felhalm.!$C$3:$C$108,$C22,Dologi_felhalm.!$J$3:$J$108,"Tény")</f>
        <v>0</v>
      </c>
      <c r="F22" s="160">
        <f t="shared" si="2"/>
        <v>9889171</v>
      </c>
      <c r="G22" s="160">
        <f>SUMIFS(Dologi_felhalm.!$I$3:$I$108,Dologi_felhalm.!$C$3:$C$108,$C22,Dologi_felhalm.!$J$3:$J$108,"Köt.váll")</f>
        <v>0</v>
      </c>
      <c r="H22" s="161">
        <f t="shared" si="3"/>
        <v>9889171</v>
      </c>
    </row>
    <row r="23" spans="1:13" ht="47.25" x14ac:dyDescent="0.25">
      <c r="A23" s="154" t="s">
        <v>128</v>
      </c>
      <c r="B23" s="155" t="s">
        <v>129</v>
      </c>
      <c r="C23" s="152" t="s">
        <v>112</v>
      </c>
      <c r="D23" s="173">
        <v>19949592</v>
      </c>
      <c r="E23" s="160">
        <f>SUMIFS(Dologi_felhalm.!$I$3:$I$108,Dologi_felhalm.!$C$3:$C$108,$C23,Dologi_felhalm.!$J$3:$J$108,"Tény")</f>
        <v>4713873</v>
      </c>
      <c r="F23" s="160">
        <f t="shared" si="2"/>
        <v>15235719</v>
      </c>
      <c r="G23" s="160">
        <f>SUMIFS(Dologi_felhalm.!$I$3:$I$108,Dologi_felhalm.!$C$3:$C$108,$C23,Dologi_felhalm.!$J$3:$J$108,"Köt.váll")</f>
        <v>0</v>
      </c>
      <c r="H23" s="161">
        <f t="shared" si="3"/>
        <v>15235719</v>
      </c>
    </row>
    <row r="24" spans="1:13" ht="48" thickBot="1" x14ac:dyDescent="0.3">
      <c r="A24" s="157" t="s">
        <v>128</v>
      </c>
      <c r="B24" s="158" t="s">
        <v>129</v>
      </c>
      <c r="C24" s="159" t="s">
        <v>113</v>
      </c>
      <c r="D24" s="175">
        <v>1749676</v>
      </c>
      <c r="E24" s="162">
        <f>SUMIFS(Dologi_felhalm.!$I$3:$I$108,Dologi_felhalm.!$C$3:$C$108,$C24,Dologi_felhalm.!$J$3:$J$108,"Tény")</f>
        <v>0</v>
      </c>
      <c r="F24" s="162">
        <f t="shared" si="2"/>
        <v>1749676</v>
      </c>
      <c r="G24" s="162">
        <f>SUMIFS(Dologi_felhalm.!$I$3:$I$108,Dologi_felhalm.!$C$3:$C$108,$C24,Dologi_felhalm.!$J$3:$J$108,"Köt.váll")</f>
        <v>0</v>
      </c>
      <c r="H24" s="163">
        <f t="shared" si="3"/>
        <v>1749676</v>
      </c>
    </row>
    <row r="25" spans="1:13" ht="26.25" customHeight="1" thickBot="1" x14ac:dyDescent="0.3">
      <c r="A25" s="61"/>
      <c r="B25" s="62"/>
      <c r="C25" s="64" t="s">
        <v>18</v>
      </c>
      <c r="D25" s="63">
        <f>SUM(D3:D24)</f>
        <v>794425035</v>
      </c>
      <c r="E25" s="63">
        <f t="shared" ref="E25:H25" si="8">SUM(E3:E24)</f>
        <v>100165556</v>
      </c>
      <c r="F25" s="63">
        <f t="shared" si="8"/>
        <v>694259479</v>
      </c>
      <c r="G25" s="63">
        <f t="shared" si="8"/>
        <v>53178185</v>
      </c>
      <c r="H25" s="63">
        <f t="shared" si="8"/>
        <v>641081294</v>
      </c>
    </row>
    <row r="26" spans="1:13" ht="15.75" thickBot="1" x14ac:dyDescent="0.3"/>
    <row r="27" spans="1:13" ht="30.75" customHeight="1" thickBot="1" x14ac:dyDescent="0.3">
      <c r="A27" s="404" t="s">
        <v>133</v>
      </c>
      <c r="B27" s="405"/>
      <c r="C27" s="405"/>
      <c r="D27" s="405"/>
      <c r="E27" s="405"/>
      <c r="F27" s="405"/>
      <c r="G27" s="405"/>
      <c r="H27" s="406"/>
    </row>
    <row r="28" spans="1:13" ht="30.75" thickBot="1" x14ac:dyDescent="0.3">
      <c r="A28" s="187" t="s">
        <v>120</v>
      </c>
      <c r="B28" s="187" t="s">
        <v>6</v>
      </c>
      <c r="C28" s="187" t="s">
        <v>28</v>
      </c>
      <c r="D28" s="187" t="s">
        <v>29</v>
      </c>
      <c r="E28" s="187" t="s">
        <v>14</v>
      </c>
      <c r="F28" s="187" t="s">
        <v>0</v>
      </c>
      <c r="G28" s="187" t="s">
        <v>9</v>
      </c>
      <c r="H28" s="188" t="s">
        <v>10</v>
      </c>
    </row>
    <row r="29" spans="1:13" ht="30" x14ac:dyDescent="0.25">
      <c r="A29" s="164" t="s">
        <v>134</v>
      </c>
      <c r="B29" s="165" t="s">
        <v>135</v>
      </c>
      <c r="C29" s="165" t="s">
        <v>115</v>
      </c>
      <c r="D29" s="172">
        <v>571500</v>
      </c>
      <c r="E29" s="166">
        <f>SUMIFS(Dologi_felhalm.!$I$3:$I$108,Dologi_felhalm.!$C$3:$C$108,$C29,Dologi_felhalm.!$J$3:$J$108,"Tény")</f>
        <v>70708</v>
      </c>
      <c r="F29" s="166">
        <f t="shared" ref="F29" si="9">D29-E29</f>
        <v>500792</v>
      </c>
      <c r="G29" s="166">
        <f>SUMIFS(Dologi_felhalm.!$I$3:$I$108,Dologi_felhalm.!$C$3:$C$108,$C29,Dologi_felhalm.!$J$3:$J$108,"Köt.váll")</f>
        <v>0</v>
      </c>
      <c r="H29" s="167">
        <f t="shared" ref="H29:H35" si="10">F29-G29</f>
        <v>500792</v>
      </c>
    </row>
    <row r="30" spans="1:13" ht="30" x14ac:dyDescent="0.25">
      <c r="A30" s="150" t="s">
        <v>134</v>
      </c>
      <c r="B30" s="151" t="s">
        <v>135</v>
      </c>
      <c r="C30" s="151" t="s">
        <v>116</v>
      </c>
      <c r="D30" s="173">
        <v>190500</v>
      </c>
      <c r="E30" s="160">
        <f>SUMIFS(Dologi_felhalm.!$I$3:$I$108,Dologi_felhalm.!$C$3:$C$108,$C30,Dologi_felhalm.!$J$3:$J$108,"Tény")</f>
        <v>0</v>
      </c>
      <c r="F30" s="160">
        <f t="shared" ref="F30:F31" si="11">D30-E30</f>
        <v>190500</v>
      </c>
      <c r="G30" s="160">
        <f>SUMIFS(Dologi_felhalm.!$I$3:$I$108,Dologi_felhalm.!$C$3:$C$108,$C30,Dologi_felhalm.!$J$3:$J$108,"Köt.váll")</f>
        <v>0</v>
      </c>
      <c r="H30" s="161">
        <f t="shared" si="10"/>
        <v>190500</v>
      </c>
    </row>
    <row r="31" spans="1:13" ht="75" x14ac:dyDescent="0.25">
      <c r="A31" s="150" t="s">
        <v>125</v>
      </c>
      <c r="B31" s="151" t="s">
        <v>117</v>
      </c>
      <c r="C31" s="151" t="s">
        <v>117</v>
      </c>
      <c r="D31" s="173">
        <v>1419225</v>
      </c>
      <c r="E31" s="160">
        <f>SUMIFS(Dologi_felhalm.!$I$3:$I$108,Dologi_felhalm.!$C$3:$C$108,$C31,Dologi_felhalm.!$J$3:$J$108,"Tény")</f>
        <v>81865</v>
      </c>
      <c r="F31" s="160">
        <f t="shared" si="11"/>
        <v>1337360</v>
      </c>
      <c r="G31" s="160">
        <f>SUMIFS(Dologi_felhalm.!$I$3:$I$108,Dologi_felhalm.!$C$3:$C$108,$C31,Dologi_felhalm.!$J$3:$J$108,"Köt.váll")</f>
        <v>0</v>
      </c>
      <c r="H31" s="161">
        <f t="shared" si="10"/>
        <v>1337360</v>
      </c>
    </row>
    <row r="32" spans="1:13" ht="45" x14ac:dyDescent="0.25">
      <c r="A32" s="145" t="s">
        <v>136</v>
      </c>
      <c r="B32" s="146" t="s">
        <v>137</v>
      </c>
      <c r="C32" s="146" t="s">
        <v>142</v>
      </c>
      <c r="D32" s="174">
        <v>39748000</v>
      </c>
      <c r="E32" s="170">
        <f>SUMIFS(Bérköltség!$Y$9:$Y$442,Bérköltség!$AH$9:$AH$442,$C32,Bérköltség!$AK$9:$AK$442,"Tény")+SUMIFS(Bérköltség!$Z$9:$Z$442,Bérköltség!$AH$9:$AH$442,$C32,Bérköltség!$AK$9:$AK$442,"Tény")</f>
        <v>8797661</v>
      </c>
      <c r="F32" s="170">
        <f>D32-E32</f>
        <v>30950339</v>
      </c>
      <c r="G32" s="170">
        <f>SUMIFS(Bérköltség!$Y$9:$Y$442,Bérköltség!$AH$9:$AH$442,$C32,Bérköltség!$AK$9:$AK$442,"Köt.váll")+SUMIFS(Bérköltség!$Z$9:$Z$442,Bérköltség!$AH$9:$AH$442,$C32,Bérköltség!$AK$9:$AK$442,"Köt.váll")</f>
        <v>2473942</v>
      </c>
      <c r="H32" s="171">
        <f t="shared" si="10"/>
        <v>28476397</v>
      </c>
    </row>
    <row r="33" spans="1:8" ht="45" x14ac:dyDescent="0.25">
      <c r="A33" s="150" t="s">
        <v>136</v>
      </c>
      <c r="B33" s="151" t="s">
        <v>138</v>
      </c>
      <c r="C33" s="151" t="s">
        <v>251</v>
      </c>
      <c r="D33" s="387">
        <v>755778</v>
      </c>
      <c r="E33" s="160">
        <f>SUMIFS(Dologi_felhalm.!$I$3:$I$108,Dologi_felhalm.!$C$3:$C$108,$C33,Dologi_felhalm.!$J$3:$J$108,"Tény")</f>
        <v>30076</v>
      </c>
      <c r="F33" s="160">
        <f t="shared" ref="F33:F35" si="12">D33-E33</f>
        <v>725702</v>
      </c>
      <c r="G33" s="160">
        <f>SUMIFS(Dologi_felhalm.!$I$3:$I$108,Dologi_felhalm.!$C$3:$C$108,$C33,Dologi_felhalm.!$J$3:$J$108,"Köt.váll")</f>
        <v>0</v>
      </c>
      <c r="H33" s="161">
        <f t="shared" si="10"/>
        <v>725702</v>
      </c>
    </row>
    <row r="34" spans="1:8" ht="75" x14ac:dyDescent="0.25">
      <c r="A34" s="150" t="s">
        <v>139</v>
      </c>
      <c r="B34" s="151" t="s">
        <v>140</v>
      </c>
      <c r="C34" s="151" t="s">
        <v>118</v>
      </c>
      <c r="D34" s="173">
        <f>7277100+5000000</f>
        <v>12277100</v>
      </c>
      <c r="E34" s="160">
        <f>SUMIFS(Dologi_felhalm.!$I$3:$I$108,Dologi_felhalm.!$C$3:$C$108,$C34,Dologi_felhalm.!$J$3:$J$108,"Tény")</f>
        <v>1543962</v>
      </c>
      <c r="F34" s="160">
        <f t="shared" si="12"/>
        <v>10733138</v>
      </c>
      <c r="G34" s="160">
        <f>SUMIFS(Dologi_felhalm.!$I$3:$I$108,Dologi_felhalm.!$C$3:$C$108,$C34,Dologi_felhalm.!$J$3:$J$108,"Köt.váll")</f>
        <v>723646</v>
      </c>
      <c r="H34" s="161">
        <f t="shared" si="10"/>
        <v>10009492</v>
      </c>
    </row>
    <row r="35" spans="1:8" ht="75.75" thickBot="1" x14ac:dyDescent="0.3">
      <c r="A35" s="168" t="s">
        <v>139</v>
      </c>
      <c r="B35" s="169" t="s">
        <v>140</v>
      </c>
      <c r="C35" s="169" t="s">
        <v>119</v>
      </c>
      <c r="D35" s="175">
        <v>20612862</v>
      </c>
      <c r="E35" s="162">
        <f>SUMIFS(Dologi_felhalm.!$I$3:$I$108,Dologi_felhalm.!$C$3:$C$108,$C35,Dologi_felhalm.!$J$3:$J$108,"Tény")</f>
        <v>0</v>
      </c>
      <c r="F35" s="162">
        <f t="shared" si="12"/>
        <v>20612862</v>
      </c>
      <c r="G35" s="162">
        <f>SUMIFS(Dologi_felhalm.!$I$3:$I$108,Dologi_felhalm.!$C$3:$C$108,$C35,Dologi_felhalm.!$J$3:$J$108,"Köt.váll")</f>
        <v>0</v>
      </c>
      <c r="H35" s="163">
        <f t="shared" si="10"/>
        <v>20612862</v>
      </c>
    </row>
    <row r="36" spans="1:8" ht="31.5" customHeight="1" thickBot="1" x14ac:dyDescent="0.3">
      <c r="C36" s="64" t="s">
        <v>18</v>
      </c>
      <c r="D36" s="63">
        <f>SUM(D29:D35)</f>
        <v>75574965</v>
      </c>
      <c r="E36" s="63">
        <f>SUM(E29:E35)</f>
        <v>10524272</v>
      </c>
      <c r="F36" s="63">
        <f>SUM(F29:F35)</f>
        <v>65050693</v>
      </c>
      <c r="G36" s="63">
        <f>SUM(G29:G35)</f>
        <v>3197588</v>
      </c>
      <c r="H36" s="63">
        <f>SUM(H29:H35)</f>
        <v>61853105</v>
      </c>
    </row>
    <row r="39" spans="1:8" x14ac:dyDescent="0.25">
      <c r="C39" t="s">
        <v>2733</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2D35695C-3DC0-4957-BF56-28D5993A5235}"/>
    </customSheetView>
  </customSheetViews>
  <mergeCells count="5">
    <mergeCell ref="A1:H1"/>
    <mergeCell ref="A27:H27"/>
    <mergeCell ref="J1:P1"/>
    <mergeCell ref="J8:K8"/>
    <mergeCell ref="J10:O10"/>
  </mergeCells>
  <phoneticPr fontId="5" type="noConversion"/>
  <conditionalFormatting sqref="H3:H25 H29:H36">
    <cfRule type="cellIs" dxfId="14" priority="3" operator="lessThan">
      <formula>0</formula>
    </cfRule>
  </conditionalFormatting>
  <conditionalFormatting sqref="O12:O14">
    <cfRule type="cellIs" dxfId="13" priority="1" operator="lessThan">
      <formula>0</formula>
    </cfRule>
  </conditionalFormatting>
  <conditionalFormatting sqref="P3:P8">
    <cfRule type="cellIs" dxfId="1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filterMode="1"/>
  <dimension ref="A1:BK482"/>
  <sheetViews>
    <sheetView tabSelected="1" topLeftCell="Y1" zoomScale="85" zoomScaleNormal="85" workbookViewId="0">
      <pane ySplit="8" topLeftCell="A11" activePane="bottomLeft" state="frozen"/>
      <selection pane="bottomLeft" activeCell="AB112" sqref="AB112"/>
    </sheetView>
  </sheetViews>
  <sheetFormatPr defaultRowHeight="15" outlineLevelRow="1" outlineLevelCol="1" x14ac:dyDescent="0.25"/>
  <cols>
    <col min="1" max="1" width="31.7109375" hidden="1" customWidth="1" outlineLevel="1"/>
    <col min="2" max="2" width="22.140625" hidden="1" customWidth="1" outlineLevel="1"/>
    <col min="3" max="3" width="31.140625" style="6" hidden="1" customWidth="1" outlineLevel="1"/>
    <col min="4" max="4" width="28.28515625" style="252" hidden="1" customWidth="1" outlineLevel="1"/>
    <col min="5" max="5" width="18.28515625" style="6" hidden="1" customWidth="1" outlineLevel="1"/>
    <col min="6" max="6" width="31.7109375" style="6" hidden="1" customWidth="1" outlineLevel="1"/>
    <col min="7" max="7" width="27.7109375" style="6" hidden="1" customWidth="1" outlineLevel="1"/>
    <col min="8" max="8" width="14.7109375" style="6" hidden="1" customWidth="1" outlineLevel="1"/>
    <col min="9" max="9" width="11.28515625" style="6" hidden="1" customWidth="1" outlineLevel="1"/>
    <col min="10" max="10" width="16.5703125" style="6" hidden="1" customWidth="1" outlineLevel="1"/>
    <col min="11" max="11" width="53.7109375" style="6" hidden="1" customWidth="1" outlineLevel="1"/>
    <col min="12" max="12" width="37.7109375" style="6" hidden="1" customWidth="1" outlineLevel="1"/>
    <col min="13" max="14" width="31.7109375" style="6" hidden="1" customWidth="1" outlineLevel="1"/>
    <col min="15" max="15" width="29.28515625" style="6" hidden="1" customWidth="1" outlineLevel="1"/>
    <col min="16" max="16" width="30.42578125" style="6" hidden="1" customWidth="1" outlineLevel="1"/>
    <col min="17" max="17" width="18.28515625" style="6" hidden="1" customWidth="1" outlineLevel="1"/>
    <col min="18" max="18" width="17.7109375" style="6" hidden="1" customWidth="1" outlineLevel="1"/>
    <col min="19" max="19" width="26" style="6" hidden="1" customWidth="1" outlineLevel="1"/>
    <col min="20" max="20" width="25.140625" style="6" hidden="1" customWidth="1" outlineLevel="1"/>
    <col min="21" max="21" width="28.85546875" style="6" hidden="1" customWidth="1" outlineLevel="1"/>
    <col min="22" max="22" width="21.5703125" style="6" hidden="1" customWidth="1" outlineLevel="1"/>
    <col min="23" max="24" width="37.5703125" style="6" hidden="1" customWidth="1" outlineLevel="1"/>
    <col min="25" max="25" width="24.85546875" style="6" customWidth="1" collapsed="1"/>
    <col min="26" max="26" width="24.85546875" style="6" customWidth="1"/>
    <col min="27" max="27" width="13.5703125" customWidth="1"/>
    <col min="28" max="28" width="16.140625" style="120" customWidth="1"/>
    <col min="29" max="29" width="29.140625" customWidth="1"/>
    <col min="30" max="30" width="23.140625" style="6" customWidth="1"/>
    <col min="31" max="31" width="25.85546875" customWidth="1"/>
    <col min="32" max="32" width="15" customWidth="1"/>
    <col min="33" max="33" width="17.5703125" customWidth="1"/>
    <col min="34" max="34" width="39.85546875" customWidth="1"/>
    <col min="35" max="35" width="14.5703125" style="6" customWidth="1"/>
    <col min="36" max="36" width="15.85546875" style="6" customWidth="1"/>
    <col min="37" max="37" width="11.140625" customWidth="1"/>
    <col min="38" max="38" width="14.42578125" customWidth="1"/>
    <col min="39" max="39" width="14.7109375" style="134" customWidth="1"/>
    <col min="40" max="40" width="14.42578125" style="134" bestFit="1" customWidth="1"/>
    <col min="41" max="41" width="11.140625" style="7" customWidth="1"/>
    <col min="42" max="42" width="11" style="119" customWidth="1"/>
    <col min="43" max="43" width="18.28515625" style="119" bestFit="1" customWidth="1"/>
    <col min="44" max="44" width="13.85546875" style="119" customWidth="1"/>
    <col min="45" max="45" width="14.5703125" style="119" customWidth="1"/>
    <col min="46" max="46" width="16.42578125" style="125" customWidth="1"/>
    <col min="47" max="47" width="10.5703125" style="120" customWidth="1"/>
    <col min="48" max="48" width="16.140625" style="120" customWidth="1"/>
    <col min="49" max="49" width="16.42578125" style="6" customWidth="1"/>
    <col min="50" max="50" width="12.85546875" style="6" customWidth="1"/>
    <col min="51" max="51" width="9.140625" customWidth="1"/>
    <col min="52" max="54" width="10.28515625" bestFit="1" customWidth="1"/>
    <col min="55" max="55" width="30.140625" style="6" customWidth="1"/>
    <col min="56" max="56" width="27.7109375" style="6" customWidth="1"/>
    <col min="57" max="63" width="8.85546875"/>
  </cols>
  <sheetData>
    <row r="1" spans="1:56" ht="15.75" thickBot="1" x14ac:dyDescent="0.3">
      <c r="Y1" s="6" t="s">
        <v>15</v>
      </c>
      <c r="Z1" s="6" t="s">
        <v>2629</v>
      </c>
      <c r="AB1" s="120" t="s">
        <v>2632</v>
      </c>
      <c r="AC1" t="s">
        <v>2631</v>
      </c>
      <c r="AF1" t="s">
        <v>2860</v>
      </c>
      <c r="AG1" t="s">
        <v>2633</v>
      </c>
      <c r="AI1" s="6" t="s">
        <v>2859</v>
      </c>
      <c r="AY1" t="s">
        <v>2870</v>
      </c>
    </row>
    <row r="2" spans="1:56" ht="16.5" thickBot="1" x14ac:dyDescent="0.3">
      <c r="A2" s="412" t="s">
        <v>2568</v>
      </c>
      <c r="B2" s="413"/>
      <c r="F2" s="251"/>
      <c r="L2" s="252"/>
      <c r="M2" s="252"/>
      <c r="N2" s="252"/>
      <c r="O2" s="252"/>
      <c r="P2" s="252"/>
      <c r="Q2" s="252"/>
      <c r="R2" s="253"/>
      <c r="S2" s="252"/>
      <c r="T2" s="252"/>
      <c r="X2" s="373"/>
      <c r="Y2" s="374" t="s">
        <v>2714</v>
      </c>
      <c r="Z2" s="375" t="s">
        <v>2715</v>
      </c>
      <c r="AA2" s="376" t="s">
        <v>2716</v>
      </c>
    </row>
    <row r="3" spans="1:56" ht="19.5" thickBot="1" x14ac:dyDescent="0.35">
      <c r="A3" s="254" t="s">
        <v>2569</v>
      </c>
      <c r="B3" s="255">
        <f>SUMIFS(U:U,A:A,Admin!$B$17)</f>
        <v>2016947.8324137933</v>
      </c>
      <c r="F3" s="251"/>
      <c r="L3" s="252"/>
      <c r="M3" s="252"/>
      <c r="N3" s="252"/>
      <c r="O3" s="252"/>
      <c r="P3" s="252"/>
      <c r="Q3" s="252"/>
      <c r="R3" s="253"/>
      <c r="S3" s="252"/>
      <c r="T3" s="252"/>
      <c r="X3" s="377" t="s">
        <v>2717</v>
      </c>
      <c r="Y3" s="378">
        <f>IFERROR(SUMIF($AF:$AF,Admin!$A$2,$AR:$AR)+SUMIF($AF:$AF,Admin!$A$2,$AS:$AS)+
SUMIF($AF:$AF,Admin!$A$3,$AR:$AR)+SUMIF($AF:$AF,Admin!$A$3,$AS:$AS)+
SUMIF($AF:$AF,Admin!$A$4,$AR:$AR)+SUMIF($AF:$AF,Admin!$A$4,$AS:$AS),"")</f>
        <v>89007437</v>
      </c>
      <c r="Z3" s="378">
        <f>IFERROR(SUMIF($AF:$AF,Admin!$A$2,$Y:$Y)+SUMIF($AF:$AF,Admin!$A$2,$Z:$Z)+
SUMIF($AF:$AF,Admin!$A$3,$Y:$Y)+SUMIF($AF:$AF,Admin!$A$3,$Z:$Z)+
SUMIF($AF:$AF,Admin!$A$4,$Y:$Y)+SUMIF($AF:$AF,Admin!$A$4,$Z:$Z),"")</f>
        <v>87308896</v>
      </c>
      <c r="AA3" s="379">
        <f>IFERROR(SUMIF($AF:$AF,Admin!$A$2,$X:$X)+
SUMIF($AF:$AF,Admin!$A$3,$X:$X)+
SUMIF($AF:$AF,Admin!$A$4,$X:$X),"")</f>
        <v>1698545.4139655177</v>
      </c>
    </row>
    <row r="4" spans="1:56" ht="19.5" thickBot="1" x14ac:dyDescent="0.35">
      <c r="A4" s="281" t="s">
        <v>2570</v>
      </c>
      <c r="B4" s="282">
        <f>SUMIFS(F:F,A:A,Admin!$B$18)</f>
        <v>0</v>
      </c>
      <c r="F4" s="251"/>
      <c r="L4" s="252"/>
      <c r="M4" s="252"/>
      <c r="N4" s="252"/>
      <c r="O4" s="252"/>
      <c r="P4" s="252"/>
      <c r="Q4" s="252"/>
      <c r="R4" s="253"/>
      <c r="S4" s="252"/>
      <c r="T4" s="252"/>
      <c r="X4" s="380" t="s">
        <v>2718</v>
      </c>
      <c r="Y4" s="381">
        <f>IFERROR(SUMIF($AF:$AF,Admin!$A$5,$AR:$AR)+SUMIF($AF:$AF,Admin!$A$5,$AS:$AS),"")</f>
        <v>54063223</v>
      </c>
      <c r="Z4" s="381">
        <f>IFERROR(SUMIF($AF:$AF,Admin!$A$5,$Y:$Y)+SUMIF($AF:$AF,Admin!$A$5,$Z:$Z),"")</f>
        <v>49226860</v>
      </c>
      <c r="AA4" s="382">
        <f>IFERROR(SUMIF($AF:$AF,Admin!$A$5,$X:$X),"")</f>
        <v>318402.418448276</v>
      </c>
    </row>
    <row r="5" spans="1:56" ht="49.5" customHeight="1" thickBot="1" x14ac:dyDescent="0.3">
      <c r="A5" s="293" t="s">
        <v>2592</v>
      </c>
      <c r="B5" s="283">
        <f>(B3+B4)/(AR7+AS7)</f>
        <v>1.3068020341348716E-2</v>
      </c>
      <c r="F5" s="251"/>
      <c r="L5" s="252"/>
      <c r="M5" s="252"/>
      <c r="N5" s="252"/>
      <c r="O5" s="252"/>
      <c r="P5" s="252"/>
      <c r="Q5" s="252"/>
      <c r="R5" s="253"/>
      <c r="S5" s="252"/>
      <c r="T5" s="252"/>
      <c r="X5" s="383" t="s">
        <v>2719</v>
      </c>
      <c r="Y5" s="384">
        <f>IFERROR(SUMIF($AF:$AF,Admin!$A$6,$AR:$AR)+SUMIF($AF:$AF,Admin!$A$6,$AS:$AS),"")</f>
        <v>11271603</v>
      </c>
      <c r="Z5" s="384">
        <f>IFERROR(SUMIF($AF:$AF,Admin!$A$6,$Y:$Y)+SUMIF($AF:$AF,Admin!$A$6,$Z:$Z),"")</f>
        <v>11271603</v>
      </c>
      <c r="AA5" s="385">
        <f>IFERROR(SUMIF($AF:$AF,Admin!$A$6,$X:$X),"")</f>
        <v>0</v>
      </c>
      <c r="AU5" s="386" t="s">
        <v>2725</v>
      </c>
      <c r="AZ5" s="8" t="e">
        <f>IF(VLOOKUP(LEFT($AB5,10),'Havi béradatok'!$B:$E,2,FALSE)=AG5,"EGYEZIK","HIBÁS")</f>
        <v>#N/A</v>
      </c>
      <c r="BA5" s="324" t="e">
        <f>VLOOKUP(LEFT($AB5,10),'Havi béradatok'!$B:$E,3,FALSE)-AM5</f>
        <v>#N/A</v>
      </c>
      <c r="BB5" s="325" t="e">
        <f>VLOOKUP(LEFT($AB5,10),'Havi béradatok'!$B:$E,4,FALSE)-AN5</f>
        <v>#N/A</v>
      </c>
    </row>
    <row r="6" spans="1:56" ht="14.25" customHeight="1" thickBot="1" x14ac:dyDescent="0.3">
      <c r="A6" s="6"/>
      <c r="B6" s="6"/>
      <c r="F6" s="251"/>
      <c r="L6" s="252"/>
      <c r="M6" s="252"/>
      <c r="N6" s="252"/>
      <c r="O6" s="252"/>
      <c r="P6" s="252"/>
      <c r="Q6" s="252"/>
      <c r="R6" s="253"/>
      <c r="S6" s="252"/>
      <c r="T6" s="252"/>
      <c r="AU6" s="393" t="e">
        <f>AN6/AM6</f>
        <v>#DIV/0!</v>
      </c>
      <c r="AZ6" s="321"/>
      <c r="BA6" s="321"/>
      <c r="BB6" s="321"/>
    </row>
    <row r="7" spans="1:56" ht="16.5" thickBot="1" x14ac:dyDescent="0.3">
      <c r="A7" s="256"/>
      <c r="B7" s="256"/>
      <c r="C7" s="414" t="str">
        <f>[2]Admin!B18</f>
        <v>HISTORIKUS</v>
      </c>
      <c r="D7" s="415"/>
      <c r="E7" s="415"/>
      <c r="F7" s="415"/>
      <c r="G7" s="416"/>
      <c r="H7" s="417" t="str">
        <f>[2]Admin!B17</f>
        <v>FEOR</v>
      </c>
      <c r="I7" s="418"/>
      <c r="J7" s="418"/>
      <c r="K7" s="418"/>
      <c r="L7" s="418"/>
      <c r="M7" s="418"/>
      <c r="N7" s="418"/>
      <c r="O7" s="418"/>
      <c r="P7" s="418"/>
      <c r="Q7" s="418"/>
      <c r="R7" s="418"/>
      <c r="S7" s="418"/>
      <c r="T7" s="418"/>
      <c r="U7" s="418"/>
      <c r="V7" s="418"/>
      <c r="W7" s="419"/>
      <c r="X7" s="369"/>
      <c r="Y7" s="315" t="s">
        <v>2593</v>
      </c>
      <c r="Z7" s="315" t="s">
        <v>2593</v>
      </c>
      <c r="AA7" s="420" t="s">
        <v>1</v>
      </c>
      <c r="AB7" s="421"/>
      <c r="AC7" s="421"/>
      <c r="AD7" s="421"/>
      <c r="AE7" s="421"/>
      <c r="AF7" s="421"/>
      <c r="AG7" s="421"/>
      <c r="AH7" s="421"/>
      <c r="AI7" s="421"/>
      <c r="AJ7" s="421"/>
      <c r="AK7" s="421"/>
      <c r="AL7" s="421"/>
      <c r="AM7" s="421"/>
      <c r="AN7" s="421"/>
      <c r="AO7" s="421"/>
      <c r="AP7" s="421"/>
      <c r="AQ7" s="422"/>
      <c r="AR7" s="277">
        <f>SUM(AR9:AR442)</f>
        <v>137936725</v>
      </c>
      <c r="AS7" s="277">
        <f>SUM(AS9:AS442)</f>
        <v>16405538</v>
      </c>
      <c r="AZ7" s="322" t="s">
        <v>5</v>
      </c>
      <c r="BA7" s="322" t="s">
        <v>15</v>
      </c>
      <c r="BB7" s="322" t="s">
        <v>2629</v>
      </c>
    </row>
    <row r="8" spans="1:56" s="8" customFormat="1" ht="71.25" customHeight="1" thickBot="1" x14ac:dyDescent="0.3">
      <c r="A8" s="257" t="s">
        <v>2571</v>
      </c>
      <c r="B8" s="258" t="s">
        <v>2572</v>
      </c>
      <c r="C8" s="259" t="s">
        <v>2573</v>
      </c>
      <c r="D8" s="278" t="s">
        <v>2574</v>
      </c>
      <c r="E8" s="259" t="s">
        <v>2575</v>
      </c>
      <c r="F8" s="260" t="s">
        <v>2576</v>
      </c>
      <c r="G8" s="259" t="s">
        <v>2577</v>
      </c>
      <c r="H8" s="261" t="s">
        <v>2578</v>
      </c>
      <c r="I8" s="261" t="s">
        <v>2579</v>
      </c>
      <c r="J8" s="261" t="s">
        <v>2580</v>
      </c>
      <c r="K8" s="261" t="s">
        <v>2581</v>
      </c>
      <c r="L8" s="262" t="s">
        <v>2582</v>
      </c>
      <c r="M8" s="262" t="s">
        <v>71</v>
      </c>
      <c r="N8" s="262" t="s">
        <v>2594</v>
      </c>
      <c r="O8" s="262" t="s">
        <v>2583</v>
      </c>
      <c r="P8" s="262" t="s">
        <v>2584</v>
      </c>
      <c r="Q8" s="262" t="s">
        <v>2585</v>
      </c>
      <c r="R8" s="263" t="s">
        <v>2586</v>
      </c>
      <c r="S8" s="262" t="s">
        <v>2587</v>
      </c>
      <c r="T8" s="262" t="s">
        <v>2588</v>
      </c>
      <c r="U8" s="262" t="s">
        <v>2589</v>
      </c>
      <c r="V8" s="262" t="s">
        <v>2590</v>
      </c>
      <c r="W8" s="261" t="s">
        <v>2591</v>
      </c>
      <c r="X8" s="370" t="s">
        <v>2713</v>
      </c>
      <c r="Y8" s="316" t="s">
        <v>2595</v>
      </c>
      <c r="Z8" s="316" t="s">
        <v>2596</v>
      </c>
      <c r="AA8" s="306" t="s">
        <v>67</v>
      </c>
      <c r="AB8" s="307" t="s">
        <v>165</v>
      </c>
      <c r="AC8" s="308" t="s">
        <v>162</v>
      </c>
      <c r="AD8" s="46" t="s">
        <v>74</v>
      </c>
      <c r="AE8" s="309" t="s">
        <v>88</v>
      </c>
      <c r="AF8" s="310" t="s">
        <v>163</v>
      </c>
      <c r="AG8" s="310" t="s">
        <v>164</v>
      </c>
      <c r="AH8" s="310" t="s">
        <v>161</v>
      </c>
      <c r="AI8" s="310" t="s">
        <v>90</v>
      </c>
      <c r="AJ8" s="310" t="s">
        <v>149</v>
      </c>
      <c r="AK8" s="310" t="s">
        <v>91</v>
      </c>
      <c r="AL8" s="310" t="s">
        <v>92</v>
      </c>
      <c r="AM8" s="288" t="s">
        <v>71</v>
      </c>
      <c r="AN8" s="311" t="s">
        <v>72</v>
      </c>
      <c r="AO8" s="310" t="s">
        <v>93</v>
      </c>
      <c r="AP8" s="310" t="s">
        <v>94</v>
      </c>
      <c r="AQ8" s="310" t="s">
        <v>57</v>
      </c>
      <c r="AR8" s="310" t="s">
        <v>2741</v>
      </c>
      <c r="AS8" s="312" t="s">
        <v>2742</v>
      </c>
      <c r="AT8" s="291" t="s">
        <v>2563</v>
      </c>
      <c r="AU8" s="292" t="s">
        <v>2564</v>
      </c>
      <c r="AV8" s="287" t="s">
        <v>2565</v>
      </c>
      <c r="AW8" s="288" t="s">
        <v>2567</v>
      </c>
      <c r="AX8" s="289" t="s">
        <v>2566</v>
      </c>
      <c r="AZ8" s="323" t="s">
        <v>2630</v>
      </c>
      <c r="BA8" s="323" t="s">
        <v>2630</v>
      </c>
      <c r="BB8" s="323" t="s">
        <v>2630</v>
      </c>
      <c r="BC8" s="396" t="s">
        <v>2805</v>
      </c>
      <c r="BD8" s="397" t="s">
        <v>2806</v>
      </c>
    </row>
    <row r="9" spans="1:56" s="1" customFormat="1" hidden="1" x14ac:dyDescent="0.25">
      <c r="A9" s="264"/>
      <c r="B9" s="264"/>
      <c r="C9" s="265"/>
      <c r="D9" s="279"/>
      <c r="E9" s="265"/>
      <c r="F9" s="266"/>
      <c r="G9" s="267"/>
      <c r="H9" s="268"/>
      <c r="I9" s="269"/>
      <c r="J9" s="276"/>
      <c r="K9" s="269"/>
      <c r="L9" s="270"/>
      <c r="M9" s="270"/>
      <c r="N9" s="318"/>
      <c r="O9" s="270"/>
      <c r="P9" s="270"/>
      <c r="Q9" s="270"/>
      <c r="R9" s="275"/>
      <c r="S9" s="270"/>
      <c r="T9" s="270"/>
      <c r="U9" s="271"/>
      <c r="V9" s="272"/>
      <c r="W9" s="273"/>
      <c r="X9" s="371"/>
      <c r="Y9" s="317"/>
      <c r="Z9" s="317"/>
      <c r="AA9" s="294"/>
      <c r="AB9" s="295"/>
      <c r="AC9" s="296"/>
      <c r="AD9" s="297" t="s">
        <v>75</v>
      </c>
      <c r="AE9" s="298"/>
      <c r="AF9" s="299"/>
      <c r="AG9" s="299"/>
      <c r="AH9" s="300"/>
      <c r="AI9" s="301"/>
      <c r="AJ9" s="113" t="str">
        <f>IF(COUNTIFS(Admin!$A$29:$A$40,AI9)&gt;0,Admin!$A$28,IF(COUNTIFS(Admin!$B$29:$B$40,AI9)&gt;0,Admin!$B$28,IF(COUNTIFS(Admin!$C$29:$C$40,AI9)&gt;0,Admin!$C$28,IF(COUNTIFS(Admin!$D$29:$D$40,AI9)&gt;0,Admin!$D$28,"-"))))</f>
        <v>-</v>
      </c>
      <c r="AK9" s="300"/>
      <c r="AL9" s="302"/>
      <c r="AM9" s="303"/>
      <c r="AN9" s="304">
        <f t="shared" ref="AN9" si="0">IFERROR(ROUND(AM9*AU9,0),"")</f>
        <v>0</v>
      </c>
      <c r="AO9" s="305"/>
      <c r="AP9" s="305"/>
      <c r="AQ9" s="186" t="str">
        <f t="shared" ref="AQ9:AQ12" si="1">IFERROR(AP9/AO9,"")</f>
        <v/>
      </c>
      <c r="AR9" s="133" t="str">
        <f t="shared" ref="AR9:AR12" si="2">IFERROR(ROUND(AM9*AP9/AO9,0),"")</f>
        <v/>
      </c>
      <c r="AS9" s="133" t="str">
        <f t="shared" ref="AS9:AS12" si="3">IFERROR(ROUND(AR9*AU9,0),"")</f>
        <v/>
      </c>
      <c r="AT9" s="123" t="str">
        <f t="shared" ref="AT9:AT17" si="4">IFERROR(AP9/AO9-AR9/AM9,"")</f>
        <v/>
      </c>
      <c r="AU9" s="290">
        <v>0.13</v>
      </c>
      <c r="AV9" s="284"/>
      <c r="AW9" s="285"/>
      <c r="AX9" s="286"/>
    </row>
    <row r="10" spans="1:56" s="1" customFormat="1" hidden="1" x14ac:dyDescent="0.25">
      <c r="A10" s="264" t="str">
        <f>Bérköltség!$B10</f>
        <v>FEOR</v>
      </c>
      <c r="B10" s="264" t="str">
        <f>IFERROR(
IF(AND(Bérköltség!$F10="",H10="NA"),"HIÁNYOS ADATOK",
IF(Bérköltség!$F10&lt;Bérköltség!$U10,Admin!$B$18,Admin!$B$17)),
"")</f>
        <v>FEOR</v>
      </c>
      <c r="C10" s="265">
        <f>IFERROR(INDEX('Historikus berek_2021-2'!$A$1:$F$903,MATCH(AB10,'Historikus berek_2021-2'!$A$1:$A$903,0),4),"")</f>
        <v>423533.33333333331</v>
      </c>
      <c r="D10" s="279">
        <f t="shared" ref="D10" si="5">IFERROR(C10*AQ10,"")</f>
        <v>38945.593869731798</v>
      </c>
      <c r="E10" s="265">
        <f t="shared" ref="E10" si="6">AR10</f>
        <v>48929</v>
      </c>
      <c r="F10" s="266">
        <f t="shared" ref="F10" si="7">IFERROR(IF((E10*(1+AU10)-D10*(1+AU10))&lt;0,0,(E10*(1+AU10)-D10*(1+AU10))),"")</f>
        <v>11281.248927203073</v>
      </c>
      <c r="G10" s="267">
        <f t="shared" ref="G10" si="8">IFERROR((E10*(1+AU10)-F10),"")</f>
        <v>44008.521072796924</v>
      </c>
      <c r="H10" s="268">
        <f>IFERROR(INDEX('FEOR kodok'!$A$2:$J$1126,MATCH(Bérköltség!AB10,'FEOR kodok'!$B$2:$B$1126,0),8),"NA")</f>
        <v>2142</v>
      </c>
      <c r="I10" s="269">
        <f>IFERROR(INDEX('FEOR kodok'!$A$2:$J$1126,MATCH(Bérköltség!AB10,'FEOR kodok'!$B$2:$B$1126,0),10),"NA")</f>
        <v>31</v>
      </c>
      <c r="J10" s="276" t="str">
        <f t="shared" ref="J10" si="9">IF(I10="NA","NA",
IF(I10&lt;30,"30 év alatt",
IF(AND(I10&gt;=30,I10&lt;=39),"30–39 éves",
IF(AND(I10&gt;=40,I10&lt;=49),"40–49 éves",
IF(I10&gt;=50,"50 év és afelett",
"")))))</f>
        <v>30–39 éves</v>
      </c>
      <c r="K10" s="269" t="str">
        <f>IFERROR(INDEX(admin_feor[#All],MATCH(Bérköltség!H10,admin_feor[[#All],[Foglalkozás]],0),2),"NA")</f>
        <v>Szoftverfejlesztő</v>
      </c>
      <c r="L10" s="270">
        <f>IFERROR(
INDEX('Admin - FEOR'!$A$4:$F$465,MATCH(Bérköltség!H10,'Admin - FEOR'!$A$4:$A$465,0),
IF(J10="30 év alatt",3,
IF(J10="30–39 éves",4,
IF(J10="40–49 éves",5,
IF(J10="50 év és afelett",6
)))))*1,"NA")</f>
        <v>938832</v>
      </c>
      <c r="M10" s="270">
        <f t="shared" ref="M10" si="10">AM10</f>
        <v>532100</v>
      </c>
      <c r="N10" s="318">
        <f t="shared" ref="N10" si="11">IFERROR(
M10/L10,"NA")</f>
        <v>0.56676806926052803</v>
      </c>
      <c r="O10" s="270">
        <f>IFERROR(
INDEX('Admin - FEOR'!$A$4:$F$465,MATCH(Bérköltség!H10,'Admin - FEOR'!$A$4:$A$465,0),
IF(J10="30 év alatt",3,
IF(J10="30–39 éves",4,
IF(J10="40–49 éves",5,
IF(J10="50 év és afelett",6
)))))*1.5,"NA")</f>
        <v>1408248</v>
      </c>
      <c r="P10" s="270">
        <f t="shared" ref="P10" si="12">IFERROR(
AQ10*O10,"NA")</f>
        <v>129494.06896551725</v>
      </c>
      <c r="Q10" s="270">
        <f t="shared" ref="Q10" si="13">IFERROR(AR10,"")</f>
        <v>48929</v>
      </c>
      <c r="R10" s="275">
        <f t="shared" ref="R10" si="14">IFERROR(AQ10,"")</f>
        <v>9.1954022988505746E-2</v>
      </c>
      <c r="S10" s="270">
        <f t="shared" ref="S10" si="15">IFERROR(
IF(AR10-P10&lt;0,0,AR10-P10),"NA")</f>
        <v>0</v>
      </c>
      <c r="T10" s="270">
        <f t="shared" ref="T10" si="16">IFERROR(
S10*AU10,"NA")</f>
        <v>0</v>
      </c>
      <c r="U10" s="271">
        <f t="shared" ref="U10" si="17">IFERROR(
S10+T10,"NA")</f>
        <v>0</v>
      </c>
      <c r="V10" s="272">
        <f t="shared" ref="V10" si="18">IFERROR(
IF(U10&gt;0,AR10+AS10-U10,AR10+AS10),"NA")</f>
        <v>55290</v>
      </c>
      <c r="W10" s="273" t="str">
        <f t="shared" ref="W10" si="19">IF(P10="NA","FEOR hiányzik",
IF(AND(N10&gt;1,A10="FEOR"),CONCATENATE("Indoklás szükséges mivel a FEOR: ",ROUND(N10*100,1),"%"),"Nem szükséges indoklás.")
)</f>
        <v>Nem szükséges indoklás.</v>
      </c>
      <c r="X10" s="372">
        <f t="shared" ref="X10" si="20">IF(A10="FEOR",U10,IF(A10="HIÁNYOS ADATOK","HIÁNYOS ADATOK",F10))</f>
        <v>0</v>
      </c>
      <c r="Y10" s="317">
        <f t="shared" ref="Y10" si="21">IF(A10="FEOR",ROUND((V10/(1+AU10)),0),IF(A10="HIÁNYOS ADATOK","HIÁNYOS ADATOK",ROUND(G10/(1+AU10),0)))</f>
        <v>48929</v>
      </c>
      <c r="Z10" s="317">
        <f t="shared" ref="Z10" si="22">IF(A10="FEOR",ROUND((V10-Y10),0),IF(A10="HIÁNYOS ADATOK","HIÁNYOS ADATOK",ROUND((G10-Y10),0)))</f>
        <v>6361</v>
      </c>
      <c r="AA10" s="12">
        <v>2</v>
      </c>
      <c r="AB10" s="274">
        <v>8457461427</v>
      </c>
      <c r="AC10" s="40" t="s">
        <v>1371</v>
      </c>
      <c r="AD10" s="82" t="s">
        <v>75</v>
      </c>
      <c r="AE10" s="41" t="s">
        <v>52</v>
      </c>
      <c r="AF10" s="11" t="s">
        <v>159</v>
      </c>
      <c r="AG10" s="11" t="s">
        <v>2666</v>
      </c>
      <c r="AH10" s="14" t="s">
        <v>122</v>
      </c>
      <c r="AI10" s="86" t="s">
        <v>34</v>
      </c>
      <c r="AJ10" s="113" t="str">
        <f>IF(COUNTIFS(Admin!$A$29:$A$40,AI10)&gt;0,Admin!$A$28,IF(COUNTIFS(Admin!$B$29:$B$40,AI10)&gt;0,Admin!$B$28,IF(COUNTIFS(Admin!$C$29:$C$40,AI10)&gt;0,Admin!$C$28,IF(COUNTIFS(Admin!$D$29:$D$40,AI10)&gt;0,Admin!$D$28,"-"))))</f>
        <v>2. mérföldkő</v>
      </c>
      <c r="AK10" s="14" t="s">
        <v>7</v>
      </c>
      <c r="AL10" s="9" t="s">
        <v>56</v>
      </c>
      <c r="AM10" s="131">
        <v>532100</v>
      </c>
      <c r="AN10" s="132">
        <f>IFERROR(ROUND(AM10*AU10,0),"")</f>
        <v>69173</v>
      </c>
      <c r="AO10" s="121">
        <v>174</v>
      </c>
      <c r="AP10" s="121">
        <v>16</v>
      </c>
      <c r="AQ10" s="123">
        <f t="shared" si="1"/>
        <v>9.1954022988505746E-2</v>
      </c>
      <c r="AR10" s="133">
        <f t="shared" si="2"/>
        <v>48929</v>
      </c>
      <c r="AS10" s="133">
        <f t="shared" si="3"/>
        <v>6361</v>
      </c>
      <c r="AT10" s="123">
        <f t="shared" si="4"/>
        <v>-4.968385944187359E-7</v>
      </c>
      <c r="AU10" s="124">
        <v>0.13</v>
      </c>
      <c r="AV10" s="394" t="s">
        <v>2753</v>
      </c>
      <c r="AW10" s="15">
        <v>44964</v>
      </c>
      <c r="AX10" s="12" t="s">
        <v>206</v>
      </c>
      <c r="BC10" s="1" t="s">
        <v>2812</v>
      </c>
      <c r="BD10" s="1" t="str">
        <f>CONCATENATE(BC10," - ",AE10)</f>
        <v>Kutató_NK_6 - Kutató</v>
      </c>
    </row>
    <row r="11" spans="1:56" s="1" customFormat="1" x14ac:dyDescent="0.25">
      <c r="A11" s="264" t="str">
        <f>Bérköltség!$B11</f>
        <v>FEOR</v>
      </c>
      <c r="B11" s="264" t="str">
        <f>IFERROR(
IF(AND(Bérköltség!$F11="",H11="NA"),"HIÁNYOS ADATOK",
IF(Bérköltség!$F11&lt;Bérköltség!$U11,Admin!$B$18,Admin!$B$17)),
"")</f>
        <v>FEOR</v>
      </c>
      <c r="C11" s="265">
        <f>IFERROR(INDEX('Historikus berek_2021-2'!$A$1:$F$903,MATCH(AB11,'Historikus berek_2021-2'!$A$1:$A$903,0),4),"")</f>
        <v>423533.33333333331</v>
      </c>
      <c r="D11" s="279">
        <f t="shared" ref="D11:D121" si="23">IFERROR(C11*AQ11,"")</f>
        <v>38945.593869731798</v>
      </c>
      <c r="E11" s="265">
        <f t="shared" ref="E11:E121" si="24">AR11</f>
        <v>48929</v>
      </c>
      <c r="F11" s="266">
        <f t="shared" ref="F11:F121" si="25">IFERROR(IF((E11*(1+AU11)-D11*(1+AU11))&lt;0,0,(E11*(1+AU11)-D11*(1+AU11))),"")</f>
        <v>11281.248927203073</v>
      </c>
      <c r="G11" s="267">
        <f t="shared" ref="G11:G121" si="26">IFERROR((E11*(1+AU11)-F11),"")</f>
        <v>44008.521072796924</v>
      </c>
      <c r="H11" s="268">
        <f>IFERROR(INDEX('FEOR kodok'!$A$2:$J$1126,MATCH(Bérköltség!AB11,'FEOR kodok'!$B$2:$B$1126,0),8),"NA")</f>
        <v>2142</v>
      </c>
      <c r="I11" s="269">
        <f>IFERROR(INDEX('FEOR kodok'!$A$2:$J$1126,MATCH(Bérköltség!AB11,'FEOR kodok'!$B$2:$B$1126,0),10),"NA")</f>
        <v>31</v>
      </c>
      <c r="J11" s="276" t="str">
        <f t="shared" ref="J11:J121" si="27">IF(I11="NA","NA",
IF(I11&lt;30,"30 év alatt",
IF(AND(I11&gt;=30,I11&lt;=39),"30–39 éves",
IF(AND(I11&gt;=40,I11&lt;=49),"40–49 éves",
IF(I11&gt;=50,"50 év és afelett",
"")))))</f>
        <v>30–39 éves</v>
      </c>
      <c r="K11" s="269" t="str">
        <f>IFERROR(INDEX(admin_feor[#All],MATCH(Bérköltség!H11,admin_feor[[#All],[Foglalkozás]],0),2),"NA")</f>
        <v>Szoftverfejlesztő</v>
      </c>
      <c r="L11" s="270">
        <f>IFERROR(
INDEX('Admin - FEOR'!$A$4:$F$465,MATCH(Bérköltség!H11,'Admin - FEOR'!$A$4:$A$465,0),
IF(J11="30 év alatt",3,
IF(J11="30–39 éves",4,
IF(J11="40–49 éves",5,
IF(J11="50 év és afelett",6
)))))*1,"NA")</f>
        <v>938832</v>
      </c>
      <c r="M11" s="270">
        <f t="shared" ref="M11:M121" si="28">AM11</f>
        <v>532100</v>
      </c>
      <c r="N11" s="318">
        <f t="shared" ref="N11:N121" si="29">IFERROR(
M11/L11,"NA")</f>
        <v>0.56676806926052803</v>
      </c>
      <c r="O11" s="270">
        <f>IFERROR(
INDEX('Admin - FEOR'!$A$4:$F$465,MATCH(Bérköltség!H11,'Admin - FEOR'!$A$4:$A$465,0),
IF(J11="30 év alatt",3,
IF(J11="30–39 éves",4,
IF(J11="40–49 éves",5,
IF(J11="50 év és afelett",6
)))))*1.5,"NA")</f>
        <v>1408248</v>
      </c>
      <c r="P11" s="270">
        <f t="shared" ref="P11:P121" si="30">IFERROR(
AQ11*O11,"NA")</f>
        <v>129494.06896551725</v>
      </c>
      <c r="Q11" s="270">
        <f t="shared" ref="Q11:Q121" si="31">IFERROR(AR11,"")</f>
        <v>48929</v>
      </c>
      <c r="R11" s="275">
        <f t="shared" ref="R11:R121" si="32">IFERROR(AQ11,"")</f>
        <v>9.1954022988505746E-2</v>
      </c>
      <c r="S11" s="270">
        <f t="shared" ref="S11:S121" si="33">IFERROR(
IF(AR11-P11&lt;0,0,AR11-P11),"NA")</f>
        <v>0</v>
      </c>
      <c r="T11" s="270">
        <f t="shared" ref="T11:T121" si="34">IFERROR(
S11*AU11,"NA")</f>
        <v>0</v>
      </c>
      <c r="U11" s="271">
        <f t="shared" ref="U11:U121" si="35">IFERROR(
S11+T11,"NA")</f>
        <v>0</v>
      </c>
      <c r="V11" s="272">
        <f t="shared" ref="V11:V121" si="36">IFERROR(
IF(U11&gt;0,AR11+AS11-U11,AR11+AS11),"NA")</f>
        <v>55290</v>
      </c>
      <c r="W11" s="273" t="str">
        <f t="shared" ref="W11:W121" si="37">IF(P11="NA","FEOR hiányzik",
IF(AND(N11&gt;1,A11="FEOR"),CONCATENATE("Indoklás szükséges mivel a FEOR: ",ROUND(N11*100,1),"%"),"Nem szükséges indoklás.")
)</f>
        <v>Nem szükséges indoklás.</v>
      </c>
      <c r="X11" s="372">
        <f t="shared" ref="X11:X121" si="38">IF(A11="FEOR",U11,IF(A11="HIÁNYOS ADATOK","HIÁNYOS ADATOK",F11))</f>
        <v>0</v>
      </c>
      <c r="Y11" s="317">
        <f t="shared" ref="Y11:Y121" si="39">IF(A11="FEOR",ROUND((V11/(1+AU11)),0),IF(A11="HIÁNYOS ADATOK","HIÁNYOS ADATOK",ROUND(G11/(1+AU11),0)))</f>
        <v>48929</v>
      </c>
      <c r="Z11" s="317">
        <f t="shared" ref="Z11:Z121" si="40">IF(A11="FEOR",ROUND((V11-Y11),0),IF(A11="HIÁNYOS ADATOK","HIÁNYOS ADATOK",ROUND((G11-Y11),0)))</f>
        <v>6361</v>
      </c>
      <c r="AA11" s="36"/>
      <c r="AB11" s="274">
        <v>8457461427</v>
      </c>
      <c r="AC11" s="40" t="s">
        <v>1371</v>
      </c>
      <c r="AD11" s="82" t="s">
        <v>75</v>
      </c>
      <c r="AE11" s="41" t="s">
        <v>52</v>
      </c>
      <c r="AF11" s="11" t="s">
        <v>159</v>
      </c>
      <c r="AG11" s="11" t="s">
        <v>2666</v>
      </c>
      <c r="AH11" s="14" t="s">
        <v>122</v>
      </c>
      <c r="AI11" s="86" t="s">
        <v>35</v>
      </c>
      <c r="AJ11" s="113" t="str">
        <f>IF(COUNTIFS(Admin!$A$29:$A$40,AI11)&gt;0,Admin!$A$28,IF(COUNTIFS(Admin!$B$29:$B$40,AI11)&gt;0,Admin!$B$28,IF(COUNTIFS(Admin!$C$29:$C$40,AI11)&gt;0,Admin!$C$28,IF(COUNTIFS(Admin!$D$29:$D$40,AI11)&gt;0,Admin!$D$28,"-"))))</f>
        <v>3. mérföldkő</v>
      </c>
      <c r="AK11" s="14" t="s">
        <v>7</v>
      </c>
      <c r="AL11" s="9" t="s">
        <v>56</v>
      </c>
      <c r="AM11" s="131">
        <v>532100</v>
      </c>
      <c r="AN11" s="132">
        <f t="shared" ref="AN11:AN12" si="41">IFERROR(ROUND(AM11*AU11,0),"")</f>
        <v>69173</v>
      </c>
      <c r="AO11" s="121">
        <v>174</v>
      </c>
      <c r="AP11" s="121">
        <v>16</v>
      </c>
      <c r="AQ11" s="123">
        <f t="shared" si="1"/>
        <v>9.1954022988505746E-2</v>
      </c>
      <c r="AR11" s="133">
        <f t="shared" si="2"/>
        <v>48929</v>
      </c>
      <c r="AS11" s="133">
        <f t="shared" si="3"/>
        <v>6361</v>
      </c>
      <c r="AT11" s="123">
        <f t="shared" si="4"/>
        <v>-4.968385944187359E-7</v>
      </c>
      <c r="AU11" s="124">
        <v>0.13</v>
      </c>
      <c r="AV11" s="394" t="s">
        <v>2753</v>
      </c>
      <c r="AW11" s="15">
        <v>44964</v>
      </c>
      <c r="AX11" s="12" t="s">
        <v>206</v>
      </c>
      <c r="AZ11" s="1" t="str">
        <f>IF(VLOOKUP(LEFT($AB11,10),'Havi béradatok'!$B:$E,2,FALSE)=AG11,"EGYEZIK","HIBÁS")</f>
        <v>EGYEZIK</v>
      </c>
      <c r="BA11" s="1">
        <f>VLOOKUP(LEFT($AB11,10),'Havi béradatok'!$B:$E,3,FALSE)-AM11</f>
        <v>0</v>
      </c>
      <c r="BB11" s="391">
        <f>VLOOKUP(LEFT($AB11,10),'Havi béradatok'!$B:$E,4,FALSE)-AN11</f>
        <v>26146</v>
      </c>
      <c r="BC11" s="400" t="s">
        <v>2812</v>
      </c>
      <c r="BD11" s="400"/>
    </row>
    <row r="12" spans="1:56" s="1" customFormat="1" hidden="1" x14ac:dyDescent="0.25">
      <c r="A12" s="264" t="str">
        <f>Bérköltség!$B12</f>
        <v>FEOR</v>
      </c>
      <c r="B12" s="264" t="str">
        <f>IFERROR(
IF(AND(Bérköltség!$F12="",H12="NA"),"HIÁNYOS ADATOK",
IF(Bérköltség!$F12&lt;Bérköltség!$U12,Admin!$B$18,Admin!$B$17)),
"")</f>
        <v>FEOR</v>
      </c>
      <c r="C12" s="265">
        <f>IFERROR(INDEX('Historikus berek_2021-2'!$A$1:$F$903,MATCH(AB12,'Historikus berek_2021-2'!$A$1:$A$903,0),4),"")</f>
        <v>423533.33333333331</v>
      </c>
      <c r="D12" s="279">
        <f t="shared" si="23"/>
        <v>38945.593869731798</v>
      </c>
      <c r="E12" s="265">
        <f t="shared" si="24"/>
        <v>48929</v>
      </c>
      <c r="F12" s="266">
        <f t="shared" si="25"/>
        <v>11281.248927203073</v>
      </c>
      <c r="G12" s="267">
        <f t="shared" si="26"/>
        <v>44008.521072796924</v>
      </c>
      <c r="H12" s="268">
        <f>IFERROR(INDEX('FEOR kodok'!$A$2:$J$1126,MATCH(Bérköltség!AB12,'FEOR kodok'!$B$2:$B$1126,0),8),"NA")</f>
        <v>2142</v>
      </c>
      <c r="I12" s="269">
        <f>IFERROR(INDEX('FEOR kodok'!$A$2:$J$1126,MATCH(Bérköltség!AB12,'FEOR kodok'!$B$2:$B$1126,0),10),"NA")</f>
        <v>31</v>
      </c>
      <c r="J12" s="276" t="str">
        <f t="shared" si="27"/>
        <v>30–39 éves</v>
      </c>
      <c r="K12" s="269" t="str">
        <f>IFERROR(INDEX(admin_feor[#All],MATCH(Bérköltség!H12,admin_feor[[#All],[Foglalkozás]],0),2),"NA")</f>
        <v>Szoftverfejlesztő</v>
      </c>
      <c r="L12" s="270">
        <f>IFERROR(
INDEX('Admin - FEOR'!$A$4:$F$465,MATCH(Bérköltség!H12,'Admin - FEOR'!$A$4:$A$465,0),
IF(J12="30 év alatt",3,
IF(J12="30–39 éves",4,
IF(J12="40–49 éves",5,
IF(J12="50 év és afelett",6
)))))*1,"NA")</f>
        <v>938832</v>
      </c>
      <c r="M12" s="270">
        <f t="shared" si="28"/>
        <v>532100</v>
      </c>
      <c r="N12" s="318">
        <f t="shared" si="29"/>
        <v>0.56676806926052803</v>
      </c>
      <c r="O12" s="270">
        <f>IFERROR(
INDEX('Admin - FEOR'!$A$4:$F$465,MATCH(Bérköltség!H12,'Admin - FEOR'!$A$4:$A$465,0),
IF(J12="30 év alatt",3,
IF(J12="30–39 éves",4,
IF(J12="40–49 éves",5,
IF(J12="50 év és afelett",6
)))))*1.5,"NA")</f>
        <v>1408248</v>
      </c>
      <c r="P12" s="270">
        <f t="shared" si="30"/>
        <v>129494.06896551725</v>
      </c>
      <c r="Q12" s="270">
        <f t="shared" si="31"/>
        <v>48929</v>
      </c>
      <c r="R12" s="275">
        <f t="shared" si="32"/>
        <v>9.1954022988505746E-2</v>
      </c>
      <c r="S12" s="270">
        <f t="shared" si="33"/>
        <v>0</v>
      </c>
      <c r="T12" s="270">
        <f t="shared" si="34"/>
        <v>0</v>
      </c>
      <c r="U12" s="271">
        <f t="shared" si="35"/>
        <v>0</v>
      </c>
      <c r="V12" s="272">
        <f t="shared" si="36"/>
        <v>55290</v>
      </c>
      <c r="W12" s="273" t="str">
        <f t="shared" si="37"/>
        <v>Nem szükséges indoklás.</v>
      </c>
      <c r="X12" s="372">
        <f t="shared" si="38"/>
        <v>0</v>
      </c>
      <c r="Y12" s="317">
        <f t="shared" si="39"/>
        <v>48929</v>
      </c>
      <c r="Z12" s="317">
        <f t="shared" si="40"/>
        <v>6361</v>
      </c>
      <c r="AA12" s="36"/>
      <c r="AB12" s="274">
        <v>8457461427</v>
      </c>
      <c r="AC12" s="40" t="s">
        <v>1371</v>
      </c>
      <c r="AD12" s="82" t="s">
        <v>75</v>
      </c>
      <c r="AE12" s="41" t="s">
        <v>52</v>
      </c>
      <c r="AF12" s="11" t="s">
        <v>159</v>
      </c>
      <c r="AG12" s="11" t="s">
        <v>2666</v>
      </c>
      <c r="AH12" s="14" t="s">
        <v>122</v>
      </c>
      <c r="AI12" s="86" t="s">
        <v>36</v>
      </c>
      <c r="AJ12" s="113" t="str">
        <f>IF(COUNTIFS(Admin!$A$29:$A$40,AI12)&gt;0,Admin!$A$28,IF(COUNTIFS(Admin!$B$29:$B$40,AI12)&gt;0,Admin!$B$28,IF(COUNTIFS(Admin!$C$29:$C$40,AI12)&gt;0,Admin!$C$28,IF(COUNTIFS(Admin!$D$29:$D$40,AI12)&gt;0,Admin!$D$28,"-"))))</f>
        <v>3. mérföldkő</v>
      </c>
      <c r="AK12" s="14" t="s">
        <v>141</v>
      </c>
      <c r="AL12" s="9" t="s">
        <v>56</v>
      </c>
      <c r="AM12" s="131">
        <v>532100</v>
      </c>
      <c r="AN12" s="132">
        <f t="shared" si="41"/>
        <v>69173</v>
      </c>
      <c r="AO12" s="121">
        <v>174</v>
      </c>
      <c r="AP12" s="121">
        <v>16</v>
      </c>
      <c r="AQ12" s="123">
        <f t="shared" si="1"/>
        <v>9.1954022988505746E-2</v>
      </c>
      <c r="AR12" s="133">
        <f t="shared" si="2"/>
        <v>48929</v>
      </c>
      <c r="AS12" s="133">
        <f t="shared" si="3"/>
        <v>6361</v>
      </c>
      <c r="AT12" s="123">
        <f t="shared" si="4"/>
        <v>-4.968385944187359E-7</v>
      </c>
      <c r="AU12" s="124">
        <v>0.13</v>
      </c>
      <c r="AV12" s="394" t="s">
        <v>2753</v>
      </c>
      <c r="AW12" s="15">
        <v>44964</v>
      </c>
      <c r="AX12" s="12" t="s">
        <v>206</v>
      </c>
      <c r="BC12" s="1" t="s">
        <v>2812</v>
      </c>
    </row>
    <row r="13" spans="1:56" s="1" customFormat="1" hidden="1" x14ac:dyDescent="0.25">
      <c r="A13" s="264" t="str">
        <f>Bérköltség!$B13</f>
        <v>FEOR</v>
      </c>
      <c r="B13" s="264" t="str">
        <f>IFERROR(
IF(AND(Bérköltség!$F13="",H13="NA"),"HIÁNYOS ADATOK",
IF(Bérköltség!$F13&lt;Bérköltség!$U13,Admin!$B$18,Admin!$B$17)),
"")</f>
        <v>FEOR</v>
      </c>
      <c r="C13" s="265">
        <f>IFERROR(INDEX('Historikus berek_2021-2'!$A$1:$F$903,MATCH(AB13,'Historikus berek_2021-2'!$A$1:$A$903,0),4),"")</f>
        <v>423533.33333333331</v>
      </c>
      <c r="D13" s="279">
        <f t="shared" ref="D13:D16" si="42">IFERROR(C13*AQ13,"")</f>
        <v>238541.76245210727</v>
      </c>
      <c r="E13" s="265">
        <f t="shared" ref="E13:E16" si="43">AR13</f>
        <v>299689</v>
      </c>
      <c r="F13" s="266">
        <f t="shared" ref="F13:F16" si="44">IFERROR(IF((E13*(1+AU13)-D13*(1+AU13))&lt;0,0,(E13*(1+AU13)-D13*(1+AU13))),"")</f>
        <v>69096.378429118777</v>
      </c>
      <c r="G13" s="267">
        <f t="shared" ref="G13:G16" si="45">IFERROR((E13*(1+AU13)-F13),"")</f>
        <v>269552.19157088117</v>
      </c>
      <c r="H13" s="268">
        <f>IFERROR(INDEX('FEOR kodok'!$A$2:$J$1126,MATCH(Bérköltség!AB13,'FEOR kodok'!$B$2:$B$1126,0),8),"NA")</f>
        <v>2142</v>
      </c>
      <c r="I13" s="269">
        <f>IFERROR(INDEX('FEOR kodok'!$A$2:$J$1126,MATCH(Bérköltség!AB13,'FEOR kodok'!$B$2:$B$1126,0),10),"NA")</f>
        <v>31</v>
      </c>
      <c r="J13" s="276" t="str">
        <f t="shared" ref="J13:J16" si="46">IF(I13="NA","NA",
IF(I13&lt;30,"30 év alatt",
IF(AND(I13&gt;=30,I13&lt;=39),"30–39 éves",
IF(AND(I13&gt;=40,I13&lt;=49),"40–49 éves",
IF(I13&gt;=50,"50 év és afelett",
"")))))</f>
        <v>30–39 éves</v>
      </c>
      <c r="K13" s="269" t="str">
        <f>IFERROR(INDEX(admin_feor[#All],MATCH(Bérköltség!H13,admin_feor[[#All],[Foglalkozás]],0),2),"NA")</f>
        <v>Szoftverfejlesztő</v>
      </c>
      <c r="L13" s="270">
        <f>IFERROR(
INDEX('Admin - FEOR'!$A$4:$F$465,MATCH(Bérköltség!H13,'Admin - FEOR'!$A$4:$A$465,0),
IF(J13="30 év alatt",3,
IF(J13="30–39 éves",4,
IF(J13="40–49 éves",5,
IF(J13="50 év és afelett",6
)))))*1,"NA")</f>
        <v>938832</v>
      </c>
      <c r="M13" s="270">
        <f t="shared" ref="M13:M16" si="47">AM13</f>
        <v>532100</v>
      </c>
      <c r="N13" s="318">
        <f t="shared" ref="N13:N16" si="48">IFERROR(
M13/L13,"NA")</f>
        <v>0.56676806926052803</v>
      </c>
      <c r="O13" s="270">
        <f>IFERROR(
INDEX('Admin - FEOR'!$A$4:$F$465,MATCH(Bérköltség!H13,'Admin - FEOR'!$A$4:$A$465,0),
IF(J13="30 év alatt",3,
IF(J13="30–39 éves",4,
IF(J13="40–49 éves",5,
IF(J13="50 év és afelett",6
)))))*1.5,"NA")</f>
        <v>1408248</v>
      </c>
      <c r="P13" s="270">
        <f t="shared" ref="P13:P16" si="49">IFERROR(
AQ13*O13,"NA")</f>
        <v>793151.17241379304</v>
      </c>
      <c r="Q13" s="270">
        <f t="shared" ref="Q13:Q16" si="50">IFERROR(AR13,"")</f>
        <v>299689</v>
      </c>
      <c r="R13" s="275">
        <f t="shared" ref="R13:R16" si="51">IFERROR(AQ13,"")</f>
        <v>0.56321839080459768</v>
      </c>
      <c r="S13" s="270">
        <f t="shared" ref="S13:S16" si="52">IFERROR(
IF(AR13-P13&lt;0,0,AR13-P13),"NA")</f>
        <v>0</v>
      </c>
      <c r="T13" s="270">
        <f t="shared" ref="T13:T16" si="53">IFERROR(
S13*AU13,"NA")</f>
        <v>0</v>
      </c>
      <c r="U13" s="271">
        <f t="shared" ref="U13:U16" si="54">IFERROR(
S13+T13,"NA")</f>
        <v>0</v>
      </c>
      <c r="V13" s="272">
        <f t="shared" ref="V13:V16" si="55">IFERROR(
IF(U13&gt;0,AR13+AS13-U13,AR13+AS13),"NA")</f>
        <v>338649</v>
      </c>
      <c r="W13" s="273" t="str">
        <f t="shared" ref="W13:W16" si="56">IF(P13="NA","FEOR hiányzik",
IF(AND(N13&gt;1,A13="FEOR"),CONCATENATE("Indoklás szükséges mivel a FEOR: ",ROUND(N13*100,1),"%"),"Nem szükséges indoklás.")
)</f>
        <v>Nem szükséges indoklás.</v>
      </c>
      <c r="X13" s="372">
        <f t="shared" ref="X13:X16" si="57">IF(A13="FEOR",U13,IF(A13="HIÁNYOS ADATOK","HIÁNYOS ADATOK",F13))</f>
        <v>0</v>
      </c>
      <c r="Y13" s="317">
        <f t="shared" ref="Y13:Y16" si="58">IF(A13="FEOR",ROUND((V13/(1+AU13)),0),IF(A13="HIÁNYOS ADATOK","HIÁNYOS ADATOK",ROUND(G13/(1+AU13),0)))</f>
        <v>299689</v>
      </c>
      <c r="Z13" s="317">
        <f t="shared" ref="Z13:Z16" si="59">IF(A13="FEOR",ROUND((V13-Y13),0),IF(A13="HIÁNYOS ADATOK","HIÁNYOS ADATOK",ROUND((G13-Y13),0)))</f>
        <v>38960</v>
      </c>
      <c r="AA13" s="36"/>
      <c r="AB13" s="274">
        <v>8457461427</v>
      </c>
      <c r="AC13" s="40" t="s">
        <v>1371</v>
      </c>
      <c r="AD13" s="82" t="s">
        <v>75</v>
      </c>
      <c r="AE13" s="41" t="s">
        <v>52</v>
      </c>
      <c r="AF13" s="11" t="s">
        <v>159</v>
      </c>
      <c r="AG13" s="11" t="s">
        <v>2666</v>
      </c>
      <c r="AH13" s="14" t="s">
        <v>122</v>
      </c>
      <c r="AI13" s="86" t="s">
        <v>37</v>
      </c>
      <c r="AJ13" s="113" t="str">
        <f>IF(COUNTIFS(Admin!$A$29:$A$40,AI13)&gt;0,Admin!$A$28,IF(COUNTIFS(Admin!$B$29:$B$40,AI13)&gt;0,Admin!$B$28,IF(COUNTIFS(Admin!$C$29:$C$40,AI13)&gt;0,Admin!$C$28,IF(COUNTIFS(Admin!$D$29:$D$40,AI13)&gt;0,Admin!$D$28,"-"))))</f>
        <v>3. mérföldkő</v>
      </c>
      <c r="AK13" s="14" t="s">
        <v>141</v>
      </c>
      <c r="AL13" s="9" t="s">
        <v>56</v>
      </c>
      <c r="AM13" s="131">
        <v>532100</v>
      </c>
      <c r="AN13" s="132">
        <f t="shared" ref="AN13" si="60">IFERROR(ROUND(AM13*AU13,0),"")</f>
        <v>69173</v>
      </c>
      <c r="AO13" s="121">
        <v>174</v>
      </c>
      <c r="AP13" s="121">
        <v>98</v>
      </c>
      <c r="AQ13" s="123">
        <f t="shared" ref="AQ13" si="61">IFERROR(AP13/AO13,"")</f>
        <v>0.56321839080459768</v>
      </c>
      <c r="AR13" s="133">
        <f t="shared" ref="AR13" si="62">IFERROR(ROUND(AM13*AP13/AO13,0),"")</f>
        <v>299689</v>
      </c>
      <c r="AS13" s="133">
        <f t="shared" ref="AS13" si="63">IFERROR(ROUND(AR13*AU13,0),"")</f>
        <v>38960</v>
      </c>
      <c r="AT13" s="123">
        <f t="shared" ref="AT13" si="64">IFERROR(AP13/AO13-AR13/AM13,"")</f>
        <v>-9.288721548594836E-7</v>
      </c>
      <c r="AU13" s="124">
        <v>0.13</v>
      </c>
      <c r="AV13" s="394" t="s">
        <v>2753</v>
      </c>
      <c r="AW13" s="15">
        <v>45056</v>
      </c>
      <c r="AX13" s="12"/>
    </row>
    <row r="14" spans="1:56" s="1" customFormat="1" hidden="1" x14ac:dyDescent="0.25">
      <c r="A14" s="264" t="str">
        <f>Bérköltség!$B14</f>
        <v>FEOR</v>
      </c>
      <c r="B14" s="264" t="str">
        <f>IFERROR(
IF(AND(Bérköltség!$F14="",H14="NA"),"HIÁNYOS ADATOK",
IF(Bérköltség!$F14&lt;Bérköltség!$U14,Admin!$B$18,Admin!$B$17)),
"")</f>
        <v>FEOR</v>
      </c>
      <c r="C14" s="265">
        <f>IFERROR(INDEX('Historikus berek_2021-2'!$A$1:$F$903,MATCH(AB14,'Historikus berek_2021-2'!$A$1:$A$903,0),4),"")</f>
        <v>423533.33333333331</v>
      </c>
      <c r="D14" s="279">
        <f t="shared" si="42"/>
        <v>238541.76245210727</v>
      </c>
      <c r="E14" s="265">
        <f t="shared" si="43"/>
        <v>299689</v>
      </c>
      <c r="F14" s="266">
        <f t="shared" si="44"/>
        <v>69096.378429118777</v>
      </c>
      <c r="G14" s="267">
        <f t="shared" si="45"/>
        <v>269552.19157088117</v>
      </c>
      <c r="H14" s="268">
        <f>IFERROR(INDEX('FEOR kodok'!$A$2:$J$1126,MATCH(Bérköltség!AB14,'FEOR kodok'!$B$2:$B$1126,0),8),"NA")</f>
        <v>2142</v>
      </c>
      <c r="I14" s="269">
        <f>IFERROR(INDEX('FEOR kodok'!$A$2:$J$1126,MATCH(Bérköltség!AB14,'FEOR kodok'!$B$2:$B$1126,0),10),"NA")</f>
        <v>31</v>
      </c>
      <c r="J14" s="276" t="str">
        <f t="shared" si="46"/>
        <v>30–39 éves</v>
      </c>
      <c r="K14" s="269" t="str">
        <f>IFERROR(INDEX(admin_feor[#All],MATCH(Bérköltség!H14,admin_feor[[#All],[Foglalkozás]],0),2),"NA")</f>
        <v>Szoftverfejlesztő</v>
      </c>
      <c r="L14" s="270">
        <f>IFERROR(
INDEX('Admin - FEOR'!$A$4:$F$465,MATCH(Bérköltség!H14,'Admin - FEOR'!$A$4:$A$465,0),
IF(J14="30 év alatt",3,
IF(J14="30–39 éves",4,
IF(J14="40–49 éves",5,
IF(J14="50 év és afelett",6
)))))*1,"NA")</f>
        <v>938832</v>
      </c>
      <c r="M14" s="270">
        <f t="shared" si="47"/>
        <v>532100</v>
      </c>
      <c r="N14" s="318">
        <f t="shared" si="48"/>
        <v>0.56676806926052803</v>
      </c>
      <c r="O14" s="270">
        <f>IFERROR(
INDEX('Admin - FEOR'!$A$4:$F$465,MATCH(Bérköltség!H14,'Admin - FEOR'!$A$4:$A$465,0),
IF(J14="30 év alatt",3,
IF(J14="30–39 éves",4,
IF(J14="40–49 éves",5,
IF(J14="50 év és afelett",6
)))))*1.5,"NA")</f>
        <v>1408248</v>
      </c>
      <c r="P14" s="270">
        <f t="shared" si="49"/>
        <v>793151.17241379304</v>
      </c>
      <c r="Q14" s="270">
        <f t="shared" si="50"/>
        <v>299689</v>
      </c>
      <c r="R14" s="275">
        <f t="shared" si="51"/>
        <v>0.56321839080459768</v>
      </c>
      <c r="S14" s="270">
        <f t="shared" si="52"/>
        <v>0</v>
      </c>
      <c r="T14" s="270">
        <f t="shared" si="53"/>
        <v>0</v>
      </c>
      <c r="U14" s="271">
        <f t="shared" si="54"/>
        <v>0</v>
      </c>
      <c r="V14" s="272">
        <f t="shared" si="55"/>
        <v>338649</v>
      </c>
      <c r="W14" s="273" t="str">
        <f t="shared" si="56"/>
        <v>Nem szükséges indoklás.</v>
      </c>
      <c r="X14" s="372">
        <f t="shared" si="57"/>
        <v>0</v>
      </c>
      <c r="Y14" s="317">
        <f t="shared" si="58"/>
        <v>299689</v>
      </c>
      <c r="Z14" s="317">
        <f t="shared" si="59"/>
        <v>38960</v>
      </c>
      <c r="AA14" s="36"/>
      <c r="AB14" s="274">
        <v>8457461427</v>
      </c>
      <c r="AC14" s="40" t="s">
        <v>1371</v>
      </c>
      <c r="AD14" s="82" t="s">
        <v>75</v>
      </c>
      <c r="AE14" s="41" t="s">
        <v>52</v>
      </c>
      <c r="AF14" s="11" t="s">
        <v>159</v>
      </c>
      <c r="AG14" s="11" t="s">
        <v>2666</v>
      </c>
      <c r="AH14" s="14" t="s">
        <v>122</v>
      </c>
      <c r="AI14" s="86" t="s">
        <v>38</v>
      </c>
      <c r="AJ14" s="113" t="str">
        <f>IF(COUNTIFS(Admin!$A$29:$A$40,AI14)&gt;0,Admin!$A$28,IF(COUNTIFS(Admin!$B$29:$B$40,AI14)&gt;0,Admin!$B$28,IF(COUNTIFS(Admin!$C$29:$C$40,AI14)&gt;0,Admin!$C$28,IF(COUNTIFS(Admin!$D$29:$D$40,AI14)&gt;0,Admin!$D$28,"-"))))</f>
        <v>3. mérföldkő</v>
      </c>
      <c r="AK14" s="14" t="s">
        <v>141</v>
      </c>
      <c r="AL14" s="9" t="s">
        <v>56</v>
      </c>
      <c r="AM14" s="131">
        <v>532100</v>
      </c>
      <c r="AN14" s="132">
        <f t="shared" ref="AN14:AN16" si="65">IFERROR(ROUND(AM14*AU14,0),"")</f>
        <v>69173</v>
      </c>
      <c r="AO14" s="121">
        <v>174</v>
      </c>
      <c r="AP14" s="121">
        <v>98</v>
      </c>
      <c r="AQ14" s="123">
        <f t="shared" ref="AQ14:AQ16" si="66">IFERROR(AP14/AO14,"")</f>
        <v>0.56321839080459768</v>
      </c>
      <c r="AR14" s="133">
        <f t="shared" ref="AR14:AR16" si="67">IFERROR(ROUND(AM14*AP14/AO14,0),"")</f>
        <v>299689</v>
      </c>
      <c r="AS14" s="133">
        <f t="shared" ref="AS14:AS16" si="68">IFERROR(ROUND(AR14*AU14,0),"")</f>
        <v>38960</v>
      </c>
      <c r="AT14" s="123">
        <f t="shared" ref="AT14:AT16" si="69">IFERROR(AP14/AO14-AR14/AM14,"")</f>
        <v>-9.288721548594836E-7</v>
      </c>
      <c r="AU14" s="124">
        <v>0.13</v>
      </c>
      <c r="AV14" s="394" t="s">
        <v>2753</v>
      </c>
      <c r="AW14" s="15">
        <v>45056</v>
      </c>
      <c r="AX14" s="12"/>
    </row>
    <row r="15" spans="1:56" s="1" customFormat="1" hidden="1" x14ac:dyDescent="0.25">
      <c r="A15" s="264" t="str">
        <f>Bérköltség!$B15</f>
        <v>FEOR</v>
      </c>
      <c r="B15" s="264" t="str">
        <f>IFERROR(
IF(AND(Bérköltség!$F15="",H15="NA"),"HIÁNYOS ADATOK",
IF(Bérköltség!$F15&lt;Bérköltség!$U15,Admin!$B$18,Admin!$B$17)),
"")</f>
        <v>FEOR</v>
      </c>
      <c r="C15" s="265">
        <f>IFERROR(INDEX('Historikus berek_2021-2'!$A$1:$F$903,MATCH(AB15,'Historikus berek_2021-2'!$A$1:$A$903,0),4),"")</f>
        <v>423533.33333333331</v>
      </c>
      <c r="D15" s="279">
        <f t="shared" si="42"/>
        <v>238541.76245210727</v>
      </c>
      <c r="E15" s="265">
        <f t="shared" si="43"/>
        <v>299689</v>
      </c>
      <c r="F15" s="266">
        <f t="shared" si="44"/>
        <v>69096.378429118777</v>
      </c>
      <c r="G15" s="267">
        <f t="shared" si="45"/>
        <v>269552.19157088117</v>
      </c>
      <c r="H15" s="268">
        <f>IFERROR(INDEX('FEOR kodok'!$A$2:$J$1126,MATCH(Bérköltség!AB15,'FEOR kodok'!$B$2:$B$1126,0),8),"NA")</f>
        <v>2142</v>
      </c>
      <c r="I15" s="269">
        <f>IFERROR(INDEX('FEOR kodok'!$A$2:$J$1126,MATCH(Bérköltség!AB15,'FEOR kodok'!$B$2:$B$1126,0),10),"NA")</f>
        <v>31</v>
      </c>
      <c r="J15" s="276" t="str">
        <f t="shared" si="46"/>
        <v>30–39 éves</v>
      </c>
      <c r="K15" s="269" t="str">
        <f>IFERROR(INDEX(admin_feor[#All],MATCH(Bérköltség!H15,admin_feor[[#All],[Foglalkozás]],0),2),"NA")</f>
        <v>Szoftverfejlesztő</v>
      </c>
      <c r="L15" s="270">
        <f>IFERROR(
INDEX('Admin - FEOR'!$A$4:$F$465,MATCH(Bérköltség!H15,'Admin - FEOR'!$A$4:$A$465,0),
IF(J15="30 év alatt",3,
IF(J15="30–39 éves",4,
IF(J15="40–49 éves",5,
IF(J15="50 év és afelett",6
)))))*1,"NA")</f>
        <v>938832</v>
      </c>
      <c r="M15" s="270">
        <f t="shared" si="47"/>
        <v>532100</v>
      </c>
      <c r="N15" s="318">
        <f t="shared" si="48"/>
        <v>0.56676806926052803</v>
      </c>
      <c r="O15" s="270">
        <f>IFERROR(
INDEX('Admin - FEOR'!$A$4:$F$465,MATCH(Bérköltség!H15,'Admin - FEOR'!$A$4:$A$465,0),
IF(J15="30 év alatt",3,
IF(J15="30–39 éves",4,
IF(J15="40–49 éves",5,
IF(J15="50 év és afelett",6
)))))*1.5,"NA")</f>
        <v>1408248</v>
      </c>
      <c r="P15" s="270">
        <f t="shared" si="49"/>
        <v>793151.17241379304</v>
      </c>
      <c r="Q15" s="270">
        <f t="shared" si="50"/>
        <v>299689</v>
      </c>
      <c r="R15" s="275">
        <f t="shared" si="51"/>
        <v>0.56321839080459768</v>
      </c>
      <c r="S15" s="270">
        <f t="shared" si="52"/>
        <v>0</v>
      </c>
      <c r="T15" s="270">
        <f t="shared" si="53"/>
        <v>0</v>
      </c>
      <c r="U15" s="271">
        <f t="shared" si="54"/>
        <v>0</v>
      </c>
      <c r="V15" s="272">
        <f t="shared" si="55"/>
        <v>338649</v>
      </c>
      <c r="W15" s="273" t="str">
        <f t="shared" si="56"/>
        <v>Nem szükséges indoklás.</v>
      </c>
      <c r="X15" s="372">
        <f t="shared" si="57"/>
        <v>0</v>
      </c>
      <c r="Y15" s="317">
        <f t="shared" si="58"/>
        <v>299689</v>
      </c>
      <c r="Z15" s="317">
        <f t="shared" si="59"/>
        <v>38960</v>
      </c>
      <c r="AA15" s="36"/>
      <c r="AB15" s="274">
        <v>8457461427</v>
      </c>
      <c r="AC15" s="40" t="s">
        <v>1371</v>
      </c>
      <c r="AD15" s="82" t="s">
        <v>75</v>
      </c>
      <c r="AE15" s="41" t="s">
        <v>52</v>
      </c>
      <c r="AF15" s="11" t="s">
        <v>159</v>
      </c>
      <c r="AG15" s="11" t="s">
        <v>2666</v>
      </c>
      <c r="AH15" s="14" t="s">
        <v>122</v>
      </c>
      <c r="AI15" s="86" t="s">
        <v>39</v>
      </c>
      <c r="AJ15" s="113" t="str">
        <f>IF(COUNTIFS(Admin!$A$29:$A$40,AI15)&gt;0,Admin!$A$28,IF(COUNTIFS(Admin!$B$29:$B$40,AI15)&gt;0,Admin!$B$28,IF(COUNTIFS(Admin!$C$29:$C$40,AI15)&gt;0,Admin!$C$28,IF(COUNTIFS(Admin!$D$29:$D$40,AI15)&gt;0,Admin!$D$28,"-"))))</f>
        <v>3. mérföldkő</v>
      </c>
      <c r="AK15" s="14" t="s">
        <v>141</v>
      </c>
      <c r="AL15" s="9" t="s">
        <v>56</v>
      </c>
      <c r="AM15" s="131">
        <v>532100</v>
      </c>
      <c r="AN15" s="132">
        <f t="shared" si="65"/>
        <v>69173</v>
      </c>
      <c r="AO15" s="121">
        <v>174</v>
      </c>
      <c r="AP15" s="121">
        <v>98</v>
      </c>
      <c r="AQ15" s="123">
        <f t="shared" si="66"/>
        <v>0.56321839080459768</v>
      </c>
      <c r="AR15" s="133">
        <f t="shared" si="67"/>
        <v>299689</v>
      </c>
      <c r="AS15" s="133">
        <f t="shared" si="68"/>
        <v>38960</v>
      </c>
      <c r="AT15" s="123">
        <f t="shared" si="69"/>
        <v>-9.288721548594836E-7</v>
      </c>
      <c r="AU15" s="124">
        <v>0.13</v>
      </c>
      <c r="AV15" s="394" t="s">
        <v>2753</v>
      </c>
      <c r="AW15" s="15">
        <v>45056</v>
      </c>
      <c r="AX15" s="12"/>
    </row>
    <row r="16" spans="1:56" s="1" customFormat="1" hidden="1" x14ac:dyDescent="0.25">
      <c r="A16" s="264" t="str">
        <f>Bérköltség!$B16</f>
        <v>FEOR</v>
      </c>
      <c r="B16" s="264" t="str">
        <f>IFERROR(
IF(AND(Bérköltség!$F16="",H16="NA"),"HIÁNYOS ADATOK",
IF(Bérköltség!$F16&lt;Bérköltség!$U16,Admin!$B$18,Admin!$B$17)),
"")</f>
        <v>FEOR</v>
      </c>
      <c r="C16" s="265">
        <f>IFERROR(INDEX('Historikus berek_2021-2'!$A$1:$F$903,MATCH(AB16,'Historikus berek_2021-2'!$A$1:$A$903,0),4),"")</f>
        <v>423533.33333333331</v>
      </c>
      <c r="D16" s="279">
        <f t="shared" si="42"/>
        <v>238541.76245210727</v>
      </c>
      <c r="E16" s="265">
        <f t="shared" si="43"/>
        <v>299689</v>
      </c>
      <c r="F16" s="266">
        <f t="shared" si="44"/>
        <v>69096.378429118777</v>
      </c>
      <c r="G16" s="267">
        <f t="shared" si="45"/>
        <v>269552.19157088117</v>
      </c>
      <c r="H16" s="268">
        <f>IFERROR(INDEX('FEOR kodok'!$A$2:$J$1126,MATCH(Bérköltség!AB16,'FEOR kodok'!$B$2:$B$1126,0),8),"NA")</f>
        <v>2142</v>
      </c>
      <c r="I16" s="269">
        <f>IFERROR(INDEX('FEOR kodok'!$A$2:$J$1126,MATCH(Bérköltség!AB16,'FEOR kodok'!$B$2:$B$1126,0),10),"NA")</f>
        <v>31</v>
      </c>
      <c r="J16" s="276" t="str">
        <f t="shared" si="46"/>
        <v>30–39 éves</v>
      </c>
      <c r="K16" s="269" t="str">
        <f>IFERROR(INDEX(admin_feor[#All],MATCH(Bérköltség!H16,admin_feor[[#All],[Foglalkozás]],0),2),"NA")</f>
        <v>Szoftverfejlesztő</v>
      </c>
      <c r="L16" s="270">
        <f>IFERROR(
INDEX('Admin - FEOR'!$A$4:$F$465,MATCH(Bérköltség!H16,'Admin - FEOR'!$A$4:$A$465,0),
IF(J16="30 év alatt",3,
IF(J16="30–39 éves",4,
IF(J16="40–49 éves",5,
IF(J16="50 év és afelett",6
)))))*1,"NA")</f>
        <v>938832</v>
      </c>
      <c r="M16" s="270">
        <f t="shared" si="47"/>
        <v>532100</v>
      </c>
      <c r="N16" s="318">
        <f t="shared" si="48"/>
        <v>0.56676806926052803</v>
      </c>
      <c r="O16" s="270">
        <f>IFERROR(
INDEX('Admin - FEOR'!$A$4:$F$465,MATCH(Bérköltség!H16,'Admin - FEOR'!$A$4:$A$465,0),
IF(J16="30 év alatt",3,
IF(J16="30–39 éves",4,
IF(J16="40–49 éves",5,
IF(J16="50 év és afelett",6
)))))*1.5,"NA")</f>
        <v>1408248</v>
      </c>
      <c r="P16" s="270">
        <f t="shared" si="49"/>
        <v>793151.17241379304</v>
      </c>
      <c r="Q16" s="270">
        <f t="shared" si="50"/>
        <v>299689</v>
      </c>
      <c r="R16" s="275">
        <f t="shared" si="51"/>
        <v>0.56321839080459768</v>
      </c>
      <c r="S16" s="270">
        <f t="shared" si="52"/>
        <v>0</v>
      </c>
      <c r="T16" s="270">
        <f t="shared" si="53"/>
        <v>0</v>
      </c>
      <c r="U16" s="271">
        <f t="shared" si="54"/>
        <v>0</v>
      </c>
      <c r="V16" s="272">
        <f t="shared" si="55"/>
        <v>338649</v>
      </c>
      <c r="W16" s="273" t="str">
        <f t="shared" si="56"/>
        <v>Nem szükséges indoklás.</v>
      </c>
      <c r="X16" s="372">
        <f t="shared" si="57"/>
        <v>0</v>
      </c>
      <c r="Y16" s="317">
        <f t="shared" si="58"/>
        <v>299689</v>
      </c>
      <c r="Z16" s="317">
        <f t="shared" si="59"/>
        <v>38960</v>
      </c>
      <c r="AA16" s="36"/>
      <c r="AB16" s="274">
        <v>8457461427</v>
      </c>
      <c r="AC16" s="40" t="s">
        <v>1371</v>
      </c>
      <c r="AD16" s="82" t="s">
        <v>75</v>
      </c>
      <c r="AE16" s="41" t="s">
        <v>52</v>
      </c>
      <c r="AF16" s="11" t="s">
        <v>159</v>
      </c>
      <c r="AG16" s="11" t="s">
        <v>2666</v>
      </c>
      <c r="AH16" s="14" t="s">
        <v>122</v>
      </c>
      <c r="AI16" s="86" t="s">
        <v>40</v>
      </c>
      <c r="AJ16" s="113" t="str">
        <f>IF(COUNTIFS(Admin!$A$29:$A$40,AI16)&gt;0,Admin!$A$28,IF(COUNTIFS(Admin!$B$29:$B$40,AI16)&gt;0,Admin!$B$28,IF(COUNTIFS(Admin!$C$29:$C$40,AI16)&gt;0,Admin!$C$28,IF(COUNTIFS(Admin!$D$29:$D$40,AI16)&gt;0,Admin!$D$28,"-"))))</f>
        <v>3. mérföldkő</v>
      </c>
      <c r="AK16" s="14" t="s">
        <v>141</v>
      </c>
      <c r="AL16" s="9" t="s">
        <v>56</v>
      </c>
      <c r="AM16" s="131">
        <v>532100</v>
      </c>
      <c r="AN16" s="132">
        <f t="shared" si="65"/>
        <v>69173</v>
      </c>
      <c r="AO16" s="121">
        <v>174</v>
      </c>
      <c r="AP16" s="121">
        <v>98</v>
      </c>
      <c r="AQ16" s="123">
        <f t="shared" si="66"/>
        <v>0.56321839080459768</v>
      </c>
      <c r="AR16" s="133">
        <f t="shared" si="67"/>
        <v>299689</v>
      </c>
      <c r="AS16" s="133">
        <f t="shared" si="68"/>
        <v>38960</v>
      </c>
      <c r="AT16" s="123">
        <f t="shared" si="69"/>
        <v>-9.288721548594836E-7</v>
      </c>
      <c r="AU16" s="124">
        <v>0.13</v>
      </c>
      <c r="AV16" s="394" t="s">
        <v>2753</v>
      </c>
      <c r="AW16" s="15">
        <v>45056</v>
      </c>
      <c r="AX16" s="12"/>
    </row>
    <row r="17" spans="1:56" s="1" customFormat="1" hidden="1" x14ac:dyDescent="0.25">
      <c r="A17" s="264" t="str">
        <f>Bérköltség!$B17</f>
        <v>FEOR</v>
      </c>
      <c r="B17" s="264" t="str">
        <f>IFERROR(
IF(AND(Bérköltség!$F17="",H17="NA"),"HIÁNYOS ADATOK",
IF(Bérköltség!$F17&lt;Bérköltség!$U17,Admin!$B$18,Admin!$B$17)),
"")</f>
        <v>FEOR</v>
      </c>
      <c r="C17" s="265">
        <f>IFERROR(INDEX('Historikus berek_2021-2'!$A$1:$F$903,MATCH(AB17,'Historikus berek_2021-2'!$A$1:$A$903,0),4),"")</f>
        <v>426900</v>
      </c>
      <c r="D17" s="279">
        <f t="shared" si="23"/>
        <v>426900</v>
      </c>
      <c r="E17" s="265">
        <f t="shared" si="24"/>
        <v>600000</v>
      </c>
      <c r="F17" s="266">
        <f t="shared" si="25"/>
        <v>195602.99999999994</v>
      </c>
      <c r="G17" s="267">
        <f t="shared" si="26"/>
        <v>482396.99999999994</v>
      </c>
      <c r="H17" s="268">
        <f>IFERROR(INDEX('FEOR kodok'!$A$2:$J$1126,MATCH(Bérköltség!AB17,'FEOR kodok'!$B$2:$B$1126,0),8),"NA")</f>
        <v>1413</v>
      </c>
      <c r="I17" s="269">
        <f>IFERROR(INDEX('FEOR kodok'!$A$2:$J$1126,MATCH(Bérköltség!AB17,'FEOR kodok'!$B$2:$B$1126,0),10),"NA")</f>
        <v>38</v>
      </c>
      <c r="J17" s="276" t="str">
        <f t="shared" si="27"/>
        <v>30–39 éves</v>
      </c>
      <c r="K17" s="269" t="str">
        <f>IFERROR(INDEX(admin_feor[#All],MATCH(Bérköltség!H17,admin_feor[[#All],[Foglalkozás]],0),2),"NA")</f>
        <v>Kutatási és fejlesztési tevékenységet folytató egység vezetője</v>
      </c>
      <c r="L17" s="270">
        <f>IFERROR(
INDEX('Admin - FEOR'!$A$4:$F$465,MATCH(Bérköltség!H17,'Admin - FEOR'!$A$4:$A$465,0),
IF(J17="30 év alatt",3,
IF(J17="30–39 éves",4,
IF(J17="40–49 éves",5,
IF(J17="50 év és afelett",6
)))))*1,"NA")</f>
        <v>985893</v>
      </c>
      <c r="M17" s="270">
        <f t="shared" si="28"/>
        <v>600000</v>
      </c>
      <c r="N17" s="318">
        <f t="shared" si="29"/>
        <v>0.60858531301064112</v>
      </c>
      <c r="O17" s="270">
        <f>IFERROR(
INDEX('Admin - FEOR'!$A$4:$F$465,MATCH(Bérköltség!H17,'Admin - FEOR'!$A$4:$A$465,0),
IF(J17="30 év alatt",3,
IF(J17="30–39 éves",4,
IF(J17="40–49 éves",5,
IF(J17="50 év és afelett",6
)))))*1.5,"NA")</f>
        <v>1478839.5</v>
      </c>
      <c r="P17" s="270">
        <f t="shared" si="30"/>
        <v>1478839.5</v>
      </c>
      <c r="Q17" s="270">
        <f t="shared" si="31"/>
        <v>600000</v>
      </c>
      <c r="R17" s="275">
        <f t="shared" si="32"/>
        <v>1</v>
      </c>
      <c r="S17" s="270">
        <f t="shared" si="33"/>
        <v>0</v>
      </c>
      <c r="T17" s="270">
        <f t="shared" si="34"/>
        <v>0</v>
      </c>
      <c r="U17" s="271">
        <f t="shared" si="35"/>
        <v>0</v>
      </c>
      <c r="V17" s="272">
        <f t="shared" si="36"/>
        <v>678000</v>
      </c>
      <c r="W17" s="273" t="str">
        <f t="shared" si="37"/>
        <v>Nem szükséges indoklás.</v>
      </c>
      <c r="X17" s="372">
        <f t="shared" si="38"/>
        <v>0</v>
      </c>
      <c r="Y17" s="317">
        <f t="shared" si="39"/>
        <v>600000</v>
      </c>
      <c r="Z17" s="317">
        <f t="shared" si="40"/>
        <v>78000</v>
      </c>
      <c r="AA17" s="12">
        <v>2</v>
      </c>
      <c r="AB17" s="274">
        <v>8433500570</v>
      </c>
      <c r="AC17" s="40" t="s">
        <v>154</v>
      </c>
      <c r="AD17" s="82" t="s">
        <v>75</v>
      </c>
      <c r="AE17" s="41" t="s">
        <v>52</v>
      </c>
      <c r="AF17" s="11" t="s">
        <v>151</v>
      </c>
      <c r="AG17" s="11" t="s">
        <v>151</v>
      </c>
      <c r="AH17" s="14" t="s">
        <v>122</v>
      </c>
      <c r="AI17" s="86" t="s">
        <v>21</v>
      </c>
      <c r="AJ17" s="113" t="str">
        <f>IF(COUNTIFS(Admin!$A$29:$A$40,AI17)&gt;0,Admin!$A$28,IF(COUNTIFS(Admin!$B$29:$B$40,AI17)&gt;0,Admin!$B$28,IF(COUNTIFS(Admin!$C$29:$C$40,AI17)&gt;0,Admin!$C$28,IF(COUNTIFS(Admin!$D$29:$D$40,AI17)&gt;0,Admin!$D$28,"-"))))</f>
        <v>2. mérföldkő</v>
      </c>
      <c r="AK17" s="14" t="s">
        <v>7</v>
      </c>
      <c r="AL17" s="9" t="s">
        <v>69</v>
      </c>
      <c r="AM17" s="131">
        <v>600000</v>
      </c>
      <c r="AN17" s="132">
        <f>IFERROR(ROUND(AM17*AU17,0),"")</f>
        <v>78000</v>
      </c>
      <c r="AO17" s="121" t="s">
        <v>2729</v>
      </c>
      <c r="AP17" s="121" t="s">
        <v>2729</v>
      </c>
      <c r="AQ17" s="354">
        <v>1</v>
      </c>
      <c r="AR17" s="133">
        <f>IFERROR(ROUND(AM17*AQ17,0),"")</f>
        <v>600000</v>
      </c>
      <c r="AS17" s="133">
        <f>IFERROR(ROUND(AR17*AU17,0),"")</f>
        <v>78000</v>
      </c>
      <c r="AT17" s="123" t="str">
        <f t="shared" si="4"/>
        <v/>
      </c>
      <c r="AU17" s="124">
        <v>0.13</v>
      </c>
      <c r="AV17" s="394" t="s">
        <v>2754</v>
      </c>
      <c r="AW17" s="15">
        <v>44755</v>
      </c>
      <c r="AX17" s="12" t="s">
        <v>206</v>
      </c>
      <c r="AY17" s="1" t="s">
        <v>2883</v>
      </c>
      <c r="BC17" s="1" t="s">
        <v>2813</v>
      </c>
      <c r="BD17" s="1" t="str">
        <f t="shared" ref="BD17:BD22" si="70">CONCATENATE(BC17," - ",AE17)</f>
        <v>Kutató_Szakmai vezető - Kutató</v>
      </c>
    </row>
    <row r="18" spans="1:56" s="1" customFormat="1" hidden="1" x14ac:dyDescent="0.25">
      <c r="A18" s="264" t="str">
        <f>Bérköltség!$B18</f>
        <v>FEOR</v>
      </c>
      <c r="B18" s="264" t="str">
        <f>IFERROR(
IF(AND(Bérköltség!$F18="",H18="NA"),"HIÁNYOS ADATOK",
IF(Bérköltség!$F18&lt;Bérköltség!$U18,Admin!$B$18,Admin!$B$17)),
"")</f>
        <v>FEOR</v>
      </c>
      <c r="C18" s="265">
        <f>IFERROR(INDEX('Historikus berek_2021-2'!$A$1:$F$903,MATCH(AB18,'Historikus berek_2021-2'!$A$1:$A$903,0),4),"")</f>
        <v>426900</v>
      </c>
      <c r="D18" s="279">
        <f t="shared" si="23"/>
        <v>426900</v>
      </c>
      <c r="E18" s="265">
        <f t="shared" si="24"/>
        <v>600000</v>
      </c>
      <c r="F18" s="266">
        <f t="shared" si="25"/>
        <v>195602.99999999994</v>
      </c>
      <c r="G18" s="267">
        <f t="shared" si="26"/>
        <v>482396.99999999994</v>
      </c>
      <c r="H18" s="268">
        <f>IFERROR(INDEX('FEOR kodok'!$A$2:$J$1126,MATCH(Bérköltség!AB18,'FEOR kodok'!$B$2:$B$1126,0),8),"NA")</f>
        <v>1413</v>
      </c>
      <c r="I18" s="269">
        <f>IFERROR(INDEX('FEOR kodok'!$A$2:$J$1126,MATCH(Bérköltség!AB18,'FEOR kodok'!$B$2:$B$1126,0),10),"NA")</f>
        <v>38</v>
      </c>
      <c r="J18" s="276" t="str">
        <f t="shared" si="27"/>
        <v>30–39 éves</v>
      </c>
      <c r="K18" s="269" t="str">
        <f>IFERROR(INDEX(admin_feor[#All],MATCH(Bérköltség!H18,admin_feor[[#All],[Foglalkozás]],0),2),"NA")</f>
        <v>Kutatási és fejlesztési tevékenységet folytató egység vezetője</v>
      </c>
      <c r="L18" s="270">
        <f>IFERROR(
INDEX('Admin - FEOR'!$A$4:$F$465,MATCH(Bérköltség!H18,'Admin - FEOR'!$A$4:$A$465,0),
IF(J18="30 év alatt",3,
IF(J18="30–39 éves",4,
IF(J18="40–49 éves",5,
IF(J18="50 év és afelett",6
)))))*1,"NA")</f>
        <v>985893</v>
      </c>
      <c r="M18" s="270">
        <f t="shared" si="28"/>
        <v>600000</v>
      </c>
      <c r="N18" s="318">
        <f t="shared" si="29"/>
        <v>0.60858531301064112</v>
      </c>
      <c r="O18" s="270">
        <f>IFERROR(
INDEX('Admin - FEOR'!$A$4:$F$465,MATCH(Bérköltség!H18,'Admin - FEOR'!$A$4:$A$465,0),
IF(J18="30 év alatt",3,
IF(J18="30–39 éves",4,
IF(J18="40–49 éves",5,
IF(J18="50 év és afelett",6
)))))*1.5,"NA")</f>
        <v>1478839.5</v>
      </c>
      <c r="P18" s="270">
        <f t="shared" si="30"/>
        <v>1478839.5</v>
      </c>
      <c r="Q18" s="270">
        <f t="shared" si="31"/>
        <v>600000</v>
      </c>
      <c r="R18" s="275">
        <f t="shared" si="32"/>
        <v>1</v>
      </c>
      <c r="S18" s="270">
        <f t="shared" si="33"/>
        <v>0</v>
      </c>
      <c r="T18" s="270">
        <f t="shared" si="34"/>
        <v>0</v>
      </c>
      <c r="U18" s="271">
        <f t="shared" si="35"/>
        <v>0</v>
      </c>
      <c r="V18" s="272">
        <f t="shared" si="36"/>
        <v>678000</v>
      </c>
      <c r="W18" s="273" t="str">
        <f t="shared" si="37"/>
        <v>Nem szükséges indoklás.</v>
      </c>
      <c r="X18" s="372">
        <f t="shared" si="38"/>
        <v>0</v>
      </c>
      <c r="Y18" s="317">
        <f t="shared" si="39"/>
        <v>600000</v>
      </c>
      <c r="Z18" s="317">
        <f t="shared" si="40"/>
        <v>78000</v>
      </c>
      <c r="AA18" s="12">
        <v>2</v>
      </c>
      <c r="AB18" s="274">
        <v>8433500570</v>
      </c>
      <c r="AC18" s="40" t="s">
        <v>154</v>
      </c>
      <c r="AD18" s="82" t="s">
        <v>75</v>
      </c>
      <c r="AE18" s="41" t="s">
        <v>52</v>
      </c>
      <c r="AF18" s="11" t="s">
        <v>151</v>
      </c>
      <c r="AG18" s="11" t="s">
        <v>151</v>
      </c>
      <c r="AH18" s="14" t="s">
        <v>122</v>
      </c>
      <c r="AI18" s="86" t="s">
        <v>22</v>
      </c>
      <c r="AJ18" s="113" t="str">
        <f>IF(COUNTIFS(Admin!$A$29:$A$40,AI18)&gt;0,Admin!$A$28,IF(COUNTIFS(Admin!$B$29:$B$40,AI18)&gt;0,Admin!$B$28,IF(COUNTIFS(Admin!$C$29:$C$40,AI18)&gt;0,Admin!$C$28,IF(COUNTIFS(Admin!$D$29:$D$40,AI18)&gt;0,Admin!$D$28,"-"))))</f>
        <v>2. mérföldkő</v>
      </c>
      <c r="AK18" s="14" t="s">
        <v>7</v>
      </c>
      <c r="AL18" s="9" t="s">
        <v>69</v>
      </c>
      <c r="AM18" s="131">
        <v>600000</v>
      </c>
      <c r="AN18" s="132">
        <f t="shared" ref="AN18:AN25" si="71">IFERROR(ROUND(AM18*AU18,0),"")</f>
        <v>78000</v>
      </c>
      <c r="AO18" s="121" t="s">
        <v>2729</v>
      </c>
      <c r="AP18" s="121" t="s">
        <v>2729</v>
      </c>
      <c r="AQ18" s="354">
        <v>1</v>
      </c>
      <c r="AR18" s="133">
        <f t="shared" ref="AR18:AR25" si="72">IFERROR(ROUND(AM18*AQ18,0),"")</f>
        <v>600000</v>
      </c>
      <c r="AS18" s="133">
        <f t="shared" ref="AS18:AS25" si="73">IFERROR(ROUND(AR18*AU18,0),"")</f>
        <v>78000</v>
      </c>
      <c r="AT18" s="123" t="str">
        <f t="shared" ref="AT18:AT25" si="74">IFERROR(AP18/AO18-AR18/AM18,"")</f>
        <v/>
      </c>
      <c r="AU18" s="124">
        <v>0.13</v>
      </c>
      <c r="AV18" s="394" t="s">
        <v>2754</v>
      </c>
      <c r="AW18" s="15">
        <v>44755</v>
      </c>
      <c r="AX18" s="12" t="s">
        <v>206</v>
      </c>
      <c r="AY18" s="1" t="s">
        <v>2883</v>
      </c>
      <c r="BC18" s="1" t="s">
        <v>2813</v>
      </c>
      <c r="BD18" s="1" t="str">
        <f t="shared" si="70"/>
        <v>Kutató_Szakmai vezető - Kutató</v>
      </c>
    </row>
    <row r="19" spans="1:56" s="1" customFormat="1" hidden="1" x14ac:dyDescent="0.25">
      <c r="A19" s="264" t="str">
        <f>Bérköltség!$B19</f>
        <v>FEOR</v>
      </c>
      <c r="B19" s="264" t="str">
        <f>IFERROR(
IF(AND(Bérköltség!$F19="",H19="NA"),"HIÁNYOS ADATOK",
IF(Bérköltség!$F19&lt;Bérköltség!$U19,Admin!$B$18,Admin!$B$17)),
"")</f>
        <v>FEOR</v>
      </c>
      <c r="C19" s="265">
        <f>IFERROR(INDEX('Historikus berek_2021-2'!$A$1:$F$903,MATCH(AB19,'Historikus berek_2021-2'!$A$1:$A$903,0),4),"")</f>
        <v>426900</v>
      </c>
      <c r="D19" s="279">
        <f t="shared" si="23"/>
        <v>426900</v>
      </c>
      <c r="E19" s="265">
        <f t="shared" si="24"/>
        <v>600000</v>
      </c>
      <c r="F19" s="266">
        <f t="shared" si="25"/>
        <v>195602.99999999994</v>
      </c>
      <c r="G19" s="267">
        <f t="shared" si="26"/>
        <v>482396.99999999994</v>
      </c>
      <c r="H19" s="268">
        <f>IFERROR(INDEX('FEOR kodok'!$A$2:$J$1126,MATCH(Bérköltség!AB19,'FEOR kodok'!$B$2:$B$1126,0),8),"NA")</f>
        <v>1413</v>
      </c>
      <c r="I19" s="269">
        <f>IFERROR(INDEX('FEOR kodok'!$A$2:$J$1126,MATCH(Bérköltség!AB19,'FEOR kodok'!$B$2:$B$1126,0),10),"NA")</f>
        <v>38</v>
      </c>
      <c r="J19" s="276" t="str">
        <f t="shared" si="27"/>
        <v>30–39 éves</v>
      </c>
      <c r="K19" s="269" t="str">
        <f>IFERROR(INDEX(admin_feor[#All],MATCH(Bérköltség!H19,admin_feor[[#All],[Foglalkozás]],0),2),"NA")</f>
        <v>Kutatási és fejlesztési tevékenységet folytató egység vezetője</v>
      </c>
      <c r="L19" s="270">
        <f>IFERROR(
INDEX('Admin - FEOR'!$A$4:$F$465,MATCH(Bérköltség!H19,'Admin - FEOR'!$A$4:$A$465,0),
IF(J19="30 év alatt",3,
IF(J19="30–39 éves",4,
IF(J19="40–49 éves",5,
IF(J19="50 év és afelett",6
)))))*1,"NA")</f>
        <v>985893</v>
      </c>
      <c r="M19" s="270">
        <f t="shared" si="28"/>
        <v>600000</v>
      </c>
      <c r="N19" s="318">
        <f t="shared" si="29"/>
        <v>0.60858531301064112</v>
      </c>
      <c r="O19" s="270">
        <f>IFERROR(
INDEX('Admin - FEOR'!$A$4:$F$465,MATCH(Bérköltség!H19,'Admin - FEOR'!$A$4:$A$465,0),
IF(J19="30 év alatt",3,
IF(J19="30–39 éves",4,
IF(J19="40–49 éves",5,
IF(J19="50 év és afelett",6
)))))*1.5,"NA")</f>
        <v>1478839.5</v>
      </c>
      <c r="P19" s="270">
        <f t="shared" si="30"/>
        <v>1478839.5</v>
      </c>
      <c r="Q19" s="270">
        <f t="shared" si="31"/>
        <v>600000</v>
      </c>
      <c r="R19" s="275">
        <f t="shared" si="32"/>
        <v>1</v>
      </c>
      <c r="S19" s="270">
        <f t="shared" si="33"/>
        <v>0</v>
      </c>
      <c r="T19" s="270">
        <f t="shared" si="34"/>
        <v>0</v>
      </c>
      <c r="U19" s="271">
        <f t="shared" si="35"/>
        <v>0</v>
      </c>
      <c r="V19" s="272">
        <f t="shared" si="36"/>
        <v>678000</v>
      </c>
      <c r="W19" s="273" t="str">
        <f t="shared" si="37"/>
        <v>Nem szükséges indoklás.</v>
      </c>
      <c r="X19" s="372">
        <f t="shared" si="38"/>
        <v>0</v>
      </c>
      <c r="Y19" s="317">
        <f t="shared" si="39"/>
        <v>600000</v>
      </c>
      <c r="Z19" s="317">
        <f t="shared" si="40"/>
        <v>78000</v>
      </c>
      <c r="AA19" s="12">
        <v>2</v>
      </c>
      <c r="AB19" s="274">
        <v>8433500570</v>
      </c>
      <c r="AC19" s="40" t="s">
        <v>154</v>
      </c>
      <c r="AD19" s="82" t="s">
        <v>75</v>
      </c>
      <c r="AE19" s="41" t="s">
        <v>52</v>
      </c>
      <c r="AF19" s="11" t="s">
        <v>151</v>
      </c>
      <c r="AG19" s="11" t="s">
        <v>151</v>
      </c>
      <c r="AH19" s="14" t="s">
        <v>122</v>
      </c>
      <c r="AI19" s="86" t="s">
        <v>23</v>
      </c>
      <c r="AJ19" s="113" t="str">
        <f>IF(COUNTIFS(Admin!$A$29:$A$40,AI19)&gt;0,Admin!$A$28,IF(COUNTIFS(Admin!$B$29:$B$40,AI19)&gt;0,Admin!$B$28,IF(COUNTIFS(Admin!$C$29:$C$40,AI19)&gt;0,Admin!$C$28,IF(COUNTIFS(Admin!$D$29:$D$40,AI19)&gt;0,Admin!$D$28,"-"))))</f>
        <v>2. mérföldkő</v>
      </c>
      <c r="AK19" s="14" t="s">
        <v>7</v>
      </c>
      <c r="AL19" s="9" t="s">
        <v>69</v>
      </c>
      <c r="AM19" s="131">
        <v>600000</v>
      </c>
      <c r="AN19" s="132">
        <f t="shared" si="71"/>
        <v>78000</v>
      </c>
      <c r="AO19" s="121" t="s">
        <v>2729</v>
      </c>
      <c r="AP19" s="121" t="s">
        <v>2729</v>
      </c>
      <c r="AQ19" s="354">
        <v>1</v>
      </c>
      <c r="AR19" s="133">
        <f t="shared" si="72"/>
        <v>600000</v>
      </c>
      <c r="AS19" s="133">
        <f t="shared" si="73"/>
        <v>78000</v>
      </c>
      <c r="AT19" s="123" t="str">
        <f t="shared" si="74"/>
        <v/>
      </c>
      <c r="AU19" s="124">
        <v>0.13</v>
      </c>
      <c r="AV19" s="394" t="s">
        <v>2754</v>
      </c>
      <c r="AW19" s="15">
        <v>44755</v>
      </c>
      <c r="AX19" s="12" t="s">
        <v>206</v>
      </c>
      <c r="AY19" s="1" t="s">
        <v>2883</v>
      </c>
      <c r="BC19" s="1" t="s">
        <v>2813</v>
      </c>
      <c r="BD19" s="1" t="str">
        <f t="shared" si="70"/>
        <v>Kutató_Szakmai vezető - Kutató</v>
      </c>
    </row>
    <row r="20" spans="1:56" s="1" customFormat="1" hidden="1" x14ac:dyDescent="0.25">
      <c r="A20" s="264" t="str">
        <f>Bérköltség!$B20</f>
        <v>FEOR</v>
      </c>
      <c r="B20" s="264" t="str">
        <f>IFERROR(
IF(AND(Bérköltség!$F20="",H20="NA"),"HIÁNYOS ADATOK",
IF(Bérköltség!$F20&lt;Bérköltség!$U20,Admin!$B$18,Admin!$B$17)),
"")</f>
        <v>FEOR</v>
      </c>
      <c r="C20" s="265">
        <f>IFERROR(INDEX('Historikus berek_2021-2'!$A$1:$F$903,MATCH(AB20,'Historikus berek_2021-2'!$A$1:$A$903,0),4),"")</f>
        <v>426900</v>
      </c>
      <c r="D20" s="279">
        <f t="shared" ref="D20:D25" si="75">IFERROR(C20*AQ20,"")</f>
        <v>426900</v>
      </c>
      <c r="E20" s="265">
        <f t="shared" ref="E20:E25" si="76">AR20</f>
        <v>600000</v>
      </c>
      <c r="F20" s="266">
        <f t="shared" ref="F20:F25" si="77">IFERROR(IF((E20*(1+AU20)-D20*(1+AU20))&lt;0,0,(E20*(1+AU20)-D20*(1+AU20))),"")</f>
        <v>195602.99999999994</v>
      </c>
      <c r="G20" s="267">
        <f t="shared" ref="G20:G25" si="78">IFERROR((E20*(1+AU20)-F20),"")</f>
        <v>482396.99999999994</v>
      </c>
      <c r="H20" s="268">
        <f>IFERROR(INDEX('FEOR kodok'!$A$2:$J$1126,MATCH(Bérköltség!AB20,'FEOR kodok'!$B$2:$B$1126,0),8),"NA")</f>
        <v>1413</v>
      </c>
      <c r="I20" s="269">
        <f>IFERROR(INDEX('FEOR kodok'!$A$2:$J$1126,MATCH(Bérköltség!AB20,'FEOR kodok'!$B$2:$B$1126,0),10),"NA")</f>
        <v>38</v>
      </c>
      <c r="J20" s="276" t="str">
        <f t="shared" ref="J20:J25" si="79">IF(I20="NA","NA",
IF(I20&lt;30,"30 év alatt",
IF(AND(I20&gt;=30,I20&lt;=39),"30–39 éves",
IF(AND(I20&gt;=40,I20&lt;=49),"40–49 éves",
IF(I20&gt;=50,"50 év és afelett",
"")))))</f>
        <v>30–39 éves</v>
      </c>
      <c r="K20" s="269" t="str">
        <f>IFERROR(INDEX(admin_feor[#All],MATCH(Bérköltség!H20,admin_feor[[#All],[Foglalkozás]],0),2),"NA")</f>
        <v>Kutatási és fejlesztési tevékenységet folytató egység vezetője</v>
      </c>
      <c r="L20" s="270">
        <f>IFERROR(
INDEX('Admin - FEOR'!$A$4:$F$465,MATCH(Bérköltség!H20,'Admin - FEOR'!$A$4:$A$465,0),
IF(J20="30 év alatt",3,
IF(J20="30–39 éves",4,
IF(J20="40–49 éves",5,
IF(J20="50 év és afelett",6
)))))*1,"NA")</f>
        <v>985893</v>
      </c>
      <c r="M20" s="270">
        <f t="shared" ref="M20:M25" si="80">AM20</f>
        <v>600000</v>
      </c>
      <c r="N20" s="318">
        <f t="shared" ref="N20:N25" si="81">IFERROR(
M20/L20,"NA")</f>
        <v>0.60858531301064112</v>
      </c>
      <c r="O20" s="270">
        <f>IFERROR(
INDEX('Admin - FEOR'!$A$4:$F$465,MATCH(Bérköltség!H20,'Admin - FEOR'!$A$4:$A$465,0),
IF(J20="30 év alatt",3,
IF(J20="30–39 éves",4,
IF(J20="40–49 éves",5,
IF(J20="50 év és afelett",6
)))))*1.5,"NA")</f>
        <v>1478839.5</v>
      </c>
      <c r="P20" s="270">
        <f t="shared" ref="P20:P25" si="82">IFERROR(
AQ20*O20,"NA")</f>
        <v>1478839.5</v>
      </c>
      <c r="Q20" s="270">
        <f t="shared" ref="Q20:Q25" si="83">IFERROR(AR20,"")</f>
        <v>600000</v>
      </c>
      <c r="R20" s="275">
        <f t="shared" ref="R20:R25" si="84">IFERROR(AQ20,"")</f>
        <v>1</v>
      </c>
      <c r="S20" s="270">
        <f t="shared" ref="S20:S25" si="85">IFERROR(
IF(AR20-P20&lt;0,0,AR20-P20),"NA")</f>
        <v>0</v>
      </c>
      <c r="T20" s="270">
        <f t="shared" ref="T20:T25" si="86">IFERROR(
S20*AU20,"NA")</f>
        <v>0</v>
      </c>
      <c r="U20" s="271">
        <f t="shared" ref="U20:U25" si="87">IFERROR(
S20+T20,"NA")</f>
        <v>0</v>
      </c>
      <c r="V20" s="272">
        <f t="shared" ref="V20:V25" si="88">IFERROR(
IF(U20&gt;0,AR20+AS20-U20,AR20+AS20),"NA")</f>
        <v>678000</v>
      </c>
      <c r="W20" s="273" t="str">
        <f t="shared" ref="W20:W25" si="89">IF(P20="NA","FEOR hiányzik",
IF(AND(N20&gt;1,A20="FEOR"),CONCATENATE("Indoklás szükséges mivel a FEOR: ",ROUND(N20*100,1),"%"),"Nem szükséges indoklás.")
)</f>
        <v>Nem szükséges indoklás.</v>
      </c>
      <c r="X20" s="372">
        <f t="shared" ref="X20:X25" si="90">IF(A20="FEOR",U20,IF(A20="HIÁNYOS ADATOK","HIÁNYOS ADATOK",F20))</f>
        <v>0</v>
      </c>
      <c r="Y20" s="317">
        <f t="shared" ref="Y20:Y25" si="91">IF(A20="FEOR",ROUND((V20/(1+AU20)),0),IF(A20="HIÁNYOS ADATOK","HIÁNYOS ADATOK",ROUND(G20/(1+AU20),0)))</f>
        <v>600000</v>
      </c>
      <c r="Z20" s="317">
        <f t="shared" ref="Z20:Z25" si="92">IF(A20="FEOR",ROUND((V20-Y20),0),IF(A20="HIÁNYOS ADATOK","HIÁNYOS ADATOK",ROUND((G20-Y20),0)))</f>
        <v>78000</v>
      </c>
      <c r="AA20" s="12">
        <v>2</v>
      </c>
      <c r="AB20" s="274">
        <v>8433500570</v>
      </c>
      <c r="AC20" s="40" t="s">
        <v>154</v>
      </c>
      <c r="AD20" s="82" t="s">
        <v>75</v>
      </c>
      <c r="AE20" s="41" t="s">
        <v>52</v>
      </c>
      <c r="AF20" s="11" t="s">
        <v>151</v>
      </c>
      <c r="AG20" s="11" t="s">
        <v>151</v>
      </c>
      <c r="AH20" s="14" t="s">
        <v>122</v>
      </c>
      <c r="AI20" s="86" t="s">
        <v>24</v>
      </c>
      <c r="AJ20" s="113" t="str">
        <f>IF(COUNTIFS(Admin!$A$29:$A$40,AI20)&gt;0,Admin!$A$28,IF(COUNTIFS(Admin!$B$29:$B$40,AI20)&gt;0,Admin!$B$28,IF(COUNTIFS(Admin!$C$29:$C$40,AI20)&gt;0,Admin!$C$28,IF(COUNTIFS(Admin!$D$29:$D$40,AI20)&gt;0,Admin!$D$28,"-"))))</f>
        <v>2. mérföldkő</v>
      </c>
      <c r="AK20" s="14" t="s">
        <v>7</v>
      </c>
      <c r="AL20" s="9" t="s">
        <v>69</v>
      </c>
      <c r="AM20" s="131">
        <v>600000</v>
      </c>
      <c r="AN20" s="132">
        <f t="shared" si="71"/>
        <v>78000</v>
      </c>
      <c r="AO20" s="121" t="s">
        <v>2729</v>
      </c>
      <c r="AP20" s="121" t="s">
        <v>2729</v>
      </c>
      <c r="AQ20" s="354">
        <v>1</v>
      </c>
      <c r="AR20" s="133">
        <f t="shared" si="72"/>
        <v>600000</v>
      </c>
      <c r="AS20" s="133">
        <f t="shared" si="73"/>
        <v>78000</v>
      </c>
      <c r="AT20" s="123" t="str">
        <f t="shared" si="74"/>
        <v/>
      </c>
      <c r="AU20" s="124">
        <v>0.13</v>
      </c>
      <c r="AV20" s="394" t="s">
        <v>2754</v>
      </c>
      <c r="AW20" s="15">
        <v>44755</v>
      </c>
      <c r="AX20" s="12" t="s">
        <v>206</v>
      </c>
      <c r="AY20" s="1" t="s">
        <v>2883</v>
      </c>
      <c r="BC20" s="1" t="s">
        <v>2813</v>
      </c>
      <c r="BD20" s="1" t="str">
        <f t="shared" si="70"/>
        <v>Kutató_Szakmai vezető - Kutató</v>
      </c>
    </row>
    <row r="21" spans="1:56" s="1" customFormat="1" hidden="1" x14ac:dyDescent="0.25">
      <c r="A21" s="264" t="str">
        <f>Bérköltség!$B21</f>
        <v>FEOR</v>
      </c>
      <c r="B21" s="264" t="str">
        <f>IFERROR(
IF(AND(Bérköltség!$F21="",H21="NA"),"HIÁNYOS ADATOK",
IF(Bérköltség!$F21&lt;Bérköltség!$U21,Admin!$B$18,Admin!$B$17)),
"")</f>
        <v>FEOR</v>
      </c>
      <c r="C21" s="265">
        <f>IFERROR(INDEX('Historikus berek_2021-2'!$A$1:$F$903,MATCH(AB21,'Historikus berek_2021-2'!$A$1:$A$903,0),4),"")</f>
        <v>426900</v>
      </c>
      <c r="D21" s="279">
        <f t="shared" si="75"/>
        <v>426900</v>
      </c>
      <c r="E21" s="265">
        <f t="shared" si="76"/>
        <v>600000</v>
      </c>
      <c r="F21" s="266">
        <f t="shared" si="77"/>
        <v>195602.99999999994</v>
      </c>
      <c r="G21" s="267">
        <f t="shared" si="78"/>
        <v>482396.99999999994</v>
      </c>
      <c r="H21" s="268">
        <f>IFERROR(INDEX('FEOR kodok'!$A$2:$J$1126,MATCH(Bérköltség!AB21,'FEOR kodok'!$B$2:$B$1126,0),8),"NA")</f>
        <v>1413</v>
      </c>
      <c r="I21" s="269">
        <f>IFERROR(INDEX('FEOR kodok'!$A$2:$J$1126,MATCH(Bérköltség!AB21,'FEOR kodok'!$B$2:$B$1126,0),10),"NA")</f>
        <v>38</v>
      </c>
      <c r="J21" s="276" t="str">
        <f t="shared" si="79"/>
        <v>30–39 éves</v>
      </c>
      <c r="K21" s="269" t="str">
        <f>IFERROR(INDEX(admin_feor[#All],MATCH(Bérköltség!H21,admin_feor[[#All],[Foglalkozás]],0),2),"NA")</f>
        <v>Kutatási és fejlesztési tevékenységet folytató egység vezetője</v>
      </c>
      <c r="L21" s="270">
        <f>IFERROR(
INDEX('Admin - FEOR'!$A$4:$F$465,MATCH(Bérköltség!H21,'Admin - FEOR'!$A$4:$A$465,0),
IF(J21="30 év alatt",3,
IF(J21="30–39 éves",4,
IF(J21="40–49 éves",5,
IF(J21="50 év és afelett",6
)))))*1,"NA")</f>
        <v>985893</v>
      </c>
      <c r="M21" s="270">
        <f t="shared" si="80"/>
        <v>600000</v>
      </c>
      <c r="N21" s="318">
        <f t="shared" si="81"/>
        <v>0.60858531301064112</v>
      </c>
      <c r="O21" s="270">
        <f>IFERROR(
INDEX('Admin - FEOR'!$A$4:$F$465,MATCH(Bérköltség!H21,'Admin - FEOR'!$A$4:$A$465,0),
IF(J21="30 év alatt",3,
IF(J21="30–39 éves",4,
IF(J21="40–49 éves",5,
IF(J21="50 év és afelett",6
)))))*1.5,"NA")</f>
        <v>1478839.5</v>
      </c>
      <c r="P21" s="270">
        <f t="shared" si="82"/>
        <v>1478839.5</v>
      </c>
      <c r="Q21" s="270">
        <f t="shared" si="83"/>
        <v>600000</v>
      </c>
      <c r="R21" s="275">
        <f t="shared" si="84"/>
        <v>1</v>
      </c>
      <c r="S21" s="270">
        <f t="shared" si="85"/>
        <v>0</v>
      </c>
      <c r="T21" s="270">
        <f t="shared" si="86"/>
        <v>0</v>
      </c>
      <c r="U21" s="271">
        <f t="shared" si="87"/>
        <v>0</v>
      </c>
      <c r="V21" s="272">
        <f t="shared" si="88"/>
        <v>678000</v>
      </c>
      <c r="W21" s="273" t="str">
        <f t="shared" si="89"/>
        <v>Nem szükséges indoklás.</v>
      </c>
      <c r="X21" s="372">
        <f t="shared" si="90"/>
        <v>0</v>
      </c>
      <c r="Y21" s="317">
        <f t="shared" si="91"/>
        <v>600000</v>
      </c>
      <c r="Z21" s="317">
        <f t="shared" si="92"/>
        <v>78000</v>
      </c>
      <c r="AA21" s="12">
        <v>2</v>
      </c>
      <c r="AB21" s="274">
        <v>8433500570</v>
      </c>
      <c r="AC21" s="40" t="s">
        <v>154</v>
      </c>
      <c r="AD21" s="82" t="s">
        <v>75</v>
      </c>
      <c r="AE21" s="41" t="s">
        <v>52</v>
      </c>
      <c r="AF21" s="11" t="s">
        <v>151</v>
      </c>
      <c r="AG21" s="11" t="s">
        <v>151</v>
      </c>
      <c r="AH21" s="14" t="s">
        <v>122</v>
      </c>
      <c r="AI21" s="86" t="s">
        <v>25</v>
      </c>
      <c r="AJ21" s="113" t="str">
        <f>IF(COUNTIFS(Admin!$A$29:$A$40,AI21)&gt;0,Admin!$A$28,IF(COUNTIFS(Admin!$B$29:$B$40,AI21)&gt;0,Admin!$B$28,IF(COUNTIFS(Admin!$C$29:$C$40,AI21)&gt;0,Admin!$C$28,IF(COUNTIFS(Admin!$D$29:$D$40,AI21)&gt;0,Admin!$D$28,"-"))))</f>
        <v>2. mérföldkő</v>
      </c>
      <c r="AK21" s="14" t="s">
        <v>7</v>
      </c>
      <c r="AL21" s="9" t="s">
        <v>69</v>
      </c>
      <c r="AM21" s="131">
        <v>600000</v>
      </c>
      <c r="AN21" s="132">
        <f t="shared" si="71"/>
        <v>78000</v>
      </c>
      <c r="AO21" s="121" t="s">
        <v>2729</v>
      </c>
      <c r="AP21" s="121" t="s">
        <v>2729</v>
      </c>
      <c r="AQ21" s="354">
        <v>1</v>
      </c>
      <c r="AR21" s="133">
        <f t="shared" si="72"/>
        <v>600000</v>
      </c>
      <c r="AS21" s="133">
        <f t="shared" si="73"/>
        <v>78000</v>
      </c>
      <c r="AT21" s="123" t="str">
        <f t="shared" si="74"/>
        <v/>
      </c>
      <c r="AU21" s="124">
        <v>0.13</v>
      </c>
      <c r="AV21" s="394" t="s">
        <v>2754</v>
      </c>
      <c r="AW21" s="15">
        <v>44755</v>
      </c>
      <c r="AX21" s="12" t="s">
        <v>206</v>
      </c>
      <c r="AY21" s="1" t="s">
        <v>2883</v>
      </c>
      <c r="BC21" s="1" t="s">
        <v>2813</v>
      </c>
      <c r="BD21" s="1" t="str">
        <f t="shared" si="70"/>
        <v>Kutató_Szakmai vezető - Kutató</v>
      </c>
    </row>
    <row r="22" spans="1:56" s="1" customFormat="1" hidden="1" x14ac:dyDescent="0.25">
      <c r="A22" s="264" t="str">
        <f>Bérköltség!$B22</f>
        <v>FEOR</v>
      </c>
      <c r="B22" s="264" t="str">
        <f>IFERROR(
IF(AND(Bérköltség!$F22="",H22="NA"),"HIÁNYOS ADATOK",
IF(Bérköltség!$F22&lt;Bérköltség!$U22,Admin!$B$18,Admin!$B$17)),
"")</f>
        <v>FEOR</v>
      </c>
      <c r="C22" s="265">
        <f>IFERROR(INDEX('Historikus berek_2021-2'!$A$1:$F$903,MATCH(AB22,'Historikus berek_2021-2'!$A$1:$A$903,0),4),"")</f>
        <v>426900</v>
      </c>
      <c r="D22" s="279">
        <f t="shared" si="75"/>
        <v>426900</v>
      </c>
      <c r="E22" s="265">
        <f t="shared" si="76"/>
        <v>600000</v>
      </c>
      <c r="F22" s="266">
        <f t="shared" si="77"/>
        <v>195602.99999999994</v>
      </c>
      <c r="G22" s="267">
        <f t="shared" si="78"/>
        <v>482396.99999999994</v>
      </c>
      <c r="H22" s="268">
        <f>IFERROR(INDEX('FEOR kodok'!$A$2:$J$1126,MATCH(Bérköltség!AB22,'FEOR kodok'!$B$2:$B$1126,0),8),"NA")</f>
        <v>1413</v>
      </c>
      <c r="I22" s="269">
        <f>IFERROR(INDEX('FEOR kodok'!$A$2:$J$1126,MATCH(Bérköltség!AB22,'FEOR kodok'!$B$2:$B$1126,0),10),"NA")</f>
        <v>38</v>
      </c>
      <c r="J22" s="276" t="str">
        <f t="shared" si="79"/>
        <v>30–39 éves</v>
      </c>
      <c r="K22" s="269" t="str">
        <f>IFERROR(INDEX(admin_feor[#All],MATCH(Bérköltség!H22,admin_feor[[#All],[Foglalkozás]],0),2),"NA")</f>
        <v>Kutatási és fejlesztési tevékenységet folytató egység vezetője</v>
      </c>
      <c r="L22" s="270">
        <f>IFERROR(
INDEX('Admin - FEOR'!$A$4:$F$465,MATCH(Bérköltség!H22,'Admin - FEOR'!$A$4:$A$465,0),
IF(J22="30 év alatt",3,
IF(J22="30–39 éves",4,
IF(J22="40–49 éves",5,
IF(J22="50 év és afelett",6
)))))*1,"NA")</f>
        <v>985893</v>
      </c>
      <c r="M22" s="270">
        <f t="shared" si="80"/>
        <v>600000</v>
      </c>
      <c r="N22" s="318">
        <f t="shared" si="81"/>
        <v>0.60858531301064112</v>
      </c>
      <c r="O22" s="270">
        <f>IFERROR(
INDEX('Admin - FEOR'!$A$4:$F$465,MATCH(Bérköltség!H22,'Admin - FEOR'!$A$4:$A$465,0),
IF(J22="30 év alatt",3,
IF(J22="30–39 éves",4,
IF(J22="40–49 éves",5,
IF(J22="50 év és afelett",6
)))))*1.5,"NA")</f>
        <v>1478839.5</v>
      </c>
      <c r="P22" s="270">
        <f t="shared" si="82"/>
        <v>1478839.5</v>
      </c>
      <c r="Q22" s="270">
        <f t="shared" si="83"/>
        <v>600000</v>
      </c>
      <c r="R22" s="275">
        <f t="shared" si="84"/>
        <v>1</v>
      </c>
      <c r="S22" s="270">
        <f t="shared" si="85"/>
        <v>0</v>
      </c>
      <c r="T22" s="270">
        <f t="shared" si="86"/>
        <v>0</v>
      </c>
      <c r="U22" s="271">
        <f t="shared" si="87"/>
        <v>0</v>
      </c>
      <c r="V22" s="272">
        <f t="shared" si="88"/>
        <v>678000</v>
      </c>
      <c r="W22" s="273" t="str">
        <f t="shared" si="89"/>
        <v>Nem szükséges indoklás.</v>
      </c>
      <c r="X22" s="372">
        <f t="shared" si="90"/>
        <v>0</v>
      </c>
      <c r="Y22" s="317">
        <f t="shared" si="91"/>
        <v>600000</v>
      </c>
      <c r="Z22" s="317">
        <f t="shared" si="92"/>
        <v>78000</v>
      </c>
      <c r="AA22" s="12">
        <v>2</v>
      </c>
      <c r="AB22" s="274">
        <v>8433500570</v>
      </c>
      <c r="AC22" s="40" t="s">
        <v>154</v>
      </c>
      <c r="AD22" s="82" t="s">
        <v>75</v>
      </c>
      <c r="AE22" s="41" t="s">
        <v>52</v>
      </c>
      <c r="AF22" s="11" t="s">
        <v>151</v>
      </c>
      <c r="AG22" s="11" t="s">
        <v>151</v>
      </c>
      <c r="AH22" s="14" t="s">
        <v>122</v>
      </c>
      <c r="AI22" s="86" t="s">
        <v>26</v>
      </c>
      <c r="AJ22" s="113" t="str">
        <f>IF(COUNTIFS(Admin!$A$29:$A$40,AI22)&gt;0,Admin!$A$28,IF(COUNTIFS(Admin!$B$29:$B$40,AI22)&gt;0,Admin!$B$28,IF(COUNTIFS(Admin!$C$29:$C$40,AI22)&gt;0,Admin!$C$28,IF(COUNTIFS(Admin!$D$29:$D$40,AI22)&gt;0,Admin!$D$28,"-"))))</f>
        <v>2. mérföldkő</v>
      </c>
      <c r="AK22" s="14" t="s">
        <v>7</v>
      </c>
      <c r="AL22" s="9" t="s">
        <v>69</v>
      </c>
      <c r="AM22" s="131">
        <v>600000</v>
      </c>
      <c r="AN22" s="132">
        <f t="shared" si="71"/>
        <v>78000</v>
      </c>
      <c r="AO22" s="121" t="s">
        <v>2729</v>
      </c>
      <c r="AP22" s="121" t="s">
        <v>2729</v>
      </c>
      <c r="AQ22" s="354">
        <v>1</v>
      </c>
      <c r="AR22" s="133">
        <f t="shared" si="72"/>
        <v>600000</v>
      </c>
      <c r="AS22" s="133">
        <f t="shared" si="73"/>
        <v>78000</v>
      </c>
      <c r="AT22" s="123" t="str">
        <f t="shared" si="74"/>
        <v/>
      </c>
      <c r="AU22" s="124">
        <v>0.13</v>
      </c>
      <c r="AV22" s="394" t="s">
        <v>2754</v>
      </c>
      <c r="AW22" s="15">
        <v>44755</v>
      </c>
      <c r="AX22" s="12" t="s">
        <v>206</v>
      </c>
      <c r="AY22" s="1" t="s">
        <v>2883</v>
      </c>
      <c r="BC22" s="1" t="s">
        <v>2813</v>
      </c>
      <c r="BD22" s="1" t="str">
        <f t="shared" si="70"/>
        <v>Kutató_Szakmai vezető - Kutató</v>
      </c>
    </row>
    <row r="23" spans="1:56" s="1" customFormat="1" hidden="1" x14ac:dyDescent="0.25">
      <c r="A23" s="264" t="str">
        <f>Bérköltség!$B23</f>
        <v>FEOR</v>
      </c>
      <c r="B23" s="264" t="str">
        <f>IFERROR(
IF(AND(Bérköltség!$F23="",H23="NA"),"HIÁNYOS ADATOK",
IF(Bérköltség!$F23&lt;Bérköltség!$U23,Admin!$B$18,Admin!$B$17)),
"")</f>
        <v>FEOR</v>
      </c>
      <c r="C23" s="265">
        <f>IFERROR(INDEX('Historikus berek_2021-2'!$A$1:$F$903,MATCH(AB23,'Historikus berek_2021-2'!$A$1:$A$903,0),4),"")</f>
        <v>426900</v>
      </c>
      <c r="D23" s="279">
        <f t="shared" si="75"/>
        <v>426900</v>
      </c>
      <c r="E23" s="265">
        <f t="shared" si="76"/>
        <v>600000</v>
      </c>
      <c r="F23" s="266">
        <f t="shared" si="77"/>
        <v>195602.99999999994</v>
      </c>
      <c r="G23" s="267">
        <f t="shared" si="78"/>
        <v>482396.99999999994</v>
      </c>
      <c r="H23" s="268">
        <f>IFERROR(INDEX('FEOR kodok'!$A$2:$J$1126,MATCH(Bérköltség!AB23,'FEOR kodok'!$B$2:$B$1126,0),8),"NA")</f>
        <v>1413</v>
      </c>
      <c r="I23" s="269">
        <f>IFERROR(INDEX('FEOR kodok'!$A$2:$J$1126,MATCH(Bérköltség!AB23,'FEOR kodok'!$B$2:$B$1126,0),10),"NA")</f>
        <v>38</v>
      </c>
      <c r="J23" s="276" t="str">
        <f t="shared" si="79"/>
        <v>30–39 éves</v>
      </c>
      <c r="K23" s="269" t="str">
        <f>IFERROR(INDEX(admin_feor[#All],MATCH(Bérköltség!H23,admin_feor[[#All],[Foglalkozás]],0),2),"NA")</f>
        <v>Kutatási és fejlesztési tevékenységet folytató egység vezetője</v>
      </c>
      <c r="L23" s="270">
        <f>IFERROR(
INDEX('Admin - FEOR'!$A$4:$F$465,MATCH(Bérköltség!H23,'Admin - FEOR'!$A$4:$A$465,0),
IF(J23="30 év alatt",3,
IF(J23="30–39 éves",4,
IF(J23="40–49 éves",5,
IF(J23="50 év és afelett",6
)))))*1,"NA")</f>
        <v>985893</v>
      </c>
      <c r="M23" s="270">
        <f t="shared" si="80"/>
        <v>600000</v>
      </c>
      <c r="N23" s="318">
        <f t="shared" si="81"/>
        <v>0.60858531301064112</v>
      </c>
      <c r="O23" s="270">
        <f>IFERROR(
INDEX('Admin - FEOR'!$A$4:$F$465,MATCH(Bérköltség!H23,'Admin - FEOR'!$A$4:$A$465,0),
IF(J23="30 év alatt",3,
IF(J23="30–39 éves",4,
IF(J23="40–49 éves",5,
IF(J23="50 év és afelett",6
)))))*1.5,"NA")</f>
        <v>1478839.5</v>
      </c>
      <c r="P23" s="270">
        <f t="shared" si="82"/>
        <v>1478839.5</v>
      </c>
      <c r="Q23" s="270">
        <f t="shared" si="83"/>
        <v>600000</v>
      </c>
      <c r="R23" s="275">
        <f t="shared" si="84"/>
        <v>1</v>
      </c>
      <c r="S23" s="270">
        <f t="shared" si="85"/>
        <v>0</v>
      </c>
      <c r="T23" s="270">
        <f t="shared" si="86"/>
        <v>0</v>
      </c>
      <c r="U23" s="271">
        <f t="shared" si="87"/>
        <v>0</v>
      </c>
      <c r="V23" s="272">
        <f t="shared" si="88"/>
        <v>678000</v>
      </c>
      <c r="W23" s="273" t="str">
        <f t="shared" si="89"/>
        <v>Nem szükséges indoklás.</v>
      </c>
      <c r="X23" s="372">
        <f t="shared" si="90"/>
        <v>0</v>
      </c>
      <c r="Y23" s="317">
        <f t="shared" si="91"/>
        <v>600000</v>
      </c>
      <c r="Z23" s="317">
        <f t="shared" si="92"/>
        <v>78000</v>
      </c>
      <c r="AA23" s="36"/>
      <c r="AB23" s="274">
        <v>8433500570</v>
      </c>
      <c r="AC23" s="40" t="s">
        <v>154</v>
      </c>
      <c r="AD23" s="82" t="s">
        <v>75</v>
      </c>
      <c r="AE23" s="41" t="s">
        <v>52</v>
      </c>
      <c r="AF23" s="11" t="s">
        <v>151</v>
      </c>
      <c r="AG23" s="11" t="s">
        <v>151</v>
      </c>
      <c r="AH23" s="14" t="s">
        <v>122</v>
      </c>
      <c r="AI23" s="86" t="s">
        <v>32</v>
      </c>
      <c r="AJ23" s="113" t="str">
        <f>IF(COUNTIFS(Admin!$A$29:$A$40,AI23)&gt;0,Admin!$A$28,IF(COUNTIFS(Admin!$B$29:$B$40,AI23)&gt;0,Admin!$B$28,IF(COUNTIFS(Admin!$C$29:$C$40,AI23)&gt;0,Admin!$C$28,IF(COUNTIFS(Admin!$D$29:$D$40,AI23)&gt;0,Admin!$D$28,"-"))))</f>
        <v>2. mérföldkő</v>
      </c>
      <c r="AK23" s="14" t="s">
        <v>141</v>
      </c>
      <c r="AL23" s="9" t="s">
        <v>69</v>
      </c>
      <c r="AM23" s="131">
        <v>600000</v>
      </c>
      <c r="AN23" s="132">
        <f t="shared" si="71"/>
        <v>78000</v>
      </c>
      <c r="AO23" s="121" t="s">
        <v>2729</v>
      </c>
      <c r="AP23" s="121" t="s">
        <v>2729</v>
      </c>
      <c r="AQ23" s="354">
        <v>1</v>
      </c>
      <c r="AR23" s="133">
        <f t="shared" si="72"/>
        <v>600000</v>
      </c>
      <c r="AS23" s="133">
        <f t="shared" si="73"/>
        <v>78000</v>
      </c>
      <c r="AT23" s="123" t="str">
        <f t="shared" si="74"/>
        <v/>
      </c>
      <c r="AU23" s="124">
        <v>0.13</v>
      </c>
      <c r="AV23" s="394" t="s">
        <v>2754</v>
      </c>
      <c r="AW23" s="15">
        <v>44755</v>
      </c>
      <c r="AX23" s="12" t="s">
        <v>206</v>
      </c>
      <c r="AY23" s="1" t="s">
        <v>2883</v>
      </c>
      <c r="BC23" s="1" t="s">
        <v>2813</v>
      </c>
    </row>
    <row r="24" spans="1:56" s="1" customFormat="1" hidden="1" x14ac:dyDescent="0.25">
      <c r="A24" s="264" t="str">
        <f>Bérköltség!$B24</f>
        <v>FEOR</v>
      </c>
      <c r="B24" s="264" t="str">
        <f>IFERROR(
IF(AND(Bérköltség!$F24="",H24="NA"),"HIÁNYOS ADATOK",
IF(Bérköltség!$F24&lt;Bérköltség!$U24,Admin!$B$18,Admin!$B$17)),
"")</f>
        <v>FEOR</v>
      </c>
      <c r="C24" s="265">
        <f>IFERROR(INDEX('Historikus berek_2021-2'!$A$1:$F$903,MATCH(AB24,'Historikus berek_2021-2'!$A$1:$A$903,0),4),"")</f>
        <v>426900</v>
      </c>
      <c r="D24" s="279">
        <f t="shared" si="75"/>
        <v>426900</v>
      </c>
      <c r="E24" s="265">
        <f t="shared" si="76"/>
        <v>600000</v>
      </c>
      <c r="F24" s="266">
        <f t="shared" si="77"/>
        <v>195602.99999999994</v>
      </c>
      <c r="G24" s="267">
        <f t="shared" si="78"/>
        <v>482396.99999999994</v>
      </c>
      <c r="H24" s="268">
        <f>IFERROR(INDEX('FEOR kodok'!$A$2:$J$1126,MATCH(Bérköltség!AB24,'FEOR kodok'!$B$2:$B$1126,0),8),"NA")</f>
        <v>1413</v>
      </c>
      <c r="I24" s="269">
        <f>IFERROR(INDEX('FEOR kodok'!$A$2:$J$1126,MATCH(Bérköltség!AB24,'FEOR kodok'!$B$2:$B$1126,0),10),"NA")</f>
        <v>38</v>
      </c>
      <c r="J24" s="276" t="str">
        <f t="shared" si="79"/>
        <v>30–39 éves</v>
      </c>
      <c r="K24" s="269" t="str">
        <f>IFERROR(INDEX(admin_feor[#All],MATCH(Bérköltség!H24,admin_feor[[#All],[Foglalkozás]],0),2),"NA")</f>
        <v>Kutatási és fejlesztési tevékenységet folytató egység vezetője</v>
      </c>
      <c r="L24" s="270">
        <f>IFERROR(
INDEX('Admin - FEOR'!$A$4:$F$465,MATCH(Bérköltség!H24,'Admin - FEOR'!$A$4:$A$465,0),
IF(J24="30 év alatt",3,
IF(J24="30–39 éves",4,
IF(J24="40–49 éves",5,
IF(J24="50 év és afelett",6
)))))*1,"NA")</f>
        <v>985893</v>
      </c>
      <c r="M24" s="270">
        <f t="shared" si="80"/>
        <v>600000</v>
      </c>
      <c r="N24" s="318">
        <f t="shared" si="81"/>
        <v>0.60858531301064112</v>
      </c>
      <c r="O24" s="270">
        <f>IFERROR(
INDEX('Admin - FEOR'!$A$4:$F$465,MATCH(Bérköltség!H24,'Admin - FEOR'!$A$4:$A$465,0),
IF(J24="30 év alatt",3,
IF(J24="30–39 éves",4,
IF(J24="40–49 éves",5,
IF(J24="50 év és afelett",6
)))))*1.5,"NA")</f>
        <v>1478839.5</v>
      </c>
      <c r="P24" s="270">
        <f t="shared" si="82"/>
        <v>1478839.5</v>
      </c>
      <c r="Q24" s="270">
        <f t="shared" si="83"/>
        <v>600000</v>
      </c>
      <c r="R24" s="275">
        <f t="shared" si="84"/>
        <v>1</v>
      </c>
      <c r="S24" s="270">
        <f t="shared" si="85"/>
        <v>0</v>
      </c>
      <c r="T24" s="270">
        <f t="shared" si="86"/>
        <v>0</v>
      </c>
      <c r="U24" s="271">
        <f t="shared" si="87"/>
        <v>0</v>
      </c>
      <c r="V24" s="272">
        <f t="shared" si="88"/>
        <v>678000</v>
      </c>
      <c r="W24" s="273" t="str">
        <f t="shared" si="89"/>
        <v>Nem szükséges indoklás.</v>
      </c>
      <c r="X24" s="372">
        <f t="shared" si="90"/>
        <v>0</v>
      </c>
      <c r="Y24" s="317">
        <f t="shared" si="91"/>
        <v>600000</v>
      </c>
      <c r="Z24" s="317">
        <f t="shared" si="92"/>
        <v>78000</v>
      </c>
      <c r="AA24" s="36"/>
      <c r="AB24" s="274">
        <v>8433500570</v>
      </c>
      <c r="AC24" s="40" t="s">
        <v>154</v>
      </c>
      <c r="AD24" s="82" t="s">
        <v>75</v>
      </c>
      <c r="AE24" s="41" t="s">
        <v>52</v>
      </c>
      <c r="AF24" s="11" t="s">
        <v>151</v>
      </c>
      <c r="AG24" s="11" t="s">
        <v>151</v>
      </c>
      <c r="AH24" s="14" t="s">
        <v>122</v>
      </c>
      <c r="AI24" s="86" t="s">
        <v>33</v>
      </c>
      <c r="AJ24" s="113" t="str">
        <f>IF(COUNTIFS(Admin!$A$29:$A$40,AI24)&gt;0,Admin!$A$28,IF(COUNTIFS(Admin!$B$29:$B$40,AI24)&gt;0,Admin!$B$28,IF(COUNTIFS(Admin!$C$29:$C$40,AI24)&gt;0,Admin!$C$28,IF(COUNTIFS(Admin!$D$29:$D$40,AI24)&gt;0,Admin!$D$28,"-"))))</f>
        <v>2. mérföldkő</v>
      </c>
      <c r="AK24" s="14" t="s">
        <v>141</v>
      </c>
      <c r="AL24" s="9" t="s">
        <v>69</v>
      </c>
      <c r="AM24" s="131">
        <v>600000</v>
      </c>
      <c r="AN24" s="132">
        <f t="shared" si="71"/>
        <v>78000</v>
      </c>
      <c r="AO24" s="121" t="s">
        <v>2729</v>
      </c>
      <c r="AP24" s="121" t="s">
        <v>2729</v>
      </c>
      <c r="AQ24" s="354">
        <v>1</v>
      </c>
      <c r="AR24" s="133">
        <f t="shared" si="72"/>
        <v>600000</v>
      </c>
      <c r="AS24" s="133">
        <f t="shared" si="73"/>
        <v>78000</v>
      </c>
      <c r="AT24" s="123" t="str">
        <f t="shared" si="74"/>
        <v/>
      </c>
      <c r="AU24" s="124">
        <v>0.13</v>
      </c>
      <c r="AV24" s="394" t="s">
        <v>2754</v>
      </c>
      <c r="AW24" s="15">
        <v>44755</v>
      </c>
      <c r="AX24" s="12" t="s">
        <v>206</v>
      </c>
      <c r="AY24" s="1" t="s">
        <v>2883</v>
      </c>
      <c r="BC24" s="1" t="s">
        <v>2813</v>
      </c>
    </row>
    <row r="25" spans="1:56" s="1" customFormat="1" hidden="1" x14ac:dyDescent="0.25">
      <c r="A25" s="264" t="str">
        <f>Bérköltség!$B25</f>
        <v>FEOR</v>
      </c>
      <c r="B25" s="264" t="str">
        <f>IFERROR(
IF(AND(Bérköltség!$F25="",H25="NA"),"HIÁNYOS ADATOK",
IF(Bérköltség!$F25&lt;Bérköltség!$U25,Admin!$B$18,Admin!$B$17)),
"")</f>
        <v>FEOR</v>
      </c>
      <c r="C25" s="265">
        <f>IFERROR(INDEX('Historikus berek_2021-2'!$A$1:$F$903,MATCH(AB25,'Historikus berek_2021-2'!$A$1:$A$903,0),4),"")</f>
        <v>426900</v>
      </c>
      <c r="D25" s="279">
        <f t="shared" si="75"/>
        <v>426900</v>
      </c>
      <c r="E25" s="265">
        <f t="shared" si="76"/>
        <v>600000</v>
      </c>
      <c r="F25" s="266">
        <f t="shared" si="77"/>
        <v>195602.99999999994</v>
      </c>
      <c r="G25" s="267">
        <f t="shared" si="78"/>
        <v>482396.99999999994</v>
      </c>
      <c r="H25" s="268">
        <f>IFERROR(INDEX('FEOR kodok'!$A$2:$J$1126,MATCH(Bérköltség!AB25,'FEOR kodok'!$B$2:$B$1126,0),8),"NA")</f>
        <v>1413</v>
      </c>
      <c r="I25" s="269">
        <f>IFERROR(INDEX('FEOR kodok'!$A$2:$J$1126,MATCH(Bérköltség!AB25,'FEOR kodok'!$B$2:$B$1126,0),10),"NA")</f>
        <v>38</v>
      </c>
      <c r="J25" s="276" t="str">
        <f t="shared" si="79"/>
        <v>30–39 éves</v>
      </c>
      <c r="K25" s="269" t="str">
        <f>IFERROR(INDEX(admin_feor[#All],MATCH(Bérköltség!H25,admin_feor[[#All],[Foglalkozás]],0),2),"NA")</f>
        <v>Kutatási és fejlesztési tevékenységet folytató egység vezetője</v>
      </c>
      <c r="L25" s="270">
        <f>IFERROR(
INDEX('Admin - FEOR'!$A$4:$F$465,MATCH(Bérköltség!H25,'Admin - FEOR'!$A$4:$A$465,0),
IF(J25="30 év alatt",3,
IF(J25="30–39 éves",4,
IF(J25="40–49 éves",5,
IF(J25="50 év és afelett",6
)))))*1,"NA")</f>
        <v>985893</v>
      </c>
      <c r="M25" s="270">
        <f t="shared" si="80"/>
        <v>600000</v>
      </c>
      <c r="N25" s="318">
        <f t="shared" si="81"/>
        <v>0.60858531301064112</v>
      </c>
      <c r="O25" s="270">
        <f>IFERROR(
INDEX('Admin - FEOR'!$A$4:$F$465,MATCH(Bérköltség!H25,'Admin - FEOR'!$A$4:$A$465,0),
IF(J25="30 év alatt",3,
IF(J25="30–39 éves",4,
IF(J25="40–49 éves",5,
IF(J25="50 év és afelett",6
)))))*1.5,"NA")</f>
        <v>1478839.5</v>
      </c>
      <c r="P25" s="270">
        <f t="shared" si="82"/>
        <v>1478839.5</v>
      </c>
      <c r="Q25" s="270">
        <f t="shared" si="83"/>
        <v>600000</v>
      </c>
      <c r="R25" s="275">
        <f t="shared" si="84"/>
        <v>1</v>
      </c>
      <c r="S25" s="270">
        <f t="shared" si="85"/>
        <v>0</v>
      </c>
      <c r="T25" s="270">
        <f t="shared" si="86"/>
        <v>0</v>
      </c>
      <c r="U25" s="271">
        <f t="shared" si="87"/>
        <v>0</v>
      </c>
      <c r="V25" s="272">
        <f t="shared" si="88"/>
        <v>678000</v>
      </c>
      <c r="W25" s="273" t="str">
        <f t="shared" si="89"/>
        <v>Nem szükséges indoklás.</v>
      </c>
      <c r="X25" s="372">
        <f t="shared" si="90"/>
        <v>0</v>
      </c>
      <c r="Y25" s="317">
        <f t="shared" si="91"/>
        <v>600000</v>
      </c>
      <c r="Z25" s="317">
        <f t="shared" si="92"/>
        <v>78000</v>
      </c>
      <c r="AA25" s="36"/>
      <c r="AB25" s="274">
        <v>8433500570</v>
      </c>
      <c r="AC25" s="40" t="s">
        <v>154</v>
      </c>
      <c r="AD25" s="82" t="s">
        <v>75</v>
      </c>
      <c r="AE25" s="41" t="s">
        <v>52</v>
      </c>
      <c r="AF25" s="11" t="s">
        <v>151</v>
      </c>
      <c r="AG25" s="11" t="s">
        <v>151</v>
      </c>
      <c r="AH25" s="14" t="s">
        <v>122</v>
      </c>
      <c r="AI25" s="86" t="s">
        <v>34</v>
      </c>
      <c r="AJ25" s="113" t="str">
        <f>IF(COUNTIFS(Admin!$A$29:$A$40,AI25)&gt;0,Admin!$A$28,IF(COUNTIFS(Admin!$B$29:$B$40,AI25)&gt;0,Admin!$B$28,IF(COUNTIFS(Admin!$C$29:$C$40,AI25)&gt;0,Admin!$C$28,IF(COUNTIFS(Admin!$D$29:$D$40,AI25)&gt;0,Admin!$D$28,"-"))))</f>
        <v>2. mérföldkő</v>
      </c>
      <c r="AK25" s="14" t="s">
        <v>141</v>
      </c>
      <c r="AL25" s="9" t="s">
        <v>69</v>
      </c>
      <c r="AM25" s="131">
        <v>600000</v>
      </c>
      <c r="AN25" s="132">
        <f t="shared" si="71"/>
        <v>78000</v>
      </c>
      <c r="AO25" s="121" t="s">
        <v>2729</v>
      </c>
      <c r="AP25" s="121" t="s">
        <v>2729</v>
      </c>
      <c r="AQ25" s="354">
        <v>1</v>
      </c>
      <c r="AR25" s="133">
        <f t="shared" si="72"/>
        <v>600000</v>
      </c>
      <c r="AS25" s="133">
        <f t="shared" si="73"/>
        <v>78000</v>
      </c>
      <c r="AT25" s="123" t="str">
        <f t="shared" si="74"/>
        <v/>
      </c>
      <c r="AU25" s="124">
        <v>0.13</v>
      </c>
      <c r="AV25" s="394" t="s">
        <v>2754</v>
      </c>
      <c r="AW25" s="15">
        <v>44755</v>
      </c>
      <c r="AX25" s="12" t="s">
        <v>206</v>
      </c>
      <c r="AY25" s="1" t="s">
        <v>2883</v>
      </c>
      <c r="BC25" s="1" t="s">
        <v>2813</v>
      </c>
    </row>
    <row r="26" spans="1:56" s="1" customFormat="1" x14ac:dyDescent="0.25">
      <c r="A26" s="264" t="str">
        <f>Bérköltség!$B26</f>
        <v>FEOR</v>
      </c>
      <c r="B26" s="264" t="str">
        <f>IFERROR(
IF(AND(Bérköltség!$F26="",H26="NA"),"HIÁNYOS ADATOK",
IF(Bérköltség!$F26&lt;Bérköltség!$U26,Admin!$B$18,Admin!$B$17)),
"")</f>
        <v>FEOR</v>
      </c>
      <c r="C26" s="265">
        <f>IFERROR(INDEX('Historikus berek_2021-2'!$A$1:$F$903,MATCH(AB26,'Historikus berek_2021-2'!$A$1:$A$903,0),4),"")</f>
        <v>426900</v>
      </c>
      <c r="D26" s="279">
        <f t="shared" ref="D26:D33" si="93">IFERROR(C26*AQ26,"")</f>
        <v>426900</v>
      </c>
      <c r="E26" s="265">
        <f t="shared" ref="E26:E33" si="94">AR26</f>
        <v>600000</v>
      </c>
      <c r="F26" s="266">
        <f t="shared" ref="F26:F33" si="95">IFERROR(IF((E26*(1+AU26)-D26*(1+AU26))&lt;0,0,(E26*(1+AU26)-D26*(1+AU26))),"")</f>
        <v>195602.99999999994</v>
      </c>
      <c r="G26" s="267">
        <f t="shared" ref="G26:G33" si="96">IFERROR((E26*(1+AU26)-F26),"")</f>
        <v>482396.99999999994</v>
      </c>
      <c r="H26" s="268">
        <f>IFERROR(INDEX('FEOR kodok'!$A$2:$J$1126,MATCH(Bérköltség!AB26,'FEOR kodok'!$B$2:$B$1126,0),8),"NA")</f>
        <v>1413</v>
      </c>
      <c r="I26" s="269">
        <f>IFERROR(INDEX('FEOR kodok'!$A$2:$J$1126,MATCH(Bérköltség!AB26,'FEOR kodok'!$B$2:$B$1126,0),10),"NA")</f>
        <v>38</v>
      </c>
      <c r="J26" s="276" t="str">
        <f t="shared" ref="J26:J33" si="97">IF(I26="NA","NA",
IF(I26&lt;30,"30 év alatt",
IF(AND(I26&gt;=30,I26&lt;=39),"30–39 éves",
IF(AND(I26&gt;=40,I26&lt;=49),"40–49 éves",
IF(I26&gt;=50,"50 év és afelett",
"")))))</f>
        <v>30–39 éves</v>
      </c>
      <c r="K26" s="269" t="str">
        <f>IFERROR(INDEX(admin_feor[#All],MATCH(Bérköltség!H26,admin_feor[[#All],[Foglalkozás]],0),2),"NA")</f>
        <v>Kutatási és fejlesztési tevékenységet folytató egység vezetője</v>
      </c>
      <c r="L26" s="270">
        <f>IFERROR(
INDEX('Admin - FEOR'!$A$4:$F$465,MATCH(Bérköltség!H26,'Admin - FEOR'!$A$4:$A$465,0),
IF(J26="30 év alatt",3,
IF(J26="30–39 éves",4,
IF(J26="40–49 éves",5,
IF(J26="50 év és afelett",6
)))))*1,"NA")</f>
        <v>985893</v>
      </c>
      <c r="M26" s="270">
        <f t="shared" ref="M26:M33" si="98">AM26</f>
        <v>600000</v>
      </c>
      <c r="N26" s="318">
        <f t="shared" ref="N26:N33" si="99">IFERROR(
M26/L26,"NA")</f>
        <v>0.60858531301064112</v>
      </c>
      <c r="O26" s="270">
        <f>IFERROR(
INDEX('Admin - FEOR'!$A$4:$F$465,MATCH(Bérköltség!H26,'Admin - FEOR'!$A$4:$A$465,0),
IF(J26="30 év alatt",3,
IF(J26="30–39 éves",4,
IF(J26="40–49 éves",5,
IF(J26="50 év és afelett",6
)))))*1.5,"NA")</f>
        <v>1478839.5</v>
      </c>
      <c r="P26" s="270">
        <f t="shared" ref="P26:P33" si="100">IFERROR(
AQ26*O26,"NA")</f>
        <v>1478839.5</v>
      </c>
      <c r="Q26" s="270">
        <f t="shared" ref="Q26:Q33" si="101">IFERROR(AR26,"")</f>
        <v>600000</v>
      </c>
      <c r="R26" s="275">
        <f t="shared" ref="R26:R33" si="102">IFERROR(AQ26,"")</f>
        <v>1</v>
      </c>
      <c r="S26" s="270">
        <f t="shared" ref="S26:S33" si="103">IFERROR(
IF(AR26-P26&lt;0,0,AR26-P26),"NA")</f>
        <v>0</v>
      </c>
      <c r="T26" s="270">
        <f t="shared" ref="T26:T33" si="104">IFERROR(
S26*AU26,"NA")</f>
        <v>0</v>
      </c>
      <c r="U26" s="271">
        <f t="shared" ref="U26:U33" si="105">IFERROR(
S26+T26,"NA")</f>
        <v>0</v>
      </c>
      <c r="V26" s="272">
        <f t="shared" ref="V26:V33" si="106">IFERROR(
IF(U26&gt;0,AR26+AS26-U26,AR26+AS26),"NA")</f>
        <v>678000</v>
      </c>
      <c r="W26" s="273" t="str">
        <f t="shared" ref="W26:W33" si="107">IF(P26="NA","FEOR hiányzik",
IF(AND(N26&gt;1,A26="FEOR"),CONCATENATE("Indoklás szükséges mivel a FEOR: ",ROUND(N26*100,1),"%"),"Nem szükséges indoklás.")
)</f>
        <v>Nem szükséges indoklás.</v>
      </c>
      <c r="X26" s="372">
        <f t="shared" ref="X26:X33" si="108">IF(A26="FEOR",U26,IF(A26="HIÁNYOS ADATOK","HIÁNYOS ADATOK",F26))</f>
        <v>0</v>
      </c>
      <c r="Y26" s="317">
        <f t="shared" ref="Y26:Y33" si="109">IF(A26="FEOR",ROUND((V26/(1+AU26)),0),IF(A26="HIÁNYOS ADATOK","HIÁNYOS ADATOK",ROUND(G26/(1+AU26),0)))</f>
        <v>600000</v>
      </c>
      <c r="Z26" s="317">
        <f t="shared" ref="Z26:Z33" si="110">IF(A26="FEOR",ROUND((V26-Y26),0),IF(A26="HIÁNYOS ADATOK","HIÁNYOS ADATOK",ROUND((G26-Y26),0)))</f>
        <v>78000</v>
      </c>
      <c r="AA26" s="36"/>
      <c r="AB26" s="274">
        <v>8433500570</v>
      </c>
      <c r="AC26" s="40" t="s">
        <v>154</v>
      </c>
      <c r="AD26" s="82" t="s">
        <v>75</v>
      </c>
      <c r="AE26" s="41" t="s">
        <v>52</v>
      </c>
      <c r="AF26" s="11" t="s">
        <v>151</v>
      </c>
      <c r="AG26" s="11" t="s">
        <v>151</v>
      </c>
      <c r="AH26" s="14" t="s">
        <v>122</v>
      </c>
      <c r="AI26" s="86" t="s">
        <v>35</v>
      </c>
      <c r="AJ26" s="113" t="str">
        <f>IF(COUNTIFS(Admin!$A$29:$A$40,AI26)&gt;0,Admin!$A$28,IF(COUNTIFS(Admin!$B$29:$B$40,AI26)&gt;0,Admin!$B$28,IF(COUNTIFS(Admin!$C$29:$C$40,AI26)&gt;0,Admin!$C$28,IF(COUNTIFS(Admin!$D$29:$D$40,AI26)&gt;0,Admin!$D$28,"-"))))</f>
        <v>3. mérföldkő</v>
      </c>
      <c r="AK26" s="14" t="s">
        <v>141</v>
      </c>
      <c r="AL26" s="9" t="s">
        <v>69</v>
      </c>
      <c r="AM26" s="131">
        <v>600000</v>
      </c>
      <c r="AN26" s="132">
        <f t="shared" ref="AN26:AN33" si="111">IFERROR(ROUND(AM26*AU26,0),"")</f>
        <v>78000</v>
      </c>
      <c r="AO26" s="121" t="s">
        <v>2729</v>
      </c>
      <c r="AP26" s="121" t="s">
        <v>2729</v>
      </c>
      <c r="AQ26" s="354">
        <v>1</v>
      </c>
      <c r="AR26" s="133">
        <f t="shared" ref="AR26:AR33" si="112">IFERROR(ROUND(AM26*AQ26,0),"")</f>
        <v>600000</v>
      </c>
      <c r="AS26" s="133">
        <f t="shared" ref="AS26:AS33" si="113">IFERROR(ROUND(AR26*AU26,0),"")</f>
        <v>78000</v>
      </c>
      <c r="AT26" s="123" t="str">
        <f t="shared" ref="AT26:AT33" si="114">IFERROR(AP26/AO26-AR26/AM26,"")</f>
        <v/>
      </c>
      <c r="AU26" s="124">
        <v>0.13</v>
      </c>
      <c r="AV26" s="394" t="s">
        <v>2754</v>
      </c>
      <c r="AW26" s="15">
        <v>45006</v>
      </c>
      <c r="AX26" s="12" t="s">
        <v>206</v>
      </c>
      <c r="AY26" s="1" t="s">
        <v>2883</v>
      </c>
      <c r="BC26" s="1" t="s">
        <v>2813</v>
      </c>
    </row>
    <row r="27" spans="1:56" s="1" customFormat="1" hidden="1" x14ac:dyDescent="0.25">
      <c r="A27" s="264" t="str">
        <f>Bérköltség!$B27</f>
        <v>FEOR</v>
      </c>
      <c r="B27" s="264" t="str">
        <f>IFERROR(
IF(AND(Bérköltség!$F27="",H27="NA"),"HIÁNYOS ADATOK",
IF(Bérköltség!$F27&lt;Bérköltség!$U27,Admin!$B$18,Admin!$B$17)),
"")</f>
        <v>FEOR</v>
      </c>
      <c r="C27" s="265">
        <f>IFERROR(INDEX('Historikus berek_2021-2'!$A$1:$F$903,MATCH(AB27,'Historikus berek_2021-2'!$A$1:$A$903,0),4),"")</f>
        <v>426900</v>
      </c>
      <c r="D27" s="279">
        <f t="shared" si="93"/>
        <v>426900</v>
      </c>
      <c r="E27" s="265">
        <f t="shared" si="94"/>
        <v>600000</v>
      </c>
      <c r="F27" s="266">
        <f t="shared" si="95"/>
        <v>195602.99999999994</v>
      </c>
      <c r="G27" s="267">
        <f t="shared" si="96"/>
        <v>482396.99999999994</v>
      </c>
      <c r="H27" s="268">
        <f>IFERROR(INDEX('FEOR kodok'!$A$2:$J$1126,MATCH(Bérköltség!AB27,'FEOR kodok'!$B$2:$B$1126,0),8),"NA")</f>
        <v>1413</v>
      </c>
      <c r="I27" s="269">
        <f>IFERROR(INDEX('FEOR kodok'!$A$2:$J$1126,MATCH(Bérköltség!AB27,'FEOR kodok'!$B$2:$B$1126,0),10),"NA")</f>
        <v>38</v>
      </c>
      <c r="J27" s="276" t="str">
        <f t="shared" si="97"/>
        <v>30–39 éves</v>
      </c>
      <c r="K27" s="269" t="str">
        <f>IFERROR(INDEX(admin_feor[#All],MATCH(Bérköltség!H27,admin_feor[[#All],[Foglalkozás]],0),2),"NA")</f>
        <v>Kutatási és fejlesztési tevékenységet folytató egység vezetője</v>
      </c>
      <c r="L27" s="270">
        <f>IFERROR(
INDEX('Admin - FEOR'!$A$4:$F$465,MATCH(Bérköltség!H27,'Admin - FEOR'!$A$4:$A$465,0),
IF(J27="30 év alatt",3,
IF(J27="30–39 éves",4,
IF(J27="40–49 éves",5,
IF(J27="50 év és afelett",6
)))))*1,"NA")</f>
        <v>985893</v>
      </c>
      <c r="M27" s="270">
        <f t="shared" si="98"/>
        <v>600000</v>
      </c>
      <c r="N27" s="318">
        <f t="shared" si="99"/>
        <v>0.60858531301064112</v>
      </c>
      <c r="O27" s="270">
        <f>IFERROR(
INDEX('Admin - FEOR'!$A$4:$F$465,MATCH(Bérköltség!H27,'Admin - FEOR'!$A$4:$A$465,0),
IF(J27="30 év alatt",3,
IF(J27="30–39 éves",4,
IF(J27="40–49 éves",5,
IF(J27="50 év és afelett",6
)))))*1.5,"NA")</f>
        <v>1478839.5</v>
      </c>
      <c r="P27" s="270">
        <f t="shared" si="100"/>
        <v>1478839.5</v>
      </c>
      <c r="Q27" s="270">
        <f t="shared" si="101"/>
        <v>600000</v>
      </c>
      <c r="R27" s="275">
        <f t="shared" si="102"/>
        <v>1</v>
      </c>
      <c r="S27" s="270">
        <f t="shared" si="103"/>
        <v>0</v>
      </c>
      <c r="T27" s="270">
        <f t="shared" si="104"/>
        <v>0</v>
      </c>
      <c r="U27" s="271">
        <f t="shared" si="105"/>
        <v>0</v>
      </c>
      <c r="V27" s="272">
        <f t="shared" si="106"/>
        <v>678000</v>
      </c>
      <c r="W27" s="273" t="str">
        <f t="shared" si="107"/>
        <v>Nem szükséges indoklás.</v>
      </c>
      <c r="X27" s="372">
        <f t="shared" si="108"/>
        <v>0</v>
      </c>
      <c r="Y27" s="317">
        <f t="shared" si="109"/>
        <v>600000</v>
      </c>
      <c r="Z27" s="317">
        <f t="shared" si="110"/>
        <v>78000</v>
      </c>
      <c r="AA27" s="36"/>
      <c r="AB27" s="274">
        <v>8433500570</v>
      </c>
      <c r="AC27" s="40" t="s">
        <v>154</v>
      </c>
      <c r="AD27" s="82" t="s">
        <v>75</v>
      </c>
      <c r="AE27" s="41" t="s">
        <v>52</v>
      </c>
      <c r="AF27" s="11" t="s">
        <v>151</v>
      </c>
      <c r="AG27" s="11" t="s">
        <v>151</v>
      </c>
      <c r="AH27" s="14" t="s">
        <v>122</v>
      </c>
      <c r="AI27" s="86" t="s">
        <v>36</v>
      </c>
      <c r="AJ27" s="113" t="str">
        <f>IF(COUNTIFS(Admin!$A$29:$A$40,AI27)&gt;0,Admin!$A$28,IF(COUNTIFS(Admin!$B$29:$B$40,AI27)&gt;0,Admin!$B$28,IF(COUNTIFS(Admin!$C$29:$C$40,AI27)&gt;0,Admin!$C$28,IF(COUNTIFS(Admin!$D$29:$D$40,AI27)&gt;0,Admin!$D$28,"-"))))</f>
        <v>3. mérföldkő</v>
      </c>
      <c r="AK27" s="14" t="s">
        <v>141</v>
      </c>
      <c r="AL27" s="9" t="s">
        <v>69</v>
      </c>
      <c r="AM27" s="131">
        <v>600000</v>
      </c>
      <c r="AN27" s="132">
        <f t="shared" si="111"/>
        <v>78000</v>
      </c>
      <c r="AO27" s="121" t="s">
        <v>2729</v>
      </c>
      <c r="AP27" s="121" t="s">
        <v>2729</v>
      </c>
      <c r="AQ27" s="354">
        <v>1</v>
      </c>
      <c r="AR27" s="133">
        <f t="shared" si="112"/>
        <v>600000</v>
      </c>
      <c r="AS27" s="133">
        <f t="shared" si="113"/>
        <v>78000</v>
      </c>
      <c r="AT27" s="123" t="str">
        <f t="shared" si="114"/>
        <v/>
      </c>
      <c r="AU27" s="124">
        <v>0.13</v>
      </c>
      <c r="AV27" s="394" t="s">
        <v>2754</v>
      </c>
      <c r="AW27" s="15">
        <v>45006</v>
      </c>
      <c r="AX27" s="12" t="s">
        <v>206</v>
      </c>
      <c r="AY27" s="1" t="s">
        <v>2883</v>
      </c>
      <c r="BC27" s="1" t="s">
        <v>2813</v>
      </c>
    </row>
    <row r="28" spans="1:56" s="1" customFormat="1" hidden="1" x14ac:dyDescent="0.25">
      <c r="A28" s="264" t="str">
        <f>Bérköltség!$B28</f>
        <v>FEOR</v>
      </c>
      <c r="B28" s="264" t="str">
        <f>IFERROR(
IF(AND(Bérköltség!$F28="",H28="NA"),"HIÁNYOS ADATOK",
IF(Bérköltség!$F28&lt;Bérköltség!$U28,Admin!$B$18,Admin!$B$17)),
"")</f>
        <v>FEOR</v>
      </c>
      <c r="C28" s="265">
        <f>IFERROR(INDEX('Historikus berek_2021-2'!$A$1:$F$903,MATCH(AB28,'Historikus berek_2021-2'!$A$1:$A$903,0),4),"")</f>
        <v>426900</v>
      </c>
      <c r="D28" s="279">
        <f t="shared" si="93"/>
        <v>426900</v>
      </c>
      <c r="E28" s="265">
        <f t="shared" si="94"/>
        <v>600000</v>
      </c>
      <c r="F28" s="266">
        <f t="shared" si="95"/>
        <v>195602.99999999994</v>
      </c>
      <c r="G28" s="267">
        <f t="shared" si="96"/>
        <v>482396.99999999994</v>
      </c>
      <c r="H28" s="268">
        <f>IFERROR(INDEX('FEOR kodok'!$A$2:$J$1126,MATCH(Bérköltség!AB28,'FEOR kodok'!$B$2:$B$1126,0),8),"NA")</f>
        <v>1413</v>
      </c>
      <c r="I28" s="269">
        <f>IFERROR(INDEX('FEOR kodok'!$A$2:$J$1126,MATCH(Bérköltség!AB28,'FEOR kodok'!$B$2:$B$1126,0),10),"NA")</f>
        <v>38</v>
      </c>
      <c r="J28" s="276" t="str">
        <f t="shared" si="97"/>
        <v>30–39 éves</v>
      </c>
      <c r="K28" s="269" t="str">
        <f>IFERROR(INDEX(admin_feor[#All],MATCH(Bérköltség!H28,admin_feor[[#All],[Foglalkozás]],0),2),"NA")</f>
        <v>Kutatási és fejlesztési tevékenységet folytató egység vezetője</v>
      </c>
      <c r="L28" s="270">
        <f>IFERROR(
INDEX('Admin - FEOR'!$A$4:$F$465,MATCH(Bérköltség!H28,'Admin - FEOR'!$A$4:$A$465,0),
IF(J28="30 év alatt",3,
IF(J28="30–39 éves",4,
IF(J28="40–49 éves",5,
IF(J28="50 év és afelett",6
)))))*1,"NA")</f>
        <v>985893</v>
      </c>
      <c r="M28" s="270">
        <f t="shared" si="98"/>
        <v>600000</v>
      </c>
      <c r="N28" s="318">
        <f t="shared" si="99"/>
        <v>0.60858531301064112</v>
      </c>
      <c r="O28" s="270">
        <f>IFERROR(
INDEX('Admin - FEOR'!$A$4:$F$465,MATCH(Bérköltség!H28,'Admin - FEOR'!$A$4:$A$465,0),
IF(J28="30 év alatt",3,
IF(J28="30–39 éves",4,
IF(J28="40–49 éves",5,
IF(J28="50 év és afelett",6
)))))*1.5,"NA")</f>
        <v>1478839.5</v>
      </c>
      <c r="P28" s="270">
        <f t="shared" si="100"/>
        <v>1478839.5</v>
      </c>
      <c r="Q28" s="270">
        <f t="shared" si="101"/>
        <v>600000</v>
      </c>
      <c r="R28" s="275">
        <f t="shared" si="102"/>
        <v>1</v>
      </c>
      <c r="S28" s="270">
        <f t="shared" si="103"/>
        <v>0</v>
      </c>
      <c r="T28" s="270">
        <f t="shared" si="104"/>
        <v>0</v>
      </c>
      <c r="U28" s="271">
        <f t="shared" si="105"/>
        <v>0</v>
      </c>
      <c r="V28" s="272">
        <f t="shared" si="106"/>
        <v>678000</v>
      </c>
      <c r="W28" s="273" t="str">
        <f t="shared" si="107"/>
        <v>Nem szükséges indoklás.</v>
      </c>
      <c r="X28" s="372">
        <f t="shared" si="108"/>
        <v>0</v>
      </c>
      <c r="Y28" s="317">
        <f t="shared" si="109"/>
        <v>600000</v>
      </c>
      <c r="Z28" s="317">
        <f t="shared" si="110"/>
        <v>78000</v>
      </c>
      <c r="AA28" s="36"/>
      <c r="AB28" s="274">
        <v>8433500570</v>
      </c>
      <c r="AC28" s="40" t="s">
        <v>154</v>
      </c>
      <c r="AD28" s="82" t="s">
        <v>75</v>
      </c>
      <c r="AE28" s="41" t="s">
        <v>52</v>
      </c>
      <c r="AF28" s="11" t="s">
        <v>151</v>
      </c>
      <c r="AG28" s="11" t="s">
        <v>151</v>
      </c>
      <c r="AH28" s="14" t="s">
        <v>122</v>
      </c>
      <c r="AI28" s="86" t="s">
        <v>37</v>
      </c>
      <c r="AJ28" s="113" t="str">
        <f>IF(COUNTIFS(Admin!$A$29:$A$40,AI28)&gt;0,Admin!$A$28,IF(COUNTIFS(Admin!$B$29:$B$40,AI28)&gt;0,Admin!$B$28,IF(COUNTIFS(Admin!$C$29:$C$40,AI28)&gt;0,Admin!$C$28,IF(COUNTIFS(Admin!$D$29:$D$40,AI28)&gt;0,Admin!$D$28,"-"))))</f>
        <v>3. mérföldkő</v>
      </c>
      <c r="AK28" s="14" t="s">
        <v>141</v>
      </c>
      <c r="AL28" s="9" t="s">
        <v>69</v>
      </c>
      <c r="AM28" s="131">
        <v>600000</v>
      </c>
      <c r="AN28" s="132">
        <f t="shared" si="111"/>
        <v>78000</v>
      </c>
      <c r="AO28" s="121" t="s">
        <v>2729</v>
      </c>
      <c r="AP28" s="121" t="s">
        <v>2729</v>
      </c>
      <c r="AQ28" s="354">
        <v>1</v>
      </c>
      <c r="AR28" s="133">
        <f t="shared" si="112"/>
        <v>600000</v>
      </c>
      <c r="AS28" s="133">
        <f t="shared" si="113"/>
        <v>78000</v>
      </c>
      <c r="AT28" s="123" t="str">
        <f t="shared" si="114"/>
        <v/>
      </c>
      <c r="AU28" s="124">
        <v>0.13</v>
      </c>
      <c r="AV28" s="394" t="s">
        <v>2754</v>
      </c>
      <c r="AW28" s="15">
        <v>45006</v>
      </c>
      <c r="AX28" s="12" t="s">
        <v>206</v>
      </c>
      <c r="AY28" s="1" t="s">
        <v>2883</v>
      </c>
      <c r="BC28" s="1" t="s">
        <v>2813</v>
      </c>
    </row>
    <row r="29" spans="1:56" s="1" customFormat="1" hidden="1" x14ac:dyDescent="0.25">
      <c r="A29" s="264" t="str">
        <f>Bérköltség!$B29</f>
        <v>FEOR</v>
      </c>
      <c r="B29" s="264" t="str">
        <f>IFERROR(
IF(AND(Bérköltség!$F29="",H29="NA"),"HIÁNYOS ADATOK",
IF(Bérköltség!$F29&lt;Bérköltség!$U29,Admin!$B$18,Admin!$B$17)),
"")</f>
        <v>FEOR</v>
      </c>
      <c r="C29" s="265">
        <f>IFERROR(INDEX('Historikus berek_2021-2'!$A$1:$F$903,MATCH(AB29,'Historikus berek_2021-2'!$A$1:$A$903,0),4),"")</f>
        <v>426900</v>
      </c>
      <c r="D29" s="279">
        <f t="shared" si="93"/>
        <v>426900</v>
      </c>
      <c r="E29" s="265">
        <f t="shared" si="94"/>
        <v>600000</v>
      </c>
      <c r="F29" s="266">
        <f t="shared" si="95"/>
        <v>195602.99999999994</v>
      </c>
      <c r="G29" s="267">
        <f t="shared" si="96"/>
        <v>482396.99999999994</v>
      </c>
      <c r="H29" s="268">
        <f>IFERROR(INDEX('FEOR kodok'!$A$2:$J$1126,MATCH(Bérköltség!AB29,'FEOR kodok'!$B$2:$B$1126,0),8),"NA")</f>
        <v>1413</v>
      </c>
      <c r="I29" s="269">
        <f>IFERROR(INDEX('FEOR kodok'!$A$2:$J$1126,MATCH(Bérköltség!AB29,'FEOR kodok'!$B$2:$B$1126,0),10),"NA")</f>
        <v>38</v>
      </c>
      <c r="J29" s="276" t="str">
        <f t="shared" si="97"/>
        <v>30–39 éves</v>
      </c>
      <c r="K29" s="269" t="str">
        <f>IFERROR(INDEX(admin_feor[#All],MATCH(Bérköltség!H29,admin_feor[[#All],[Foglalkozás]],0),2),"NA")</f>
        <v>Kutatási és fejlesztési tevékenységet folytató egység vezetője</v>
      </c>
      <c r="L29" s="270">
        <f>IFERROR(
INDEX('Admin - FEOR'!$A$4:$F$465,MATCH(Bérköltség!H29,'Admin - FEOR'!$A$4:$A$465,0),
IF(J29="30 év alatt",3,
IF(J29="30–39 éves",4,
IF(J29="40–49 éves",5,
IF(J29="50 év és afelett",6
)))))*1,"NA")</f>
        <v>985893</v>
      </c>
      <c r="M29" s="270">
        <f t="shared" si="98"/>
        <v>600000</v>
      </c>
      <c r="N29" s="318">
        <f t="shared" si="99"/>
        <v>0.60858531301064112</v>
      </c>
      <c r="O29" s="270">
        <f>IFERROR(
INDEX('Admin - FEOR'!$A$4:$F$465,MATCH(Bérköltség!H29,'Admin - FEOR'!$A$4:$A$465,0),
IF(J29="30 év alatt",3,
IF(J29="30–39 éves",4,
IF(J29="40–49 éves",5,
IF(J29="50 év és afelett",6
)))))*1.5,"NA")</f>
        <v>1478839.5</v>
      </c>
      <c r="P29" s="270">
        <f t="shared" si="100"/>
        <v>1478839.5</v>
      </c>
      <c r="Q29" s="270">
        <f t="shared" si="101"/>
        <v>600000</v>
      </c>
      <c r="R29" s="275">
        <f t="shared" si="102"/>
        <v>1</v>
      </c>
      <c r="S29" s="270">
        <f t="shared" si="103"/>
        <v>0</v>
      </c>
      <c r="T29" s="270">
        <f t="shared" si="104"/>
        <v>0</v>
      </c>
      <c r="U29" s="271">
        <f t="shared" si="105"/>
        <v>0</v>
      </c>
      <c r="V29" s="272">
        <f t="shared" si="106"/>
        <v>678000</v>
      </c>
      <c r="W29" s="273" t="str">
        <f t="shared" si="107"/>
        <v>Nem szükséges indoklás.</v>
      </c>
      <c r="X29" s="372">
        <f t="shared" si="108"/>
        <v>0</v>
      </c>
      <c r="Y29" s="317">
        <f t="shared" si="109"/>
        <v>600000</v>
      </c>
      <c r="Z29" s="317">
        <f t="shared" si="110"/>
        <v>78000</v>
      </c>
      <c r="AA29" s="36"/>
      <c r="AB29" s="274">
        <v>8433500570</v>
      </c>
      <c r="AC29" s="40" t="s">
        <v>154</v>
      </c>
      <c r="AD29" s="82" t="s">
        <v>75</v>
      </c>
      <c r="AE29" s="41" t="s">
        <v>52</v>
      </c>
      <c r="AF29" s="11" t="s">
        <v>151</v>
      </c>
      <c r="AG29" s="11" t="s">
        <v>151</v>
      </c>
      <c r="AH29" s="14" t="s">
        <v>122</v>
      </c>
      <c r="AI29" s="86" t="s">
        <v>38</v>
      </c>
      <c r="AJ29" s="113" t="str">
        <f>IF(COUNTIFS(Admin!$A$29:$A$40,AI29)&gt;0,Admin!$A$28,IF(COUNTIFS(Admin!$B$29:$B$40,AI29)&gt;0,Admin!$B$28,IF(COUNTIFS(Admin!$C$29:$C$40,AI29)&gt;0,Admin!$C$28,IF(COUNTIFS(Admin!$D$29:$D$40,AI29)&gt;0,Admin!$D$28,"-"))))</f>
        <v>3. mérföldkő</v>
      </c>
      <c r="AK29" s="14" t="s">
        <v>141</v>
      </c>
      <c r="AL29" s="9" t="s">
        <v>69</v>
      </c>
      <c r="AM29" s="131">
        <v>600000</v>
      </c>
      <c r="AN29" s="132">
        <f t="shared" si="111"/>
        <v>78000</v>
      </c>
      <c r="AO29" s="121" t="s">
        <v>2729</v>
      </c>
      <c r="AP29" s="121" t="s">
        <v>2729</v>
      </c>
      <c r="AQ29" s="354">
        <v>1</v>
      </c>
      <c r="AR29" s="133">
        <f t="shared" si="112"/>
        <v>600000</v>
      </c>
      <c r="AS29" s="133">
        <f t="shared" si="113"/>
        <v>78000</v>
      </c>
      <c r="AT29" s="123" t="str">
        <f t="shared" si="114"/>
        <v/>
      </c>
      <c r="AU29" s="124">
        <v>0.13</v>
      </c>
      <c r="AV29" s="394" t="s">
        <v>2754</v>
      </c>
      <c r="AW29" s="15">
        <v>45006</v>
      </c>
      <c r="AX29" s="12" t="s">
        <v>206</v>
      </c>
      <c r="AY29" s="1" t="s">
        <v>2883</v>
      </c>
      <c r="BC29" s="1" t="s">
        <v>2813</v>
      </c>
    </row>
    <row r="30" spans="1:56" s="1" customFormat="1" hidden="1" x14ac:dyDescent="0.25">
      <c r="A30" s="264" t="str">
        <f>Bérköltség!$B30</f>
        <v>FEOR</v>
      </c>
      <c r="B30" s="264" t="str">
        <f>IFERROR(
IF(AND(Bérköltség!$F30="",H30="NA"),"HIÁNYOS ADATOK",
IF(Bérköltség!$F30&lt;Bérköltség!$U30,Admin!$B$18,Admin!$B$17)),
"")</f>
        <v>FEOR</v>
      </c>
      <c r="C30" s="265">
        <f>IFERROR(INDEX('Historikus berek_2021-2'!$A$1:$F$903,MATCH(AB30,'Historikus berek_2021-2'!$A$1:$A$903,0),4),"")</f>
        <v>426900</v>
      </c>
      <c r="D30" s="279">
        <f t="shared" si="93"/>
        <v>426900</v>
      </c>
      <c r="E30" s="265">
        <f t="shared" si="94"/>
        <v>600000</v>
      </c>
      <c r="F30" s="266">
        <f t="shared" si="95"/>
        <v>195602.99999999994</v>
      </c>
      <c r="G30" s="267">
        <f t="shared" si="96"/>
        <v>482396.99999999994</v>
      </c>
      <c r="H30" s="268">
        <f>IFERROR(INDEX('FEOR kodok'!$A$2:$J$1126,MATCH(Bérköltség!AB30,'FEOR kodok'!$B$2:$B$1126,0),8),"NA")</f>
        <v>1413</v>
      </c>
      <c r="I30" s="269">
        <f>IFERROR(INDEX('FEOR kodok'!$A$2:$J$1126,MATCH(Bérköltség!AB30,'FEOR kodok'!$B$2:$B$1126,0),10),"NA")</f>
        <v>38</v>
      </c>
      <c r="J30" s="276" t="str">
        <f t="shared" si="97"/>
        <v>30–39 éves</v>
      </c>
      <c r="K30" s="269" t="str">
        <f>IFERROR(INDEX(admin_feor[#All],MATCH(Bérköltség!H30,admin_feor[[#All],[Foglalkozás]],0),2),"NA")</f>
        <v>Kutatási és fejlesztési tevékenységet folytató egység vezetője</v>
      </c>
      <c r="L30" s="270">
        <f>IFERROR(
INDEX('Admin - FEOR'!$A$4:$F$465,MATCH(Bérköltség!H30,'Admin - FEOR'!$A$4:$A$465,0),
IF(J30="30 év alatt",3,
IF(J30="30–39 éves",4,
IF(J30="40–49 éves",5,
IF(J30="50 év és afelett",6
)))))*1,"NA")</f>
        <v>985893</v>
      </c>
      <c r="M30" s="270">
        <f t="shared" si="98"/>
        <v>600000</v>
      </c>
      <c r="N30" s="318">
        <f t="shared" si="99"/>
        <v>0.60858531301064112</v>
      </c>
      <c r="O30" s="270">
        <f>IFERROR(
INDEX('Admin - FEOR'!$A$4:$F$465,MATCH(Bérköltség!H30,'Admin - FEOR'!$A$4:$A$465,0),
IF(J30="30 év alatt",3,
IF(J30="30–39 éves",4,
IF(J30="40–49 éves",5,
IF(J30="50 év és afelett",6
)))))*1.5,"NA")</f>
        <v>1478839.5</v>
      </c>
      <c r="P30" s="270">
        <f t="shared" si="100"/>
        <v>1478839.5</v>
      </c>
      <c r="Q30" s="270">
        <f t="shared" si="101"/>
        <v>600000</v>
      </c>
      <c r="R30" s="275">
        <f t="shared" si="102"/>
        <v>1</v>
      </c>
      <c r="S30" s="270">
        <f t="shared" si="103"/>
        <v>0</v>
      </c>
      <c r="T30" s="270">
        <f t="shared" si="104"/>
        <v>0</v>
      </c>
      <c r="U30" s="271">
        <f t="shared" si="105"/>
        <v>0</v>
      </c>
      <c r="V30" s="272">
        <f t="shared" si="106"/>
        <v>678000</v>
      </c>
      <c r="W30" s="273" t="str">
        <f t="shared" si="107"/>
        <v>Nem szükséges indoklás.</v>
      </c>
      <c r="X30" s="372">
        <f t="shared" si="108"/>
        <v>0</v>
      </c>
      <c r="Y30" s="317">
        <f t="shared" si="109"/>
        <v>600000</v>
      </c>
      <c r="Z30" s="317">
        <f t="shared" si="110"/>
        <v>78000</v>
      </c>
      <c r="AA30" s="36"/>
      <c r="AB30" s="274">
        <v>8433500570</v>
      </c>
      <c r="AC30" s="40" t="s">
        <v>154</v>
      </c>
      <c r="AD30" s="82" t="s">
        <v>75</v>
      </c>
      <c r="AE30" s="41" t="s">
        <v>52</v>
      </c>
      <c r="AF30" s="11" t="s">
        <v>151</v>
      </c>
      <c r="AG30" s="11" t="s">
        <v>151</v>
      </c>
      <c r="AH30" s="14" t="s">
        <v>122</v>
      </c>
      <c r="AI30" s="86" t="s">
        <v>39</v>
      </c>
      <c r="AJ30" s="113" t="str">
        <f>IF(COUNTIFS(Admin!$A$29:$A$40,AI30)&gt;0,Admin!$A$28,IF(COUNTIFS(Admin!$B$29:$B$40,AI30)&gt;0,Admin!$B$28,IF(COUNTIFS(Admin!$C$29:$C$40,AI30)&gt;0,Admin!$C$28,IF(COUNTIFS(Admin!$D$29:$D$40,AI30)&gt;0,Admin!$D$28,"-"))))</f>
        <v>3. mérföldkő</v>
      </c>
      <c r="AK30" s="14" t="s">
        <v>141</v>
      </c>
      <c r="AL30" s="9" t="s">
        <v>69</v>
      </c>
      <c r="AM30" s="131">
        <v>600000</v>
      </c>
      <c r="AN30" s="132">
        <f t="shared" si="111"/>
        <v>78000</v>
      </c>
      <c r="AO30" s="121" t="s">
        <v>2729</v>
      </c>
      <c r="AP30" s="121" t="s">
        <v>2729</v>
      </c>
      <c r="AQ30" s="354">
        <v>1</v>
      </c>
      <c r="AR30" s="133">
        <f t="shared" si="112"/>
        <v>600000</v>
      </c>
      <c r="AS30" s="133">
        <f t="shared" si="113"/>
        <v>78000</v>
      </c>
      <c r="AT30" s="123" t="str">
        <f t="shared" si="114"/>
        <v/>
      </c>
      <c r="AU30" s="124">
        <v>0.13</v>
      </c>
      <c r="AV30" s="394" t="s">
        <v>2754</v>
      </c>
      <c r="AW30" s="15">
        <v>45006</v>
      </c>
      <c r="AX30" s="12" t="s">
        <v>206</v>
      </c>
      <c r="AY30" s="1" t="s">
        <v>2883</v>
      </c>
      <c r="BC30" s="1" t="s">
        <v>2813</v>
      </c>
    </row>
    <row r="31" spans="1:56" s="1" customFormat="1" hidden="1" x14ac:dyDescent="0.25">
      <c r="A31" s="264" t="str">
        <f>Bérköltség!$B31</f>
        <v>FEOR</v>
      </c>
      <c r="B31" s="264" t="str">
        <f>IFERROR(
IF(AND(Bérköltség!$F31="",H31="NA"),"HIÁNYOS ADATOK",
IF(Bérköltség!$F31&lt;Bérköltség!$U31,Admin!$B$18,Admin!$B$17)),
"")</f>
        <v>FEOR</v>
      </c>
      <c r="C31" s="265">
        <f>IFERROR(INDEX('Historikus berek_2021-2'!$A$1:$F$903,MATCH(AB31,'Historikus berek_2021-2'!$A$1:$A$903,0),4),"")</f>
        <v>426900</v>
      </c>
      <c r="D31" s="279">
        <f t="shared" si="93"/>
        <v>426900</v>
      </c>
      <c r="E31" s="265">
        <f t="shared" si="94"/>
        <v>600000</v>
      </c>
      <c r="F31" s="266">
        <f t="shared" si="95"/>
        <v>195602.99999999994</v>
      </c>
      <c r="G31" s="267">
        <f t="shared" si="96"/>
        <v>482396.99999999994</v>
      </c>
      <c r="H31" s="268">
        <f>IFERROR(INDEX('FEOR kodok'!$A$2:$J$1126,MATCH(Bérköltség!AB31,'FEOR kodok'!$B$2:$B$1126,0),8),"NA")</f>
        <v>1413</v>
      </c>
      <c r="I31" s="269">
        <f>IFERROR(INDEX('FEOR kodok'!$A$2:$J$1126,MATCH(Bérköltség!AB31,'FEOR kodok'!$B$2:$B$1126,0),10),"NA")</f>
        <v>38</v>
      </c>
      <c r="J31" s="276" t="str">
        <f t="shared" si="97"/>
        <v>30–39 éves</v>
      </c>
      <c r="K31" s="269" t="str">
        <f>IFERROR(INDEX(admin_feor[#All],MATCH(Bérköltség!H31,admin_feor[[#All],[Foglalkozás]],0),2),"NA")</f>
        <v>Kutatási és fejlesztési tevékenységet folytató egység vezetője</v>
      </c>
      <c r="L31" s="270">
        <f>IFERROR(
INDEX('Admin - FEOR'!$A$4:$F$465,MATCH(Bérköltség!H31,'Admin - FEOR'!$A$4:$A$465,0),
IF(J31="30 év alatt",3,
IF(J31="30–39 éves",4,
IF(J31="40–49 éves",5,
IF(J31="50 év és afelett",6
)))))*1,"NA")</f>
        <v>985893</v>
      </c>
      <c r="M31" s="270">
        <f t="shared" si="98"/>
        <v>600000</v>
      </c>
      <c r="N31" s="318">
        <f t="shared" si="99"/>
        <v>0.60858531301064112</v>
      </c>
      <c r="O31" s="270">
        <f>IFERROR(
INDEX('Admin - FEOR'!$A$4:$F$465,MATCH(Bérköltség!H31,'Admin - FEOR'!$A$4:$A$465,0),
IF(J31="30 év alatt",3,
IF(J31="30–39 éves",4,
IF(J31="40–49 éves",5,
IF(J31="50 év és afelett",6
)))))*1.5,"NA")</f>
        <v>1478839.5</v>
      </c>
      <c r="P31" s="270">
        <f t="shared" si="100"/>
        <v>1478839.5</v>
      </c>
      <c r="Q31" s="270">
        <f t="shared" si="101"/>
        <v>600000</v>
      </c>
      <c r="R31" s="275">
        <f t="shared" si="102"/>
        <v>1</v>
      </c>
      <c r="S31" s="270">
        <f t="shared" si="103"/>
        <v>0</v>
      </c>
      <c r="T31" s="270">
        <f t="shared" si="104"/>
        <v>0</v>
      </c>
      <c r="U31" s="271">
        <f t="shared" si="105"/>
        <v>0</v>
      </c>
      <c r="V31" s="272">
        <f t="shared" si="106"/>
        <v>678000</v>
      </c>
      <c r="W31" s="273" t="str">
        <f t="shared" si="107"/>
        <v>Nem szükséges indoklás.</v>
      </c>
      <c r="X31" s="372">
        <f t="shared" si="108"/>
        <v>0</v>
      </c>
      <c r="Y31" s="317">
        <f t="shared" si="109"/>
        <v>600000</v>
      </c>
      <c r="Z31" s="317">
        <f t="shared" si="110"/>
        <v>78000</v>
      </c>
      <c r="AA31" s="36"/>
      <c r="AB31" s="274">
        <v>8433500570</v>
      </c>
      <c r="AC31" s="40" t="s">
        <v>154</v>
      </c>
      <c r="AD31" s="82" t="s">
        <v>75</v>
      </c>
      <c r="AE31" s="41" t="s">
        <v>52</v>
      </c>
      <c r="AF31" s="11" t="s">
        <v>151</v>
      </c>
      <c r="AG31" s="11" t="s">
        <v>151</v>
      </c>
      <c r="AH31" s="14" t="s">
        <v>122</v>
      </c>
      <c r="AI31" s="86" t="s">
        <v>40</v>
      </c>
      <c r="AJ31" s="113" t="str">
        <f>IF(COUNTIFS(Admin!$A$29:$A$40,AI31)&gt;0,Admin!$A$28,IF(COUNTIFS(Admin!$B$29:$B$40,AI31)&gt;0,Admin!$B$28,IF(COUNTIFS(Admin!$C$29:$C$40,AI31)&gt;0,Admin!$C$28,IF(COUNTIFS(Admin!$D$29:$D$40,AI31)&gt;0,Admin!$D$28,"-"))))</f>
        <v>3. mérföldkő</v>
      </c>
      <c r="AK31" s="14" t="s">
        <v>141</v>
      </c>
      <c r="AL31" s="9" t="s">
        <v>69</v>
      </c>
      <c r="AM31" s="131">
        <v>600000</v>
      </c>
      <c r="AN31" s="132">
        <f t="shared" si="111"/>
        <v>78000</v>
      </c>
      <c r="AO31" s="121" t="s">
        <v>2729</v>
      </c>
      <c r="AP31" s="121" t="s">
        <v>2729</v>
      </c>
      <c r="AQ31" s="354">
        <v>1</v>
      </c>
      <c r="AR31" s="133">
        <f t="shared" si="112"/>
        <v>600000</v>
      </c>
      <c r="AS31" s="133">
        <f t="shared" si="113"/>
        <v>78000</v>
      </c>
      <c r="AT31" s="123" t="str">
        <f t="shared" si="114"/>
        <v/>
      </c>
      <c r="AU31" s="124">
        <v>0.13</v>
      </c>
      <c r="AV31" s="394" t="s">
        <v>2754</v>
      </c>
      <c r="AW31" s="15">
        <v>45006</v>
      </c>
      <c r="AX31" s="12" t="s">
        <v>206</v>
      </c>
      <c r="AY31" s="1" t="s">
        <v>2883</v>
      </c>
      <c r="BC31" s="1" t="s">
        <v>2813</v>
      </c>
    </row>
    <row r="32" spans="1:56" s="1" customFormat="1" hidden="1" x14ac:dyDescent="0.25">
      <c r="A32" s="264" t="str">
        <f>Bérköltség!$B32</f>
        <v>FEOR</v>
      </c>
      <c r="B32" s="264" t="str">
        <f>IFERROR(
IF(AND(Bérköltség!$F32="",H32="NA"),"HIÁNYOS ADATOK",
IF(Bérköltség!$F32&lt;Bérköltség!$U32,Admin!$B$18,Admin!$B$17)),
"")</f>
        <v>FEOR</v>
      </c>
      <c r="C32" s="265">
        <f>IFERROR(INDEX('Historikus berek_2021-2'!$A$1:$F$903,MATCH(AB32,'Historikus berek_2021-2'!$A$1:$A$903,0),4),"")</f>
        <v>426900</v>
      </c>
      <c r="D32" s="279">
        <f t="shared" si="93"/>
        <v>426900</v>
      </c>
      <c r="E32" s="265">
        <f t="shared" si="94"/>
        <v>600000</v>
      </c>
      <c r="F32" s="266">
        <f t="shared" si="95"/>
        <v>195602.99999999994</v>
      </c>
      <c r="G32" s="267">
        <f t="shared" si="96"/>
        <v>482396.99999999994</v>
      </c>
      <c r="H32" s="268">
        <f>IFERROR(INDEX('FEOR kodok'!$A$2:$J$1126,MATCH(Bérköltség!AB32,'FEOR kodok'!$B$2:$B$1126,0),8),"NA")</f>
        <v>1413</v>
      </c>
      <c r="I32" s="269">
        <f>IFERROR(INDEX('FEOR kodok'!$A$2:$J$1126,MATCH(Bérköltség!AB32,'FEOR kodok'!$B$2:$B$1126,0),10),"NA")</f>
        <v>38</v>
      </c>
      <c r="J32" s="276" t="str">
        <f t="shared" si="97"/>
        <v>30–39 éves</v>
      </c>
      <c r="K32" s="269" t="str">
        <f>IFERROR(INDEX(admin_feor[#All],MATCH(Bérköltség!H32,admin_feor[[#All],[Foglalkozás]],0),2),"NA")</f>
        <v>Kutatási és fejlesztési tevékenységet folytató egység vezetője</v>
      </c>
      <c r="L32" s="270">
        <f>IFERROR(
INDEX('Admin - FEOR'!$A$4:$F$465,MATCH(Bérköltség!H32,'Admin - FEOR'!$A$4:$A$465,0),
IF(J32="30 év alatt",3,
IF(J32="30–39 éves",4,
IF(J32="40–49 éves",5,
IF(J32="50 év és afelett",6
)))))*1,"NA")</f>
        <v>985893</v>
      </c>
      <c r="M32" s="270">
        <f t="shared" si="98"/>
        <v>600000</v>
      </c>
      <c r="N32" s="318">
        <f t="shared" si="99"/>
        <v>0.60858531301064112</v>
      </c>
      <c r="O32" s="270">
        <f>IFERROR(
INDEX('Admin - FEOR'!$A$4:$F$465,MATCH(Bérköltség!H32,'Admin - FEOR'!$A$4:$A$465,0),
IF(J32="30 év alatt",3,
IF(J32="30–39 éves",4,
IF(J32="40–49 éves",5,
IF(J32="50 év és afelett",6
)))))*1.5,"NA")</f>
        <v>1478839.5</v>
      </c>
      <c r="P32" s="270">
        <f t="shared" si="100"/>
        <v>1478839.5</v>
      </c>
      <c r="Q32" s="270">
        <f t="shared" si="101"/>
        <v>600000</v>
      </c>
      <c r="R32" s="275">
        <f t="shared" si="102"/>
        <v>1</v>
      </c>
      <c r="S32" s="270">
        <f t="shared" si="103"/>
        <v>0</v>
      </c>
      <c r="T32" s="270">
        <f t="shared" si="104"/>
        <v>0</v>
      </c>
      <c r="U32" s="271">
        <f t="shared" si="105"/>
        <v>0</v>
      </c>
      <c r="V32" s="272">
        <f t="shared" si="106"/>
        <v>678000</v>
      </c>
      <c r="W32" s="273" t="str">
        <f t="shared" si="107"/>
        <v>Nem szükséges indoklás.</v>
      </c>
      <c r="X32" s="372">
        <f t="shared" si="108"/>
        <v>0</v>
      </c>
      <c r="Y32" s="317">
        <f t="shared" si="109"/>
        <v>600000</v>
      </c>
      <c r="Z32" s="317">
        <f t="shared" si="110"/>
        <v>78000</v>
      </c>
      <c r="AA32" s="36"/>
      <c r="AB32" s="274">
        <v>8433500570</v>
      </c>
      <c r="AC32" s="40" t="s">
        <v>154</v>
      </c>
      <c r="AD32" s="82" t="s">
        <v>75</v>
      </c>
      <c r="AE32" s="41" t="s">
        <v>52</v>
      </c>
      <c r="AF32" s="11" t="s">
        <v>151</v>
      </c>
      <c r="AG32" s="11" t="s">
        <v>151</v>
      </c>
      <c r="AH32" s="14" t="s">
        <v>122</v>
      </c>
      <c r="AI32" s="86" t="s">
        <v>41</v>
      </c>
      <c r="AJ32" s="113" t="str">
        <f>IF(COUNTIFS(Admin!$A$29:$A$40,AI32)&gt;0,Admin!$A$28,IF(COUNTIFS(Admin!$B$29:$B$40,AI32)&gt;0,Admin!$B$28,IF(COUNTIFS(Admin!$C$29:$C$40,AI32)&gt;0,Admin!$C$28,IF(COUNTIFS(Admin!$D$29:$D$40,AI32)&gt;0,Admin!$D$28,"-"))))</f>
        <v>3. mérföldkő</v>
      </c>
      <c r="AK32" s="14" t="s">
        <v>141</v>
      </c>
      <c r="AL32" s="9" t="s">
        <v>69</v>
      </c>
      <c r="AM32" s="131">
        <v>600000</v>
      </c>
      <c r="AN32" s="132">
        <f t="shared" si="111"/>
        <v>78000</v>
      </c>
      <c r="AO32" s="121" t="s">
        <v>2729</v>
      </c>
      <c r="AP32" s="121" t="s">
        <v>2729</v>
      </c>
      <c r="AQ32" s="354">
        <v>1</v>
      </c>
      <c r="AR32" s="133">
        <f t="shared" si="112"/>
        <v>600000</v>
      </c>
      <c r="AS32" s="133">
        <f t="shared" si="113"/>
        <v>78000</v>
      </c>
      <c r="AT32" s="123" t="str">
        <f t="shared" si="114"/>
        <v/>
      </c>
      <c r="AU32" s="124">
        <v>0.13</v>
      </c>
      <c r="AV32" s="394" t="s">
        <v>2754</v>
      </c>
      <c r="AW32" s="15">
        <v>45006</v>
      </c>
      <c r="AX32" s="12" t="s">
        <v>206</v>
      </c>
      <c r="AY32" s="1" t="s">
        <v>2883</v>
      </c>
      <c r="BC32" s="1" t="s">
        <v>2813</v>
      </c>
    </row>
    <row r="33" spans="1:56" s="1" customFormat="1" hidden="1" x14ac:dyDescent="0.25">
      <c r="A33" s="264" t="str">
        <f>Bérköltség!$B33</f>
        <v>FEOR</v>
      </c>
      <c r="B33" s="264" t="str">
        <f>IFERROR(
IF(AND(Bérköltség!$F33="",H33="NA"),"HIÁNYOS ADATOK",
IF(Bérköltség!$F33&lt;Bérköltség!$U33,Admin!$B$18,Admin!$B$17)),
"")</f>
        <v>FEOR</v>
      </c>
      <c r="C33" s="265">
        <f>IFERROR(INDEX('Historikus berek_2021-2'!$A$1:$F$903,MATCH(AB33,'Historikus berek_2021-2'!$A$1:$A$903,0),4),"")</f>
        <v>426900</v>
      </c>
      <c r="D33" s="279">
        <f t="shared" si="93"/>
        <v>426900</v>
      </c>
      <c r="E33" s="265">
        <f t="shared" si="94"/>
        <v>600000</v>
      </c>
      <c r="F33" s="266">
        <f t="shared" si="95"/>
        <v>195602.99999999994</v>
      </c>
      <c r="G33" s="267">
        <f t="shared" si="96"/>
        <v>482396.99999999994</v>
      </c>
      <c r="H33" s="268">
        <f>IFERROR(INDEX('FEOR kodok'!$A$2:$J$1126,MATCH(Bérköltség!AB33,'FEOR kodok'!$B$2:$B$1126,0),8),"NA")</f>
        <v>1413</v>
      </c>
      <c r="I33" s="269">
        <f>IFERROR(INDEX('FEOR kodok'!$A$2:$J$1126,MATCH(Bérköltség!AB33,'FEOR kodok'!$B$2:$B$1126,0),10),"NA")</f>
        <v>38</v>
      </c>
      <c r="J33" s="276" t="str">
        <f t="shared" si="97"/>
        <v>30–39 éves</v>
      </c>
      <c r="K33" s="269" t="str">
        <f>IFERROR(INDEX(admin_feor[#All],MATCH(Bérköltség!H33,admin_feor[[#All],[Foglalkozás]],0),2),"NA")</f>
        <v>Kutatási és fejlesztési tevékenységet folytató egység vezetője</v>
      </c>
      <c r="L33" s="270">
        <f>IFERROR(
INDEX('Admin - FEOR'!$A$4:$F$465,MATCH(Bérköltség!H33,'Admin - FEOR'!$A$4:$A$465,0),
IF(J33="30 év alatt",3,
IF(J33="30–39 éves",4,
IF(J33="40–49 éves",5,
IF(J33="50 év és afelett",6
)))))*1,"NA")</f>
        <v>985893</v>
      </c>
      <c r="M33" s="270">
        <f t="shared" si="98"/>
        <v>600000</v>
      </c>
      <c r="N33" s="318">
        <f t="shared" si="99"/>
        <v>0.60858531301064112</v>
      </c>
      <c r="O33" s="270">
        <f>IFERROR(
INDEX('Admin - FEOR'!$A$4:$F$465,MATCH(Bérköltség!H33,'Admin - FEOR'!$A$4:$A$465,0),
IF(J33="30 év alatt",3,
IF(J33="30–39 éves",4,
IF(J33="40–49 éves",5,
IF(J33="50 év és afelett",6
)))))*1.5,"NA")</f>
        <v>1478839.5</v>
      </c>
      <c r="P33" s="270">
        <f t="shared" si="100"/>
        <v>1478839.5</v>
      </c>
      <c r="Q33" s="270">
        <f t="shared" si="101"/>
        <v>600000</v>
      </c>
      <c r="R33" s="275">
        <f t="shared" si="102"/>
        <v>1</v>
      </c>
      <c r="S33" s="270">
        <f t="shared" si="103"/>
        <v>0</v>
      </c>
      <c r="T33" s="270">
        <f t="shared" si="104"/>
        <v>0</v>
      </c>
      <c r="U33" s="271">
        <f t="shared" si="105"/>
        <v>0</v>
      </c>
      <c r="V33" s="272">
        <f t="shared" si="106"/>
        <v>678000</v>
      </c>
      <c r="W33" s="273" t="str">
        <f t="shared" si="107"/>
        <v>Nem szükséges indoklás.</v>
      </c>
      <c r="X33" s="372">
        <f t="shared" si="108"/>
        <v>0</v>
      </c>
      <c r="Y33" s="317">
        <f t="shared" si="109"/>
        <v>600000</v>
      </c>
      <c r="Z33" s="317">
        <f t="shared" si="110"/>
        <v>78000</v>
      </c>
      <c r="AA33" s="36"/>
      <c r="AB33" s="274">
        <v>8433500570</v>
      </c>
      <c r="AC33" s="40" t="s">
        <v>154</v>
      </c>
      <c r="AD33" s="82" t="s">
        <v>75</v>
      </c>
      <c r="AE33" s="41" t="s">
        <v>52</v>
      </c>
      <c r="AF33" s="11" t="s">
        <v>151</v>
      </c>
      <c r="AG33" s="11" t="s">
        <v>151</v>
      </c>
      <c r="AH33" s="14" t="s">
        <v>122</v>
      </c>
      <c r="AI33" s="86" t="s">
        <v>42</v>
      </c>
      <c r="AJ33" s="113" t="str">
        <f>IF(COUNTIFS(Admin!$A$29:$A$40,AI33)&gt;0,Admin!$A$28,IF(COUNTIFS(Admin!$B$29:$B$40,AI33)&gt;0,Admin!$B$28,IF(COUNTIFS(Admin!$C$29:$C$40,AI33)&gt;0,Admin!$C$28,IF(COUNTIFS(Admin!$D$29:$D$40,AI33)&gt;0,Admin!$D$28,"-"))))</f>
        <v>3. mérföldkő</v>
      </c>
      <c r="AK33" s="14" t="s">
        <v>141</v>
      </c>
      <c r="AL33" s="9" t="s">
        <v>69</v>
      </c>
      <c r="AM33" s="131">
        <v>600000</v>
      </c>
      <c r="AN33" s="132">
        <f t="shared" si="111"/>
        <v>78000</v>
      </c>
      <c r="AO33" s="121" t="s">
        <v>2729</v>
      </c>
      <c r="AP33" s="121" t="s">
        <v>2729</v>
      </c>
      <c r="AQ33" s="354">
        <v>1</v>
      </c>
      <c r="AR33" s="133">
        <f t="shared" si="112"/>
        <v>600000</v>
      </c>
      <c r="AS33" s="133">
        <f t="shared" si="113"/>
        <v>78000</v>
      </c>
      <c r="AT33" s="123" t="str">
        <f t="shared" si="114"/>
        <v/>
      </c>
      <c r="AU33" s="124">
        <v>0.13</v>
      </c>
      <c r="AV33" s="394" t="s">
        <v>2754</v>
      </c>
      <c r="AW33" s="15">
        <v>45006</v>
      </c>
      <c r="AX33" s="12" t="s">
        <v>206</v>
      </c>
      <c r="AY33" s="1" t="s">
        <v>2883</v>
      </c>
      <c r="BC33" s="1" t="s">
        <v>2813</v>
      </c>
    </row>
    <row r="34" spans="1:56" s="1" customFormat="1" hidden="1" x14ac:dyDescent="0.25">
      <c r="A34" s="264" t="str">
        <f>Bérköltség!$B34</f>
        <v>FEOR</v>
      </c>
      <c r="B34" s="264" t="str">
        <f>IFERROR(
IF(AND(Bérköltség!$F34="",H34="NA"),"HIÁNYOS ADATOK",
IF(Bérköltség!$F34&lt;Bérköltség!$U34,Admin!$B$18,Admin!$B$17)),
"")</f>
        <v>FEOR</v>
      </c>
      <c r="C34" s="265" t="str">
        <f>IFERROR(INDEX('Historikus berek_2021-2'!$A$1:$F$903,MATCH(AB34,'Historikus berek_2021-2'!$A$1:$A$903,0),4),"")</f>
        <v/>
      </c>
      <c r="D34" s="279" t="str">
        <f t="shared" si="23"/>
        <v/>
      </c>
      <c r="E34" s="265">
        <f t="shared" si="24"/>
        <v>212500</v>
      </c>
      <c r="F34" s="266" t="str">
        <f t="shared" si="25"/>
        <v/>
      </c>
      <c r="G34" s="267" t="str">
        <f t="shared" si="26"/>
        <v/>
      </c>
      <c r="H34" s="268">
        <f>IFERROR(INDEX('FEOR kodok'!$A$2:$J$1126,MATCH(Bérköltség!AB34,'FEOR kodok'!$B$2:$B$1126,0),8),"NA")</f>
        <v>2910</v>
      </c>
      <c r="I34" s="269">
        <f>IFERROR(INDEX('FEOR kodok'!$A$2:$J$1126,MATCH(Bérköltség!AB34,'FEOR kodok'!$B$2:$B$1126,0),10),"NA")</f>
        <v>50</v>
      </c>
      <c r="J34" s="276" t="str">
        <f t="shared" si="27"/>
        <v>50 év és afelett</v>
      </c>
      <c r="K34" s="269" t="str">
        <f>IFERROR(INDEX(admin_feor[#All],MATCH(Bérköltség!H34,admin_feor[[#All],[Foglalkozás]],0),2),"NA")</f>
        <v>Egyéb magasan képzett ügyintéző</v>
      </c>
      <c r="L34" s="270">
        <f>IFERROR(
INDEX('Admin - FEOR'!$A$4:$F$465,MATCH(Bérköltség!H34,'Admin - FEOR'!$A$4:$A$465,0),
IF(J34="30 év alatt",3,
IF(J34="30–39 éves",4,
IF(J34="40–49 éves",5,
IF(J34="50 év és afelett",6
)))))*1,"NA")</f>
        <v>639081</v>
      </c>
      <c r="M34" s="270">
        <f t="shared" si="28"/>
        <v>425000</v>
      </c>
      <c r="N34" s="318">
        <f t="shared" si="29"/>
        <v>0.66501742345649451</v>
      </c>
      <c r="O34" s="270">
        <f>IFERROR(
INDEX('Admin - FEOR'!$A$4:$F$465,MATCH(Bérköltség!H34,'Admin - FEOR'!$A$4:$A$465,0),
IF(J34="30 év alatt",3,
IF(J34="30–39 éves",4,
IF(J34="40–49 éves",5,
IF(J34="50 év és afelett",6
)))))*1.5,"NA")</f>
        <v>958621.5</v>
      </c>
      <c r="P34" s="270">
        <f t="shared" si="30"/>
        <v>479310.75</v>
      </c>
      <c r="Q34" s="270">
        <f t="shared" si="31"/>
        <v>212500</v>
      </c>
      <c r="R34" s="275">
        <f t="shared" si="32"/>
        <v>0.5</v>
      </c>
      <c r="S34" s="270">
        <f t="shared" si="33"/>
        <v>0</v>
      </c>
      <c r="T34" s="270">
        <f t="shared" si="34"/>
        <v>0</v>
      </c>
      <c r="U34" s="271">
        <f t="shared" si="35"/>
        <v>0</v>
      </c>
      <c r="V34" s="272">
        <f t="shared" si="36"/>
        <v>240125</v>
      </c>
      <c r="W34" s="273" t="str">
        <f t="shared" si="37"/>
        <v>Nem szükséges indoklás.</v>
      </c>
      <c r="X34" s="372">
        <f t="shared" si="38"/>
        <v>0</v>
      </c>
      <c r="Y34" s="317">
        <f t="shared" si="39"/>
        <v>212500</v>
      </c>
      <c r="Z34" s="317">
        <f t="shared" si="40"/>
        <v>27625</v>
      </c>
      <c r="AA34" s="12" t="s">
        <v>2800</v>
      </c>
      <c r="AB34" s="274">
        <v>8388224557</v>
      </c>
      <c r="AC34" s="40" t="s">
        <v>229</v>
      </c>
      <c r="AD34" s="82" t="s">
        <v>76</v>
      </c>
      <c r="AE34" s="41" t="s">
        <v>85</v>
      </c>
      <c r="AF34" s="11" t="s">
        <v>160</v>
      </c>
      <c r="AG34" s="11" t="s">
        <v>196</v>
      </c>
      <c r="AH34" s="14" t="s">
        <v>142</v>
      </c>
      <c r="AI34" s="86" t="s">
        <v>24</v>
      </c>
      <c r="AJ34" s="113" t="str">
        <f>IF(COUNTIFS(Admin!$A$29:$A$40,AI34)&gt;0,Admin!$A$28,IF(COUNTIFS(Admin!$B$29:$B$40,AI34)&gt;0,Admin!$B$28,IF(COUNTIFS(Admin!$C$29:$C$40,AI34)&gt;0,Admin!$C$28,IF(COUNTIFS(Admin!$D$29:$D$40,AI34)&gt;0,Admin!$D$28,"-"))))</f>
        <v>2. mérföldkő</v>
      </c>
      <c r="AK34" s="14" t="s">
        <v>7</v>
      </c>
      <c r="AL34" s="9" t="s">
        <v>56</v>
      </c>
      <c r="AM34" s="131">
        <v>425000</v>
      </c>
      <c r="AN34" s="132">
        <f t="shared" ref="AN34:AN130" si="115">IFERROR(ROUND(AM34*AU34,0),"")</f>
        <v>55250</v>
      </c>
      <c r="AO34" s="121">
        <v>174</v>
      </c>
      <c r="AP34" s="121">
        <v>87</v>
      </c>
      <c r="AQ34" s="123">
        <f>IFERROR(AP34/AO34,"")</f>
        <v>0.5</v>
      </c>
      <c r="AR34" s="133">
        <f>IFERROR(ROUND(AM34*AP34/AO34,0),"")</f>
        <v>212500</v>
      </c>
      <c r="AS34" s="133">
        <f>IFERROR(ROUND(AR34*AU34,0),"")</f>
        <v>27625</v>
      </c>
      <c r="AT34" s="123">
        <f>IFERROR(AP34/AO34-AR34/AM34,"")</f>
        <v>0</v>
      </c>
      <c r="AU34" s="124">
        <v>0.13</v>
      </c>
      <c r="AV34" s="394" t="s">
        <v>2755</v>
      </c>
      <c r="AW34" s="15">
        <v>44830</v>
      </c>
      <c r="AX34" s="12" t="s">
        <v>206</v>
      </c>
    </row>
    <row r="35" spans="1:56" s="1" customFormat="1" hidden="1" x14ac:dyDescent="0.25">
      <c r="A35" s="264" t="str">
        <f>Bérköltség!$B35</f>
        <v>FEOR</v>
      </c>
      <c r="B35" s="264" t="str">
        <f>IFERROR(
IF(AND(Bérköltség!$F35="",H35="NA"),"HIÁNYOS ADATOK",
IF(Bérköltség!$F35&lt;Bérköltség!$U35,Admin!$B$18,Admin!$B$17)),
"")</f>
        <v>FEOR</v>
      </c>
      <c r="C35" s="265" t="str">
        <f>IFERROR(INDEX('Historikus berek_2021-2'!$A$1:$F$903,MATCH(AB35,'Historikus berek_2021-2'!$A$1:$A$903,0),4),"")</f>
        <v/>
      </c>
      <c r="D35" s="279" t="str">
        <f t="shared" si="23"/>
        <v/>
      </c>
      <c r="E35" s="265">
        <f t="shared" si="24"/>
        <v>50596</v>
      </c>
      <c r="F35" s="266" t="str">
        <f t="shared" si="25"/>
        <v/>
      </c>
      <c r="G35" s="267" t="str">
        <f t="shared" si="26"/>
        <v/>
      </c>
      <c r="H35" s="268">
        <f>IFERROR(INDEX('FEOR kodok'!$A$2:$J$1126,MATCH(Bérköltség!AB35,'FEOR kodok'!$B$2:$B$1126,0),8),"NA")</f>
        <v>2910</v>
      </c>
      <c r="I35" s="269">
        <f>IFERROR(INDEX('FEOR kodok'!$A$2:$J$1126,MATCH(Bérköltség!AB35,'FEOR kodok'!$B$2:$B$1126,0),10),"NA")</f>
        <v>50</v>
      </c>
      <c r="J35" s="276" t="str">
        <f t="shared" si="27"/>
        <v>50 év és afelett</v>
      </c>
      <c r="K35" s="269" t="str">
        <f>IFERROR(INDEX(admin_feor[#All],MATCH(Bérköltség!H35,admin_feor[[#All],[Foglalkozás]],0),2),"NA")</f>
        <v>Egyéb magasan képzett ügyintéző</v>
      </c>
      <c r="L35" s="270">
        <f>IFERROR(
INDEX('Admin - FEOR'!$A$4:$F$465,MATCH(Bérköltség!H35,'Admin - FEOR'!$A$4:$A$465,0),
IF(J35="30 év alatt",3,
IF(J35="30–39 éves",4,
IF(J35="40–49 éves",5,
IF(J35="50 év és afelett",6
)))))*1,"NA")</f>
        <v>639081</v>
      </c>
      <c r="M35" s="270">
        <f t="shared" si="28"/>
        <v>101191</v>
      </c>
      <c r="N35" s="318">
        <f t="shared" si="29"/>
        <v>0.15833830140467328</v>
      </c>
      <c r="O35" s="270">
        <f>IFERROR(
INDEX('Admin - FEOR'!$A$4:$F$465,MATCH(Bérköltség!H35,'Admin - FEOR'!$A$4:$A$465,0),
IF(J35="30 év alatt",3,
IF(J35="30–39 éves",4,
IF(J35="40–49 éves",5,
IF(J35="50 év és afelett",6
)))))*1.5,"NA")</f>
        <v>958621.5</v>
      </c>
      <c r="P35" s="270">
        <f t="shared" si="30"/>
        <v>479310.75</v>
      </c>
      <c r="Q35" s="270">
        <f t="shared" si="31"/>
        <v>50596</v>
      </c>
      <c r="R35" s="275">
        <f t="shared" si="32"/>
        <v>0.5</v>
      </c>
      <c r="S35" s="270">
        <f t="shared" si="33"/>
        <v>0</v>
      </c>
      <c r="T35" s="270">
        <f t="shared" si="34"/>
        <v>0</v>
      </c>
      <c r="U35" s="271">
        <f t="shared" si="35"/>
        <v>0</v>
      </c>
      <c r="V35" s="272">
        <f t="shared" si="36"/>
        <v>57173</v>
      </c>
      <c r="W35" s="273" t="str">
        <f t="shared" si="37"/>
        <v>Nem szükséges indoklás.</v>
      </c>
      <c r="X35" s="372">
        <f t="shared" si="38"/>
        <v>0</v>
      </c>
      <c r="Y35" s="317">
        <f t="shared" si="39"/>
        <v>50596</v>
      </c>
      <c r="Z35" s="317">
        <f t="shared" si="40"/>
        <v>6577</v>
      </c>
      <c r="AA35" s="12" t="s">
        <v>2800</v>
      </c>
      <c r="AB35" s="274">
        <v>8388224557</v>
      </c>
      <c r="AC35" s="40" t="s">
        <v>229</v>
      </c>
      <c r="AD35" s="82" t="s">
        <v>76</v>
      </c>
      <c r="AE35" s="41" t="s">
        <v>85</v>
      </c>
      <c r="AF35" s="11" t="s">
        <v>160</v>
      </c>
      <c r="AG35" s="11" t="s">
        <v>196</v>
      </c>
      <c r="AH35" s="14" t="s">
        <v>142</v>
      </c>
      <c r="AI35" s="86" t="s">
        <v>25</v>
      </c>
      <c r="AJ35" s="113" t="str">
        <f>IF(COUNTIFS(Admin!$A$29:$A$40,AI35)&gt;0,Admin!$A$28,IF(COUNTIFS(Admin!$B$29:$B$40,AI35)&gt;0,Admin!$B$28,IF(COUNTIFS(Admin!$C$29:$C$40,AI35)&gt;0,Admin!$C$28,IF(COUNTIFS(Admin!$D$29:$D$40,AI35)&gt;0,Admin!$D$28,"-"))))</f>
        <v>2. mérföldkő</v>
      </c>
      <c r="AK35" s="14" t="s">
        <v>7</v>
      </c>
      <c r="AL35" s="9" t="s">
        <v>56</v>
      </c>
      <c r="AM35" s="131">
        <v>101191</v>
      </c>
      <c r="AN35" s="132">
        <f t="shared" si="115"/>
        <v>13155</v>
      </c>
      <c r="AO35" s="121">
        <v>174</v>
      </c>
      <c r="AP35" s="121">
        <v>87</v>
      </c>
      <c r="AQ35" s="123">
        <f t="shared" ref="AQ35:AQ45" si="116">IFERROR(AP35/AO35,"")</f>
        <v>0.5</v>
      </c>
      <c r="AR35" s="133">
        <f t="shared" ref="AR35:AR45" si="117">IFERROR(ROUND(AM35*AP35/AO35,0),"")</f>
        <v>50596</v>
      </c>
      <c r="AS35" s="133">
        <f t="shared" ref="AS35:AS45" si="118">IFERROR(ROUND(AR35*AU35,0),"")</f>
        <v>6577</v>
      </c>
      <c r="AT35" s="123">
        <f t="shared" ref="AT35:AT45" si="119">IFERROR(AP35/AO35-AR35/AM35,"")</f>
        <v>-4.9411508928898229E-6</v>
      </c>
      <c r="AU35" s="124">
        <v>0.13</v>
      </c>
      <c r="AV35" s="394" t="s">
        <v>2755</v>
      </c>
      <c r="AW35" s="15">
        <v>44830</v>
      </c>
      <c r="AX35" s="12" t="s">
        <v>206</v>
      </c>
    </row>
    <row r="36" spans="1:56" s="1" customFormat="1" hidden="1" x14ac:dyDescent="0.25">
      <c r="A36" s="264" t="str">
        <f>Bérköltség!$B36</f>
        <v>FEOR</v>
      </c>
      <c r="B36" s="264" t="str">
        <f>IFERROR(
IF(AND(Bérköltség!$F36="",H36="NA"),"HIÁNYOS ADATOK",
IF(Bérköltség!$F36&lt;Bérköltség!$U36,Admin!$B$18,Admin!$B$17)),
"")</f>
        <v>FEOR</v>
      </c>
      <c r="C36" s="265">
        <f>IFERROR(INDEX('Historikus berek_2021-2'!$A$1:$F$903,MATCH(AB36,'Historikus berek_2021-2'!$A$1:$A$903,0),4),"")</f>
        <v>319000</v>
      </c>
      <c r="D36" s="279">
        <f t="shared" si="23"/>
        <v>319000</v>
      </c>
      <c r="E36" s="265">
        <f t="shared" si="24"/>
        <v>387000</v>
      </c>
      <c r="F36" s="266">
        <f t="shared" si="25"/>
        <v>76840</v>
      </c>
      <c r="G36" s="267">
        <f t="shared" si="26"/>
        <v>360469.99999999994</v>
      </c>
      <c r="H36" s="268">
        <f>IFERROR(INDEX('FEOR kodok'!$A$2:$J$1126,MATCH(Bérköltség!AB36,'FEOR kodok'!$B$2:$B$1126,0),8),"NA")</f>
        <v>3910</v>
      </c>
      <c r="I36" s="269">
        <f>IFERROR(INDEX('FEOR kodok'!$A$2:$J$1126,MATCH(Bérköltség!AB36,'FEOR kodok'!$B$2:$B$1126,0),10),"NA")</f>
        <v>24</v>
      </c>
      <c r="J36" s="276" t="str">
        <f t="shared" si="27"/>
        <v>30 év alatt</v>
      </c>
      <c r="K36" s="269" t="str">
        <f>IFERROR(INDEX(admin_feor[#All],MATCH(Bérköltség!H36,admin_feor[[#All],[Foglalkozás]],0),2),"NA")</f>
        <v>Egyéb ügyintéző</v>
      </c>
      <c r="L36" s="270">
        <f>IFERROR(
INDEX('Admin - FEOR'!$A$4:$F$465,MATCH(Bérköltség!H36,'Admin - FEOR'!$A$4:$A$465,0),
IF(J36="30 év alatt",3,
IF(J36="30–39 éves",4,
IF(J36="40–49 éves",5,
IF(J36="50 év és afelett",6
)))))*1,"NA")</f>
        <v>359927</v>
      </c>
      <c r="M36" s="270">
        <f t="shared" si="28"/>
        <v>387000</v>
      </c>
      <c r="N36" s="318">
        <f t="shared" si="29"/>
        <v>1.0752180303228154</v>
      </c>
      <c r="O36" s="270">
        <f>IFERROR(
INDEX('Admin - FEOR'!$A$4:$F$465,MATCH(Bérköltség!H36,'Admin - FEOR'!$A$4:$A$465,0),
IF(J36="30 év alatt",3,
IF(J36="30–39 éves",4,
IF(J36="40–49 éves",5,
IF(J36="50 év és afelett",6
)))))*1.5,"NA")</f>
        <v>539890.5</v>
      </c>
      <c r="P36" s="270">
        <f t="shared" si="30"/>
        <v>539890.5</v>
      </c>
      <c r="Q36" s="270">
        <f t="shared" si="31"/>
        <v>387000</v>
      </c>
      <c r="R36" s="275">
        <f t="shared" si="32"/>
        <v>1</v>
      </c>
      <c r="S36" s="270">
        <f t="shared" si="33"/>
        <v>0</v>
      </c>
      <c r="T36" s="270">
        <f t="shared" si="34"/>
        <v>0</v>
      </c>
      <c r="U36" s="271">
        <f t="shared" si="35"/>
        <v>0</v>
      </c>
      <c r="V36" s="272">
        <f t="shared" si="36"/>
        <v>437310</v>
      </c>
      <c r="W36" s="273" t="str">
        <f t="shared" si="37"/>
        <v>Indoklás szükséges mivel a FEOR: 107,5%</v>
      </c>
      <c r="X36" s="372">
        <f t="shared" si="38"/>
        <v>0</v>
      </c>
      <c r="Y36" s="317">
        <f t="shared" si="39"/>
        <v>387000</v>
      </c>
      <c r="Z36" s="317">
        <f t="shared" si="40"/>
        <v>50310</v>
      </c>
      <c r="AA36" s="12">
        <v>2</v>
      </c>
      <c r="AB36" s="274">
        <v>8482470434</v>
      </c>
      <c r="AC36" s="40" t="s">
        <v>334</v>
      </c>
      <c r="AD36" s="82" t="s">
        <v>75</v>
      </c>
      <c r="AE36" s="41" t="s">
        <v>54</v>
      </c>
      <c r="AF36" s="11" t="s">
        <v>159</v>
      </c>
      <c r="AG36" s="11" t="s">
        <v>166</v>
      </c>
      <c r="AH36" s="14" t="s">
        <v>123</v>
      </c>
      <c r="AI36" s="86" t="s">
        <v>32</v>
      </c>
      <c r="AJ36" s="113" t="str">
        <f>IF(COUNTIFS(Admin!$A$29:$A$40,AI36)&gt;0,Admin!$A$28,IF(COUNTIFS(Admin!$B$29:$B$40,AI36)&gt;0,Admin!$B$28,IF(COUNTIFS(Admin!$C$29:$C$40,AI36)&gt;0,Admin!$C$28,IF(COUNTIFS(Admin!$D$29:$D$40,AI36)&gt;0,Admin!$D$28,"-"))))</f>
        <v>2. mérföldkő</v>
      </c>
      <c r="AK36" s="14" t="s">
        <v>7</v>
      </c>
      <c r="AL36" s="9" t="s">
        <v>56</v>
      </c>
      <c r="AM36" s="131">
        <v>387000</v>
      </c>
      <c r="AN36" s="132">
        <f t="shared" si="115"/>
        <v>50310</v>
      </c>
      <c r="AO36" s="121">
        <v>174</v>
      </c>
      <c r="AP36" s="121">
        <v>174</v>
      </c>
      <c r="AQ36" s="123">
        <f t="shared" si="116"/>
        <v>1</v>
      </c>
      <c r="AR36" s="133">
        <f t="shared" si="117"/>
        <v>387000</v>
      </c>
      <c r="AS36" s="133">
        <f t="shared" si="118"/>
        <v>50310</v>
      </c>
      <c r="AT36" s="123">
        <f t="shared" si="119"/>
        <v>0</v>
      </c>
      <c r="AU36" s="124">
        <v>0.13</v>
      </c>
      <c r="AV36" s="394" t="s">
        <v>2756</v>
      </c>
      <c r="AW36" s="15">
        <v>44936</v>
      </c>
      <c r="AX36" s="12" t="s">
        <v>206</v>
      </c>
      <c r="AZ36" s="1" t="s">
        <v>2667</v>
      </c>
      <c r="BA36" s="1">
        <v>0</v>
      </c>
      <c r="BB36" s="1">
        <v>0</v>
      </c>
      <c r="BC36" s="1" t="s">
        <v>2814</v>
      </c>
      <c r="BD36" s="1" t="str">
        <f t="shared" ref="BD36:BD52" si="120">CONCATENATE(BC36," - ",AE36)</f>
        <v>Segédszemélyzet_NK5 - Segédszemélyzet</v>
      </c>
    </row>
    <row r="37" spans="1:56" s="1" customFormat="1" hidden="1" x14ac:dyDescent="0.25">
      <c r="A37" s="264" t="str">
        <f>Bérköltség!$B37</f>
        <v>FEOR</v>
      </c>
      <c r="B37" s="264" t="str">
        <f>IFERROR(
IF(AND(Bérköltség!$F37="",H37="NA"),"HIÁNYOS ADATOK",
IF(Bérköltség!$F37&lt;Bérköltség!$U37,Admin!$B$18,Admin!$B$17)),
"")</f>
        <v>FEOR</v>
      </c>
      <c r="C37" s="265">
        <f>IFERROR(INDEX('Historikus berek_2021-2'!$A$1:$F$903,MATCH(AB37,'Historikus berek_2021-2'!$A$1:$A$903,0),4),"")</f>
        <v>319000</v>
      </c>
      <c r="D37" s="279">
        <f t="shared" si="23"/>
        <v>319000</v>
      </c>
      <c r="E37" s="265">
        <f t="shared" si="24"/>
        <v>387000</v>
      </c>
      <c r="F37" s="266">
        <f t="shared" si="25"/>
        <v>76840</v>
      </c>
      <c r="G37" s="267">
        <f t="shared" si="26"/>
        <v>360469.99999999994</v>
      </c>
      <c r="H37" s="268">
        <f>IFERROR(INDEX('FEOR kodok'!$A$2:$J$1126,MATCH(Bérköltség!AB37,'FEOR kodok'!$B$2:$B$1126,0),8),"NA")</f>
        <v>3910</v>
      </c>
      <c r="I37" s="269">
        <f>IFERROR(INDEX('FEOR kodok'!$A$2:$J$1126,MATCH(Bérköltség!AB37,'FEOR kodok'!$B$2:$B$1126,0),10),"NA")</f>
        <v>24</v>
      </c>
      <c r="J37" s="276" t="str">
        <f t="shared" si="27"/>
        <v>30 év alatt</v>
      </c>
      <c r="K37" s="269" t="str">
        <f>IFERROR(INDEX(admin_feor[#All],MATCH(Bérköltség!H37,admin_feor[[#All],[Foglalkozás]],0),2),"NA")</f>
        <v>Egyéb ügyintéző</v>
      </c>
      <c r="L37" s="270">
        <f>IFERROR(
INDEX('Admin - FEOR'!$A$4:$F$465,MATCH(Bérköltség!H37,'Admin - FEOR'!$A$4:$A$465,0),
IF(J37="30 év alatt",3,
IF(J37="30–39 éves",4,
IF(J37="40–49 éves",5,
IF(J37="50 év és afelett",6
)))))*1,"NA")</f>
        <v>359927</v>
      </c>
      <c r="M37" s="270">
        <f t="shared" si="28"/>
        <v>387000</v>
      </c>
      <c r="N37" s="318">
        <f t="shared" si="29"/>
        <v>1.0752180303228154</v>
      </c>
      <c r="O37" s="270">
        <f>IFERROR(
INDEX('Admin - FEOR'!$A$4:$F$465,MATCH(Bérköltség!H37,'Admin - FEOR'!$A$4:$A$465,0),
IF(J37="30 év alatt",3,
IF(J37="30–39 éves",4,
IF(J37="40–49 éves",5,
IF(J37="50 év és afelett",6
)))))*1.5,"NA")</f>
        <v>539890.5</v>
      </c>
      <c r="P37" s="270">
        <f t="shared" si="30"/>
        <v>539890.5</v>
      </c>
      <c r="Q37" s="270">
        <f t="shared" si="31"/>
        <v>387000</v>
      </c>
      <c r="R37" s="275">
        <f t="shared" si="32"/>
        <v>1</v>
      </c>
      <c r="S37" s="270">
        <f t="shared" si="33"/>
        <v>0</v>
      </c>
      <c r="T37" s="270">
        <f t="shared" si="34"/>
        <v>0</v>
      </c>
      <c r="U37" s="271">
        <f t="shared" si="35"/>
        <v>0</v>
      </c>
      <c r="V37" s="272">
        <f t="shared" si="36"/>
        <v>437310</v>
      </c>
      <c r="W37" s="273" t="str">
        <f t="shared" si="37"/>
        <v>Indoklás szükséges mivel a FEOR: 107,5%</v>
      </c>
      <c r="X37" s="372">
        <f t="shared" si="38"/>
        <v>0</v>
      </c>
      <c r="Y37" s="317">
        <f t="shared" si="39"/>
        <v>387000</v>
      </c>
      <c r="Z37" s="317">
        <f t="shared" si="40"/>
        <v>50310</v>
      </c>
      <c r="AA37" s="12">
        <v>2</v>
      </c>
      <c r="AB37" s="274">
        <v>8482470434</v>
      </c>
      <c r="AC37" s="40" t="s">
        <v>334</v>
      </c>
      <c r="AD37" s="82" t="s">
        <v>75</v>
      </c>
      <c r="AE37" s="41" t="s">
        <v>54</v>
      </c>
      <c r="AF37" s="11" t="s">
        <v>159</v>
      </c>
      <c r="AG37" s="11" t="s">
        <v>166</v>
      </c>
      <c r="AH37" s="14" t="s">
        <v>123</v>
      </c>
      <c r="AI37" s="86" t="s">
        <v>33</v>
      </c>
      <c r="AJ37" s="113" t="str">
        <f>IF(COUNTIFS(Admin!$A$29:$A$40,AI37)&gt;0,Admin!$A$28,IF(COUNTIFS(Admin!$B$29:$B$40,AI37)&gt;0,Admin!$B$28,IF(COUNTIFS(Admin!$C$29:$C$40,AI37)&gt;0,Admin!$C$28,IF(COUNTIFS(Admin!$D$29:$D$40,AI37)&gt;0,Admin!$D$28,"-"))))</f>
        <v>2. mérföldkő</v>
      </c>
      <c r="AK37" s="14" t="s">
        <v>7</v>
      </c>
      <c r="AL37" s="9" t="s">
        <v>56</v>
      </c>
      <c r="AM37" s="131">
        <v>387000</v>
      </c>
      <c r="AN37" s="132">
        <f t="shared" si="115"/>
        <v>50310</v>
      </c>
      <c r="AO37" s="121">
        <v>174</v>
      </c>
      <c r="AP37" s="121">
        <v>174</v>
      </c>
      <c r="AQ37" s="123">
        <f t="shared" si="116"/>
        <v>1</v>
      </c>
      <c r="AR37" s="133">
        <f t="shared" si="117"/>
        <v>387000</v>
      </c>
      <c r="AS37" s="133">
        <f t="shared" si="118"/>
        <v>50310</v>
      </c>
      <c r="AT37" s="123">
        <f t="shared" si="119"/>
        <v>0</v>
      </c>
      <c r="AU37" s="124">
        <v>0.13</v>
      </c>
      <c r="AV37" s="394" t="s">
        <v>2756</v>
      </c>
      <c r="AW37" s="15">
        <v>44936</v>
      </c>
      <c r="AX37" s="12" t="s">
        <v>206</v>
      </c>
      <c r="AZ37" s="8" t="e">
        <f>IF(VLOOKUP(LEFT($AB37,10),'Havi béradatok'!$B:$E,2,FALSE)=AG37,"EGYEZIK","HIBÁS")</f>
        <v>#N/A</v>
      </c>
      <c r="BA37" s="1" t="e">
        <f>VLOOKUP(LEFT($AB37,10),'Havi béradatok'!$B:$E,3,FALSE)-AM37</f>
        <v>#N/A</v>
      </c>
      <c r="BB37" s="1" t="e">
        <f>VLOOKUP(LEFT($AB37,10),'Havi béradatok'!$B:$E,4,FALSE)-AN37</f>
        <v>#N/A</v>
      </c>
      <c r="BC37" s="1" t="s">
        <v>2814</v>
      </c>
      <c r="BD37" s="1" t="str">
        <f t="shared" si="120"/>
        <v>Segédszemélyzet_NK5 - Segédszemélyzet</v>
      </c>
    </row>
    <row r="38" spans="1:56" s="1" customFormat="1" hidden="1" x14ac:dyDescent="0.25">
      <c r="A38" s="264" t="str">
        <f>Bérköltség!$B38</f>
        <v>FEOR</v>
      </c>
      <c r="B38" s="264" t="str">
        <f>IFERROR(
IF(AND(Bérköltség!$F38="",H38="NA"),"HIÁNYOS ADATOK",
IF(Bérköltség!$F38&lt;Bérköltség!$U38,Admin!$B$18,Admin!$B$17)),
"")</f>
        <v>FEOR</v>
      </c>
      <c r="C38" s="265">
        <f>IFERROR(INDEX('Historikus berek_2021-2'!$A$1:$F$903,MATCH(AB38,'Historikus berek_2021-2'!$A$1:$A$903,0),4),"")</f>
        <v>319000</v>
      </c>
      <c r="D38" s="279">
        <f t="shared" si="23"/>
        <v>319000</v>
      </c>
      <c r="E38" s="265">
        <f t="shared" si="24"/>
        <v>387000</v>
      </c>
      <c r="F38" s="266">
        <f t="shared" si="25"/>
        <v>76840</v>
      </c>
      <c r="G38" s="267">
        <f t="shared" si="26"/>
        <v>360469.99999999994</v>
      </c>
      <c r="H38" s="268">
        <f>IFERROR(INDEX('FEOR kodok'!$A$2:$J$1126,MATCH(Bérköltség!AB38,'FEOR kodok'!$B$2:$B$1126,0),8),"NA")</f>
        <v>3910</v>
      </c>
      <c r="I38" s="269">
        <f>IFERROR(INDEX('FEOR kodok'!$A$2:$J$1126,MATCH(Bérköltség!AB38,'FEOR kodok'!$B$2:$B$1126,0),10),"NA")</f>
        <v>24</v>
      </c>
      <c r="J38" s="276" t="str">
        <f t="shared" si="27"/>
        <v>30 év alatt</v>
      </c>
      <c r="K38" s="269" t="str">
        <f>IFERROR(INDEX(admin_feor[#All],MATCH(Bérköltség!H38,admin_feor[[#All],[Foglalkozás]],0),2),"NA")</f>
        <v>Egyéb ügyintéző</v>
      </c>
      <c r="L38" s="270">
        <f>IFERROR(
INDEX('Admin - FEOR'!$A$4:$F$465,MATCH(Bérköltség!H38,'Admin - FEOR'!$A$4:$A$465,0),
IF(J38="30 év alatt",3,
IF(J38="30–39 éves",4,
IF(J38="40–49 éves",5,
IF(J38="50 év és afelett",6
)))))*1,"NA")</f>
        <v>359927</v>
      </c>
      <c r="M38" s="270">
        <f t="shared" si="28"/>
        <v>387000</v>
      </c>
      <c r="N38" s="318">
        <f t="shared" si="29"/>
        <v>1.0752180303228154</v>
      </c>
      <c r="O38" s="270">
        <f>IFERROR(
INDEX('Admin - FEOR'!$A$4:$F$465,MATCH(Bérköltség!H38,'Admin - FEOR'!$A$4:$A$465,0),
IF(J38="30 év alatt",3,
IF(J38="30–39 éves",4,
IF(J38="40–49 éves",5,
IF(J38="50 év és afelett",6
)))))*1.5,"NA")</f>
        <v>539890.5</v>
      </c>
      <c r="P38" s="270">
        <f t="shared" si="30"/>
        <v>539890.5</v>
      </c>
      <c r="Q38" s="270">
        <f t="shared" si="31"/>
        <v>387000</v>
      </c>
      <c r="R38" s="275">
        <f t="shared" si="32"/>
        <v>1</v>
      </c>
      <c r="S38" s="270">
        <f t="shared" si="33"/>
        <v>0</v>
      </c>
      <c r="T38" s="270">
        <f t="shared" si="34"/>
        <v>0</v>
      </c>
      <c r="U38" s="271">
        <f t="shared" si="35"/>
        <v>0</v>
      </c>
      <c r="V38" s="272">
        <f t="shared" si="36"/>
        <v>437310</v>
      </c>
      <c r="W38" s="273" t="str">
        <f t="shared" si="37"/>
        <v>Indoklás szükséges mivel a FEOR: 107,5%</v>
      </c>
      <c r="X38" s="372">
        <f t="shared" si="38"/>
        <v>0</v>
      </c>
      <c r="Y38" s="317">
        <f t="shared" si="39"/>
        <v>387000</v>
      </c>
      <c r="Z38" s="317">
        <f t="shared" si="40"/>
        <v>50310</v>
      </c>
      <c r="AA38" s="12">
        <v>2</v>
      </c>
      <c r="AB38" s="274">
        <v>8482470434</v>
      </c>
      <c r="AC38" s="40" t="s">
        <v>334</v>
      </c>
      <c r="AD38" s="82" t="s">
        <v>75</v>
      </c>
      <c r="AE38" s="41" t="s">
        <v>54</v>
      </c>
      <c r="AF38" s="11" t="s">
        <v>159</v>
      </c>
      <c r="AG38" s="11" t="s">
        <v>166</v>
      </c>
      <c r="AH38" s="14" t="s">
        <v>123</v>
      </c>
      <c r="AI38" s="86" t="s">
        <v>34</v>
      </c>
      <c r="AJ38" s="113" t="str">
        <f>IF(COUNTIFS(Admin!$A$29:$A$40,AI38)&gt;0,Admin!$A$28,IF(COUNTIFS(Admin!$B$29:$B$40,AI38)&gt;0,Admin!$B$28,IF(COUNTIFS(Admin!$C$29:$C$40,AI38)&gt;0,Admin!$C$28,IF(COUNTIFS(Admin!$D$29:$D$40,AI38)&gt;0,Admin!$D$28,"-"))))</f>
        <v>2. mérföldkő</v>
      </c>
      <c r="AK38" s="14" t="s">
        <v>7</v>
      </c>
      <c r="AL38" s="9" t="s">
        <v>56</v>
      </c>
      <c r="AM38" s="131">
        <v>387000</v>
      </c>
      <c r="AN38" s="132">
        <f t="shared" si="115"/>
        <v>50310</v>
      </c>
      <c r="AO38" s="121">
        <v>174</v>
      </c>
      <c r="AP38" s="121">
        <v>174</v>
      </c>
      <c r="AQ38" s="123">
        <f t="shared" si="116"/>
        <v>1</v>
      </c>
      <c r="AR38" s="133">
        <f t="shared" si="117"/>
        <v>387000</v>
      </c>
      <c r="AS38" s="133">
        <f t="shared" si="118"/>
        <v>50310</v>
      </c>
      <c r="AT38" s="123">
        <f t="shared" si="119"/>
        <v>0</v>
      </c>
      <c r="AU38" s="124">
        <v>0.13</v>
      </c>
      <c r="AV38" s="394" t="s">
        <v>2756</v>
      </c>
      <c r="AW38" s="15">
        <v>44936</v>
      </c>
      <c r="AX38" s="12" t="s">
        <v>206</v>
      </c>
      <c r="BC38" s="1" t="s">
        <v>2814</v>
      </c>
      <c r="BD38" s="1" t="str">
        <f t="shared" si="120"/>
        <v>Segédszemélyzet_NK5 - Segédszemélyzet</v>
      </c>
    </row>
    <row r="39" spans="1:56" s="1" customFormat="1" hidden="1" x14ac:dyDescent="0.25">
      <c r="A39" s="264" t="str">
        <f>Bérköltség!$B39</f>
        <v>FEOR</v>
      </c>
      <c r="B39" s="264" t="str">
        <f>IFERROR(
IF(AND(Bérköltség!$F39="",H39="NA"),"HIÁNYOS ADATOK",
IF(Bérköltség!$F39&lt;Bérköltség!$U39,Admin!$B$18,Admin!$B$17)),
"")</f>
        <v>FEOR</v>
      </c>
      <c r="C39" s="265">
        <f>IFERROR(INDEX('Historikus berek_2021-2'!$A$1:$F$903,MATCH(AB39,'Historikus berek_2021-2'!$A$1:$A$903,0),4),"")</f>
        <v>319000</v>
      </c>
      <c r="D39" s="279">
        <f t="shared" ref="D39:D43" si="121">IFERROR(C39*AQ39,"")</f>
        <v>319000</v>
      </c>
      <c r="E39" s="265">
        <f t="shared" ref="E39:E43" si="122">AR39</f>
        <v>387000</v>
      </c>
      <c r="F39" s="266">
        <f t="shared" ref="F39:F43" si="123">IFERROR(IF((E39*(1+AU39)-D39*(1+AU39))&lt;0,0,(E39*(1+AU39)-D39*(1+AU39))),"")</f>
        <v>76840</v>
      </c>
      <c r="G39" s="267">
        <f t="shared" ref="G39:G43" si="124">IFERROR((E39*(1+AU39)-F39),"")</f>
        <v>360469.99999999994</v>
      </c>
      <c r="H39" s="268">
        <f>IFERROR(INDEX('FEOR kodok'!$A$2:$J$1126,MATCH(Bérköltség!AB39,'FEOR kodok'!$B$2:$B$1126,0),8),"NA")</f>
        <v>3910</v>
      </c>
      <c r="I39" s="269">
        <f>IFERROR(INDEX('FEOR kodok'!$A$2:$J$1126,MATCH(Bérköltség!AB39,'FEOR kodok'!$B$2:$B$1126,0),10),"NA")</f>
        <v>24</v>
      </c>
      <c r="J39" s="276" t="str">
        <f t="shared" ref="J39:J43" si="125">IF(I39="NA","NA",
IF(I39&lt;30,"30 év alatt",
IF(AND(I39&gt;=30,I39&lt;=39),"30–39 éves",
IF(AND(I39&gt;=40,I39&lt;=49),"40–49 éves",
IF(I39&gt;=50,"50 év és afelett",
"")))))</f>
        <v>30 év alatt</v>
      </c>
      <c r="K39" s="269" t="str">
        <f>IFERROR(INDEX(admin_feor[#All],MATCH(Bérköltség!H39,admin_feor[[#All],[Foglalkozás]],0),2),"NA")</f>
        <v>Egyéb ügyintéző</v>
      </c>
      <c r="L39" s="270">
        <f>IFERROR(
INDEX('Admin - FEOR'!$A$4:$F$465,MATCH(Bérköltség!H39,'Admin - FEOR'!$A$4:$A$465,0),
IF(J39="30 év alatt",3,
IF(J39="30–39 éves",4,
IF(J39="40–49 éves",5,
IF(J39="50 év és afelett",6
)))))*1,"NA")</f>
        <v>359927</v>
      </c>
      <c r="M39" s="270">
        <f t="shared" ref="M39:M43" si="126">AM39</f>
        <v>387000</v>
      </c>
      <c r="N39" s="318">
        <f t="shared" ref="N39:N43" si="127">IFERROR(
M39/L39,"NA")</f>
        <v>1.0752180303228154</v>
      </c>
      <c r="O39" s="270">
        <f>IFERROR(
INDEX('Admin - FEOR'!$A$4:$F$465,MATCH(Bérköltség!H39,'Admin - FEOR'!$A$4:$A$465,0),
IF(J39="30 év alatt",3,
IF(J39="30–39 éves",4,
IF(J39="40–49 éves",5,
IF(J39="50 év és afelett",6
)))))*1.5,"NA")</f>
        <v>539890.5</v>
      </c>
      <c r="P39" s="270">
        <f t="shared" ref="P39:P43" si="128">IFERROR(
AQ39*O39,"NA")</f>
        <v>539890.5</v>
      </c>
      <c r="Q39" s="270">
        <f t="shared" ref="Q39:Q43" si="129">IFERROR(AR39,"")</f>
        <v>387000</v>
      </c>
      <c r="R39" s="275">
        <f t="shared" ref="R39:R43" si="130">IFERROR(AQ39,"")</f>
        <v>1</v>
      </c>
      <c r="S39" s="270">
        <f t="shared" ref="S39:S43" si="131">IFERROR(
IF(AR39-P39&lt;0,0,AR39-P39),"NA")</f>
        <v>0</v>
      </c>
      <c r="T39" s="270">
        <f t="shared" ref="T39:T43" si="132">IFERROR(
S39*AU39,"NA")</f>
        <v>0</v>
      </c>
      <c r="U39" s="271">
        <f t="shared" ref="U39:U43" si="133">IFERROR(
S39+T39,"NA")</f>
        <v>0</v>
      </c>
      <c r="V39" s="272">
        <f t="shared" ref="V39:V43" si="134">IFERROR(
IF(U39&gt;0,AR39+AS39-U39,AR39+AS39),"NA")</f>
        <v>437310</v>
      </c>
      <c r="W39" s="273" t="str">
        <f t="shared" ref="W39:W43" si="135">IF(P39="NA","FEOR hiányzik",
IF(AND(N39&gt;1,A39="FEOR"),CONCATENATE("Indoklás szükséges mivel a FEOR: ",ROUND(N39*100,1),"%"),"Nem szükséges indoklás.")
)</f>
        <v>Indoklás szükséges mivel a FEOR: 107,5%</v>
      </c>
      <c r="X39" s="372">
        <f t="shared" ref="X39:X43" si="136">IF(A39="FEOR",U39,IF(A39="HIÁNYOS ADATOK","HIÁNYOS ADATOK",F39))</f>
        <v>0</v>
      </c>
      <c r="Y39" s="317">
        <f t="shared" ref="Y39:Y43" si="137">IF(A39="FEOR",ROUND((V39/(1+AU39)),0),IF(A39="HIÁNYOS ADATOK","HIÁNYOS ADATOK",ROUND(G39/(1+AU39),0)))</f>
        <v>387000</v>
      </c>
      <c r="Z39" s="317">
        <f t="shared" ref="Z39:Z43" si="138">IF(A39="FEOR",ROUND((V39-Y39),0),IF(A39="HIÁNYOS ADATOK","HIÁNYOS ADATOK",ROUND((G39-Y39),0)))</f>
        <v>50310</v>
      </c>
      <c r="AA39" s="12"/>
      <c r="AB39" s="274">
        <v>8482470434</v>
      </c>
      <c r="AC39" s="40" t="s">
        <v>334</v>
      </c>
      <c r="AD39" s="82" t="s">
        <v>75</v>
      </c>
      <c r="AE39" s="41" t="s">
        <v>54</v>
      </c>
      <c r="AF39" s="11" t="s">
        <v>159</v>
      </c>
      <c r="AG39" s="11" t="s">
        <v>166</v>
      </c>
      <c r="AH39" s="14" t="s">
        <v>123</v>
      </c>
      <c r="AI39" s="86" t="s">
        <v>36</v>
      </c>
      <c r="AJ39" s="113" t="str">
        <f>IF(COUNTIFS(Admin!$A$29:$A$40,AI39)&gt;0,Admin!$A$28,IF(COUNTIFS(Admin!$B$29:$B$40,AI39)&gt;0,Admin!$B$28,IF(COUNTIFS(Admin!$C$29:$C$40,AI39)&gt;0,Admin!$C$28,IF(COUNTIFS(Admin!$D$29:$D$40,AI39)&gt;0,Admin!$D$28,"-"))))</f>
        <v>3. mérföldkő</v>
      </c>
      <c r="AK39" s="14" t="s">
        <v>141</v>
      </c>
      <c r="AL39" s="9" t="s">
        <v>56</v>
      </c>
      <c r="AM39" s="131">
        <v>387000</v>
      </c>
      <c r="AN39" s="132">
        <f t="shared" ref="AN39" si="139">IFERROR(ROUND(AM39*AU39,0),"")</f>
        <v>50310</v>
      </c>
      <c r="AO39" s="121">
        <v>174</v>
      </c>
      <c r="AP39" s="121">
        <v>174</v>
      </c>
      <c r="AQ39" s="123">
        <f t="shared" ref="AQ39" si="140">IFERROR(AP39/AO39,"")</f>
        <v>1</v>
      </c>
      <c r="AR39" s="133">
        <f t="shared" ref="AR39" si="141">IFERROR(ROUND(AM39*AP39/AO39,0),"")</f>
        <v>387000</v>
      </c>
      <c r="AS39" s="133">
        <f t="shared" ref="AS39" si="142">IFERROR(ROUND(AR39*AU39,0),"")</f>
        <v>50310</v>
      </c>
      <c r="AT39" s="123">
        <f t="shared" ref="AT39" si="143">IFERROR(AP39/AO39-AR39/AM39,"")</f>
        <v>0</v>
      </c>
      <c r="AU39" s="124">
        <v>0.13</v>
      </c>
      <c r="AV39" s="394" t="s">
        <v>2756</v>
      </c>
      <c r="AW39" s="15">
        <v>45033</v>
      </c>
      <c r="AX39" s="12"/>
    </row>
    <row r="40" spans="1:56" s="1" customFormat="1" hidden="1" x14ac:dyDescent="0.25">
      <c r="A40" s="264" t="str">
        <f>Bérköltség!$B40</f>
        <v>FEOR</v>
      </c>
      <c r="B40" s="264" t="str">
        <f>IFERROR(
IF(AND(Bérköltség!$F40="",H40="NA"),"HIÁNYOS ADATOK",
IF(Bérköltség!$F40&lt;Bérköltség!$U40,Admin!$B$18,Admin!$B$17)),
"")</f>
        <v>FEOR</v>
      </c>
      <c r="C40" s="265">
        <f>IFERROR(INDEX('Historikus berek_2021-2'!$A$1:$F$903,MATCH(AB40,'Historikus berek_2021-2'!$A$1:$A$903,0),4),"")</f>
        <v>319000</v>
      </c>
      <c r="D40" s="279">
        <f t="shared" si="121"/>
        <v>319000</v>
      </c>
      <c r="E40" s="265">
        <f t="shared" si="122"/>
        <v>387000</v>
      </c>
      <c r="F40" s="266">
        <f t="shared" si="123"/>
        <v>76840</v>
      </c>
      <c r="G40" s="267">
        <f t="shared" si="124"/>
        <v>360469.99999999994</v>
      </c>
      <c r="H40" s="268">
        <f>IFERROR(INDEX('FEOR kodok'!$A$2:$J$1126,MATCH(Bérköltség!AB40,'FEOR kodok'!$B$2:$B$1126,0),8),"NA")</f>
        <v>3910</v>
      </c>
      <c r="I40" s="269">
        <f>IFERROR(INDEX('FEOR kodok'!$A$2:$J$1126,MATCH(Bérköltség!AB40,'FEOR kodok'!$B$2:$B$1126,0),10),"NA")</f>
        <v>24</v>
      </c>
      <c r="J40" s="276" t="str">
        <f t="shared" si="125"/>
        <v>30 év alatt</v>
      </c>
      <c r="K40" s="269" t="str">
        <f>IFERROR(INDEX(admin_feor[#All],MATCH(Bérköltség!H40,admin_feor[[#All],[Foglalkozás]],0),2),"NA")</f>
        <v>Egyéb ügyintéző</v>
      </c>
      <c r="L40" s="270">
        <f>IFERROR(
INDEX('Admin - FEOR'!$A$4:$F$465,MATCH(Bérköltség!H40,'Admin - FEOR'!$A$4:$A$465,0),
IF(J40="30 év alatt",3,
IF(J40="30–39 éves",4,
IF(J40="40–49 éves",5,
IF(J40="50 év és afelett",6
)))))*1,"NA")</f>
        <v>359927</v>
      </c>
      <c r="M40" s="270">
        <f t="shared" si="126"/>
        <v>387000</v>
      </c>
      <c r="N40" s="318">
        <f t="shared" si="127"/>
        <v>1.0752180303228154</v>
      </c>
      <c r="O40" s="270">
        <f>IFERROR(
INDEX('Admin - FEOR'!$A$4:$F$465,MATCH(Bérköltség!H40,'Admin - FEOR'!$A$4:$A$465,0),
IF(J40="30 év alatt",3,
IF(J40="30–39 éves",4,
IF(J40="40–49 éves",5,
IF(J40="50 év és afelett",6
)))))*1.5,"NA")</f>
        <v>539890.5</v>
      </c>
      <c r="P40" s="270">
        <f t="shared" si="128"/>
        <v>539890.5</v>
      </c>
      <c r="Q40" s="270">
        <f t="shared" si="129"/>
        <v>387000</v>
      </c>
      <c r="R40" s="275">
        <f t="shared" si="130"/>
        <v>1</v>
      </c>
      <c r="S40" s="270">
        <f t="shared" si="131"/>
        <v>0</v>
      </c>
      <c r="T40" s="270">
        <f t="shared" si="132"/>
        <v>0</v>
      </c>
      <c r="U40" s="271">
        <f t="shared" si="133"/>
        <v>0</v>
      </c>
      <c r="V40" s="272">
        <f t="shared" si="134"/>
        <v>437310</v>
      </c>
      <c r="W40" s="273" t="str">
        <f t="shared" si="135"/>
        <v>Indoklás szükséges mivel a FEOR: 107,5%</v>
      </c>
      <c r="X40" s="372">
        <f t="shared" si="136"/>
        <v>0</v>
      </c>
      <c r="Y40" s="317">
        <f t="shared" si="137"/>
        <v>387000</v>
      </c>
      <c r="Z40" s="317">
        <f t="shared" si="138"/>
        <v>50310</v>
      </c>
      <c r="AA40" s="12"/>
      <c r="AB40" s="274">
        <v>8482470434</v>
      </c>
      <c r="AC40" s="40" t="s">
        <v>334</v>
      </c>
      <c r="AD40" s="82" t="s">
        <v>75</v>
      </c>
      <c r="AE40" s="41" t="s">
        <v>54</v>
      </c>
      <c r="AF40" s="11" t="s">
        <v>159</v>
      </c>
      <c r="AG40" s="11" t="s">
        <v>166</v>
      </c>
      <c r="AH40" s="14" t="s">
        <v>123</v>
      </c>
      <c r="AI40" s="86" t="s">
        <v>37</v>
      </c>
      <c r="AJ40" s="113" t="str">
        <f>IF(COUNTIFS(Admin!$A$29:$A$40,AI40)&gt;0,Admin!$A$28,IF(COUNTIFS(Admin!$B$29:$B$40,AI40)&gt;0,Admin!$B$28,IF(COUNTIFS(Admin!$C$29:$C$40,AI40)&gt;0,Admin!$C$28,IF(COUNTIFS(Admin!$D$29:$D$40,AI40)&gt;0,Admin!$D$28,"-"))))</f>
        <v>3. mérföldkő</v>
      </c>
      <c r="AK40" s="14" t="s">
        <v>141</v>
      </c>
      <c r="AL40" s="9" t="s">
        <v>56</v>
      </c>
      <c r="AM40" s="131">
        <v>387000</v>
      </c>
      <c r="AN40" s="132">
        <f t="shared" ref="AN40:AN43" si="144">IFERROR(ROUND(AM40*AU40,0),"")</f>
        <v>50310</v>
      </c>
      <c r="AO40" s="121">
        <v>174</v>
      </c>
      <c r="AP40" s="121">
        <v>174</v>
      </c>
      <c r="AQ40" s="123">
        <f t="shared" ref="AQ40:AQ43" si="145">IFERROR(AP40/AO40,"")</f>
        <v>1</v>
      </c>
      <c r="AR40" s="133">
        <f t="shared" ref="AR40:AR43" si="146">IFERROR(ROUND(AM40*AP40/AO40,0),"")</f>
        <v>387000</v>
      </c>
      <c r="AS40" s="133">
        <f t="shared" ref="AS40:AS43" si="147">IFERROR(ROUND(AR40*AU40,0),"")</f>
        <v>50310</v>
      </c>
      <c r="AT40" s="123">
        <f t="shared" ref="AT40:AT43" si="148">IFERROR(AP40/AO40-AR40/AM40,"")</f>
        <v>0</v>
      </c>
      <c r="AU40" s="124">
        <v>0.13</v>
      </c>
      <c r="AV40" s="394" t="s">
        <v>2756</v>
      </c>
      <c r="AW40" s="15">
        <v>45033</v>
      </c>
      <c r="AX40" s="12"/>
    </row>
    <row r="41" spans="1:56" s="1" customFormat="1" hidden="1" x14ac:dyDescent="0.25">
      <c r="A41" s="264" t="str">
        <f>Bérköltség!$B41</f>
        <v>FEOR</v>
      </c>
      <c r="B41" s="264" t="str">
        <f>IFERROR(
IF(AND(Bérköltség!$F41="",H41="NA"),"HIÁNYOS ADATOK",
IF(Bérköltség!$F41&lt;Bérköltség!$U41,Admin!$B$18,Admin!$B$17)),
"")</f>
        <v>FEOR</v>
      </c>
      <c r="C41" s="265">
        <f>IFERROR(INDEX('Historikus berek_2021-2'!$A$1:$F$903,MATCH(AB41,'Historikus berek_2021-2'!$A$1:$A$903,0),4),"")</f>
        <v>319000</v>
      </c>
      <c r="D41" s="279">
        <f t="shared" si="121"/>
        <v>319000</v>
      </c>
      <c r="E41" s="265">
        <f t="shared" si="122"/>
        <v>387000</v>
      </c>
      <c r="F41" s="266">
        <f t="shared" si="123"/>
        <v>76840</v>
      </c>
      <c r="G41" s="267">
        <f t="shared" si="124"/>
        <v>360469.99999999994</v>
      </c>
      <c r="H41" s="268">
        <f>IFERROR(INDEX('FEOR kodok'!$A$2:$J$1126,MATCH(Bérköltség!AB41,'FEOR kodok'!$B$2:$B$1126,0),8),"NA")</f>
        <v>3910</v>
      </c>
      <c r="I41" s="269">
        <f>IFERROR(INDEX('FEOR kodok'!$A$2:$J$1126,MATCH(Bérköltség!AB41,'FEOR kodok'!$B$2:$B$1126,0),10),"NA")</f>
        <v>24</v>
      </c>
      <c r="J41" s="276" t="str">
        <f t="shared" si="125"/>
        <v>30 év alatt</v>
      </c>
      <c r="K41" s="269" t="str">
        <f>IFERROR(INDEX(admin_feor[#All],MATCH(Bérköltség!H41,admin_feor[[#All],[Foglalkozás]],0),2),"NA")</f>
        <v>Egyéb ügyintéző</v>
      </c>
      <c r="L41" s="270">
        <f>IFERROR(
INDEX('Admin - FEOR'!$A$4:$F$465,MATCH(Bérköltség!H41,'Admin - FEOR'!$A$4:$A$465,0),
IF(J41="30 év alatt",3,
IF(J41="30–39 éves",4,
IF(J41="40–49 éves",5,
IF(J41="50 év és afelett",6
)))))*1,"NA")</f>
        <v>359927</v>
      </c>
      <c r="M41" s="270">
        <f t="shared" si="126"/>
        <v>387000</v>
      </c>
      <c r="N41" s="318">
        <f t="shared" si="127"/>
        <v>1.0752180303228154</v>
      </c>
      <c r="O41" s="270">
        <f>IFERROR(
INDEX('Admin - FEOR'!$A$4:$F$465,MATCH(Bérköltség!H41,'Admin - FEOR'!$A$4:$A$465,0),
IF(J41="30 év alatt",3,
IF(J41="30–39 éves",4,
IF(J41="40–49 éves",5,
IF(J41="50 év és afelett",6
)))))*1.5,"NA")</f>
        <v>539890.5</v>
      </c>
      <c r="P41" s="270">
        <f t="shared" si="128"/>
        <v>539890.5</v>
      </c>
      <c r="Q41" s="270">
        <f t="shared" si="129"/>
        <v>387000</v>
      </c>
      <c r="R41" s="275">
        <f t="shared" si="130"/>
        <v>1</v>
      </c>
      <c r="S41" s="270">
        <f t="shared" si="131"/>
        <v>0</v>
      </c>
      <c r="T41" s="270">
        <f t="shared" si="132"/>
        <v>0</v>
      </c>
      <c r="U41" s="271">
        <f t="shared" si="133"/>
        <v>0</v>
      </c>
      <c r="V41" s="272">
        <f t="shared" si="134"/>
        <v>437310</v>
      </c>
      <c r="W41" s="273" t="str">
        <f t="shared" si="135"/>
        <v>Indoklás szükséges mivel a FEOR: 107,5%</v>
      </c>
      <c r="X41" s="372">
        <f t="shared" si="136"/>
        <v>0</v>
      </c>
      <c r="Y41" s="317">
        <f t="shared" si="137"/>
        <v>387000</v>
      </c>
      <c r="Z41" s="317">
        <f t="shared" si="138"/>
        <v>50310</v>
      </c>
      <c r="AA41" s="12"/>
      <c r="AB41" s="274">
        <v>8482470434</v>
      </c>
      <c r="AC41" s="40" t="s">
        <v>334</v>
      </c>
      <c r="AD41" s="82" t="s">
        <v>75</v>
      </c>
      <c r="AE41" s="41" t="s">
        <v>54</v>
      </c>
      <c r="AF41" s="11" t="s">
        <v>159</v>
      </c>
      <c r="AG41" s="11" t="s">
        <v>166</v>
      </c>
      <c r="AH41" s="14" t="s">
        <v>123</v>
      </c>
      <c r="AI41" s="86" t="s">
        <v>38</v>
      </c>
      <c r="AJ41" s="113" t="str">
        <f>IF(COUNTIFS(Admin!$A$29:$A$40,AI41)&gt;0,Admin!$A$28,IF(COUNTIFS(Admin!$B$29:$B$40,AI41)&gt;0,Admin!$B$28,IF(COUNTIFS(Admin!$C$29:$C$40,AI41)&gt;0,Admin!$C$28,IF(COUNTIFS(Admin!$D$29:$D$40,AI41)&gt;0,Admin!$D$28,"-"))))</f>
        <v>3. mérföldkő</v>
      </c>
      <c r="AK41" s="14" t="s">
        <v>141</v>
      </c>
      <c r="AL41" s="9" t="s">
        <v>56</v>
      </c>
      <c r="AM41" s="131">
        <v>387000</v>
      </c>
      <c r="AN41" s="132">
        <f t="shared" si="144"/>
        <v>50310</v>
      </c>
      <c r="AO41" s="121">
        <v>174</v>
      </c>
      <c r="AP41" s="121">
        <v>174</v>
      </c>
      <c r="AQ41" s="123">
        <f t="shared" si="145"/>
        <v>1</v>
      </c>
      <c r="AR41" s="133">
        <f t="shared" si="146"/>
        <v>387000</v>
      </c>
      <c r="AS41" s="133">
        <f t="shared" si="147"/>
        <v>50310</v>
      </c>
      <c r="AT41" s="123">
        <f t="shared" si="148"/>
        <v>0</v>
      </c>
      <c r="AU41" s="124">
        <v>0.13</v>
      </c>
      <c r="AV41" s="394" t="s">
        <v>2756</v>
      </c>
      <c r="AW41" s="15">
        <v>45033</v>
      </c>
      <c r="AX41" s="12"/>
    </row>
    <row r="42" spans="1:56" s="1" customFormat="1" hidden="1" x14ac:dyDescent="0.25">
      <c r="A42" s="264" t="str">
        <f>Bérköltség!$B42</f>
        <v>FEOR</v>
      </c>
      <c r="B42" s="264" t="str">
        <f>IFERROR(
IF(AND(Bérköltség!$F42="",H42="NA"),"HIÁNYOS ADATOK",
IF(Bérköltség!$F42&lt;Bérköltség!$U42,Admin!$B$18,Admin!$B$17)),
"")</f>
        <v>FEOR</v>
      </c>
      <c r="C42" s="265">
        <f>IFERROR(INDEX('Historikus berek_2021-2'!$A$1:$F$903,MATCH(AB42,'Historikus berek_2021-2'!$A$1:$A$903,0),4),"")</f>
        <v>319000</v>
      </c>
      <c r="D42" s="279">
        <f t="shared" si="121"/>
        <v>319000</v>
      </c>
      <c r="E42" s="265">
        <f t="shared" si="122"/>
        <v>387000</v>
      </c>
      <c r="F42" s="266">
        <f t="shared" si="123"/>
        <v>76840</v>
      </c>
      <c r="G42" s="267">
        <f t="shared" si="124"/>
        <v>360469.99999999994</v>
      </c>
      <c r="H42" s="268">
        <f>IFERROR(INDEX('FEOR kodok'!$A$2:$J$1126,MATCH(Bérköltség!AB42,'FEOR kodok'!$B$2:$B$1126,0),8),"NA")</f>
        <v>3910</v>
      </c>
      <c r="I42" s="269">
        <f>IFERROR(INDEX('FEOR kodok'!$A$2:$J$1126,MATCH(Bérköltség!AB42,'FEOR kodok'!$B$2:$B$1126,0),10),"NA")</f>
        <v>24</v>
      </c>
      <c r="J42" s="276" t="str">
        <f t="shared" si="125"/>
        <v>30 év alatt</v>
      </c>
      <c r="K42" s="269" t="str">
        <f>IFERROR(INDEX(admin_feor[#All],MATCH(Bérköltség!H42,admin_feor[[#All],[Foglalkozás]],0),2),"NA")</f>
        <v>Egyéb ügyintéző</v>
      </c>
      <c r="L42" s="270">
        <f>IFERROR(
INDEX('Admin - FEOR'!$A$4:$F$465,MATCH(Bérköltség!H42,'Admin - FEOR'!$A$4:$A$465,0),
IF(J42="30 év alatt",3,
IF(J42="30–39 éves",4,
IF(J42="40–49 éves",5,
IF(J42="50 év és afelett",6
)))))*1,"NA")</f>
        <v>359927</v>
      </c>
      <c r="M42" s="270">
        <f t="shared" si="126"/>
        <v>387000</v>
      </c>
      <c r="N42" s="318">
        <f t="shared" si="127"/>
        <v>1.0752180303228154</v>
      </c>
      <c r="O42" s="270">
        <f>IFERROR(
INDEX('Admin - FEOR'!$A$4:$F$465,MATCH(Bérköltség!H42,'Admin - FEOR'!$A$4:$A$465,0),
IF(J42="30 év alatt",3,
IF(J42="30–39 éves",4,
IF(J42="40–49 éves",5,
IF(J42="50 év és afelett",6
)))))*1.5,"NA")</f>
        <v>539890.5</v>
      </c>
      <c r="P42" s="270">
        <f t="shared" si="128"/>
        <v>539890.5</v>
      </c>
      <c r="Q42" s="270">
        <f t="shared" si="129"/>
        <v>387000</v>
      </c>
      <c r="R42" s="275">
        <f t="shared" si="130"/>
        <v>1</v>
      </c>
      <c r="S42" s="270">
        <f t="shared" si="131"/>
        <v>0</v>
      </c>
      <c r="T42" s="270">
        <f t="shared" si="132"/>
        <v>0</v>
      </c>
      <c r="U42" s="271">
        <f t="shared" si="133"/>
        <v>0</v>
      </c>
      <c r="V42" s="272">
        <f t="shared" si="134"/>
        <v>437310</v>
      </c>
      <c r="W42" s="273" t="str">
        <f t="shared" si="135"/>
        <v>Indoklás szükséges mivel a FEOR: 107,5%</v>
      </c>
      <c r="X42" s="372">
        <f t="shared" si="136"/>
        <v>0</v>
      </c>
      <c r="Y42" s="317">
        <f t="shared" si="137"/>
        <v>387000</v>
      </c>
      <c r="Z42" s="317">
        <f t="shared" si="138"/>
        <v>50310</v>
      </c>
      <c r="AA42" s="12"/>
      <c r="AB42" s="274">
        <v>8482470434</v>
      </c>
      <c r="AC42" s="40" t="s">
        <v>334</v>
      </c>
      <c r="AD42" s="82" t="s">
        <v>75</v>
      </c>
      <c r="AE42" s="41" t="s">
        <v>54</v>
      </c>
      <c r="AF42" s="11" t="s">
        <v>159</v>
      </c>
      <c r="AG42" s="11" t="s">
        <v>166</v>
      </c>
      <c r="AH42" s="14" t="s">
        <v>123</v>
      </c>
      <c r="AI42" s="86" t="s">
        <v>39</v>
      </c>
      <c r="AJ42" s="113" t="str">
        <f>IF(COUNTIFS(Admin!$A$29:$A$40,AI42)&gt;0,Admin!$A$28,IF(COUNTIFS(Admin!$B$29:$B$40,AI42)&gt;0,Admin!$B$28,IF(COUNTIFS(Admin!$C$29:$C$40,AI42)&gt;0,Admin!$C$28,IF(COUNTIFS(Admin!$D$29:$D$40,AI42)&gt;0,Admin!$D$28,"-"))))</f>
        <v>3. mérföldkő</v>
      </c>
      <c r="AK42" s="14" t="s">
        <v>141</v>
      </c>
      <c r="AL42" s="9" t="s">
        <v>56</v>
      </c>
      <c r="AM42" s="131">
        <v>387000</v>
      </c>
      <c r="AN42" s="132">
        <f t="shared" si="144"/>
        <v>50310</v>
      </c>
      <c r="AO42" s="121">
        <v>174</v>
      </c>
      <c r="AP42" s="121">
        <v>174</v>
      </c>
      <c r="AQ42" s="123">
        <f t="shared" si="145"/>
        <v>1</v>
      </c>
      <c r="AR42" s="133">
        <f t="shared" si="146"/>
        <v>387000</v>
      </c>
      <c r="AS42" s="133">
        <f t="shared" si="147"/>
        <v>50310</v>
      </c>
      <c r="AT42" s="123">
        <f t="shared" si="148"/>
        <v>0</v>
      </c>
      <c r="AU42" s="124">
        <v>0.13</v>
      </c>
      <c r="AV42" s="394" t="s">
        <v>2756</v>
      </c>
      <c r="AW42" s="15">
        <v>45033</v>
      </c>
      <c r="AX42" s="12"/>
    </row>
    <row r="43" spans="1:56" s="1" customFormat="1" hidden="1" x14ac:dyDescent="0.25">
      <c r="A43" s="264" t="str">
        <f>Bérköltség!$B43</f>
        <v>FEOR</v>
      </c>
      <c r="B43" s="264" t="str">
        <f>IFERROR(
IF(AND(Bérköltség!$F43="",H43="NA"),"HIÁNYOS ADATOK",
IF(Bérköltség!$F43&lt;Bérköltség!$U43,Admin!$B$18,Admin!$B$17)),
"")</f>
        <v>FEOR</v>
      </c>
      <c r="C43" s="265">
        <f>IFERROR(INDEX('Historikus berek_2021-2'!$A$1:$F$903,MATCH(AB43,'Historikus berek_2021-2'!$A$1:$A$903,0),4),"")</f>
        <v>319000</v>
      </c>
      <c r="D43" s="279">
        <f t="shared" si="121"/>
        <v>319000</v>
      </c>
      <c r="E43" s="265">
        <f t="shared" si="122"/>
        <v>387000</v>
      </c>
      <c r="F43" s="266">
        <f t="shared" si="123"/>
        <v>76840</v>
      </c>
      <c r="G43" s="267">
        <f t="shared" si="124"/>
        <v>360469.99999999994</v>
      </c>
      <c r="H43" s="268">
        <f>IFERROR(INDEX('FEOR kodok'!$A$2:$J$1126,MATCH(Bérköltség!AB43,'FEOR kodok'!$B$2:$B$1126,0),8),"NA")</f>
        <v>3910</v>
      </c>
      <c r="I43" s="269">
        <f>IFERROR(INDEX('FEOR kodok'!$A$2:$J$1126,MATCH(Bérköltség!AB43,'FEOR kodok'!$B$2:$B$1126,0),10),"NA")</f>
        <v>24</v>
      </c>
      <c r="J43" s="276" t="str">
        <f t="shared" si="125"/>
        <v>30 év alatt</v>
      </c>
      <c r="K43" s="269" t="str">
        <f>IFERROR(INDEX(admin_feor[#All],MATCH(Bérköltség!H43,admin_feor[[#All],[Foglalkozás]],0),2),"NA")</f>
        <v>Egyéb ügyintéző</v>
      </c>
      <c r="L43" s="270">
        <f>IFERROR(
INDEX('Admin - FEOR'!$A$4:$F$465,MATCH(Bérköltség!H43,'Admin - FEOR'!$A$4:$A$465,0),
IF(J43="30 év alatt",3,
IF(J43="30–39 éves",4,
IF(J43="40–49 éves",5,
IF(J43="50 év és afelett",6
)))))*1,"NA")</f>
        <v>359927</v>
      </c>
      <c r="M43" s="270">
        <f t="shared" si="126"/>
        <v>387000</v>
      </c>
      <c r="N43" s="318">
        <f t="shared" si="127"/>
        <v>1.0752180303228154</v>
      </c>
      <c r="O43" s="270">
        <f>IFERROR(
INDEX('Admin - FEOR'!$A$4:$F$465,MATCH(Bérköltség!H43,'Admin - FEOR'!$A$4:$A$465,0),
IF(J43="30 év alatt",3,
IF(J43="30–39 éves",4,
IF(J43="40–49 éves",5,
IF(J43="50 év és afelett",6
)))))*1.5,"NA")</f>
        <v>539890.5</v>
      </c>
      <c r="P43" s="270">
        <f t="shared" si="128"/>
        <v>539890.5</v>
      </c>
      <c r="Q43" s="270">
        <f t="shared" si="129"/>
        <v>387000</v>
      </c>
      <c r="R43" s="275">
        <f t="shared" si="130"/>
        <v>1</v>
      </c>
      <c r="S43" s="270">
        <f t="shared" si="131"/>
        <v>0</v>
      </c>
      <c r="T43" s="270">
        <f t="shared" si="132"/>
        <v>0</v>
      </c>
      <c r="U43" s="271">
        <f t="shared" si="133"/>
        <v>0</v>
      </c>
      <c r="V43" s="272">
        <f t="shared" si="134"/>
        <v>437310</v>
      </c>
      <c r="W43" s="273" t="str">
        <f t="shared" si="135"/>
        <v>Indoklás szükséges mivel a FEOR: 107,5%</v>
      </c>
      <c r="X43" s="372">
        <f t="shared" si="136"/>
        <v>0</v>
      </c>
      <c r="Y43" s="317">
        <f t="shared" si="137"/>
        <v>387000</v>
      </c>
      <c r="Z43" s="317">
        <f t="shared" si="138"/>
        <v>50310</v>
      </c>
      <c r="AA43" s="12"/>
      <c r="AB43" s="274">
        <v>8482470434</v>
      </c>
      <c r="AC43" s="40" t="s">
        <v>334</v>
      </c>
      <c r="AD43" s="82" t="s">
        <v>75</v>
      </c>
      <c r="AE43" s="41" t="s">
        <v>54</v>
      </c>
      <c r="AF43" s="11" t="s">
        <v>159</v>
      </c>
      <c r="AG43" s="11" t="s">
        <v>166</v>
      </c>
      <c r="AH43" s="14" t="s">
        <v>123</v>
      </c>
      <c r="AI43" s="86" t="s">
        <v>40</v>
      </c>
      <c r="AJ43" s="113" t="str">
        <f>IF(COUNTIFS(Admin!$A$29:$A$40,AI43)&gt;0,Admin!$A$28,IF(COUNTIFS(Admin!$B$29:$B$40,AI43)&gt;0,Admin!$B$28,IF(COUNTIFS(Admin!$C$29:$C$40,AI43)&gt;0,Admin!$C$28,IF(COUNTIFS(Admin!$D$29:$D$40,AI43)&gt;0,Admin!$D$28,"-"))))</f>
        <v>3. mérföldkő</v>
      </c>
      <c r="AK43" s="14" t="s">
        <v>141</v>
      </c>
      <c r="AL43" s="9" t="s">
        <v>56</v>
      </c>
      <c r="AM43" s="131">
        <v>387000</v>
      </c>
      <c r="AN43" s="132">
        <f t="shared" si="144"/>
        <v>50310</v>
      </c>
      <c r="AO43" s="121">
        <v>174</v>
      </c>
      <c r="AP43" s="121">
        <v>174</v>
      </c>
      <c r="AQ43" s="123">
        <f t="shared" si="145"/>
        <v>1</v>
      </c>
      <c r="AR43" s="133">
        <f t="shared" si="146"/>
        <v>387000</v>
      </c>
      <c r="AS43" s="133">
        <f t="shared" si="147"/>
        <v>50310</v>
      </c>
      <c r="AT43" s="123">
        <f t="shared" si="148"/>
        <v>0</v>
      </c>
      <c r="AU43" s="124">
        <v>0.13</v>
      </c>
      <c r="AV43" s="394" t="s">
        <v>2756</v>
      </c>
      <c r="AW43" s="15">
        <v>45033</v>
      </c>
      <c r="AX43" s="12"/>
    </row>
    <row r="44" spans="1:56" s="1" customFormat="1" hidden="1" x14ac:dyDescent="0.25">
      <c r="A44" s="264" t="str">
        <f>Bérköltség!$B44</f>
        <v>FEOR</v>
      </c>
      <c r="B44" s="264" t="str">
        <f>IFERROR(
IF(AND(Bérköltség!$F44="",H44="NA"),"HIÁNYOS ADATOK",
IF(Bérköltség!$F44&lt;Bérköltség!$U44,Admin!$B$18,Admin!$B$17)),
"")</f>
        <v>FEOR</v>
      </c>
      <c r="C44" s="265">
        <f>IFERROR(INDEX('Historikus berek_2021-2'!$A$1:$F$903,MATCH(AB44,'Historikus berek_2021-2'!$A$1:$A$903,0),4),"")</f>
        <v>1141800</v>
      </c>
      <c r="D44" s="279">
        <f t="shared" si="23"/>
        <v>374037.93103448272</v>
      </c>
      <c r="E44" s="265">
        <f t="shared" si="24"/>
        <v>450005</v>
      </c>
      <c r="F44" s="266">
        <f t="shared" si="25"/>
        <v>85842.787931034516</v>
      </c>
      <c r="G44" s="267">
        <f t="shared" si="26"/>
        <v>422662.86206896545</v>
      </c>
      <c r="H44" s="268">
        <f>IFERROR(INDEX('FEOR kodok'!$A$2:$J$1126,MATCH(Bérköltség!AB44,'FEOR kodok'!$B$2:$B$1126,0),8),"NA")</f>
        <v>2117</v>
      </c>
      <c r="I44" s="269">
        <f>IFERROR(INDEX('FEOR kodok'!$A$2:$J$1126,MATCH(Bérköltség!AB44,'FEOR kodok'!$B$2:$B$1126,0),10),"NA")</f>
        <v>62</v>
      </c>
      <c r="J44" s="276" t="str">
        <f t="shared" si="27"/>
        <v>50 év és afelett</v>
      </c>
      <c r="K44" s="269" t="str">
        <f>IFERROR(INDEX(admin_feor[#All],MATCH(Bérköltség!H44,admin_feor[[#All],[Foglalkozás]],0),2),"NA")</f>
        <v>Vegyészmérnök</v>
      </c>
      <c r="L44" s="270">
        <f>IFERROR(
INDEX('Admin - FEOR'!$A$4:$F$465,MATCH(Bérköltség!H44,'Admin - FEOR'!$A$4:$A$465,0),
IF(J44="30 év alatt",3,
IF(J44="30–39 éves",4,
IF(J44="40–49 éves",5,
IF(J44="50 év és afelett",6
)))))*1,"NA")</f>
        <v>826737</v>
      </c>
      <c r="M44" s="270">
        <f t="shared" si="28"/>
        <v>1373700</v>
      </c>
      <c r="N44" s="318">
        <f t="shared" si="29"/>
        <v>1.6615925016057103</v>
      </c>
      <c r="O44" s="270">
        <f>IFERROR(
INDEX('Admin - FEOR'!$A$4:$F$465,MATCH(Bérköltség!H44,'Admin - FEOR'!$A$4:$A$465,0),
IF(J44="30 év alatt",3,
IF(J44="30–39 éves",4,
IF(J44="40–49 éves",5,
IF(J44="50 év és afelett",6
)))))*1.5,"NA")</f>
        <v>1240105.5</v>
      </c>
      <c r="P44" s="270">
        <f t="shared" si="30"/>
        <v>406241.45689655171</v>
      </c>
      <c r="Q44" s="270">
        <f t="shared" si="31"/>
        <v>450005</v>
      </c>
      <c r="R44" s="275">
        <f t="shared" si="32"/>
        <v>0.32758620689655171</v>
      </c>
      <c r="S44" s="270">
        <f t="shared" si="33"/>
        <v>43763.54310344829</v>
      </c>
      <c r="T44" s="270">
        <f t="shared" si="34"/>
        <v>5689.2606034482778</v>
      </c>
      <c r="U44" s="271">
        <f t="shared" si="35"/>
        <v>49452.803706896564</v>
      </c>
      <c r="V44" s="272">
        <f t="shared" si="36"/>
        <v>459053.19629310345</v>
      </c>
      <c r="W44" s="273" t="str">
        <f t="shared" si="37"/>
        <v>Indoklás szükséges mivel a FEOR: 166,2%</v>
      </c>
      <c r="X44" s="372">
        <f t="shared" si="38"/>
        <v>49452.803706896564</v>
      </c>
      <c r="Y44" s="317">
        <f t="shared" si="39"/>
        <v>406242</v>
      </c>
      <c r="Z44" s="317">
        <f t="shared" si="40"/>
        <v>52811</v>
      </c>
      <c r="AA44" s="12">
        <v>2</v>
      </c>
      <c r="AB44" s="274">
        <v>8346442386</v>
      </c>
      <c r="AC44" s="40" t="s">
        <v>205</v>
      </c>
      <c r="AD44" s="82" t="s">
        <v>75</v>
      </c>
      <c r="AE44" s="41" t="s">
        <v>52</v>
      </c>
      <c r="AF44" s="11" t="s">
        <v>152</v>
      </c>
      <c r="AG44" s="11" t="s">
        <v>170</v>
      </c>
      <c r="AH44" s="14" t="s">
        <v>122</v>
      </c>
      <c r="AI44" s="86" t="s">
        <v>21</v>
      </c>
      <c r="AJ44" s="113" t="str">
        <f>IF(COUNTIFS(Admin!$A$29:$A$40,AI44)&gt;0,Admin!$A$28,IF(COUNTIFS(Admin!$B$29:$B$40,AI44)&gt;0,Admin!$B$28,IF(COUNTIFS(Admin!$C$29:$C$40,AI44)&gt;0,Admin!$C$28,IF(COUNTIFS(Admin!$D$29:$D$40,AI44)&gt;0,Admin!$D$28,"-"))))</f>
        <v>2. mérföldkő</v>
      </c>
      <c r="AK44" s="14" t="s">
        <v>7</v>
      </c>
      <c r="AL44" s="9" t="s">
        <v>56</v>
      </c>
      <c r="AM44" s="131">
        <v>1373700</v>
      </c>
      <c r="AN44" s="132">
        <f t="shared" si="115"/>
        <v>178581</v>
      </c>
      <c r="AO44" s="121">
        <v>174</v>
      </c>
      <c r="AP44" s="121">
        <v>57</v>
      </c>
      <c r="AQ44" s="123">
        <f t="shared" si="116"/>
        <v>0.32758620689655171</v>
      </c>
      <c r="AR44" s="133">
        <f t="shared" si="117"/>
        <v>450005</v>
      </c>
      <c r="AS44" s="133">
        <f t="shared" si="118"/>
        <v>58501</v>
      </c>
      <c r="AT44" s="123">
        <f t="shared" si="119"/>
        <v>1.2551051398190793E-7</v>
      </c>
      <c r="AU44" s="124">
        <v>0.13</v>
      </c>
      <c r="AV44" s="394" t="s">
        <v>2757</v>
      </c>
      <c r="AW44" s="15">
        <v>44739</v>
      </c>
      <c r="AX44" s="12" t="s">
        <v>206</v>
      </c>
      <c r="BC44" s="1" t="s">
        <v>2815</v>
      </c>
      <c r="BD44" s="1" t="str">
        <f t="shared" si="120"/>
        <v>Kutató_BM_1 - Kutató</v>
      </c>
    </row>
    <row r="45" spans="1:56" s="1" customFormat="1" hidden="1" x14ac:dyDescent="0.25">
      <c r="A45" s="264" t="str">
        <f>Bérköltség!$B45</f>
        <v>FEOR</v>
      </c>
      <c r="B45" s="264" t="str">
        <f>IFERROR(
IF(AND(Bérköltség!$F45="",H45="NA"),"HIÁNYOS ADATOK",
IF(Bérköltség!$F45&lt;Bérköltség!$U45,Admin!$B$18,Admin!$B$17)),
"")</f>
        <v>FEOR</v>
      </c>
      <c r="C45" s="265">
        <f>IFERROR(INDEX('Historikus berek_2021-2'!$A$1:$F$903,MATCH(AB45,'Historikus berek_2021-2'!$A$1:$A$903,0),4),"")</f>
        <v>1141800</v>
      </c>
      <c r="D45" s="279">
        <f t="shared" si="23"/>
        <v>374037.93103448272</v>
      </c>
      <c r="E45" s="265">
        <f t="shared" si="24"/>
        <v>391309</v>
      </c>
      <c r="F45" s="266">
        <f t="shared" si="25"/>
        <v>19516.307931034535</v>
      </c>
      <c r="G45" s="267">
        <f t="shared" si="26"/>
        <v>422662.86206896545</v>
      </c>
      <c r="H45" s="268">
        <f>IFERROR(INDEX('FEOR kodok'!$A$2:$J$1126,MATCH(Bérköltség!AB45,'FEOR kodok'!$B$2:$B$1126,0),8),"NA")</f>
        <v>2117</v>
      </c>
      <c r="I45" s="269">
        <f>IFERROR(INDEX('FEOR kodok'!$A$2:$J$1126,MATCH(Bérköltség!AB45,'FEOR kodok'!$B$2:$B$1126,0),10),"NA")</f>
        <v>62</v>
      </c>
      <c r="J45" s="276" t="str">
        <f t="shared" si="27"/>
        <v>50 év és afelett</v>
      </c>
      <c r="K45" s="269" t="str">
        <f>IFERROR(INDEX(admin_feor[#All],MATCH(Bérköltség!H45,admin_feor[[#All],[Foglalkozás]],0),2),"NA")</f>
        <v>Vegyészmérnök</v>
      </c>
      <c r="L45" s="270">
        <f>IFERROR(
INDEX('Admin - FEOR'!$A$4:$F$465,MATCH(Bérköltség!H45,'Admin - FEOR'!$A$4:$A$465,0),
IF(J45="30 év alatt",3,
IF(J45="30–39 éves",4,
IF(J45="40–49 éves",5,
IF(J45="50 év és afelett",6
)))))*1,"NA")</f>
        <v>826737</v>
      </c>
      <c r="M45" s="270">
        <f t="shared" si="28"/>
        <v>1194523</v>
      </c>
      <c r="N45" s="318">
        <f t="shared" si="29"/>
        <v>1.4448645699902145</v>
      </c>
      <c r="O45" s="270">
        <f>IFERROR(
INDEX('Admin - FEOR'!$A$4:$F$465,MATCH(Bérköltség!H45,'Admin - FEOR'!$A$4:$A$465,0),
IF(J45="30 év alatt",3,
IF(J45="30–39 éves",4,
IF(J45="40–49 éves",5,
IF(J45="50 év és afelett",6
)))))*1.5,"NA")</f>
        <v>1240105.5</v>
      </c>
      <c r="P45" s="270">
        <f t="shared" si="30"/>
        <v>406241.45689655171</v>
      </c>
      <c r="Q45" s="270">
        <f t="shared" si="31"/>
        <v>391309</v>
      </c>
      <c r="R45" s="275">
        <f t="shared" si="32"/>
        <v>0.32758620689655171</v>
      </c>
      <c r="S45" s="270">
        <f t="shared" si="33"/>
        <v>0</v>
      </c>
      <c r="T45" s="270">
        <f t="shared" si="34"/>
        <v>0</v>
      </c>
      <c r="U45" s="271">
        <f t="shared" si="35"/>
        <v>0</v>
      </c>
      <c r="V45" s="272">
        <f t="shared" si="36"/>
        <v>442179</v>
      </c>
      <c r="W45" s="273" t="str">
        <f t="shared" si="37"/>
        <v>Indoklás szükséges mivel a FEOR: 144,5%</v>
      </c>
      <c r="X45" s="372">
        <f t="shared" si="38"/>
        <v>0</v>
      </c>
      <c r="Y45" s="317">
        <f t="shared" si="39"/>
        <v>391309</v>
      </c>
      <c r="Z45" s="317">
        <f t="shared" si="40"/>
        <v>50870</v>
      </c>
      <c r="AA45" s="12">
        <v>2</v>
      </c>
      <c r="AB45" s="274">
        <v>8346442386</v>
      </c>
      <c r="AC45" s="40" t="s">
        <v>205</v>
      </c>
      <c r="AD45" s="82" t="s">
        <v>75</v>
      </c>
      <c r="AE45" s="41" t="s">
        <v>52</v>
      </c>
      <c r="AF45" s="11" t="s">
        <v>152</v>
      </c>
      <c r="AG45" s="11" t="s">
        <v>170</v>
      </c>
      <c r="AH45" s="14" t="s">
        <v>122</v>
      </c>
      <c r="AI45" s="86" t="s">
        <v>22</v>
      </c>
      <c r="AJ45" s="113" t="str">
        <f>IF(COUNTIFS(Admin!$A$29:$A$40,AI45)&gt;0,Admin!$A$28,IF(COUNTIFS(Admin!$B$29:$B$40,AI45)&gt;0,Admin!$B$28,IF(COUNTIFS(Admin!$C$29:$C$40,AI45)&gt;0,Admin!$C$28,IF(COUNTIFS(Admin!$D$29:$D$40,AI45)&gt;0,Admin!$D$28,"-"))))</f>
        <v>2. mérföldkő</v>
      </c>
      <c r="AK45" s="14" t="s">
        <v>7</v>
      </c>
      <c r="AL45" s="9" t="s">
        <v>56</v>
      </c>
      <c r="AM45" s="131">
        <v>1194523</v>
      </c>
      <c r="AN45" s="132">
        <f t="shared" si="115"/>
        <v>155288</v>
      </c>
      <c r="AO45" s="121">
        <v>174</v>
      </c>
      <c r="AP45" s="121">
        <v>57</v>
      </c>
      <c r="AQ45" s="123">
        <f t="shared" si="116"/>
        <v>0.32758620689655171</v>
      </c>
      <c r="AR45" s="133">
        <f t="shared" si="117"/>
        <v>391309</v>
      </c>
      <c r="AS45" s="133">
        <f t="shared" si="118"/>
        <v>50870</v>
      </c>
      <c r="AT45" s="123">
        <f t="shared" si="119"/>
        <v>2.1650540815709718E-7</v>
      </c>
      <c r="AU45" s="124">
        <v>0.13</v>
      </c>
      <c r="AV45" s="394" t="s">
        <v>2757</v>
      </c>
      <c r="AW45" s="15">
        <v>44739</v>
      </c>
      <c r="AX45" s="12" t="s">
        <v>206</v>
      </c>
      <c r="BC45" s="1" t="s">
        <v>2815</v>
      </c>
      <c r="BD45" s="1" t="str">
        <f t="shared" si="120"/>
        <v>Kutató_BM_1 - Kutató</v>
      </c>
    </row>
    <row r="46" spans="1:56" s="1" customFormat="1" hidden="1" x14ac:dyDescent="0.25">
      <c r="A46" s="264" t="str">
        <f>Bérköltség!$B46</f>
        <v>FEOR</v>
      </c>
      <c r="B46" s="264" t="str">
        <f>IFERROR(
IF(AND(Bérköltség!$F46="",H46="NA"),"HIÁNYOS ADATOK",
IF(Bérköltség!$F46&lt;Bérköltség!$U46,Admin!$B$18,Admin!$B$17)),
"")</f>
        <v>FEOR</v>
      </c>
      <c r="C46" s="265">
        <f>IFERROR(INDEX('Historikus berek_2021-2'!$A$1:$F$903,MATCH(AB46,'Historikus berek_2021-2'!$A$1:$A$903,0),4),"")</f>
        <v>1141800</v>
      </c>
      <c r="D46" s="279">
        <f t="shared" si="23"/>
        <v>374037.93103448272</v>
      </c>
      <c r="E46" s="265">
        <f t="shared" si="24"/>
        <v>450005</v>
      </c>
      <c r="F46" s="266">
        <f t="shared" si="25"/>
        <v>85842.787931034516</v>
      </c>
      <c r="G46" s="267">
        <f t="shared" si="26"/>
        <v>422662.86206896545</v>
      </c>
      <c r="H46" s="268">
        <f>IFERROR(INDEX('FEOR kodok'!$A$2:$J$1126,MATCH(Bérköltség!AB46,'FEOR kodok'!$B$2:$B$1126,0),8),"NA")</f>
        <v>2117</v>
      </c>
      <c r="I46" s="269">
        <f>IFERROR(INDEX('FEOR kodok'!$A$2:$J$1126,MATCH(Bérköltség!AB46,'FEOR kodok'!$B$2:$B$1126,0),10),"NA")</f>
        <v>62</v>
      </c>
      <c r="J46" s="276" t="str">
        <f t="shared" si="27"/>
        <v>50 év és afelett</v>
      </c>
      <c r="K46" s="269" t="str">
        <f>IFERROR(INDEX(admin_feor[#All],MATCH(Bérköltség!H46,admin_feor[[#All],[Foglalkozás]],0),2),"NA")</f>
        <v>Vegyészmérnök</v>
      </c>
      <c r="L46" s="270">
        <f>IFERROR(
INDEX('Admin - FEOR'!$A$4:$F$465,MATCH(Bérköltség!H46,'Admin - FEOR'!$A$4:$A$465,0),
IF(J46="30 év alatt",3,
IF(J46="30–39 éves",4,
IF(J46="40–49 éves",5,
IF(J46="50 év és afelett",6
)))))*1,"NA")</f>
        <v>826737</v>
      </c>
      <c r="M46" s="270">
        <f t="shared" si="28"/>
        <v>1373700</v>
      </c>
      <c r="N46" s="318">
        <f t="shared" si="29"/>
        <v>1.6615925016057103</v>
      </c>
      <c r="O46" s="270">
        <f>IFERROR(
INDEX('Admin - FEOR'!$A$4:$F$465,MATCH(Bérköltség!H46,'Admin - FEOR'!$A$4:$A$465,0),
IF(J46="30 év alatt",3,
IF(J46="30–39 éves",4,
IF(J46="40–49 éves",5,
IF(J46="50 év és afelett",6
)))))*1.5,"NA")</f>
        <v>1240105.5</v>
      </c>
      <c r="P46" s="270">
        <f t="shared" si="30"/>
        <v>406241.45689655171</v>
      </c>
      <c r="Q46" s="270">
        <f t="shared" si="31"/>
        <v>450005</v>
      </c>
      <c r="R46" s="275">
        <f t="shared" si="32"/>
        <v>0.32758620689655171</v>
      </c>
      <c r="S46" s="270">
        <f t="shared" si="33"/>
        <v>43763.54310344829</v>
      </c>
      <c r="T46" s="270">
        <f t="shared" si="34"/>
        <v>5689.2606034482778</v>
      </c>
      <c r="U46" s="271">
        <f t="shared" si="35"/>
        <v>49452.803706896564</v>
      </c>
      <c r="V46" s="272">
        <f t="shared" si="36"/>
        <v>459053.19629310345</v>
      </c>
      <c r="W46" s="273" t="str">
        <f t="shared" si="37"/>
        <v>Indoklás szükséges mivel a FEOR: 166,2%</v>
      </c>
      <c r="X46" s="372">
        <f t="shared" si="38"/>
        <v>49452.803706896564</v>
      </c>
      <c r="Y46" s="317">
        <f t="shared" si="39"/>
        <v>406242</v>
      </c>
      <c r="Z46" s="317">
        <f t="shared" si="40"/>
        <v>52811</v>
      </c>
      <c r="AA46" s="12">
        <v>2</v>
      </c>
      <c r="AB46" s="274">
        <v>8346442386</v>
      </c>
      <c r="AC46" s="40" t="s">
        <v>205</v>
      </c>
      <c r="AD46" s="82" t="s">
        <v>75</v>
      </c>
      <c r="AE46" s="41" t="s">
        <v>52</v>
      </c>
      <c r="AF46" s="11" t="s">
        <v>151</v>
      </c>
      <c r="AG46" s="11" t="s">
        <v>170</v>
      </c>
      <c r="AH46" s="14" t="s">
        <v>122</v>
      </c>
      <c r="AI46" s="86" t="s">
        <v>23</v>
      </c>
      <c r="AJ46" s="113" t="str">
        <f>IF(COUNTIFS(Admin!$A$29:$A$40,AI46)&gt;0,Admin!$A$28,IF(COUNTIFS(Admin!$B$29:$B$40,AI46)&gt;0,Admin!$B$28,IF(COUNTIFS(Admin!$C$29:$C$40,AI46)&gt;0,Admin!$C$28,IF(COUNTIFS(Admin!$D$29:$D$40,AI46)&gt;0,Admin!$D$28,"-"))))</f>
        <v>2. mérföldkő</v>
      </c>
      <c r="AK46" s="14" t="s">
        <v>7</v>
      </c>
      <c r="AL46" s="9" t="s">
        <v>56</v>
      </c>
      <c r="AM46" s="131">
        <v>1373700</v>
      </c>
      <c r="AN46" s="132">
        <f t="shared" si="115"/>
        <v>178581</v>
      </c>
      <c r="AO46" s="121">
        <v>174</v>
      </c>
      <c r="AP46" s="121">
        <v>57</v>
      </c>
      <c r="AQ46" s="123">
        <f>IFERROR(AP46/AO46,"")</f>
        <v>0.32758620689655171</v>
      </c>
      <c r="AR46" s="133">
        <f>IFERROR(ROUND(AM46*AP46/AO46,0),"")</f>
        <v>450005</v>
      </c>
      <c r="AS46" s="133">
        <f>IFERROR(ROUND(AR46*AU46,0),"")</f>
        <v>58501</v>
      </c>
      <c r="AT46" s="123">
        <f>IFERROR(AP46/AO46-AR46/AM46,"")</f>
        <v>1.2551051398190793E-7</v>
      </c>
      <c r="AU46" s="124">
        <v>0.13</v>
      </c>
      <c r="AV46" s="394" t="s">
        <v>2757</v>
      </c>
      <c r="AW46" s="15">
        <v>44797</v>
      </c>
      <c r="AX46" s="12" t="s">
        <v>206</v>
      </c>
      <c r="BC46" s="1" t="s">
        <v>2815</v>
      </c>
      <c r="BD46" s="1" t="str">
        <f t="shared" si="120"/>
        <v>Kutató_BM_1 - Kutató</v>
      </c>
    </row>
    <row r="47" spans="1:56" s="1" customFormat="1" hidden="1" x14ac:dyDescent="0.25">
      <c r="A47" s="264" t="str">
        <f>Bérköltség!$B47</f>
        <v>FEOR</v>
      </c>
      <c r="B47" s="264" t="str">
        <f>IFERROR(
IF(AND(Bérköltség!$F47="",H47="NA"),"HIÁNYOS ADATOK",
IF(Bérköltség!$F47&lt;Bérköltség!$U47,Admin!$B$18,Admin!$B$17)),
"")</f>
        <v>FEOR</v>
      </c>
      <c r="C47" s="265">
        <f>IFERROR(INDEX('Historikus berek_2021-2'!$A$1:$F$903,MATCH(AB47,'Historikus berek_2021-2'!$A$1:$A$903,0),4),"")</f>
        <v>1141800</v>
      </c>
      <c r="D47" s="279">
        <f t="shared" si="23"/>
        <v>374037.93103448272</v>
      </c>
      <c r="E47" s="265">
        <f t="shared" si="24"/>
        <v>450005</v>
      </c>
      <c r="F47" s="266">
        <f t="shared" si="25"/>
        <v>85842.787931034516</v>
      </c>
      <c r="G47" s="267">
        <f t="shared" si="26"/>
        <v>422662.86206896545</v>
      </c>
      <c r="H47" s="268">
        <f>IFERROR(INDEX('FEOR kodok'!$A$2:$J$1126,MATCH(Bérköltség!AB47,'FEOR kodok'!$B$2:$B$1126,0),8),"NA")</f>
        <v>2117</v>
      </c>
      <c r="I47" s="269">
        <f>IFERROR(INDEX('FEOR kodok'!$A$2:$J$1126,MATCH(Bérköltség!AB47,'FEOR kodok'!$B$2:$B$1126,0),10),"NA")</f>
        <v>62</v>
      </c>
      <c r="J47" s="276" t="str">
        <f t="shared" si="27"/>
        <v>50 év és afelett</v>
      </c>
      <c r="K47" s="269" t="str">
        <f>IFERROR(INDEX(admin_feor[#All],MATCH(Bérköltség!H47,admin_feor[[#All],[Foglalkozás]],0),2),"NA")</f>
        <v>Vegyészmérnök</v>
      </c>
      <c r="L47" s="270">
        <f>IFERROR(
INDEX('Admin - FEOR'!$A$4:$F$465,MATCH(Bérköltség!H47,'Admin - FEOR'!$A$4:$A$465,0),
IF(J47="30 év alatt",3,
IF(J47="30–39 éves",4,
IF(J47="40–49 éves",5,
IF(J47="50 év és afelett",6
)))))*1,"NA")</f>
        <v>826737</v>
      </c>
      <c r="M47" s="270">
        <f t="shared" si="28"/>
        <v>1373699</v>
      </c>
      <c r="N47" s="318">
        <f t="shared" si="29"/>
        <v>1.6615912920312021</v>
      </c>
      <c r="O47" s="270">
        <f>IFERROR(
INDEX('Admin - FEOR'!$A$4:$F$465,MATCH(Bérköltség!H47,'Admin - FEOR'!$A$4:$A$465,0),
IF(J47="30 év alatt",3,
IF(J47="30–39 éves",4,
IF(J47="40–49 éves",5,
IF(J47="50 év és afelett",6
)))))*1.5,"NA")</f>
        <v>1240105.5</v>
      </c>
      <c r="P47" s="270">
        <f t="shared" si="30"/>
        <v>406241.45689655171</v>
      </c>
      <c r="Q47" s="270">
        <f t="shared" si="31"/>
        <v>450005</v>
      </c>
      <c r="R47" s="275">
        <f t="shared" si="32"/>
        <v>0.32758620689655171</v>
      </c>
      <c r="S47" s="270">
        <f t="shared" si="33"/>
        <v>43763.54310344829</v>
      </c>
      <c r="T47" s="270">
        <f t="shared" si="34"/>
        <v>5689.2606034482778</v>
      </c>
      <c r="U47" s="271">
        <f t="shared" si="35"/>
        <v>49452.803706896564</v>
      </c>
      <c r="V47" s="272">
        <f t="shared" si="36"/>
        <v>459053.19629310345</v>
      </c>
      <c r="W47" s="273" t="str">
        <f t="shared" si="37"/>
        <v>Indoklás szükséges mivel a FEOR: 166,2%</v>
      </c>
      <c r="X47" s="372">
        <f t="shared" si="38"/>
        <v>49452.803706896564</v>
      </c>
      <c r="Y47" s="317">
        <f t="shared" si="39"/>
        <v>406242</v>
      </c>
      <c r="Z47" s="317">
        <f t="shared" si="40"/>
        <v>52811</v>
      </c>
      <c r="AA47" s="12">
        <v>2</v>
      </c>
      <c r="AB47" s="274">
        <v>8346442386</v>
      </c>
      <c r="AC47" s="40" t="s">
        <v>205</v>
      </c>
      <c r="AD47" s="82" t="s">
        <v>75</v>
      </c>
      <c r="AE47" s="41" t="s">
        <v>52</v>
      </c>
      <c r="AF47" s="11" t="s">
        <v>151</v>
      </c>
      <c r="AG47" s="11" t="s">
        <v>170</v>
      </c>
      <c r="AH47" s="14" t="s">
        <v>122</v>
      </c>
      <c r="AI47" s="86" t="s">
        <v>24</v>
      </c>
      <c r="AJ47" s="113" t="str">
        <f>IF(COUNTIFS(Admin!$A$29:$A$40,AI47)&gt;0,Admin!$A$28,IF(COUNTIFS(Admin!$B$29:$B$40,AI47)&gt;0,Admin!$B$28,IF(COUNTIFS(Admin!$C$29:$C$40,AI47)&gt;0,Admin!$C$28,IF(COUNTIFS(Admin!$D$29:$D$40,AI47)&gt;0,Admin!$D$28,"-"))))</f>
        <v>2. mérföldkő</v>
      </c>
      <c r="AK47" s="14" t="s">
        <v>7</v>
      </c>
      <c r="AL47" s="9" t="s">
        <v>56</v>
      </c>
      <c r="AM47" s="131">
        <v>1373699</v>
      </c>
      <c r="AN47" s="132">
        <f t="shared" si="115"/>
        <v>178581</v>
      </c>
      <c r="AO47" s="121">
        <v>174</v>
      </c>
      <c r="AP47" s="121">
        <v>57</v>
      </c>
      <c r="AQ47" s="123">
        <f t="shared" ref="AQ47:AQ54" si="149">IFERROR(AP47/AO47,"")</f>
        <v>0.32758620689655171</v>
      </c>
      <c r="AR47" s="133">
        <f t="shared" ref="AR47:AR49" si="150">IFERROR(ROUND(AM47*AP47/AO47,0),"")</f>
        <v>450005</v>
      </c>
      <c r="AS47" s="133">
        <f t="shared" ref="AS47:AS54" si="151">IFERROR(ROUND(AR47*AU47,0),"")</f>
        <v>58501</v>
      </c>
      <c r="AT47" s="123">
        <f t="shared" ref="AT47:AT54" si="152">IFERROR(AP47/AO47-AR47/AM47,"")</f>
        <v>-1.129595448290388E-7</v>
      </c>
      <c r="AU47" s="124">
        <v>0.13</v>
      </c>
      <c r="AV47" s="394" t="s">
        <v>2757</v>
      </c>
      <c r="AW47" s="15">
        <v>44797</v>
      </c>
      <c r="AX47" s="12" t="s">
        <v>206</v>
      </c>
      <c r="BC47" s="1" t="s">
        <v>2815</v>
      </c>
      <c r="BD47" s="1" t="str">
        <f t="shared" si="120"/>
        <v>Kutató_BM_1 - Kutató</v>
      </c>
    </row>
    <row r="48" spans="1:56" s="1" customFormat="1" hidden="1" x14ac:dyDescent="0.25">
      <c r="A48" s="264" t="str">
        <f>Bérköltség!$B48</f>
        <v>FEOR</v>
      </c>
      <c r="B48" s="264" t="str">
        <f>IFERROR(
IF(AND(Bérköltség!$F48="",H48="NA"),"HIÁNYOS ADATOK",
IF(Bérköltség!$F48&lt;Bérköltség!$U48,Admin!$B$18,Admin!$B$17)),
"")</f>
        <v>FEOR</v>
      </c>
      <c r="C48" s="265">
        <f>IFERROR(INDEX('Historikus berek_2021-2'!$A$1:$F$903,MATCH(AB48,'Historikus berek_2021-2'!$A$1:$A$903,0),4),"")</f>
        <v>1141800</v>
      </c>
      <c r="D48" s="279">
        <f t="shared" si="23"/>
        <v>242796.55172413791</v>
      </c>
      <c r="E48" s="265">
        <f t="shared" si="24"/>
        <v>292109</v>
      </c>
      <c r="F48" s="266">
        <f t="shared" si="25"/>
        <v>55723.066551724158</v>
      </c>
      <c r="G48" s="267">
        <f t="shared" si="26"/>
        <v>274360.10344827583</v>
      </c>
      <c r="H48" s="268">
        <f>IFERROR(INDEX('FEOR kodok'!$A$2:$J$1126,MATCH(Bérköltség!AB48,'FEOR kodok'!$B$2:$B$1126,0),8),"NA")</f>
        <v>2117</v>
      </c>
      <c r="I48" s="269">
        <f>IFERROR(INDEX('FEOR kodok'!$A$2:$J$1126,MATCH(Bérköltség!AB48,'FEOR kodok'!$B$2:$B$1126,0),10),"NA")</f>
        <v>62</v>
      </c>
      <c r="J48" s="276" t="str">
        <f t="shared" si="27"/>
        <v>50 év és afelett</v>
      </c>
      <c r="K48" s="269" t="str">
        <f>IFERROR(INDEX(admin_feor[#All],MATCH(Bérköltség!H48,admin_feor[[#All],[Foglalkozás]],0),2),"NA")</f>
        <v>Vegyészmérnök</v>
      </c>
      <c r="L48" s="270">
        <f>IFERROR(
INDEX('Admin - FEOR'!$A$4:$F$465,MATCH(Bérköltség!H48,'Admin - FEOR'!$A$4:$A$465,0),
IF(J48="30 év alatt",3,
IF(J48="30–39 éves",4,
IF(J48="40–49 éves",5,
IF(J48="50 év és afelett",6
)))))*1,"NA")</f>
        <v>826737</v>
      </c>
      <c r="M48" s="270">
        <f t="shared" si="28"/>
        <v>1373700</v>
      </c>
      <c r="N48" s="318">
        <f t="shared" si="29"/>
        <v>1.6615925016057103</v>
      </c>
      <c r="O48" s="270">
        <f>IFERROR(
INDEX('Admin - FEOR'!$A$4:$F$465,MATCH(Bérköltség!H48,'Admin - FEOR'!$A$4:$A$465,0),
IF(J48="30 év alatt",3,
IF(J48="30–39 éves",4,
IF(J48="40–49 éves",5,
IF(J48="50 év és afelett",6
)))))*1.5,"NA")</f>
        <v>1240105.5</v>
      </c>
      <c r="P48" s="270">
        <f t="shared" si="30"/>
        <v>263700.5948275862</v>
      </c>
      <c r="Q48" s="270">
        <f t="shared" si="31"/>
        <v>292109</v>
      </c>
      <c r="R48" s="275">
        <f t="shared" si="32"/>
        <v>0.21264367816091953</v>
      </c>
      <c r="S48" s="270">
        <f t="shared" si="33"/>
        <v>28408.405172413797</v>
      </c>
      <c r="T48" s="270">
        <f t="shared" si="34"/>
        <v>3693.0926724137939</v>
      </c>
      <c r="U48" s="271">
        <f t="shared" si="35"/>
        <v>32101.497844827591</v>
      </c>
      <c r="V48" s="272">
        <f t="shared" si="36"/>
        <v>297981.50215517241</v>
      </c>
      <c r="W48" s="273" t="str">
        <f t="shared" si="37"/>
        <v>Indoklás szükséges mivel a FEOR: 166,2%</v>
      </c>
      <c r="X48" s="372">
        <f t="shared" si="38"/>
        <v>32101.497844827591</v>
      </c>
      <c r="Y48" s="317">
        <f t="shared" si="39"/>
        <v>263700</v>
      </c>
      <c r="Z48" s="317">
        <f t="shared" si="40"/>
        <v>34282</v>
      </c>
      <c r="AA48" s="12">
        <v>2</v>
      </c>
      <c r="AB48" s="274">
        <v>8346442386</v>
      </c>
      <c r="AC48" s="40" t="s">
        <v>205</v>
      </c>
      <c r="AD48" s="82" t="s">
        <v>75</v>
      </c>
      <c r="AE48" s="41" t="s">
        <v>52</v>
      </c>
      <c r="AF48" s="11" t="s">
        <v>151</v>
      </c>
      <c r="AG48" s="11" t="s">
        <v>170</v>
      </c>
      <c r="AH48" s="14" t="s">
        <v>122</v>
      </c>
      <c r="AI48" s="86" t="s">
        <v>25</v>
      </c>
      <c r="AJ48" s="113" t="str">
        <f>IF(COUNTIFS(Admin!$A$29:$A$40,AI48)&gt;0,Admin!$A$28,IF(COUNTIFS(Admin!$B$29:$B$40,AI48)&gt;0,Admin!$B$28,IF(COUNTIFS(Admin!$C$29:$C$40,AI48)&gt;0,Admin!$C$28,IF(COUNTIFS(Admin!$D$29:$D$40,AI48)&gt;0,Admin!$D$28,"-"))))</f>
        <v>2. mérföldkő</v>
      </c>
      <c r="AK48" s="14" t="s">
        <v>7</v>
      </c>
      <c r="AL48" s="9" t="s">
        <v>56</v>
      </c>
      <c r="AM48" s="131">
        <v>1373700</v>
      </c>
      <c r="AN48" s="132">
        <f t="shared" si="115"/>
        <v>178581</v>
      </c>
      <c r="AO48" s="121">
        <v>174</v>
      </c>
      <c r="AP48" s="121">
        <v>37</v>
      </c>
      <c r="AQ48" s="123">
        <f t="shared" si="149"/>
        <v>0.21264367816091953</v>
      </c>
      <c r="AR48" s="133">
        <f t="shared" si="150"/>
        <v>292109</v>
      </c>
      <c r="AS48" s="133">
        <f t="shared" si="151"/>
        <v>37974</v>
      </c>
      <c r="AT48" s="123">
        <f t="shared" si="152"/>
        <v>-2.7612313083236195E-7</v>
      </c>
      <c r="AU48" s="124">
        <v>0.13</v>
      </c>
      <c r="AV48" s="394" t="s">
        <v>2757</v>
      </c>
      <c r="AW48" s="15">
        <v>44861</v>
      </c>
      <c r="AX48" s="12" t="s">
        <v>206</v>
      </c>
      <c r="AZ48" s="1" t="s">
        <v>2667</v>
      </c>
      <c r="BA48" s="1" t="s">
        <v>2667</v>
      </c>
      <c r="BB48" s="1" t="s">
        <v>2667</v>
      </c>
      <c r="BC48" s="1" t="s">
        <v>2815</v>
      </c>
      <c r="BD48" s="1" t="str">
        <f t="shared" si="120"/>
        <v>Kutató_BM_1 - Kutató</v>
      </c>
    </row>
    <row r="49" spans="1:56" s="1" customFormat="1" hidden="1" x14ac:dyDescent="0.25">
      <c r="A49" s="264" t="str">
        <f>Bérköltség!$B49</f>
        <v>FEOR</v>
      </c>
      <c r="B49" s="264" t="str">
        <f>IFERROR(
IF(AND(Bérköltség!$F49="",H49="NA"),"HIÁNYOS ADATOK",
IF(Bérköltség!$F49&lt;Bérköltség!$U49,Admin!$B$18,Admin!$B$17)),
"")</f>
        <v>FEOR</v>
      </c>
      <c r="C49" s="265">
        <f>IFERROR(INDEX('Historikus berek_2021-2'!$A$1:$F$903,MATCH(AB49,'Historikus berek_2021-2'!$A$1:$A$903,0),4),"")</f>
        <v>1141800</v>
      </c>
      <c r="D49" s="279">
        <f t="shared" si="23"/>
        <v>242796.55172413791</v>
      </c>
      <c r="E49" s="265">
        <f t="shared" si="24"/>
        <v>292108</v>
      </c>
      <c r="F49" s="266">
        <f t="shared" si="25"/>
        <v>55721.936551724153</v>
      </c>
      <c r="G49" s="267">
        <f t="shared" si="26"/>
        <v>274360.10344827583</v>
      </c>
      <c r="H49" s="268">
        <f>IFERROR(INDEX('FEOR kodok'!$A$2:$J$1126,MATCH(Bérköltség!AB49,'FEOR kodok'!$B$2:$B$1126,0),8),"NA")</f>
        <v>2117</v>
      </c>
      <c r="I49" s="269">
        <f>IFERROR(INDEX('FEOR kodok'!$A$2:$J$1126,MATCH(Bérköltség!AB49,'FEOR kodok'!$B$2:$B$1126,0),10),"NA")</f>
        <v>62</v>
      </c>
      <c r="J49" s="276" t="str">
        <f t="shared" si="27"/>
        <v>50 év és afelett</v>
      </c>
      <c r="K49" s="269" t="str">
        <f>IFERROR(INDEX(admin_feor[#All],MATCH(Bérköltség!H49,admin_feor[[#All],[Foglalkozás]],0),2),"NA")</f>
        <v>Vegyészmérnök</v>
      </c>
      <c r="L49" s="270">
        <f>IFERROR(
INDEX('Admin - FEOR'!$A$4:$F$465,MATCH(Bérköltség!H49,'Admin - FEOR'!$A$4:$A$465,0),
IF(J49="30 év alatt",3,
IF(J49="30–39 éves",4,
IF(J49="40–49 éves",5,
IF(J49="50 év és afelett",6
)))))*1,"NA")</f>
        <v>826737</v>
      </c>
      <c r="M49" s="270">
        <f t="shared" si="28"/>
        <v>1373699</v>
      </c>
      <c r="N49" s="318">
        <f t="shared" si="29"/>
        <v>1.6615912920312021</v>
      </c>
      <c r="O49" s="270">
        <f>IFERROR(
INDEX('Admin - FEOR'!$A$4:$F$465,MATCH(Bérköltség!H49,'Admin - FEOR'!$A$4:$A$465,0),
IF(J49="30 év alatt",3,
IF(J49="30–39 éves",4,
IF(J49="40–49 éves",5,
IF(J49="50 év és afelett",6
)))))*1.5,"NA")</f>
        <v>1240105.5</v>
      </c>
      <c r="P49" s="270">
        <f t="shared" si="30"/>
        <v>263700.5948275862</v>
      </c>
      <c r="Q49" s="270">
        <f t="shared" si="31"/>
        <v>292108</v>
      </c>
      <c r="R49" s="275">
        <f t="shared" si="32"/>
        <v>0.21264367816091953</v>
      </c>
      <c r="S49" s="270">
        <f t="shared" si="33"/>
        <v>28407.405172413797</v>
      </c>
      <c r="T49" s="270">
        <f t="shared" si="34"/>
        <v>3692.9626724137938</v>
      </c>
      <c r="U49" s="271">
        <f t="shared" si="35"/>
        <v>32100.36784482759</v>
      </c>
      <c r="V49" s="272">
        <f t="shared" si="36"/>
        <v>297981.63215517241</v>
      </c>
      <c r="W49" s="273" t="str">
        <f t="shared" si="37"/>
        <v>Indoklás szükséges mivel a FEOR: 166,2%</v>
      </c>
      <c r="X49" s="372">
        <f t="shared" si="38"/>
        <v>32100.36784482759</v>
      </c>
      <c r="Y49" s="317">
        <f t="shared" si="39"/>
        <v>263701</v>
      </c>
      <c r="Z49" s="317">
        <f t="shared" si="40"/>
        <v>34281</v>
      </c>
      <c r="AA49" s="12">
        <v>2</v>
      </c>
      <c r="AB49" s="274">
        <v>8346442386</v>
      </c>
      <c r="AC49" s="40" t="s">
        <v>205</v>
      </c>
      <c r="AD49" s="82" t="s">
        <v>75</v>
      </c>
      <c r="AE49" s="41" t="s">
        <v>52</v>
      </c>
      <c r="AF49" s="11" t="s">
        <v>151</v>
      </c>
      <c r="AG49" s="11" t="s">
        <v>170</v>
      </c>
      <c r="AH49" s="14" t="s">
        <v>122</v>
      </c>
      <c r="AI49" s="86" t="s">
        <v>26</v>
      </c>
      <c r="AJ49" s="113" t="str">
        <f>IF(COUNTIFS(Admin!$A$29:$A$40,AI49)&gt;0,Admin!$A$28,IF(COUNTIFS(Admin!$B$29:$B$40,AI49)&gt;0,Admin!$B$28,IF(COUNTIFS(Admin!$C$29:$C$40,AI49)&gt;0,Admin!$C$28,IF(COUNTIFS(Admin!$D$29:$D$40,AI49)&gt;0,Admin!$D$28,"-"))))</f>
        <v>2. mérföldkő</v>
      </c>
      <c r="AK49" s="14" t="s">
        <v>7</v>
      </c>
      <c r="AL49" s="9" t="s">
        <v>56</v>
      </c>
      <c r="AM49" s="131">
        <v>1373699</v>
      </c>
      <c r="AN49" s="132">
        <f t="shared" si="115"/>
        <v>178581</v>
      </c>
      <c r="AO49" s="121">
        <v>174</v>
      </c>
      <c r="AP49" s="121">
        <v>37</v>
      </c>
      <c r="AQ49" s="123">
        <f t="shared" si="149"/>
        <v>0.21264367816091953</v>
      </c>
      <c r="AR49" s="133">
        <f t="shared" si="150"/>
        <v>292108</v>
      </c>
      <c r="AS49" s="133">
        <f t="shared" si="151"/>
        <v>37974</v>
      </c>
      <c r="AT49" s="123">
        <f t="shared" si="152"/>
        <v>2.9704176607303623E-7</v>
      </c>
      <c r="AU49" s="124">
        <v>0.13</v>
      </c>
      <c r="AV49" s="394" t="s">
        <v>2757</v>
      </c>
      <c r="AW49" s="15">
        <v>44861</v>
      </c>
      <c r="AX49" s="12" t="s">
        <v>206</v>
      </c>
      <c r="AZ49" s="1" t="s">
        <v>2667</v>
      </c>
      <c r="BA49" s="1" t="s">
        <v>2668</v>
      </c>
      <c r="BB49" s="1" t="s">
        <v>2667</v>
      </c>
      <c r="BC49" s="1" t="s">
        <v>2815</v>
      </c>
      <c r="BD49" s="1" t="str">
        <f t="shared" si="120"/>
        <v>Kutató_BM_1 - Kutató</v>
      </c>
    </row>
    <row r="50" spans="1:56" s="1" customFormat="1" hidden="1" x14ac:dyDescent="0.25">
      <c r="A50" s="264" t="str">
        <f>Bérköltség!$B50</f>
        <v>FEOR</v>
      </c>
      <c r="B50" s="264" t="str">
        <f>IFERROR(
IF(AND(Bérköltség!$F50="",H50="NA"),"HIÁNYOS ADATOK",
IF(Bérköltség!$F50&lt;Bérköltség!$U50,Admin!$B$18,Admin!$B$17)),
"")</f>
        <v>FEOR</v>
      </c>
      <c r="C50" s="265">
        <f>IFERROR(INDEX('Historikus berek_2021-2'!$A$1:$F$903,MATCH(AB50,'Historikus berek_2021-2'!$A$1:$A$903,0),4),"")</f>
        <v>1141800</v>
      </c>
      <c r="D50" s="279">
        <f t="shared" si="23"/>
        <v>242796.55172413791</v>
      </c>
      <c r="E50" s="265">
        <f t="shared" si="24"/>
        <v>262927</v>
      </c>
      <c r="F50" s="266">
        <f t="shared" si="25"/>
        <v>22747.406551724125</v>
      </c>
      <c r="G50" s="267">
        <f t="shared" si="26"/>
        <v>274360.10344827583</v>
      </c>
      <c r="H50" s="268">
        <f>IFERROR(INDEX('FEOR kodok'!$A$2:$J$1126,MATCH(Bérköltség!AB50,'FEOR kodok'!$B$2:$B$1126,0),8),"NA")</f>
        <v>2117</v>
      </c>
      <c r="I50" s="269">
        <f>IFERROR(INDEX('FEOR kodok'!$A$2:$J$1126,MATCH(Bérköltség!AB50,'FEOR kodok'!$B$2:$B$1126,0),10),"NA")</f>
        <v>62</v>
      </c>
      <c r="J50" s="276" t="str">
        <f t="shared" si="27"/>
        <v>50 év és afelett</v>
      </c>
      <c r="K50" s="269" t="str">
        <f>IFERROR(INDEX(admin_feor[#All],MATCH(Bérköltség!H50,admin_feor[[#All],[Foglalkozás]],0),2),"NA")</f>
        <v>Vegyészmérnök</v>
      </c>
      <c r="L50" s="270">
        <f>IFERROR(
INDEX('Admin - FEOR'!$A$4:$F$465,MATCH(Bérköltség!H50,'Admin - FEOR'!$A$4:$A$465,0),
IF(J50="30 év alatt",3,
IF(J50="30–39 éves",4,
IF(J50="40–49 éves",5,
IF(J50="50 év és afelett",6
)))))*1,"NA")</f>
        <v>826737</v>
      </c>
      <c r="M50" s="270">
        <f t="shared" si="28"/>
        <v>1373700</v>
      </c>
      <c r="N50" s="318">
        <f t="shared" si="29"/>
        <v>1.6615925016057103</v>
      </c>
      <c r="O50" s="270">
        <f>IFERROR(
INDEX('Admin - FEOR'!$A$4:$F$465,MATCH(Bérköltség!H50,'Admin - FEOR'!$A$4:$A$465,0),
IF(J50="30 év alatt",3,
IF(J50="30–39 éves",4,
IF(J50="40–49 éves",5,
IF(J50="50 év és afelett",6
)))))*1.5,"NA")</f>
        <v>1240105.5</v>
      </c>
      <c r="P50" s="270">
        <f t="shared" si="30"/>
        <v>263700.5948275862</v>
      </c>
      <c r="Q50" s="270">
        <f t="shared" si="31"/>
        <v>262927</v>
      </c>
      <c r="R50" s="275">
        <f t="shared" si="32"/>
        <v>0.21264367816091953</v>
      </c>
      <c r="S50" s="270">
        <f t="shared" si="33"/>
        <v>0</v>
      </c>
      <c r="T50" s="270">
        <f t="shared" si="34"/>
        <v>0</v>
      </c>
      <c r="U50" s="271">
        <f t="shared" si="35"/>
        <v>0</v>
      </c>
      <c r="V50" s="272">
        <f t="shared" si="36"/>
        <v>297108</v>
      </c>
      <c r="W50" s="273" t="str">
        <f t="shared" si="37"/>
        <v>Indoklás szükséges mivel a FEOR: 166,2%</v>
      </c>
      <c r="X50" s="372">
        <f t="shared" si="38"/>
        <v>0</v>
      </c>
      <c r="Y50" s="317">
        <f t="shared" si="39"/>
        <v>262927</v>
      </c>
      <c r="Z50" s="317">
        <f t="shared" si="40"/>
        <v>34181</v>
      </c>
      <c r="AA50" s="12">
        <v>2</v>
      </c>
      <c r="AB50" s="274">
        <v>8346442386</v>
      </c>
      <c r="AC50" s="40" t="s">
        <v>205</v>
      </c>
      <c r="AD50" s="82" t="s">
        <v>75</v>
      </c>
      <c r="AE50" s="41" t="s">
        <v>52</v>
      </c>
      <c r="AF50" s="11" t="s">
        <v>151</v>
      </c>
      <c r="AG50" s="11" t="s">
        <v>170</v>
      </c>
      <c r="AH50" s="14" t="s">
        <v>122</v>
      </c>
      <c r="AI50" s="86" t="s">
        <v>32</v>
      </c>
      <c r="AJ50" s="113" t="str">
        <f>IF(COUNTIFS(Admin!$A$29:$A$40,AI50)&gt;0,Admin!$A$28,IF(COUNTIFS(Admin!$B$29:$B$40,AI50)&gt;0,Admin!$B$28,IF(COUNTIFS(Admin!$C$29:$C$40,AI50)&gt;0,Admin!$C$28,IF(COUNTIFS(Admin!$D$29:$D$40,AI50)&gt;0,Admin!$D$28,"-"))))</f>
        <v>2. mérföldkő</v>
      </c>
      <c r="AK50" s="14" t="s">
        <v>7</v>
      </c>
      <c r="AL50" s="9" t="s">
        <v>56</v>
      </c>
      <c r="AM50" s="131">
        <v>1373700</v>
      </c>
      <c r="AN50" s="132">
        <f t="shared" si="115"/>
        <v>178581</v>
      </c>
      <c r="AO50" s="121">
        <v>174</v>
      </c>
      <c r="AP50" s="121">
        <v>37</v>
      </c>
      <c r="AQ50" s="123">
        <f t="shared" si="149"/>
        <v>0.21264367816091953</v>
      </c>
      <c r="AR50" s="133">
        <v>262927</v>
      </c>
      <c r="AS50" s="133">
        <f t="shared" si="151"/>
        <v>34181</v>
      </c>
      <c r="AT50" s="123">
        <f t="shared" si="152"/>
        <v>2.1243081232914879E-2</v>
      </c>
      <c r="AU50" s="124">
        <v>0.13</v>
      </c>
      <c r="AV50" s="394" t="s">
        <v>2757</v>
      </c>
      <c r="AW50" s="15">
        <v>44937</v>
      </c>
      <c r="AX50" s="12" t="s">
        <v>206</v>
      </c>
      <c r="AZ50" s="1" t="s">
        <v>2667</v>
      </c>
      <c r="BA50" s="1">
        <v>0</v>
      </c>
      <c r="BB50" s="1">
        <v>0</v>
      </c>
      <c r="BC50" s="1" t="s">
        <v>2815</v>
      </c>
      <c r="BD50" s="1" t="str">
        <f t="shared" si="120"/>
        <v>Kutató_BM_1 - Kutató</v>
      </c>
    </row>
    <row r="51" spans="1:56" s="1" customFormat="1" hidden="1" x14ac:dyDescent="0.25">
      <c r="A51" s="264" t="str">
        <f>Bérköltség!$B51</f>
        <v>FEOR</v>
      </c>
      <c r="B51" s="264" t="str">
        <f>IFERROR(
IF(AND(Bérköltség!$F51="",H51="NA"),"HIÁNYOS ADATOK",
IF(Bérköltség!$F51&lt;Bérköltség!$U51,Admin!$B$18,Admin!$B$17)),
"")</f>
        <v>FEOR</v>
      </c>
      <c r="C51" s="265">
        <f>IFERROR(INDEX('Historikus berek_2021-2'!$A$1:$F$903,MATCH(AB51,'Historikus berek_2021-2'!$A$1:$A$903,0),4),"")</f>
        <v>1141800</v>
      </c>
      <c r="D51" s="279">
        <f t="shared" si="23"/>
        <v>242796.55172413791</v>
      </c>
      <c r="E51" s="265">
        <f t="shared" si="24"/>
        <v>262927</v>
      </c>
      <c r="F51" s="266">
        <f t="shared" si="25"/>
        <v>22747.406551724125</v>
      </c>
      <c r="G51" s="267">
        <f t="shared" si="26"/>
        <v>274360.10344827583</v>
      </c>
      <c r="H51" s="268">
        <f>IFERROR(INDEX('FEOR kodok'!$A$2:$J$1126,MATCH(Bérköltség!AB51,'FEOR kodok'!$B$2:$B$1126,0),8),"NA")</f>
        <v>2117</v>
      </c>
      <c r="I51" s="269">
        <f>IFERROR(INDEX('FEOR kodok'!$A$2:$J$1126,MATCH(Bérköltség!AB51,'FEOR kodok'!$B$2:$B$1126,0),10),"NA")</f>
        <v>62</v>
      </c>
      <c r="J51" s="276" t="str">
        <f t="shared" si="27"/>
        <v>50 év és afelett</v>
      </c>
      <c r="K51" s="269" t="str">
        <f>IFERROR(INDEX(admin_feor[#All],MATCH(Bérköltség!H51,admin_feor[[#All],[Foglalkozás]],0),2),"NA")</f>
        <v>Vegyészmérnök</v>
      </c>
      <c r="L51" s="270">
        <f>IFERROR(
INDEX('Admin - FEOR'!$A$4:$F$465,MATCH(Bérköltség!H51,'Admin - FEOR'!$A$4:$A$465,0),
IF(J51="30 év alatt",3,
IF(J51="30–39 éves",4,
IF(J51="40–49 éves",5,
IF(J51="50 év és afelett",6
)))))*1,"NA")</f>
        <v>826737</v>
      </c>
      <c r="M51" s="270">
        <f t="shared" si="28"/>
        <v>1373700</v>
      </c>
      <c r="N51" s="318">
        <f t="shared" si="29"/>
        <v>1.6615925016057103</v>
      </c>
      <c r="O51" s="270">
        <f>IFERROR(
INDEX('Admin - FEOR'!$A$4:$F$465,MATCH(Bérköltség!H51,'Admin - FEOR'!$A$4:$A$465,0),
IF(J51="30 év alatt",3,
IF(J51="30–39 éves",4,
IF(J51="40–49 éves",5,
IF(J51="50 év és afelett",6
)))))*1.5,"NA")</f>
        <v>1240105.5</v>
      </c>
      <c r="P51" s="270">
        <f t="shared" si="30"/>
        <v>263700.5948275862</v>
      </c>
      <c r="Q51" s="270">
        <f t="shared" si="31"/>
        <v>262927</v>
      </c>
      <c r="R51" s="275">
        <f t="shared" si="32"/>
        <v>0.21264367816091953</v>
      </c>
      <c r="S51" s="270">
        <f t="shared" si="33"/>
        <v>0</v>
      </c>
      <c r="T51" s="270">
        <f t="shared" si="34"/>
        <v>0</v>
      </c>
      <c r="U51" s="271">
        <f t="shared" si="35"/>
        <v>0</v>
      </c>
      <c r="V51" s="272">
        <f t="shared" si="36"/>
        <v>297108</v>
      </c>
      <c r="W51" s="273" t="str">
        <f t="shared" si="37"/>
        <v>Indoklás szükséges mivel a FEOR: 166,2%</v>
      </c>
      <c r="X51" s="372">
        <f t="shared" si="38"/>
        <v>0</v>
      </c>
      <c r="Y51" s="317">
        <f t="shared" si="39"/>
        <v>262927</v>
      </c>
      <c r="Z51" s="317">
        <f t="shared" si="40"/>
        <v>34181</v>
      </c>
      <c r="AA51" s="12">
        <v>2</v>
      </c>
      <c r="AB51" s="274">
        <v>8346442386</v>
      </c>
      <c r="AC51" s="40" t="s">
        <v>205</v>
      </c>
      <c r="AD51" s="82" t="s">
        <v>75</v>
      </c>
      <c r="AE51" s="41" t="s">
        <v>52</v>
      </c>
      <c r="AF51" s="11" t="s">
        <v>151</v>
      </c>
      <c r="AG51" s="11" t="s">
        <v>170</v>
      </c>
      <c r="AH51" s="14" t="s">
        <v>122</v>
      </c>
      <c r="AI51" s="86" t="s">
        <v>33</v>
      </c>
      <c r="AJ51" s="113" t="str">
        <f>IF(COUNTIFS(Admin!$A$29:$A$40,AI51)&gt;0,Admin!$A$28,IF(COUNTIFS(Admin!$B$29:$B$40,AI51)&gt;0,Admin!$B$28,IF(COUNTIFS(Admin!$C$29:$C$40,AI51)&gt;0,Admin!$C$28,IF(COUNTIFS(Admin!$D$29:$D$40,AI51)&gt;0,Admin!$D$28,"-"))))</f>
        <v>2. mérföldkő</v>
      </c>
      <c r="AK51" s="14" t="s">
        <v>7</v>
      </c>
      <c r="AL51" s="9" t="s">
        <v>56</v>
      </c>
      <c r="AM51" s="131">
        <v>1373700</v>
      </c>
      <c r="AN51" s="132">
        <f t="shared" si="115"/>
        <v>178581</v>
      </c>
      <c r="AO51" s="121">
        <v>174</v>
      </c>
      <c r="AP51" s="121">
        <v>37</v>
      </c>
      <c r="AQ51" s="123">
        <f t="shared" si="149"/>
        <v>0.21264367816091953</v>
      </c>
      <c r="AR51" s="133">
        <v>262927</v>
      </c>
      <c r="AS51" s="133">
        <f t="shared" si="151"/>
        <v>34181</v>
      </c>
      <c r="AT51" s="123">
        <f t="shared" si="152"/>
        <v>2.1243081232914879E-2</v>
      </c>
      <c r="AU51" s="124">
        <v>0.13</v>
      </c>
      <c r="AV51" s="394" t="s">
        <v>2757</v>
      </c>
      <c r="AW51" s="15">
        <v>44937</v>
      </c>
      <c r="AX51" s="12" t="s">
        <v>206</v>
      </c>
      <c r="AZ51" s="8" t="str">
        <f>IF(VLOOKUP(LEFT($AB51,10),'Havi béradatok'!$B:$E,2,FALSE)=AG51,"EGYEZIK","HIBÁS")</f>
        <v>EGYEZIK</v>
      </c>
      <c r="BA51" s="1">
        <f>VLOOKUP(LEFT($AB51,10),'Havi béradatok'!$B:$E,3,FALSE)-AM51</f>
        <v>0</v>
      </c>
      <c r="BB51" s="1">
        <f>VLOOKUP(LEFT($AB51,10),'Havi béradatok'!$B:$E,4,FALSE)-AN51</f>
        <v>0</v>
      </c>
      <c r="BC51" s="1" t="s">
        <v>2815</v>
      </c>
      <c r="BD51" s="1" t="str">
        <f t="shared" si="120"/>
        <v>Kutató_BM_1 - Kutató</v>
      </c>
    </row>
    <row r="52" spans="1:56" s="1" customFormat="1" hidden="1" x14ac:dyDescent="0.25">
      <c r="A52" s="264" t="str">
        <f>Bérköltség!$B52</f>
        <v>FEOR</v>
      </c>
      <c r="B52" s="264" t="str">
        <f>IFERROR(
IF(AND(Bérköltség!$F52="",H52="NA"),"HIÁNYOS ADATOK",
IF(Bérköltség!$F52&lt;Bérköltség!$U52,Admin!$B$18,Admin!$B$17)),
"")</f>
        <v>FEOR</v>
      </c>
      <c r="C52" s="265">
        <f>IFERROR(INDEX('Historikus berek_2021-2'!$A$1:$F$903,MATCH(AB52,'Historikus berek_2021-2'!$A$1:$A$903,0),4),"")</f>
        <v>1141800</v>
      </c>
      <c r="D52" s="279">
        <f t="shared" si="23"/>
        <v>242796.55172413791</v>
      </c>
      <c r="E52" s="265">
        <f t="shared" si="24"/>
        <v>262927</v>
      </c>
      <c r="F52" s="266">
        <f t="shared" si="25"/>
        <v>22747.406551724125</v>
      </c>
      <c r="G52" s="267">
        <f t="shared" si="26"/>
        <v>274360.10344827583</v>
      </c>
      <c r="H52" s="268">
        <f>IFERROR(INDEX('FEOR kodok'!$A$2:$J$1126,MATCH(Bérköltség!AB52,'FEOR kodok'!$B$2:$B$1126,0),8),"NA")</f>
        <v>2117</v>
      </c>
      <c r="I52" s="269">
        <f>IFERROR(INDEX('FEOR kodok'!$A$2:$J$1126,MATCH(Bérköltség!AB52,'FEOR kodok'!$B$2:$B$1126,0),10),"NA")</f>
        <v>62</v>
      </c>
      <c r="J52" s="276" t="str">
        <f t="shared" si="27"/>
        <v>50 év és afelett</v>
      </c>
      <c r="K52" s="269" t="str">
        <f>IFERROR(INDEX(admin_feor[#All],MATCH(Bérköltség!H52,admin_feor[[#All],[Foglalkozás]],0),2),"NA")</f>
        <v>Vegyészmérnök</v>
      </c>
      <c r="L52" s="270">
        <f>IFERROR(
INDEX('Admin - FEOR'!$A$4:$F$465,MATCH(Bérköltség!H52,'Admin - FEOR'!$A$4:$A$465,0),
IF(J52="30 év alatt",3,
IF(J52="30–39 éves",4,
IF(J52="40–49 éves",5,
IF(J52="50 év és afelett",6
)))))*1,"NA")</f>
        <v>826737</v>
      </c>
      <c r="M52" s="270">
        <f t="shared" si="28"/>
        <v>1373700</v>
      </c>
      <c r="N52" s="318">
        <f t="shared" si="29"/>
        <v>1.6615925016057103</v>
      </c>
      <c r="O52" s="270">
        <f>IFERROR(
INDEX('Admin - FEOR'!$A$4:$F$465,MATCH(Bérköltség!H52,'Admin - FEOR'!$A$4:$A$465,0),
IF(J52="30 év alatt",3,
IF(J52="30–39 éves",4,
IF(J52="40–49 éves",5,
IF(J52="50 év és afelett",6
)))))*1.5,"NA")</f>
        <v>1240105.5</v>
      </c>
      <c r="P52" s="270">
        <f t="shared" si="30"/>
        <v>263700.5948275862</v>
      </c>
      <c r="Q52" s="270">
        <f t="shared" si="31"/>
        <v>262927</v>
      </c>
      <c r="R52" s="275">
        <f t="shared" si="32"/>
        <v>0.21264367816091953</v>
      </c>
      <c r="S52" s="270">
        <f t="shared" si="33"/>
        <v>0</v>
      </c>
      <c r="T52" s="270">
        <f t="shared" si="34"/>
        <v>0</v>
      </c>
      <c r="U52" s="271">
        <f t="shared" si="35"/>
        <v>0</v>
      </c>
      <c r="V52" s="272">
        <f t="shared" si="36"/>
        <v>297108</v>
      </c>
      <c r="W52" s="273" t="str">
        <f t="shared" si="37"/>
        <v>Indoklás szükséges mivel a FEOR: 166,2%</v>
      </c>
      <c r="X52" s="372">
        <f t="shared" si="38"/>
        <v>0</v>
      </c>
      <c r="Y52" s="317">
        <f t="shared" si="39"/>
        <v>262927</v>
      </c>
      <c r="Z52" s="317">
        <f t="shared" si="40"/>
        <v>34181</v>
      </c>
      <c r="AA52" s="12">
        <v>2</v>
      </c>
      <c r="AB52" s="274">
        <v>8346442386</v>
      </c>
      <c r="AC52" s="40" t="s">
        <v>205</v>
      </c>
      <c r="AD52" s="82" t="s">
        <v>75</v>
      </c>
      <c r="AE52" s="41" t="s">
        <v>52</v>
      </c>
      <c r="AF52" s="11" t="s">
        <v>151</v>
      </c>
      <c r="AG52" s="11" t="s">
        <v>170</v>
      </c>
      <c r="AH52" s="14" t="s">
        <v>122</v>
      </c>
      <c r="AI52" s="86" t="s">
        <v>34</v>
      </c>
      <c r="AJ52" s="113" t="str">
        <f>IF(COUNTIFS(Admin!$A$29:$A$40,AI52)&gt;0,Admin!$A$28,IF(COUNTIFS(Admin!$B$29:$B$40,AI52)&gt;0,Admin!$B$28,IF(COUNTIFS(Admin!$C$29:$C$40,AI52)&gt;0,Admin!$C$28,IF(COUNTIFS(Admin!$D$29:$D$40,AI52)&gt;0,Admin!$D$28,"-"))))</f>
        <v>2. mérföldkő</v>
      </c>
      <c r="AK52" s="14" t="s">
        <v>7</v>
      </c>
      <c r="AL52" s="9" t="s">
        <v>56</v>
      </c>
      <c r="AM52" s="131">
        <v>1373700</v>
      </c>
      <c r="AN52" s="132">
        <f t="shared" si="115"/>
        <v>178581</v>
      </c>
      <c r="AO52" s="121">
        <v>174</v>
      </c>
      <c r="AP52" s="121">
        <v>37</v>
      </c>
      <c r="AQ52" s="123">
        <f t="shared" si="149"/>
        <v>0.21264367816091953</v>
      </c>
      <c r="AR52" s="133">
        <v>262927</v>
      </c>
      <c r="AS52" s="133">
        <f t="shared" si="151"/>
        <v>34181</v>
      </c>
      <c r="AT52" s="123">
        <f t="shared" si="152"/>
        <v>2.1243081232914879E-2</v>
      </c>
      <c r="AU52" s="124">
        <v>0.13</v>
      </c>
      <c r="AV52" s="394" t="s">
        <v>2757</v>
      </c>
      <c r="AW52" s="15">
        <v>44977</v>
      </c>
      <c r="AX52" s="12" t="s">
        <v>206</v>
      </c>
      <c r="BC52" s="1" t="s">
        <v>2815</v>
      </c>
      <c r="BD52" s="1" t="str">
        <f t="shared" si="120"/>
        <v>Kutató_BM_1 - Kutató</v>
      </c>
    </row>
    <row r="53" spans="1:56" s="1" customFormat="1" x14ac:dyDescent="0.25">
      <c r="A53" s="264" t="str">
        <f>Bérköltség!$B53</f>
        <v>FEOR</v>
      </c>
      <c r="B53" s="264" t="str">
        <f>IFERROR(
IF(AND(Bérköltség!$F53="",H53="NA"),"HIÁNYOS ADATOK",
IF(Bérköltség!$F53&lt;Bérköltség!$U53,Admin!$B$18,Admin!$B$17)),
"")</f>
        <v>FEOR</v>
      </c>
      <c r="C53" s="265">
        <f>IFERROR(INDEX('Historikus berek_2021-2'!$A$1:$F$903,MATCH(AB53,'Historikus berek_2021-2'!$A$1:$A$903,0),4),"")</f>
        <v>1141800</v>
      </c>
      <c r="D53" s="279">
        <f t="shared" si="23"/>
        <v>242796.55172413791</v>
      </c>
      <c r="E53" s="265">
        <f t="shared" si="24"/>
        <v>262927</v>
      </c>
      <c r="F53" s="266">
        <f t="shared" si="25"/>
        <v>22747.406551724125</v>
      </c>
      <c r="G53" s="267">
        <f t="shared" si="26"/>
        <v>274360.10344827583</v>
      </c>
      <c r="H53" s="268">
        <f>IFERROR(INDEX('FEOR kodok'!$A$2:$J$1126,MATCH(Bérköltség!AB53,'FEOR kodok'!$B$2:$B$1126,0),8),"NA")</f>
        <v>2117</v>
      </c>
      <c r="I53" s="269">
        <f>IFERROR(INDEX('FEOR kodok'!$A$2:$J$1126,MATCH(Bérköltség!AB53,'FEOR kodok'!$B$2:$B$1126,0),10),"NA")</f>
        <v>62</v>
      </c>
      <c r="J53" s="276" t="str">
        <f t="shared" si="27"/>
        <v>50 év és afelett</v>
      </c>
      <c r="K53" s="269" t="str">
        <f>IFERROR(INDEX(admin_feor[#All],MATCH(Bérköltség!H53,admin_feor[[#All],[Foglalkozás]],0),2),"NA")</f>
        <v>Vegyészmérnök</v>
      </c>
      <c r="L53" s="270">
        <f>IFERROR(
INDEX('Admin - FEOR'!$A$4:$F$465,MATCH(Bérköltség!H53,'Admin - FEOR'!$A$4:$A$465,0),
IF(J53="30 év alatt",3,
IF(J53="30–39 éves",4,
IF(J53="40–49 éves",5,
IF(J53="50 év és afelett",6
)))))*1,"NA")</f>
        <v>826737</v>
      </c>
      <c r="M53" s="270">
        <f t="shared" si="28"/>
        <v>1373700</v>
      </c>
      <c r="N53" s="318">
        <f t="shared" si="29"/>
        <v>1.6615925016057103</v>
      </c>
      <c r="O53" s="270">
        <f>IFERROR(
INDEX('Admin - FEOR'!$A$4:$F$465,MATCH(Bérköltség!H53,'Admin - FEOR'!$A$4:$A$465,0),
IF(J53="30 év alatt",3,
IF(J53="30–39 éves",4,
IF(J53="40–49 éves",5,
IF(J53="50 év és afelett",6
)))))*1.5,"NA")</f>
        <v>1240105.5</v>
      </c>
      <c r="P53" s="270">
        <f t="shared" si="30"/>
        <v>263700.5948275862</v>
      </c>
      <c r="Q53" s="270">
        <f t="shared" si="31"/>
        <v>262927</v>
      </c>
      <c r="R53" s="275">
        <f t="shared" si="32"/>
        <v>0.21264367816091953</v>
      </c>
      <c r="S53" s="270">
        <f t="shared" si="33"/>
        <v>0</v>
      </c>
      <c r="T53" s="270">
        <f t="shared" si="34"/>
        <v>0</v>
      </c>
      <c r="U53" s="271">
        <f t="shared" si="35"/>
        <v>0</v>
      </c>
      <c r="V53" s="272">
        <f t="shared" si="36"/>
        <v>297108</v>
      </c>
      <c r="W53" s="273" t="str">
        <f t="shared" si="37"/>
        <v>Indoklás szükséges mivel a FEOR: 166,2%</v>
      </c>
      <c r="X53" s="372">
        <f t="shared" si="38"/>
        <v>0</v>
      </c>
      <c r="Y53" s="317">
        <f t="shared" si="39"/>
        <v>262927</v>
      </c>
      <c r="Z53" s="317">
        <f t="shared" si="40"/>
        <v>34181</v>
      </c>
      <c r="AA53" s="36"/>
      <c r="AB53" s="274">
        <v>8346442386</v>
      </c>
      <c r="AC53" s="40" t="s">
        <v>205</v>
      </c>
      <c r="AD53" s="82" t="s">
        <v>75</v>
      </c>
      <c r="AE53" s="41" t="s">
        <v>52</v>
      </c>
      <c r="AF53" s="11" t="s">
        <v>151</v>
      </c>
      <c r="AG53" s="11" t="s">
        <v>170</v>
      </c>
      <c r="AH53" s="14" t="s">
        <v>122</v>
      </c>
      <c r="AI53" s="86" t="s">
        <v>35</v>
      </c>
      <c r="AJ53" s="113" t="str">
        <f>IF(COUNTIFS(Admin!$A$29:$A$40,AI53)&gt;0,Admin!$A$28,IF(COUNTIFS(Admin!$B$29:$B$40,AI53)&gt;0,Admin!$B$28,IF(COUNTIFS(Admin!$C$29:$C$40,AI53)&gt;0,Admin!$C$28,IF(COUNTIFS(Admin!$D$29:$D$40,AI53)&gt;0,Admin!$D$28,"-"))))</f>
        <v>3. mérföldkő</v>
      </c>
      <c r="AK53" s="14" t="s">
        <v>7</v>
      </c>
      <c r="AL53" s="9" t="s">
        <v>56</v>
      </c>
      <c r="AM53" s="131">
        <v>1373700</v>
      </c>
      <c r="AN53" s="132">
        <f t="shared" si="115"/>
        <v>178581</v>
      </c>
      <c r="AO53" s="121">
        <v>174</v>
      </c>
      <c r="AP53" s="121">
        <v>37</v>
      </c>
      <c r="AQ53" s="123">
        <f t="shared" si="149"/>
        <v>0.21264367816091953</v>
      </c>
      <c r="AR53" s="133">
        <v>262927</v>
      </c>
      <c r="AS53" s="133">
        <f t="shared" si="151"/>
        <v>34181</v>
      </c>
      <c r="AT53" s="123">
        <f t="shared" si="152"/>
        <v>2.1243081232914879E-2</v>
      </c>
      <c r="AU53" s="124">
        <v>0.13</v>
      </c>
      <c r="AV53" s="394" t="s">
        <v>2757</v>
      </c>
      <c r="AW53" s="15">
        <v>44977</v>
      </c>
      <c r="AX53" s="12" t="s">
        <v>206</v>
      </c>
      <c r="AZ53" s="1" t="str">
        <f>IF(VLOOKUP(LEFT($AB53,10),'Havi béradatok'!$B:$E,2,FALSE)=AG53,"EGYEZIK","HIBÁS")</f>
        <v>EGYEZIK</v>
      </c>
      <c r="BA53" s="1">
        <f>VLOOKUP(LEFT($AB53,10),'Havi béradatok'!$B:$E,3,FALSE)-AM53</f>
        <v>0</v>
      </c>
      <c r="BB53" s="1">
        <f>VLOOKUP(LEFT($AB53,10),'Havi béradatok'!$B:$E,4,FALSE)-AN53</f>
        <v>0</v>
      </c>
      <c r="BC53" s="400" t="s">
        <v>2815</v>
      </c>
      <c r="BD53" s="400"/>
    </row>
    <row r="54" spans="1:56" s="1" customFormat="1" hidden="1" x14ac:dyDescent="0.25">
      <c r="A54" s="264" t="str">
        <f>Bérköltség!$B54</f>
        <v>FEOR</v>
      </c>
      <c r="B54" s="264" t="str">
        <f>IFERROR(
IF(AND(Bérköltség!$F54="",H54="NA"),"HIÁNYOS ADATOK",
IF(Bérköltség!$F54&lt;Bérköltség!$U54,Admin!$B$18,Admin!$B$17)),
"")</f>
        <v>FEOR</v>
      </c>
      <c r="C54" s="265">
        <f>IFERROR(INDEX('Historikus berek_2021-2'!$A$1:$F$903,MATCH(AB54,'Historikus berek_2021-2'!$A$1:$A$903,0),4),"")</f>
        <v>1141800</v>
      </c>
      <c r="D54" s="279">
        <f t="shared" si="23"/>
        <v>242796.55172413791</v>
      </c>
      <c r="E54" s="265">
        <f t="shared" si="24"/>
        <v>262927</v>
      </c>
      <c r="F54" s="266">
        <f t="shared" si="25"/>
        <v>22747.406551724125</v>
      </c>
      <c r="G54" s="267">
        <f t="shared" si="26"/>
        <v>274360.10344827583</v>
      </c>
      <c r="H54" s="268">
        <f>IFERROR(INDEX('FEOR kodok'!$A$2:$J$1126,MATCH(Bérköltség!AB54,'FEOR kodok'!$B$2:$B$1126,0),8),"NA")</f>
        <v>2117</v>
      </c>
      <c r="I54" s="269">
        <f>IFERROR(INDEX('FEOR kodok'!$A$2:$J$1126,MATCH(Bérköltség!AB54,'FEOR kodok'!$B$2:$B$1126,0),10),"NA")</f>
        <v>62</v>
      </c>
      <c r="J54" s="276" t="str">
        <f t="shared" si="27"/>
        <v>50 év és afelett</v>
      </c>
      <c r="K54" s="269" t="str">
        <f>IFERROR(INDEX(admin_feor[#All],MATCH(Bérköltség!H54,admin_feor[[#All],[Foglalkozás]],0),2),"NA")</f>
        <v>Vegyészmérnök</v>
      </c>
      <c r="L54" s="270">
        <f>IFERROR(
INDEX('Admin - FEOR'!$A$4:$F$465,MATCH(Bérköltség!H54,'Admin - FEOR'!$A$4:$A$465,0),
IF(J54="30 év alatt",3,
IF(J54="30–39 éves",4,
IF(J54="40–49 éves",5,
IF(J54="50 év és afelett",6
)))))*1,"NA")</f>
        <v>826737</v>
      </c>
      <c r="M54" s="270">
        <f t="shared" si="28"/>
        <v>1373700</v>
      </c>
      <c r="N54" s="318">
        <f t="shared" si="29"/>
        <v>1.6615925016057103</v>
      </c>
      <c r="O54" s="270">
        <f>IFERROR(
INDEX('Admin - FEOR'!$A$4:$F$465,MATCH(Bérköltség!H54,'Admin - FEOR'!$A$4:$A$465,0),
IF(J54="30 év alatt",3,
IF(J54="30–39 éves",4,
IF(J54="40–49 éves",5,
IF(J54="50 év és afelett",6
)))))*1.5,"NA")</f>
        <v>1240105.5</v>
      </c>
      <c r="P54" s="270">
        <f t="shared" si="30"/>
        <v>263700.5948275862</v>
      </c>
      <c r="Q54" s="270">
        <f t="shared" si="31"/>
        <v>262927</v>
      </c>
      <c r="R54" s="275">
        <f t="shared" si="32"/>
        <v>0.21264367816091953</v>
      </c>
      <c r="S54" s="270">
        <f t="shared" si="33"/>
        <v>0</v>
      </c>
      <c r="T54" s="270">
        <f t="shared" si="34"/>
        <v>0</v>
      </c>
      <c r="U54" s="271">
        <f t="shared" si="35"/>
        <v>0</v>
      </c>
      <c r="V54" s="272">
        <f t="shared" si="36"/>
        <v>297108</v>
      </c>
      <c r="W54" s="273" t="str">
        <f t="shared" si="37"/>
        <v>Indoklás szükséges mivel a FEOR: 166,2%</v>
      </c>
      <c r="X54" s="372">
        <f t="shared" si="38"/>
        <v>0</v>
      </c>
      <c r="Y54" s="317">
        <f t="shared" si="39"/>
        <v>262927</v>
      </c>
      <c r="Z54" s="317">
        <f t="shared" si="40"/>
        <v>34181</v>
      </c>
      <c r="AA54" s="36"/>
      <c r="AB54" s="274">
        <v>8346442386</v>
      </c>
      <c r="AC54" s="40" t="s">
        <v>205</v>
      </c>
      <c r="AD54" s="82" t="s">
        <v>75</v>
      </c>
      <c r="AE54" s="41" t="s">
        <v>52</v>
      </c>
      <c r="AF54" s="11" t="s">
        <v>151</v>
      </c>
      <c r="AG54" s="11" t="s">
        <v>170</v>
      </c>
      <c r="AH54" s="14" t="s">
        <v>122</v>
      </c>
      <c r="AI54" s="86" t="s">
        <v>36</v>
      </c>
      <c r="AJ54" s="113" t="str">
        <f>IF(COUNTIFS(Admin!$A$29:$A$40,AI54)&gt;0,Admin!$A$28,IF(COUNTIFS(Admin!$B$29:$B$40,AI54)&gt;0,Admin!$B$28,IF(COUNTIFS(Admin!$C$29:$C$40,AI54)&gt;0,Admin!$C$28,IF(COUNTIFS(Admin!$D$29:$D$40,AI54)&gt;0,Admin!$D$28,"-"))))</f>
        <v>3. mérföldkő</v>
      </c>
      <c r="AK54" s="14" t="s">
        <v>141</v>
      </c>
      <c r="AL54" s="9" t="s">
        <v>56</v>
      </c>
      <c r="AM54" s="131">
        <v>1373700</v>
      </c>
      <c r="AN54" s="132">
        <f t="shared" si="115"/>
        <v>178581</v>
      </c>
      <c r="AO54" s="121">
        <v>174</v>
      </c>
      <c r="AP54" s="121">
        <v>37</v>
      </c>
      <c r="AQ54" s="123">
        <f t="shared" si="149"/>
        <v>0.21264367816091953</v>
      </c>
      <c r="AR54" s="133">
        <v>262927</v>
      </c>
      <c r="AS54" s="133">
        <f t="shared" si="151"/>
        <v>34181</v>
      </c>
      <c r="AT54" s="123">
        <f t="shared" si="152"/>
        <v>2.1243081232914879E-2</v>
      </c>
      <c r="AU54" s="124">
        <v>0.13</v>
      </c>
      <c r="AV54" s="394" t="s">
        <v>2757</v>
      </c>
      <c r="AW54" s="15">
        <v>44977</v>
      </c>
      <c r="AX54" s="12" t="s">
        <v>206</v>
      </c>
      <c r="BC54" s="1" t="s">
        <v>2815</v>
      </c>
    </row>
    <row r="55" spans="1:56" s="1" customFormat="1" hidden="1" x14ac:dyDescent="0.25">
      <c r="A55" s="264" t="str">
        <f>Bérköltség!$B55</f>
        <v>FEOR</v>
      </c>
      <c r="B55" s="264" t="str">
        <f>IFERROR(
IF(AND(Bérköltség!$F55="",H55="NA"),"HIÁNYOS ADATOK",
IF(Bérköltség!$F55&lt;Bérköltség!$U55,Admin!$B$18,Admin!$B$17)),
"")</f>
        <v>FEOR</v>
      </c>
      <c r="C55" s="265">
        <f>IFERROR(INDEX('Historikus berek_2021-2'!$A$1:$F$903,MATCH(AB55,'Historikus berek_2021-2'!$A$1:$A$903,0),4),"")</f>
        <v>1141800</v>
      </c>
      <c r="D55" s="279">
        <f t="shared" ref="D55:D57" si="153">IFERROR(C55*AQ55,"")</f>
        <v>242796.55172413791</v>
      </c>
      <c r="E55" s="265">
        <f t="shared" ref="E55:E57" si="154">AR55</f>
        <v>292109</v>
      </c>
      <c r="F55" s="266">
        <f t="shared" ref="F55:F57" si="155">IFERROR(IF((E55*(1+AU55)-D55*(1+AU55))&lt;0,0,(E55*(1+AU55)-D55*(1+AU55))),"")</f>
        <v>55723.066551724158</v>
      </c>
      <c r="G55" s="267">
        <f t="shared" ref="G55:G57" si="156">IFERROR((E55*(1+AU55)-F55),"")</f>
        <v>274360.10344827583</v>
      </c>
      <c r="H55" s="268">
        <f>IFERROR(INDEX('FEOR kodok'!$A$2:$J$1126,MATCH(Bérköltség!AB55,'FEOR kodok'!$B$2:$B$1126,0),8),"NA")</f>
        <v>2117</v>
      </c>
      <c r="I55" s="269">
        <f>IFERROR(INDEX('FEOR kodok'!$A$2:$J$1126,MATCH(Bérköltség!AB55,'FEOR kodok'!$B$2:$B$1126,0),10),"NA")</f>
        <v>62</v>
      </c>
      <c r="J55" s="276" t="str">
        <f t="shared" ref="J55:J57" si="157">IF(I55="NA","NA",
IF(I55&lt;30,"30 év alatt",
IF(AND(I55&gt;=30,I55&lt;=39),"30–39 éves",
IF(AND(I55&gt;=40,I55&lt;=49),"40–49 éves",
IF(I55&gt;=50,"50 év és afelett",
"")))))</f>
        <v>50 év és afelett</v>
      </c>
      <c r="K55" s="269" t="str">
        <f>IFERROR(INDEX(admin_feor[#All],MATCH(Bérköltség!H55,admin_feor[[#All],[Foglalkozás]],0),2),"NA")</f>
        <v>Vegyészmérnök</v>
      </c>
      <c r="L55" s="270">
        <f>IFERROR(
INDEX('Admin - FEOR'!$A$4:$F$465,MATCH(Bérköltség!H55,'Admin - FEOR'!$A$4:$A$465,0),
IF(J55="30 év alatt",3,
IF(J55="30–39 éves",4,
IF(J55="40–49 éves",5,
IF(J55="50 év és afelett",6
)))))*1,"NA")</f>
        <v>826737</v>
      </c>
      <c r="M55" s="270">
        <f t="shared" ref="M55:M57" si="158">AM55</f>
        <v>1373700</v>
      </c>
      <c r="N55" s="318">
        <f t="shared" ref="N55:N57" si="159">IFERROR(
M55/L55,"NA")</f>
        <v>1.6615925016057103</v>
      </c>
      <c r="O55" s="270">
        <f>IFERROR(
INDEX('Admin - FEOR'!$A$4:$F$465,MATCH(Bérköltség!H55,'Admin - FEOR'!$A$4:$A$465,0),
IF(J55="30 év alatt",3,
IF(J55="30–39 éves",4,
IF(J55="40–49 éves",5,
IF(J55="50 év és afelett",6
)))))*1.5,"NA")</f>
        <v>1240105.5</v>
      </c>
      <c r="P55" s="270">
        <f t="shared" ref="P55:P57" si="160">IFERROR(
AQ55*O55,"NA")</f>
        <v>263700.5948275862</v>
      </c>
      <c r="Q55" s="270">
        <f t="shared" ref="Q55:Q57" si="161">IFERROR(AR55,"")</f>
        <v>292109</v>
      </c>
      <c r="R55" s="275">
        <f t="shared" ref="R55:R57" si="162">IFERROR(AQ55,"")</f>
        <v>0.21264367816091953</v>
      </c>
      <c r="S55" s="270">
        <f t="shared" ref="S55:S57" si="163">IFERROR(
IF(AR55-P55&lt;0,0,AR55-P55),"NA")</f>
        <v>28408.405172413797</v>
      </c>
      <c r="T55" s="270">
        <f t="shared" ref="T55:T57" si="164">IFERROR(
S55*AU55,"NA")</f>
        <v>3693.0926724137939</v>
      </c>
      <c r="U55" s="271">
        <f t="shared" ref="U55:U57" si="165">IFERROR(
S55+T55,"NA")</f>
        <v>32101.497844827591</v>
      </c>
      <c r="V55" s="272">
        <f t="shared" ref="V55:V57" si="166">IFERROR(
IF(U55&gt;0,AR55+AS55-U55,AR55+AS55),"NA")</f>
        <v>297981.50215517241</v>
      </c>
      <c r="W55" s="273" t="str">
        <f t="shared" ref="W55:W57" si="167">IF(P55="NA","FEOR hiányzik",
IF(AND(N55&gt;1,A55="FEOR"),CONCATENATE("Indoklás szükséges mivel a FEOR: ",ROUND(N55*100,1),"%"),"Nem szükséges indoklás.")
)</f>
        <v>Indoklás szükséges mivel a FEOR: 166,2%</v>
      </c>
      <c r="X55" s="372">
        <f t="shared" ref="X55:X57" si="168">IF(A55="FEOR",U55,IF(A55="HIÁNYOS ADATOK","HIÁNYOS ADATOK",F55))</f>
        <v>32101.497844827591</v>
      </c>
      <c r="Y55" s="317">
        <f t="shared" ref="Y55:Y57" si="169">IF(A55="FEOR",ROUND((V55/(1+AU55)),0),IF(A55="HIÁNYOS ADATOK","HIÁNYOS ADATOK",ROUND(G55/(1+AU55),0)))</f>
        <v>263700</v>
      </c>
      <c r="Z55" s="317">
        <f t="shared" ref="Z55:Z57" si="170">IF(A55="FEOR",ROUND((V55-Y55),0),IF(A55="HIÁNYOS ADATOK","HIÁNYOS ADATOK",ROUND((G55-Y55),0)))</f>
        <v>34282</v>
      </c>
      <c r="AA55" s="36"/>
      <c r="AB55" s="274">
        <v>8346442386</v>
      </c>
      <c r="AC55" s="40" t="s">
        <v>205</v>
      </c>
      <c r="AD55" s="82" t="s">
        <v>75</v>
      </c>
      <c r="AE55" s="41" t="s">
        <v>52</v>
      </c>
      <c r="AF55" s="11" t="s">
        <v>151</v>
      </c>
      <c r="AG55" s="11" t="s">
        <v>170</v>
      </c>
      <c r="AH55" s="14" t="s">
        <v>122</v>
      </c>
      <c r="AI55" s="86" t="s">
        <v>37</v>
      </c>
      <c r="AJ55" s="113" t="str">
        <f>IF(COUNTIFS(Admin!$A$29:$A$40,AI55)&gt;0,Admin!$A$28,IF(COUNTIFS(Admin!$B$29:$B$40,AI55)&gt;0,Admin!$B$28,IF(COUNTIFS(Admin!$C$29:$C$40,AI55)&gt;0,Admin!$C$28,IF(COUNTIFS(Admin!$D$29:$D$40,AI55)&gt;0,Admin!$D$28,"-"))))</f>
        <v>3. mérföldkő</v>
      </c>
      <c r="AK55" s="14" t="s">
        <v>141</v>
      </c>
      <c r="AL55" s="9" t="s">
        <v>56</v>
      </c>
      <c r="AM55" s="131">
        <v>1373700</v>
      </c>
      <c r="AN55" s="132">
        <f t="shared" ref="AN55" si="171">IFERROR(ROUND(AM55*AU55,0),"")</f>
        <v>178581</v>
      </c>
      <c r="AO55" s="121">
        <v>174</v>
      </c>
      <c r="AP55" s="121">
        <v>37</v>
      </c>
      <c r="AQ55" s="123">
        <f t="shared" ref="AQ55" si="172">IFERROR(AP55/AO55,"")</f>
        <v>0.21264367816091953</v>
      </c>
      <c r="AR55" s="133">
        <f t="shared" ref="AR55" si="173">IFERROR(ROUND(AM55*AP55/AO55,0),"")</f>
        <v>292109</v>
      </c>
      <c r="AS55" s="133">
        <f t="shared" ref="AS55" si="174">IFERROR(ROUND(AR55*AU55,0),"")</f>
        <v>37974</v>
      </c>
      <c r="AT55" s="123">
        <f t="shared" ref="AT55" si="175">IFERROR(AP55/AO55-AR55/AM55,"")</f>
        <v>-2.7612313083236195E-7</v>
      </c>
      <c r="AU55" s="124">
        <v>0.13</v>
      </c>
      <c r="AV55" s="394" t="s">
        <v>2757</v>
      </c>
      <c r="AW55" s="15">
        <v>45054</v>
      </c>
      <c r="AX55" s="12"/>
      <c r="BC55" s="1" t="s">
        <v>2815</v>
      </c>
    </row>
    <row r="56" spans="1:56" s="1" customFormat="1" hidden="1" x14ac:dyDescent="0.25">
      <c r="A56" s="264" t="str">
        <f>Bérköltség!$B56</f>
        <v>FEOR</v>
      </c>
      <c r="B56" s="264" t="str">
        <f>IFERROR(
IF(AND(Bérköltség!$F56="",H56="NA"),"HIÁNYOS ADATOK",
IF(Bérköltség!$F56&lt;Bérköltség!$U56,Admin!$B$18,Admin!$B$17)),
"")</f>
        <v>FEOR</v>
      </c>
      <c r="C56" s="265">
        <f>IFERROR(INDEX('Historikus berek_2021-2'!$A$1:$F$903,MATCH(AB56,'Historikus berek_2021-2'!$A$1:$A$903,0),4),"")</f>
        <v>1141800</v>
      </c>
      <c r="D56" s="279">
        <f t="shared" si="153"/>
        <v>242796.55172413791</v>
      </c>
      <c r="E56" s="265">
        <f t="shared" si="154"/>
        <v>292109</v>
      </c>
      <c r="F56" s="266">
        <f t="shared" si="155"/>
        <v>55723.066551724158</v>
      </c>
      <c r="G56" s="267">
        <f t="shared" si="156"/>
        <v>274360.10344827583</v>
      </c>
      <c r="H56" s="268">
        <f>IFERROR(INDEX('FEOR kodok'!$A$2:$J$1126,MATCH(Bérköltség!AB56,'FEOR kodok'!$B$2:$B$1126,0),8),"NA")</f>
        <v>2117</v>
      </c>
      <c r="I56" s="269">
        <f>IFERROR(INDEX('FEOR kodok'!$A$2:$J$1126,MATCH(Bérköltség!AB56,'FEOR kodok'!$B$2:$B$1126,0),10),"NA")</f>
        <v>62</v>
      </c>
      <c r="J56" s="276" t="str">
        <f t="shared" si="157"/>
        <v>50 év és afelett</v>
      </c>
      <c r="K56" s="269" t="str">
        <f>IFERROR(INDEX(admin_feor[#All],MATCH(Bérköltség!H56,admin_feor[[#All],[Foglalkozás]],0),2),"NA")</f>
        <v>Vegyészmérnök</v>
      </c>
      <c r="L56" s="270">
        <f>IFERROR(
INDEX('Admin - FEOR'!$A$4:$F$465,MATCH(Bérköltség!H56,'Admin - FEOR'!$A$4:$A$465,0),
IF(J56="30 év alatt",3,
IF(J56="30–39 éves",4,
IF(J56="40–49 éves",5,
IF(J56="50 év és afelett",6
)))))*1,"NA")</f>
        <v>826737</v>
      </c>
      <c r="M56" s="270">
        <f t="shared" si="158"/>
        <v>1373700</v>
      </c>
      <c r="N56" s="318">
        <f t="shared" si="159"/>
        <v>1.6615925016057103</v>
      </c>
      <c r="O56" s="270">
        <f>IFERROR(
INDEX('Admin - FEOR'!$A$4:$F$465,MATCH(Bérköltség!H56,'Admin - FEOR'!$A$4:$A$465,0),
IF(J56="30 év alatt",3,
IF(J56="30–39 éves",4,
IF(J56="40–49 éves",5,
IF(J56="50 év és afelett",6
)))))*1.5,"NA")</f>
        <v>1240105.5</v>
      </c>
      <c r="P56" s="270">
        <f t="shared" si="160"/>
        <v>263700.5948275862</v>
      </c>
      <c r="Q56" s="270">
        <f t="shared" si="161"/>
        <v>292109</v>
      </c>
      <c r="R56" s="275">
        <f t="shared" si="162"/>
        <v>0.21264367816091953</v>
      </c>
      <c r="S56" s="270">
        <f t="shared" si="163"/>
        <v>28408.405172413797</v>
      </c>
      <c r="T56" s="270">
        <f t="shared" si="164"/>
        <v>3693.0926724137939</v>
      </c>
      <c r="U56" s="271">
        <f t="shared" si="165"/>
        <v>32101.497844827591</v>
      </c>
      <c r="V56" s="272">
        <f t="shared" si="166"/>
        <v>297981.50215517241</v>
      </c>
      <c r="W56" s="273" t="str">
        <f t="shared" si="167"/>
        <v>Indoklás szükséges mivel a FEOR: 166,2%</v>
      </c>
      <c r="X56" s="372">
        <f t="shared" si="168"/>
        <v>32101.497844827591</v>
      </c>
      <c r="Y56" s="317">
        <f t="shared" si="169"/>
        <v>263700</v>
      </c>
      <c r="Z56" s="317">
        <f t="shared" si="170"/>
        <v>34282</v>
      </c>
      <c r="AA56" s="36"/>
      <c r="AB56" s="274">
        <v>8346442386</v>
      </c>
      <c r="AC56" s="40" t="s">
        <v>205</v>
      </c>
      <c r="AD56" s="82" t="s">
        <v>75</v>
      </c>
      <c r="AE56" s="41" t="s">
        <v>52</v>
      </c>
      <c r="AF56" s="11" t="s">
        <v>151</v>
      </c>
      <c r="AG56" s="11" t="s">
        <v>170</v>
      </c>
      <c r="AH56" s="14" t="s">
        <v>122</v>
      </c>
      <c r="AI56" s="86" t="s">
        <v>38</v>
      </c>
      <c r="AJ56" s="113" t="str">
        <f>IF(COUNTIFS(Admin!$A$29:$A$40,AI56)&gt;0,Admin!$A$28,IF(COUNTIFS(Admin!$B$29:$B$40,AI56)&gt;0,Admin!$B$28,IF(COUNTIFS(Admin!$C$29:$C$40,AI56)&gt;0,Admin!$C$28,IF(COUNTIFS(Admin!$D$29:$D$40,AI56)&gt;0,Admin!$D$28,"-"))))</f>
        <v>3. mérföldkő</v>
      </c>
      <c r="AK56" s="14" t="s">
        <v>141</v>
      </c>
      <c r="AL56" s="9" t="s">
        <v>56</v>
      </c>
      <c r="AM56" s="131">
        <v>1373700</v>
      </c>
      <c r="AN56" s="132">
        <f t="shared" ref="AN56:AN57" si="176">IFERROR(ROUND(AM56*AU56,0),"")</f>
        <v>178581</v>
      </c>
      <c r="AO56" s="121">
        <v>174</v>
      </c>
      <c r="AP56" s="121">
        <v>37</v>
      </c>
      <c r="AQ56" s="123">
        <f t="shared" ref="AQ56:AQ57" si="177">IFERROR(AP56/AO56,"")</f>
        <v>0.21264367816091953</v>
      </c>
      <c r="AR56" s="133">
        <f t="shared" ref="AR56:AR57" si="178">IFERROR(ROUND(AM56*AP56/AO56,0),"")</f>
        <v>292109</v>
      </c>
      <c r="AS56" s="133">
        <f t="shared" ref="AS56:AS57" si="179">IFERROR(ROUND(AR56*AU56,0),"")</f>
        <v>37974</v>
      </c>
      <c r="AT56" s="123">
        <f t="shared" ref="AT56:AT57" si="180">IFERROR(AP56/AO56-AR56/AM56,"")</f>
        <v>-2.7612313083236195E-7</v>
      </c>
      <c r="AU56" s="124">
        <v>0.13</v>
      </c>
      <c r="AV56" s="394" t="s">
        <v>2757</v>
      </c>
      <c r="AW56" s="15">
        <v>45054</v>
      </c>
      <c r="AX56" s="12"/>
      <c r="BC56" s="1" t="s">
        <v>2815</v>
      </c>
    </row>
    <row r="57" spans="1:56" s="1" customFormat="1" hidden="1" x14ac:dyDescent="0.25">
      <c r="A57" s="264" t="str">
        <f>Bérköltség!$B57</f>
        <v>FEOR</v>
      </c>
      <c r="B57" s="264" t="str">
        <f>IFERROR(
IF(AND(Bérköltség!$F57="",H57="NA"),"HIÁNYOS ADATOK",
IF(Bérköltség!$F57&lt;Bérköltség!$U57,Admin!$B$18,Admin!$B$17)),
"")</f>
        <v>FEOR</v>
      </c>
      <c r="C57" s="265">
        <f>IFERROR(INDEX('Historikus berek_2021-2'!$A$1:$F$903,MATCH(AB57,'Historikus berek_2021-2'!$A$1:$A$903,0),4),"")</f>
        <v>1141800</v>
      </c>
      <c r="D57" s="279">
        <f t="shared" si="153"/>
        <v>242796.55172413791</v>
      </c>
      <c r="E57" s="265">
        <f t="shared" si="154"/>
        <v>292109</v>
      </c>
      <c r="F57" s="266">
        <f t="shared" si="155"/>
        <v>55723.066551724158</v>
      </c>
      <c r="G57" s="267">
        <f t="shared" si="156"/>
        <v>274360.10344827583</v>
      </c>
      <c r="H57" s="268">
        <f>IFERROR(INDEX('FEOR kodok'!$A$2:$J$1126,MATCH(Bérköltség!AB57,'FEOR kodok'!$B$2:$B$1126,0),8),"NA")</f>
        <v>2117</v>
      </c>
      <c r="I57" s="269">
        <f>IFERROR(INDEX('FEOR kodok'!$A$2:$J$1126,MATCH(Bérköltség!AB57,'FEOR kodok'!$B$2:$B$1126,0),10),"NA")</f>
        <v>62</v>
      </c>
      <c r="J57" s="276" t="str">
        <f t="shared" si="157"/>
        <v>50 év és afelett</v>
      </c>
      <c r="K57" s="269" t="str">
        <f>IFERROR(INDEX(admin_feor[#All],MATCH(Bérköltség!H57,admin_feor[[#All],[Foglalkozás]],0),2),"NA")</f>
        <v>Vegyészmérnök</v>
      </c>
      <c r="L57" s="270">
        <f>IFERROR(
INDEX('Admin - FEOR'!$A$4:$F$465,MATCH(Bérköltség!H57,'Admin - FEOR'!$A$4:$A$465,0),
IF(J57="30 év alatt",3,
IF(J57="30–39 éves",4,
IF(J57="40–49 éves",5,
IF(J57="50 év és afelett",6
)))))*1,"NA")</f>
        <v>826737</v>
      </c>
      <c r="M57" s="270">
        <f t="shared" si="158"/>
        <v>1373700</v>
      </c>
      <c r="N57" s="318">
        <f t="shared" si="159"/>
        <v>1.6615925016057103</v>
      </c>
      <c r="O57" s="270">
        <f>IFERROR(
INDEX('Admin - FEOR'!$A$4:$F$465,MATCH(Bérköltség!H57,'Admin - FEOR'!$A$4:$A$465,0),
IF(J57="30 év alatt",3,
IF(J57="30–39 éves",4,
IF(J57="40–49 éves",5,
IF(J57="50 év és afelett",6
)))))*1.5,"NA")</f>
        <v>1240105.5</v>
      </c>
      <c r="P57" s="270">
        <f t="shared" si="160"/>
        <v>263700.5948275862</v>
      </c>
      <c r="Q57" s="270">
        <f t="shared" si="161"/>
        <v>292109</v>
      </c>
      <c r="R57" s="275">
        <f t="shared" si="162"/>
        <v>0.21264367816091953</v>
      </c>
      <c r="S57" s="270">
        <f t="shared" si="163"/>
        <v>28408.405172413797</v>
      </c>
      <c r="T57" s="270">
        <f t="shared" si="164"/>
        <v>3693.0926724137939</v>
      </c>
      <c r="U57" s="271">
        <f t="shared" si="165"/>
        <v>32101.497844827591</v>
      </c>
      <c r="V57" s="272">
        <f t="shared" si="166"/>
        <v>297981.50215517241</v>
      </c>
      <c r="W57" s="273" t="str">
        <f t="shared" si="167"/>
        <v>Indoklás szükséges mivel a FEOR: 166,2%</v>
      </c>
      <c r="X57" s="372">
        <f t="shared" si="168"/>
        <v>32101.497844827591</v>
      </c>
      <c r="Y57" s="317">
        <f t="shared" si="169"/>
        <v>263700</v>
      </c>
      <c r="Z57" s="317">
        <f t="shared" si="170"/>
        <v>34282</v>
      </c>
      <c r="AA57" s="36"/>
      <c r="AB57" s="274">
        <v>8346442386</v>
      </c>
      <c r="AC57" s="40" t="s">
        <v>205</v>
      </c>
      <c r="AD57" s="82" t="s">
        <v>75</v>
      </c>
      <c r="AE57" s="41" t="s">
        <v>52</v>
      </c>
      <c r="AF57" s="11" t="s">
        <v>151</v>
      </c>
      <c r="AG57" s="11" t="s">
        <v>170</v>
      </c>
      <c r="AH57" s="14" t="s">
        <v>122</v>
      </c>
      <c r="AI57" s="86" t="s">
        <v>39</v>
      </c>
      <c r="AJ57" s="113" t="str">
        <f>IF(COUNTIFS(Admin!$A$29:$A$40,AI57)&gt;0,Admin!$A$28,IF(COUNTIFS(Admin!$B$29:$B$40,AI57)&gt;0,Admin!$B$28,IF(COUNTIFS(Admin!$C$29:$C$40,AI57)&gt;0,Admin!$C$28,IF(COUNTIFS(Admin!$D$29:$D$40,AI57)&gt;0,Admin!$D$28,"-"))))</f>
        <v>3. mérföldkő</v>
      </c>
      <c r="AK57" s="14" t="s">
        <v>141</v>
      </c>
      <c r="AL57" s="9" t="s">
        <v>56</v>
      </c>
      <c r="AM57" s="131">
        <v>1373700</v>
      </c>
      <c r="AN57" s="132">
        <f t="shared" si="176"/>
        <v>178581</v>
      </c>
      <c r="AO57" s="121">
        <v>174</v>
      </c>
      <c r="AP57" s="121">
        <v>37</v>
      </c>
      <c r="AQ57" s="123">
        <f t="shared" si="177"/>
        <v>0.21264367816091953</v>
      </c>
      <c r="AR57" s="133">
        <f t="shared" si="178"/>
        <v>292109</v>
      </c>
      <c r="AS57" s="133">
        <f t="shared" si="179"/>
        <v>37974</v>
      </c>
      <c r="AT57" s="123">
        <f t="shared" si="180"/>
        <v>-2.7612313083236195E-7</v>
      </c>
      <c r="AU57" s="124">
        <v>0.13</v>
      </c>
      <c r="AV57" s="394" t="s">
        <v>2757</v>
      </c>
      <c r="AW57" s="15">
        <v>45054</v>
      </c>
      <c r="AX57" s="12"/>
      <c r="BC57" s="1" t="s">
        <v>2815</v>
      </c>
    </row>
    <row r="58" spans="1:56" s="1" customFormat="1" hidden="1" x14ac:dyDescent="0.25">
      <c r="A58" s="264" t="str">
        <f>Bérköltség!$B58</f>
        <v>FEOR</v>
      </c>
      <c r="B58" s="264" t="str">
        <f>IFERROR(
IF(AND(Bérköltség!$F58="",H58="NA"),"HIÁNYOS ADATOK",
IF(Bérköltség!$F58&lt;Bérköltség!$U58,Admin!$B$18,Admin!$B$17)),
"")</f>
        <v>FEOR</v>
      </c>
      <c r="C58" s="265" t="str">
        <f>IFERROR(INDEX('Historikus berek_2021-2'!$A$1:$F$903,MATCH(AB58,'Historikus berek_2021-2'!$A$1:$A$903,0),4),"")</f>
        <v/>
      </c>
      <c r="D58" s="279" t="str">
        <f t="shared" si="23"/>
        <v/>
      </c>
      <c r="E58" s="265">
        <f t="shared" si="24"/>
        <v>600000</v>
      </c>
      <c r="F58" s="266" t="str">
        <f t="shared" si="25"/>
        <v/>
      </c>
      <c r="G58" s="267" t="str">
        <f t="shared" si="26"/>
        <v/>
      </c>
      <c r="H58" s="268">
        <f>IFERROR(INDEX('FEOR kodok'!$A$2:$J$1126,MATCH(Bérköltség!AB58,'FEOR kodok'!$B$2:$B$1126,0),8),"NA")</f>
        <v>2149</v>
      </c>
      <c r="I58" s="269">
        <f>IFERROR(INDEX('FEOR kodok'!$A$2:$J$1126,MATCH(Bérköltség!AB58,'FEOR kodok'!$B$2:$B$1126,0),10),"NA")</f>
        <v>43</v>
      </c>
      <c r="J58" s="276" t="str">
        <f t="shared" si="27"/>
        <v>40–49 éves</v>
      </c>
      <c r="K58" s="269" t="str">
        <f>IFERROR(INDEX(admin_feor[#All],MATCH(Bérköltség!H58,admin_feor[[#All],[Foglalkozás]],0),2),"NA")</f>
        <v>Egyéb szoftver- és alkalmazásfejlesztő, -elemző</v>
      </c>
      <c r="L58" s="270">
        <f>IFERROR(
INDEX('Admin - FEOR'!$A$4:$F$465,MATCH(Bérköltség!H58,'Admin - FEOR'!$A$4:$A$465,0),
IF(J58="30 év alatt",3,
IF(J58="30–39 éves",4,
IF(J58="40–49 éves",5,
IF(J58="50 év és afelett",6
)))))*1,"NA")</f>
        <v>1025021</v>
      </c>
      <c r="M58" s="270">
        <f t="shared" si="28"/>
        <v>600000</v>
      </c>
      <c r="N58" s="318">
        <f t="shared" si="29"/>
        <v>0.58535386104284692</v>
      </c>
      <c r="O58" s="270">
        <f>IFERROR(
INDEX('Admin - FEOR'!$A$4:$F$465,MATCH(Bérköltség!H58,'Admin - FEOR'!$A$4:$A$465,0),
IF(J58="30 év alatt",3,
IF(J58="30–39 éves",4,
IF(J58="40–49 éves",5,
IF(J58="50 év és afelett",6
)))))*1.5,"NA")</f>
        <v>1537531.5</v>
      </c>
      <c r="P58" s="270">
        <f t="shared" si="30"/>
        <v>1537531.5</v>
      </c>
      <c r="Q58" s="270">
        <f t="shared" si="31"/>
        <v>600000</v>
      </c>
      <c r="R58" s="275">
        <f t="shared" si="32"/>
        <v>1</v>
      </c>
      <c r="S58" s="270">
        <f t="shared" si="33"/>
        <v>0</v>
      </c>
      <c r="T58" s="270">
        <f t="shared" si="34"/>
        <v>0</v>
      </c>
      <c r="U58" s="271">
        <f t="shared" si="35"/>
        <v>0</v>
      </c>
      <c r="V58" s="272">
        <f t="shared" si="36"/>
        <v>678000</v>
      </c>
      <c r="W58" s="273" t="str">
        <f t="shared" si="37"/>
        <v>Nem szükséges indoklás.</v>
      </c>
      <c r="X58" s="372">
        <f t="shared" si="38"/>
        <v>0</v>
      </c>
      <c r="Y58" s="317">
        <f t="shared" si="39"/>
        <v>600000</v>
      </c>
      <c r="Z58" s="317">
        <f t="shared" si="40"/>
        <v>78000</v>
      </c>
      <c r="AA58" s="12">
        <v>2</v>
      </c>
      <c r="AB58" s="274">
        <v>8413223210</v>
      </c>
      <c r="AC58" s="40" t="s">
        <v>217</v>
      </c>
      <c r="AD58" s="82" t="s">
        <v>75</v>
      </c>
      <c r="AE58" s="41" t="s">
        <v>52</v>
      </c>
      <c r="AF58" s="11" t="s">
        <v>159</v>
      </c>
      <c r="AG58" s="11" t="s">
        <v>166</v>
      </c>
      <c r="AH58" s="14" t="s">
        <v>122</v>
      </c>
      <c r="AI58" s="86" t="s">
        <v>21</v>
      </c>
      <c r="AJ58" s="113" t="str">
        <f>IF(COUNTIFS(Admin!$A$29:$A$40,AI58)&gt;0,Admin!$A$28,IF(COUNTIFS(Admin!$B$29:$B$40,AI58)&gt;0,Admin!$B$28,IF(COUNTIFS(Admin!$C$29:$C$40,AI58)&gt;0,Admin!$C$28,IF(COUNTIFS(Admin!$D$29:$D$40,AI58)&gt;0,Admin!$D$28,"-"))))</f>
        <v>2. mérföldkő</v>
      </c>
      <c r="AK58" s="14" t="s">
        <v>7</v>
      </c>
      <c r="AL58" s="9" t="s">
        <v>56</v>
      </c>
      <c r="AM58" s="131">
        <v>600000</v>
      </c>
      <c r="AN58" s="132">
        <f t="shared" si="115"/>
        <v>78000</v>
      </c>
      <c r="AO58" s="121">
        <v>174</v>
      </c>
      <c r="AP58" s="121">
        <v>174</v>
      </c>
      <c r="AQ58" s="123">
        <f>IFERROR(AP58/AO58,"")</f>
        <v>1</v>
      </c>
      <c r="AR58" s="133">
        <f>IFERROR(ROUND(AM58*AP58/AO58,0),"")</f>
        <v>600000</v>
      </c>
      <c r="AS58" s="133">
        <f>IFERROR(ROUND(AR58*AU58,0),"")</f>
        <v>78000</v>
      </c>
      <c r="AT58" s="123">
        <f>IFERROR(AP58/AO58-AR58/AM58,"")</f>
        <v>0</v>
      </c>
      <c r="AU58" s="124">
        <v>0.13</v>
      </c>
      <c r="AV58" s="394" t="s">
        <v>2758</v>
      </c>
      <c r="AW58" s="15">
        <v>44736</v>
      </c>
      <c r="AX58" s="12" t="s">
        <v>206</v>
      </c>
      <c r="BC58" s="1" t="s">
        <v>2816</v>
      </c>
      <c r="BD58" s="1" t="str">
        <f t="shared" ref="BD58:BD66" si="181">CONCATENATE(BC58," - ",AE58)</f>
        <v>Kutató_NK_1 - Kutató</v>
      </c>
    </row>
    <row r="59" spans="1:56" s="1" customFormat="1" hidden="1" x14ac:dyDescent="0.25">
      <c r="A59" s="264" t="str">
        <f>Bérköltség!$B59</f>
        <v>FEOR</v>
      </c>
      <c r="B59" s="264" t="str">
        <f>IFERROR(
IF(AND(Bérköltség!$F59="",H59="NA"),"HIÁNYOS ADATOK",
IF(Bérköltség!$F59&lt;Bérköltség!$U59,Admin!$B$18,Admin!$B$17)),
"")</f>
        <v>FEOR</v>
      </c>
      <c r="C59" s="265" t="str">
        <f>IFERROR(INDEX('Historikus berek_2021-2'!$A$1:$F$903,MATCH(AB59,'Historikus berek_2021-2'!$A$1:$A$903,0),4),"")</f>
        <v/>
      </c>
      <c r="D59" s="279" t="str">
        <f t="shared" si="23"/>
        <v/>
      </c>
      <c r="E59" s="265">
        <f t="shared" si="24"/>
        <v>600000</v>
      </c>
      <c r="F59" s="266" t="str">
        <f t="shared" si="25"/>
        <v/>
      </c>
      <c r="G59" s="267" t="str">
        <f t="shared" si="26"/>
        <v/>
      </c>
      <c r="H59" s="268">
        <f>IFERROR(INDEX('FEOR kodok'!$A$2:$J$1126,MATCH(Bérköltség!AB59,'FEOR kodok'!$B$2:$B$1126,0),8),"NA")</f>
        <v>2149</v>
      </c>
      <c r="I59" s="269">
        <f>IFERROR(INDEX('FEOR kodok'!$A$2:$J$1126,MATCH(Bérköltség!AB59,'FEOR kodok'!$B$2:$B$1126,0),10),"NA")</f>
        <v>43</v>
      </c>
      <c r="J59" s="276" t="str">
        <f t="shared" si="27"/>
        <v>40–49 éves</v>
      </c>
      <c r="K59" s="269" t="str">
        <f>IFERROR(INDEX(admin_feor[#All],MATCH(Bérköltség!H59,admin_feor[[#All],[Foglalkozás]],0),2),"NA")</f>
        <v>Egyéb szoftver- és alkalmazásfejlesztő, -elemző</v>
      </c>
      <c r="L59" s="270">
        <f>IFERROR(
INDEX('Admin - FEOR'!$A$4:$F$465,MATCH(Bérköltség!H59,'Admin - FEOR'!$A$4:$A$465,0),
IF(J59="30 év alatt",3,
IF(J59="30–39 éves",4,
IF(J59="40–49 éves",5,
IF(J59="50 év és afelett",6
)))))*1,"NA")</f>
        <v>1025021</v>
      </c>
      <c r="M59" s="270">
        <f t="shared" si="28"/>
        <v>600000</v>
      </c>
      <c r="N59" s="318">
        <f t="shared" si="29"/>
        <v>0.58535386104284692</v>
      </c>
      <c r="O59" s="270">
        <f>IFERROR(
INDEX('Admin - FEOR'!$A$4:$F$465,MATCH(Bérköltség!H59,'Admin - FEOR'!$A$4:$A$465,0),
IF(J59="30 év alatt",3,
IF(J59="30–39 éves",4,
IF(J59="40–49 éves",5,
IF(J59="50 év és afelett",6
)))))*1.5,"NA")</f>
        <v>1537531.5</v>
      </c>
      <c r="P59" s="270">
        <f t="shared" si="30"/>
        <v>1537531.5</v>
      </c>
      <c r="Q59" s="270">
        <f t="shared" si="31"/>
        <v>600000</v>
      </c>
      <c r="R59" s="275">
        <f t="shared" si="32"/>
        <v>1</v>
      </c>
      <c r="S59" s="270">
        <f t="shared" si="33"/>
        <v>0</v>
      </c>
      <c r="T59" s="270">
        <f t="shared" si="34"/>
        <v>0</v>
      </c>
      <c r="U59" s="271">
        <f t="shared" si="35"/>
        <v>0</v>
      </c>
      <c r="V59" s="272">
        <f t="shared" si="36"/>
        <v>678000</v>
      </c>
      <c r="W59" s="273" t="str">
        <f t="shared" si="37"/>
        <v>Nem szükséges indoklás.</v>
      </c>
      <c r="X59" s="372">
        <f t="shared" si="38"/>
        <v>0</v>
      </c>
      <c r="Y59" s="317">
        <f t="shared" si="39"/>
        <v>600000</v>
      </c>
      <c r="Z59" s="317">
        <f t="shared" si="40"/>
        <v>78000</v>
      </c>
      <c r="AA59" s="12">
        <v>2</v>
      </c>
      <c r="AB59" s="274">
        <v>8413223210</v>
      </c>
      <c r="AC59" s="40" t="s">
        <v>217</v>
      </c>
      <c r="AD59" s="82" t="s">
        <v>75</v>
      </c>
      <c r="AE59" s="41" t="s">
        <v>52</v>
      </c>
      <c r="AF59" s="11" t="s">
        <v>159</v>
      </c>
      <c r="AG59" s="11" t="s">
        <v>166</v>
      </c>
      <c r="AH59" s="14" t="s">
        <v>122</v>
      </c>
      <c r="AI59" s="86" t="s">
        <v>22</v>
      </c>
      <c r="AJ59" s="113" t="str">
        <f>IF(COUNTIFS(Admin!$A$29:$A$40,AI59)&gt;0,Admin!$A$28,IF(COUNTIFS(Admin!$B$29:$B$40,AI59)&gt;0,Admin!$B$28,IF(COUNTIFS(Admin!$C$29:$C$40,AI59)&gt;0,Admin!$C$28,IF(COUNTIFS(Admin!$D$29:$D$40,AI59)&gt;0,Admin!$D$28,"-"))))</f>
        <v>2. mérföldkő</v>
      </c>
      <c r="AK59" s="14" t="s">
        <v>7</v>
      </c>
      <c r="AL59" s="9" t="s">
        <v>56</v>
      </c>
      <c r="AM59" s="131">
        <v>600000</v>
      </c>
      <c r="AN59" s="132">
        <f t="shared" si="115"/>
        <v>78000</v>
      </c>
      <c r="AO59" s="121">
        <v>174</v>
      </c>
      <c r="AP59" s="121">
        <v>174</v>
      </c>
      <c r="AQ59" s="123">
        <f t="shared" ref="AQ59:AQ152" si="182">IFERROR(AP59/AO59,"")</f>
        <v>1</v>
      </c>
      <c r="AR59" s="133">
        <f t="shared" ref="AR59:AR66" si="183">IFERROR(ROUND(AM59*AP59/AO59,0),"")</f>
        <v>600000</v>
      </c>
      <c r="AS59" s="133">
        <f t="shared" ref="AS59:AS152" si="184">IFERROR(ROUND(AR59*AU59,0),"")</f>
        <v>78000</v>
      </c>
      <c r="AT59" s="123">
        <f t="shared" ref="AT59:AT152" si="185">IFERROR(AP59/AO59-AR59/AM59,"")</f>
        <v>0</v>
      </c>
      <c r="AU59" s="124">
        <v>0.13</v>
      </c>
      <c r="AV59" s="394" t="s">
        <v>2758</v>
      </c>
      <c r="AW59" s="15">
        <v>44736</v>
      </c>
      <c r="AX59" s="12" t="s">
        <v>206</v>
      </c>
      <c r="BC59" s="1" t="s">
        <v>2816</v>
      </c>
      <c r="BD59" s="1" t="str">
        <f t="shared" si="181"/>
        <v>Kutató_NK_1 - Kutató</v>
      </c>
    </row>
    <row r="60" spans="1:56" s="1" customFormat="1" hidden="1" x14ac:dyDescent="0.25">
      <c r="A60" s="264" t="str">
        <f>Bérköltség!$B60</f>
        <v>FEOR</v>
      </c>
      <c r="B60" s="264" t="str">
        <f>IFERROR(
IF(AND(Bérköltség!$F60="",H60="NA"),"HIÁNYOS ADATOK",
IF(Bérköltség!$F60&lt;Bérköltség!$U60,Admin!$B$18,Admin!$B$17)),
"")</f>
        <v>FEOR</v>
      </c>
      <c r="C60" s="265" t="str">
        <f>IFERROR(INDEX('Historikus berek_2021-2'!$A$1:$F$903,MATCH(AB60,'Historikus berek_2021-2'!$A$1:$A$903,0),4),"")</f>
        <v/>
      </c>
      <c r="D60" s="279" t="str">
        <f t="shared" si="23"/>
        <v/>
      </c>
      <c r="E60" s="265">
        <f t="shared" si="24"/>
        <v>600000</v>
      </c>
      <c r="F60" s="266" t="str">
        <f t="shared" si="25"/>
        <v/>
      </c>
      <c r="G60" s="267" t="str">
        <f t="shared" si="26"/>
        <v/>
      </c>
      <c r="H60" s="268">
        <f>IFERROR(INDEX('FEOR kodok'!$A$2:$J$1126,MATCH(Bérköltség!AB60,'FEOR kodok'!$B$2:$B$1126,0),8),"NA")</f>
        <v>2149</v>
      </c>
      <c r="I60" s="269">
        <f>IFERROR(INDEX('FEOR kodok'!$A$2:$J$1126,MATCH(Bérköltség!AB60,'FEOR kodok'!$B$2:$B$1126,0),10),"NA")</f>
        <v>43</v>
      </c>
      <c r="J60" s="276" t="str">
        <f t="shared" si="27"/>
        <v>40–49 éves</v>
      </c>
      <c r="K60" s="269" t="str">
        <f>IFERROR(INDEX(admin_feor[#All],MATCH(Bérköltség!H60,admin_feor[[#All],[Foglalkozás]],0),2),"NA")</f>
        <v>Egyéb szoftver- és alkalmazásfejlesztő, -elemző</v>
      </c>
      <c r="L60" s="270">
        <f>IFERROR(
INDEX('Admin - FEOR'!$A$4:$F$465,MATCH(Bérköltség!H60,'Admin - FEOR'!$A$4:$A$465,0),
IF(J60="30 év alatt",3,
IF(J60="30–39 éves",4,
IF(J60="40–49 éves",5,
IF(J60="50 év és afelett",6
)))))*1,"NA")</f>
        <v>1025021</v>
      </c>
      <c r="M60" s="270">
        <f t="shared" si="28"/>
        <v>600000</v>
      </c>
      <c r="N60" s="318">
        <f t="shared" si="29"/>
        <v>0.58535386104284692</v>
      </c>
      <c r="O60" s="270">
        <f>IFERROR(
INDEX('Admin - FEOR'!$A$4:$F$465,MATCH(Bérköltség!H60,'Admin - FEOR'!$A$4:$A$465,0),
IF(J60="30 év alatt",3,
IF(J60="30–39 éves",4,
IF(J60="40–49 éves",5,
IF(J60="50 év és afelett",6
)))))*1.5,"NA")</f>
        <v>1537531.5</v>
      </c>
      <c r="P60" s="270">
        <f t="shared" si="30"/>
        <v>1537531.5</v>
      </c>
      <c r="Q60" s="270">
        <f t="shared" si="31"/>
        <v>600000</v>
      </c>
      <c r="R60" s="275">
        <f t="shared" si="32"/>
        <v>1</v>
      </c>
      <c r="S60" s="270">
        <f t="shared" si="33"/>
        <v>0</v>
      </c>
      <c r="T60" s="270">
        <f t="shared" si="34"/>
        <v>0</v>
      </c>
      <c r="U60" s="271">
        <f t="shared" si="35"/>
        <v>0</v>
      </c>
      <c r="V60" s="272">
        <f t="shared" si="36"/>
        <v>678000</v>
      </c>
      <c r="W60" s="273" t="str">
        <f t="shared" si="37"/>
        <v>Nem szükséges indoklás.</v>
      </c>
      <c r="X60" s="372">
        <f t="shared" si="38"/>
        <v>0</v>
      </c>
      <c r="Y60" s="317">
        <f t="shared" si="39"/>
        <v>600000</v>
      </c>
      <c r="Z60" s="317">
        <f t="shared" si="40"/>
        <v>78000</v>
      </c>
      <c r="AA60" s="12">
        <v>2</v>
      </c>
      <c r="AB60" s="274">
        <v>8413223210</v>
      </c>
      <c r="AC60" s="40" t="s">
        <v>217</v>
      </c>
      <c r="AD60" s="82" t="s">
        <v>75</v>
      </c>
      <c r="AE60" s="41" t="s">
        <v>52</v>
      </c>
      <c r="AF60" s="11" t="s">
        <v>159</v>
      </c>
      <c r="AG60" s="11" t="s">
        <v>166</v>
      </c>
      <c r="AH60" s="14" t="s">
        <v>122</v>
      </c>
      <c r="AI60" s="86" t="s">
        <v>23</v>
      </c>
      <c r="AJ60" s="113" t="str">
        <f>IF(COUNTIFS(Admin!$A$29:$A$40,AI60)&gt;0,Admin!$A$28,IF(COUNTIFS(Admin!$B$29:$B$40,AI60)&gt;0,Admin!$B$28,IF(COUNTIFS(Admin!$C$29:$C$40,AI60)&gt;0,Admin!$C$28,IF(COUNTIFS(Admin!$D$29:$D$40,AI60)&gt;0,Admin!$D$28,"-"))))</f>
        <v>2. mérföldkő</v>
      </c>
      <c r="AK60" s="14" t="s">
        <v>7</v>
      </c>
      <c r="AL60" s="9" t="s">
        <v>56</v>
      </c>
      <c r="AM60" s="131">
        <v>600000</v>
      </c>
      <c r="AN60" s="132">
        <f t="shared" si="115"/>
        <v>78000</v>
      </c>
      <c r="AO60" s="121">
        <v>174</v>
      </c>
      <c r="AP60" s="121">
        <v>174</v>
      </c>
      <c r="AQ60" s="123">
        <f t="shared" si="182"/>
        <v>1</v>
      </c>
      <c r="AR60" s="133">
        <f t="shared" si="183"/>
        <v>600000</v>
      </c>
      <c r="AS60" s="133">
        <f t="shared" si="184"/>
        <v>78000</v>
      </c>
      <c r="AT60" s="123">
        <f t="shared" si="185"/>
        <v>0</v>
      </c>
      <c r="AU60" s="124">
        <v>0.13</v>
      </c>
      <c r="AV60" s="394" t="s">
        <v>2758</v>
      </c>
      <c r="AW60" s="15">
        <v>44736</v>
      </c>
      <c r="AX60" s="12" t="s">
        <v>206</v>
      </c>
      <c r="BC60" s="1" t="s">
        <v>2816</v>
      </c>
      <c r="BD60" s="1" t="str">
        <f t="shared" si="181"/>
        <v>Kutató_NK_1 - Kutató</v>
      </c>
    </row>
    <row r="61" spans="1:56" s="1" customFormat="1" hidden="1" x14ac:dyDescent="0.25">
      <c r="A61" s="264" t="str">
        <f>Bérköltség!$B61</f>
        <v>FEOR</v>
      </c>
      <c r="B61" s="264" t="str">
        <f>IFERROR(
IF(AND(Bérköltség!$F61="",H61="NA"),"HIÁNYOS ADATOK",
IF(Bérköltség!$F61&lt;Bérköltség!$U61,Admin!$B$18,Admin!$B$17)),
"")</f>
        <v>FEOR</v>
      </c>
      <c r="C61" s="265" t="str">
        <f>IFERROR(INDEX('Historikus berek_2021-2'!$A$1:$F$903,MATCH(AB61,'Historikus berek_2021-2'!$A$1:$A$903,0),4),"")</f>
        <v/>
      </c>
      <c r="D61" s="279" t="str">
        <f t="shared" si="23"/>
        <v/>
      </c>
      <c r="E61" s="265">
        <f t="shared" si="24"/>
        <v>600000</v>
      </c>
      <c r="F61" s="266" t="str">
        <f t="shared" si="25"/>
        <v/>
      </c>
      <c r="G61" s="267" t="str">
        <f t="shared" si="26"/>
        <v/>
      </c>
      <c r="H61" s="268">
        <f>IFERROR(INDEX('FEOR kodok'!$A$2:$J$1126,MATCH(Bérköltség!AB61,'FEOR kodok'!$B$2:$B$1126,0),8),"NA")</f>
        <v>2149</v>
      </c>
      <c r="I61" s="269">
        <f>IFERROR(INDEX('FEOR kodok'!$A$2:$J$1126,MATCH(Bérköltség!AB61,'FEOR kodok'!$B$2:$B$1126,0),10),"NA")</f>
        <v>43</v>
      </c>
      <c r="J61" s="276" t="str">
        <f t="shared" si="27"/>
        <v>40–49 éves</v>
      </c>
      <c r="K61" s="269" t="str">
        <f>IFERROR(INDEX(admin_feor[#All],MATCH(Bérköltség!H61,admin_feor[[#All],[Foglalkozás]],0),2),"NA")</f>
        <v>Egyéb szoftver- és alkalmazásfejlesztő, -elemző</v>
      </c>
      <c r="L61" s="270">
        <f>IFERROR(
INDEX('Admin - FEOR'!$A$4:$F$465,MATCH(Bérköltség!H61,'Admin - FEOR'!$A$4:$A$465,0),
IF(J61="30 év alatt",3,
IF(J61="30–39 éves",4,
IF(J61="40–49 éves",5,
IF(J61="50 év és afelett",6
)))))*1,"NA")</f>
        <v>1025021</v>
      </c>
      <c r="M61" s="270">
        <f t="shared" si="28"/>
        <v>600000</v>
      </c>
      <c r="N61" s="318">
        <f t="shared" si="29"/>
        <v>0.58535386104284692</v>
      </c>
      <c r="O61" s="270">
        <f>IFERROR(
INDEX('Admin - FEOR'!$A$4:$F$465,MATCH(Bérköltség!H61,'Admin - FEOR'!$A$4:$A$465,0),
IF(J61="30 év alatt",3,
IF(J61="30–39 éves",4,
IF(J61="40–49 éves",5,
IF(J61="50 év és afelett",6
)))))*1.5,"NA")</f>
        <v>1537531.5</v>
      </c>
      <c r="P61" s="270">
        <f t="shared" si="30"/>
        <v>1537531.5</v>
      </c>
      <c r="Q61" s="270">
        <f t="shared" si="31"/>
        <v>600000</v>
      </c>
      <c r="R61" s="275">
        <f t="shared" si="32"/>
        <v>1</v>
      </c>
      <c r="S61" s="270">
        <f t="shared" si="33"/>
        <v>0</v>
      </c>
      <c r="T61" s="270">
        <f t="shared" si="34"/>
        <v>0</v>
      </c>
      <c r="U61" s="271">
        <f t="shared" si="35"/>
        <v>0</v>
      </c>
      <c r="V61" s="272">
        <f t="shared" si="36"/>
        <v>678000</v>
      </c>
      <c r="W61" s="273" t="str">
        <f t="shared" si="37"/>
        <v>Nem szükséges indoklás.</v>
      </c>
      <c r="X61" s="372">
        <f t="shared" si="38"/>
        <v>0</v>
      </c>
      <c r="Y61" s="317">
        <f t="shared" si="39"/>
        <v>600000</v>
      </c>
      <c r="Z61" s="317">
        <f t="shared" si="40"/>
        <v>78000</v>
      </c>
      <c r="AA61" s="12">
        <v>2</v>
      </c>
      <c r="AB61" s="274">
        <v>8413223210</v>
      </c>
      <c r="AC61" s="40" t="s">
        <v>217</v>
      </c>
      <c r="AD61" s="82" t="s">
        <v>75</v>
      </c>
      <c r="AE61" s="41" t="s">
        <v>52</v>
      </c>
      <c r="AF61" s="11" t="s">
        <v>159</v>
      </c>
      <c r="AG61" s="11" t="s">
        <v>166</v>
      </c>
      <c r="AH61" s="14" t="s">
        <v>122</v>
      </c>
      <c r="AI61" s="86" t="s">
        <v>24</v>
      </c>
      <c r="AJ61" s="113" t="str">
        <f>IF(COUNTIFS(Admin!$A$29:$A$40,AI61)&gt;0,Admin!$A$28,IF(COUNTIFS(Admin!$B$29:$B$40,AI61)&gt;0,Admin!$B$28,IF(COUNTIFS(Admin!$C$29:$C$40,AI61)&gt;0,Admin!$C$28,IF(COUNTIFS(Admin!$D$29:$D$40,AI61)&gt;0,Admin!$D$28,"-"))))</f>
        <v>2. mérföldkő</v>
      </c>
      <c r="AK61" s="14" t="s">
        <v>7</v>
      </c>
      <c r="AL61" s="9" t="s">
        <v>56</v>
      </c>
      <c r="AM61" s="131">
        <v>600000</v>
      </c>
      <c r="AN61" s="132">
        <f t="shared" si="115"/>
        <v>78000</v>
      </c>
      <c r="AO61" s="121">
        <v>174</v>
      </c>
      <c r="AP61" s="121">
        <v>174</v>
      </c>
      <c r="AQ61" s="123">
        <f t="shared" si="182"/>
        <v>1</v>
      </c>
      <c r="AR61" s="133">
        <f t="shared" si="183"/>
        <v>600000</v>
      </c>
      <c r="AS61" s="133">
        <f t="shared" si="184"/>
        <v>78000</v>
      </c>
      <c r="AT61" s="123">
        <f t="shared" si="185"/>
        <v>0</v>
      </c>
      <c r="AU61" s="124">
        <v>0.13</v>
      </c>
      <c r="AV61" s="394" t="s">
        <v>2758</v>
      </c>
      <c r="AW61" s="15">
        <v>44736</v>
      </c>
      <c r="AX61" s="12" t="s">
        <v>206</v>
      </c>
      <c r="BC61" s="1" t="s">
        <v>2816</v>
      </c>
      <c r="BD61" s="1" t="str">
        <f t="shared" si="181"/>
        <v>Kutató_NK_1 - Kutató</v>
      </c>
    </row>
    <row r="62" spans="1:56" s="1" customFormat="1" hidden="1" x14ac:dyDescent="0.25">
      <c r="A62" s="264" t="str">
        <f>Bérköltség!$B62</f>
        <v>FEOR</v>
      </c>
      <c r="B62" s="264" t="str">
        <f>IFERROR(
IF(AND(Bérköltség!$F62="",H62="NA"),"HIÁNYOS ADATOK",
IF(Bérköltség!$F62&lt;Bérköltség!$U62,Admin!$B$18,Admin!$B$17)),
"")</f>
        <v>FEOR</v>
      </c>
      <c r="C62" s="265" t="str">
        <f>IFERROR(INDEX('Historikus berek_2021-2'!$A$1:$F$903,MATCH(AB62,'Historikus berek_2021-2'!$A$1:$A$903,0),4),"")</f>
        <v/>
      </c>
      <c r="D62" s="279" t="str">
        <f t="shared" si="23"/>
        <v/>
      </c>
      <c r="E62" s="265">
        <f t="shared" si="24"/>
        <v>600000</v>
      </c>
      <c r="F62" s="266" t="str">
        <f t="shared" si="25"/>
        <v/>
      </c>
      <c r="G62" s="267" t="str">
        <f t="shared" si="26"/>
        <v/>
      </c>
      <c r="H62" s="268">
        <f>IFERROR(INDEX('FEOR kodok'!$A$2:$J$1126,MATCH(Bérköltség!AB62,'FEOR kodok'!$B$2:$B$1126,0),8),"NA")</f>
        <v>2149</v>
      </c>
      <c r="I62" s="269">
        <f>IFERROR(INDEX('FEOR kodok'!$A$2:$J$1126,MATCH(Bérköltség!AB62,'FEOR kodok'!$B$2:$B$1126,0),10),"NA")</f>
        <v>43</v>
      </c>
      <c r="J62" s="276" t="str">
        <f t="shared" si="27"/>
        <v>40–49 éves</v>
      </c>
      <c r="K62" s="269" t="str">
        <f>IFERROR(INDEX(admin_feor[#All],MATCH(Bérköltség!H62,admin_feor[[#All],[Foglalkozás]],0),2),"NA")</f>
        <v>Egyéb szoftver- és alkalmazásfejlesztő, -elemző</v>
      </c>
      <c r="L62" s="270">
        <f>IFERROR(
INDEX('Admin - FEOR'!$A$4:$F$465,MATCH(Bérköltség!H62,'Admin - FEOR'!$A$4:$A$465,0),
IF(J62="30 év alatt",3,
IF(J62="30–39 éves",4,
IF(J62="40–49 éves",5,
IF(J62="50 év és afelett",6
)))))*1,"NA")</f>
        <v>1025021</v>
      </c>
      <c r="M62" s="270">
        <f t="shared" si="28"/>
        <v>600000</v>
      </c>
      <c r="N62" s="318">
        <f t="shared" si="29"/>
        <v>0.58535386104284692</v>
      </c>
      <c r="O62" s="270">
        <f>IFERROR(
INDEX('Admin - FEOR'!$A$4:$F$465,MATCH(Bérköltség!H62,'Admin - FEOR'!$A$4:$A$465,0),
IF(J62="30 év alatt",3,
IF(J62="30–39 éves",4,
IF(J62="40–49 éves",5,
IF(J62="50 év és afelett",6
)))))*1.5,"NA")</f>
        <v>1537531.5</v>
      </c>
      <c r="P62" s="270">
        <f t="shared" si="30"/>
        <v>1537531.5</v>
      </c>
      <c r="Q62" s="270">
        <f t="shared" si="31"/>
        <v>600000</v>
      </c>
      <c r="R62" s="275">
        <f t="shared" si="32"/>
        <v>1</v>
      </c>
      <c r="S62" s="270">
        <f t="shared" si="33"/>
        <v>0</v>
      </c>
      <c r="T62" s="270">
        <f t="shared" si="34"/>
        <v>0</v>
      </c>
      <c r="U62" s="271">
        <f t="shared" si="35"/>
        <v>0</v>
      </c>
      <c r="V62" s="272">
        <f t="shared" si="36"/>
        <v>678000</v>
      </c>
      <c r="W62" s="273" t="str">
        <f t="shared" si="37"/>
        <v>Nem szükséges indoklás.</v>
      </c>
      <c r="X62" s="372">
        <f t="shared" si="38"/>
        <v>0</v>
      </c>
      <c r="Y62" s="317">
        <f t="shared" si="39"/>
        <v>600000</v>
      </c>
      <c r="Z62" s="317">
        <f t="shared" si="40"/>
        <v>78000</v>
      </c>
      <c r="AA62" s="12">
        <v>2</v>
      </c>
      <c r="AB62" s="274">
        <v>8413223210</v>
      </c>
      <c r="AC62" s="40" t="s">
        <v>217</v>
      </c>
      <c r="AD62" s="82" t="s">
        <v>75</v>
      </c>
      <c r="AE62" s="41" t="s">
        <v>52</v>
      </c>
      <c r="AF62" s="11" t="s">
        <v>159</v>
      </c>
      <c r="AG62" s="11" t="s">
        <v>166</v>
      </c>
      <c r="AH62" s="14" t="s">
        <v>122</v>
      </c>
      <c r="AI62" s="86" t="s">
        <v>25</v>
      </c>
      <c r="AJ62" s="113" t="str">
        <f>IF(COUNTIFS(Admin!$A$29:$A$40,AI62)&gt;0,Admin!$A$28,IF(COUNTIFS(Admin!$B$29:$B$40,AI62)&gt;0,Admin!$B$28,IF(COUNTIFS(Admin!$C$29:$C$40,AI62)&gt;0,Admin!$C$28,IF(COUNTIFS(Admin!$D$29:$D$40,AI62)&gt;0,Admin!$D$28,"-"))))</f>
        <v>2. mérföldkő</v>
      </c>
      <c r="AK62" s="14" t="s">
        <v>7</v>
      </c>
      <c r="AL62" s="9" t="s">
        <v>56</v>
      </c>
      <c r="AM62" s="131">
        <v>600000</v>
      </c>
      <c r="AN62" s="132">
        <f t="shared" si="115"/>
        <v>78000</v>
      </c>
      <c r="AO62" s="121">
        <v>174</v>
      </c>
      <c r="AP62" s="121">
        <v>174</v>
      </c>
      <c r="AQ62" s="123">
        <f t="shared" si="182"/>
        <v>1</v>
      </c>
      <c r="AR62" s="133">
        <f t="shared" si="183"/>
        <v>600000</v>
      </c>
      <c r="AS62" s="133">
        <f t="shared" si="184"/>
        <v>78000</v>
      </c>
      <c r="AT62" s="123">
        <f t="shared" si="185"/>
        <v>0</v>
      </c>
      <c r="AU62" s="124">
        <v>0.13</v>
      </c>
      <c r="AV62" s="394" t="s">
        <v>2758</v>
      </c>
      <c r="AW62" s="15">
        <v>44736</v>
      </c>
      <c r="AX62" s="12" t="s">
        <v>206</v>
      </c>
      <c r="AZ62" s="1" t="s">
        <v>2667</v>
      </c>
      <c r="BA62" s="1" t="s">
        <v>2667</v>
      </c>
      <c r="BB62" s="1" t="s">
        <v>2667</v>
      </c>
      <c r="BC62" s="1" t="s">
        <v>2816</v>
      </c>
      <c r="BD62" s="1" t="str">
        <f t="shared" si="181"/>
        <v>Kutató_NK_1 - Kutató</v>
      </c>
    </row>
    <row r="63" spans="1:56" s="1" customFormat="1" hidden="1" x14ac:dyDescent="0.25">
      <c r="A63" s="264" t="str">
        <f>Bérköltség!$B63</f>
        <v>FEOR</v>
      </c>
      <c r="B63" s="264" t="str">
        <f>IFERROR(
IF(AND(Bérköltség!$F63="",H63="NA"),"HIÁNYOS ADATOK",
IF(Bérköltség!$F63&lt;Bérköltség!$U63,Admin!$B$18,Admin!$B$17)),
"")</f>
        <v>FEOR</v>
      </c>
      <c r="C63" s="265" t="str">
        <f>IFERROR(INDEX('Historikus berek_2021-2'!$A$1:$F$903,MATCH(AB63,'Historikus berek_2021-2'!$A$1:$A$903,0),4),"")</f>
        <v/>
      </c>
      <c r="D63" s="279" t="str">
        <f t="shared" si="23"/>
        <v/>
      </c>
      <c r="E63" s="265">
        <f t="shared" si="24"/>
        <v>600000</v>
      </c>
      <c r="F63" s="266" t="str">
        <f t="shared" si="25"/>
        <v/>
      </c>
      <c r="G63" s="267" t="str">
        <f t="shared" si="26"/>
        <v/>
      </c>
      <c r="H63" s="268">
        <f>IFERROR(INDEX('FEOR kodok'!$A$2:$J$1126,MATCH(Bérköltség!AB63,'FEOR kodok'!$B$2:$B$1126,0),8),"NA")</f>
        <v>2149</v>
      </c>
      <c r="I63" s="269">
        <f>IFERROR(INDEX('FEOR kodok'!$A$2:$J$1126,MATCH(Bérköltség!AB63,'FEOR kodok'!$B$2:$B$1126,0),10),"NA")</f>
        <v>43</v>
      </c>
      <c r="J63" s="276" t="str">
        <f t="shared" si="27"/>
        <v>40–49 éves</v>
      </c>
      <c r="K63" s="269" t="str">
        <f>IFERROR(INDEX(admin_feor[#All],MATCH(Bérköltség!H63,admin_feor[[#All],[Foglalkozás]],0),2),"NA")</f>
        <v>Egyéb szoftver- és alkalmazásfejlesztő, -elemző</v>
      </c>
      <c r="L63" s="270">
        <f>IFERROR(
INDEX('Admin - FEOR'!$A$4:$F$465,MATCH(Bérköltség!H63,'Admin - FEOR'!$A$4:$A$465,0),
IF(J63="30 év alatt",3,
IF(J63="30–39 éves",4,
IF(J63="40–49 éves",5,
IF(J63="50 év és afelett",6
)))))*1,"NA")</f>
        <v>1025021</v>
      </c>
      <c r="M63" s="270">
        <f t="shared" si="28"/>
        <v>600000</v>
      </c>
      <c r="N63" s="318">
        <f t="shared" si="29"/>
        <v>0.58535386104284692</v>
      </c>
      <c r="O63" s="270">
        <f>IFERROR(
INDEX('Admin - FEOR'!$A$4:$F$465,MATCH(Bérköltség!H63,'Admin - FEOR'!$A$4:$A$465,0),
IF(J63="30 év alatt",3,
IF(J63="30–39 éves",4,
IF(J63="40–49 éves",5,
IF(J63="50 év és afelett",6
)))))*1.5,"NA")</f>
        <v>1537531.5</v>
      </c>
      <c r="P63" s="270">
        <f t="shared" si="30"/>
        <v>1537531.5</v>
      </c>
      <c r="Q63" s="270">
        <f t="shared" si="31"/>
        <v>600000</v>
      </c>
      <c r="R63" s="275">
        <f t="shared" si="32"/>
        <v>1</v>
      </c>
      <c r="S63" s="270">
        <f t="shared" si="33"/>
        <v>0</v>
      </c>
      <c r="T63" s="270">
        <f t="shared" si="34"/>
        <v>0</v>
      </c>
      <c r="U63" s="271">
        <f t="shared" si="35"/>
        <v>0</v>
      </c>
      <c r="V63" s="272">
        <f t="shared" si="36"/>
        <v>678000</v>
      </c>
      <c r="W63" s="273" t="str">
        <f t="shared" si="37"/>
        <v>Nem szükséges indoklás.</v>
      </c>
      <c r="X63" s="372">
        <f t="shared" si="38"/>
        <v>0</v>
      </c>
      <c r="Y63" s="317">
        <f t="shared" si="39"/>
        <v>600000</v>
      </c>
      <c r="Z63" s="317">
        <f t="shared" si="40"/>
        <v>78000</v>
      </c>
      <c r="AA63" s="12">
        <v>2</v>
      </c>
      <c r="AB63" s="274">
        <v>8413223210</v>
      </c>
      <c r="AC63" s="40" t="s">
        <v>217</v>
      </c>
      <c r="AD63" s="82" t="s">
        <v>75</v>
      </c>
      <c r="AE63" s="41" t="s">
        <v>52</v>
      </c>
      <c r="AF63" s="11" t="s">
        <v>159</v>
      </c>
      <c r="AG63" s="11" t="s">
        <v>166</v>
      </c>
      <c r="AH63" s="14" t="s">
        <v>122</v>
      </c>
      <c r="AI63" s="86" t="s">
        <v>26</v>
      </c>
      <c r="AJ63" s="113" t="str">
        <f>IF(COUNTIFS(Admin!$A$29:$A$40,AI63)&gt;0,Admin!$A$28,IF(COUNTIFS(Admin!$B$29:$B$40,AI63)&gt;0,Admin!$B$28,IF(COUNTIFS(Admin!$C$29:$C$40,AI63)&gt;0,Admin!$C$28,IF(COUNTIFS(Admin!$D$29:$D$40,AI63)&gt;0,Admin!$D$28,"-"))))</f>
        <v>2. mérföldkő</v>
      </c>
      <c r="AK63" s="14" t="s">
        <v>7</v>
      </c>
      <c r="AL63" s="9" t="s">
        <v>56</v>
      </c>
      <c r="AM63" s="131">
        <v>600000</v>
      </c>
      <c r="AN63" s="132">
        <f t="shared" si="115"/>
        <v>78000</v>
      </c>
      <c r="AO63" s="121">
        <v>174</v>
      </c>
      <c r="AP63" s="121">
        <v>174</v>
      </c>
      <c r="AQ63" s="123">
        <f t="shared" si="182"/>
        <v>1</v>
      </c>
      <c r="AR63" s="133">
        <f t="shared" si="183"/>
        <v>600000</v>
      </c>
      <c r="AS63" s="133">
        <f t="shared" si="184"/>
        <v>78000</v>
      </c>
      <c r="AT63" s="123">
        <f t="shared" si="185"/>
        <v>0</v>
      </c>
      <c r="AU63" s="124">
        <v>0.13</v>
      </c>
      <c r="AV63" s="394" t="s">
        <v>2758</v>
      </c>
      <c r="AW63" s="15">
        <v>44736</v>
      </c>
      <c r="AX63" s="12" t="s">
        <v>206</v>
      </c>
      <c r="AZ63" s="1" t="s">
        <v>2667</v>
      </c>
      <c r="BA63" s="1" t="s">
        <v>2667</v>
      </c>
      <c r="BB63" s="1" t="s">
        <v>2667</v>
      </c>
      <c r="BC63" s="1" t="s">
        <v>2816</v>
      </c>
      <c r="BD63" s="1" t="str">
        <f t="shared" si="181"/>
        <v>Kutató_NK_1 - Kutató</v>
      </c>
    </row>
    <row r="64" spans="1:56" s="1" customFormat="1" hidden="1" x14ac:dyDescent="0.25">
      <c r="A64" s="264" t="str">
        <f>Bérköltség!$B64</f>
        <v>FEOR</v>
      </c>
      <c r="B64" s="264" t="str">
        <f>IFERROR(
IF(AND(Bérköltség!$F64="",H64="NA"),"HIÁNYOS ADATOK",
IF(Bérköltség!$F64&lt;Bérköltség!$U64,Admin!$B$18,Admin!$B$17)),
"")</f>
        <v>FEOR</v>
      </c>
      <c r="C64" s="265" t="str">
        <f>IFERROR(INDEX('Historikus berek_2021-2'!$A$1:$F$903,MATCH(AB64,'Historikus berek_2021-2'!$A$1:$A$903,0),4),"")</f>
        <v/>
      </c>
      <c r="D64" s="279" t="str">
        <f t="shared" si="23"/>
        <v/>
      </c>
      <c r="E64" s="265">
        <f t="shared" si="24"/>
        <v>600000</v>
      </c>
      <c r="F64" s="266" t="str">
        <f t="shared" si="25"/>
        <v/>
      </c>
      <c r="G64" s="267" t="str">
        <f t="shared" si="26"/>
        <v/>
      </c>
      <c r="H64" s="268">
        <f>IFERROR(INDEX('FEOR kodok'!$A$2:$J$1126,MATCH(Bérköltség!AB64,'FEOR kodok'!$B$2:$B$1126,0),8),"NA")</f>
        <v>2149</v>
      </c>
      <c r="I64" s="269">
        <f>IFERROR(INDEX('FEOR kodok'!$A$2:$J$1126,MATCH(Bérköltség!AB64,'FEOR kodok'!$B$2:$B$1126,0),10),"NA")</f>
        <v>43</v>
      </c>
      <c r="J64" s="276" t="str">
        <f t="shared" si="27"/>
        <v>40–49 éves</v>
      </c>
      <c r="K64" s="269" t="str">
        <f>IFERROR(INDEX(admin_feor[#All],MATCH(Bérköltség!H64,admin_feor[[#All],[Foglalkozás]],0),2),"NA")</f>
        <v>Egyéb szoftver- és alkalmazásfejlesztő, -elemző</v>
      </c>
      <c r="L64" s="270">
        <f>IFERROR(
INDEX('Admin - FEOR'!$A$4:$F$465,MATCH(Bérköltség!H64,'Admin - FEOR'!$A$4:$A$465,0),
IF(J64="30 év alatt",3,
IF(J64="30–39 éves",4,
IF(J64="40–49 éves",5,
IF(J64="50 év és afelett",6
)))))*1,"NA")</f>
        <v>1025021</v>
      </c>
      <c r="M64" s="270">
        <f t="shared" si="28"/>
        <v>600000</v>
      </c>
      <c r="N64" s="318">
        <f t="shared" si="29"/>
        <v>0.58535386104284692</v>
      </c>
      <c r="O64" s="270">
        <f>IFERROR(
INDEX('Admin - FEOR'!$A$4:$F$465,MATCH(Bérköltség!H64,'Admin - FEOR'!$A$4:$A$465,0),
IF(J64="30 év alatt",3,
IF(J64="30–39 éves",4,
IF(J64="40–49 éves",5,
IF(J64="50 év és afelett",6
)))))*1.5,"NA")</f>
        <v>1537531.5</v>
      </c>
      <c r="P64" s="270">
        <f t="shared" si="30"/>
        <v>1537531.5</v>
      </c>
      <c r="Q64" s="270">
        <f t="shared" si="31"/>
        <v>600000</v>
      </c>
      <c r="R64" s="275">
        <f t="shared" si="32"/>
        <v>1</v>
      </c>
      <c r="S64" s="270">
        <f t="shared" si="33"/>
        <v>0</v>
      </c>
      <c r="T64" s="270">
        <f t="shared" si="34"/>
        <v>0</v>
      </c>
      <c r="U64" s="271">
        <f t="shared" si="35"/>
        <v>0</v>
      </c>
      <c r="V64" s="272">
        <f t="shared" si="36"/>
        <v>678000</v>
      </c>
      <c r="W64" s="273" t="str">
        <f t="shared" si="37"/>
        <v>Nem szükséges indoklás.</v>
      </c>
      <c r="X64" s="372">
        <f t="shared" si="38"/>
        <v>0</v>
      </c>
      <c r="Y64" s="317">
        <f t="shared" si="39"/>
        <v>600000</v>
      </c>
      <c r="Z64" s="317">
        <f t="shared" si="40"/>
        <v>78000</v>
      </c>
      <c r="AA64" s="12">
        <v>2</v>
      </c>
      <c r="AB64" s="274">
        <v>8413223210</v>
      </c>
      <c r="AC64" s="40" t="s">
        <v>217</v>
      </c>
      <c r="AD64" s="82" t="s">
        <v>75</v>
      </c>
      <c r="AE64" s="41" t="s">
        <v>52</v>
      </c>
      <c r="AF64" s="11" t="s">
        <v>159</v>
      </c>
      <c r="AG64" s="11" t="s">
        <v>166</v>
      </c>
      <c r="AH64" s="14" t="s">
        <v>122</v>
      </c>
      <c r="AI64" s="86" t="s">
        <v>32</v>
      </c>
      <c r="AJ64" s="113" t="str">
        <f>IF(COUNTIFS(Admin!$A$29:$A$40,AI64)&gt;0,Admin!$A$28,IF(COUNTIFS(Admin!$B$29:$B$40,AI64)&gt;0,Admin!$B$28,IF(COUNTIFS(Admin!$C$29:$C$40,AI64)&gt;0,Admin!$C$28,IF(COUNTIFS(Admin!$D$29:$D$40,AI64)&gt;0,Admin!$D$28,"-"))))</f>
        <v>2. mérföldkő</v>
      </c>
      <c r="AK64" s="14" t="s">
        <v>7</v>
      </c>
      <c r="AL64" s="9" t="s">
        <v>56</v>
      </c>
      <c r="AM64" s="131">
        <v>600000</v>
      </c>
      <c r="AN64" s="132">
        <f t="shared" si="115"/>
        <v>78000</v>
      </c>
      <c r="AO64" s="121">
        <v>174</v>
      </c>
      <c r="AP64" s="121">
        <v>174</v>
      </c>
      <c r="AQ64" s="123">
        <f t="shared" si="182"/>
        <v>1</v>
      </c>
      <c r="AR64" s="133">
        <f t="shared" si="183"/>
        <v>600000</v>
      </c>
      <c r="AS64" s="133">
        <f t="shared" si="184"/>
        <v>78000</v>
      </c>
      <c r="AT64" s="123">
        <f t="shared" si="185"/>
        <v>0</v>
      </c>
      <c r="AU64" s="124">
        <v>0.13</v>
      </c>
      <c r="AV64" s="394" t="s">
        <v>2758</v>
      </c>
      <c r="AW64" s="15">
        <v>44908</v>
      </c>
      <c r="AX64" s="12" t="s">
        <v>206</v>
      </c>
      <c r="AZ64" s="1" t="s">
        <v>2667</v>
      </c>
      <c r="BA64" s="1">
        <v>0</v>
      </c>
      <c r="BB64" s="1">
        <v>0</v>
      </c>
      <c r="BC64" s="1" t="s">
        <v>2816</v>
      </c>
      <c r="BD64" s="1" t="str">
        <f t="shared" si="181"/>
        <v>Kutató_NK_1 - Kutató</v>
      </c>
    </row>
    <row r="65" spans="1:56" s="1" customFormat="1" hidden="1" x14ac:dyDescent="0.25">
      <c r="A65" s="264" t="str">
        <f>Bérköltség!$B65</f>
        <v>FEOR</v>
      </c>
      <c r="B65" s="264" t="str">
        <f>IFERROR(
IF(AND(Bérköltség!$F65="",H65="NA"),"HIÁNYOS ADATOK",
IF(Bérköltség!$F65&lt;Bérköltség!$U65,Admin!$B$18,Admin!$B$17)),
"")</f>
        <v>FEOR</v>
      </c>
      <c r="C65" s="265" t="str">
        <f>IFERROR(INDEX('Historikus berek_2021-2'!$A$1:$F$903,MATCH(AB65,'Historikus berek_2021-2'!$A$1:$A$903,0),4),"")</f>
        <v/>
      </c>
      <c r="D65" s="279" t="str">
        <f t="shared" si="23"/>
        <v/>
      </c>
      <c r="E65" s="265">
        <f t="shared" si="24"/>
        <v>600000</v>
      </c>
      <c r="F65" s="266" t="str">
        <f t="shared" si="25"/>
        <v/>
      </c>
      <c r="G65" s="267" t="str">
        <f t="shared" si="26"/>
        <v/>
      </c>
      <c r="H65" s="268">
        <f>IFERROR(INDEX('FEOR kodok'!$A$2:$J$1126,MATCH(Bérköltség!AB65,'FEOR kodok'!$B$2:$B$1126,0),8),"NA")</f>
        <v>2149</v>
      </c>
      <c r="I65" s="269">
        <f>IFERROR(INDEX('FEOR kodok'!$A$2:$J$1126,MATCH(Bérköltség!AB65,'FEOR kodok'!$B$2:$B$1126,0),10),"NA")</f>
        <v>43</v>
      </c>
      <c r="J65" s="276" t="str">
        <f t="shared" si="27"/>
        <v>40–49 éves</v>
      </c>
      <c r="K65" s="269" t="str">
        <f>IFERROR(INDEX(admin_feor[#All],MATCH(Bérköltség!H65,admin_feor[[#All],[Foglalkozás]],0),2),"NA")</f>
        <v>Egyéb szoftver- és alkalmazásfejlesztő, -elemző</v>
      </c>
      <c r="L65" s="270">
        <f>IFERROR(
INDEX('Admin - FEOR'!$A$4:$F$465,MATCH(Bérköltség!H65,'Admin - FEOR'!$A$4:$A$465,0),
IF(J65="30 év alatt",3,
IF(J65="30–39 éves",4,
IF(J65="40–49 éves",5,
IF(J65="50 év és afelett",6
)))))*1,"NA")</f>
        <v>1025021</v>
      </c>
      <c r="M65" s="270">
        <f t="shared" si="28"/>
        <v>600000</v>
      </c>
      <c r="N65" s="318">
        <f t="shared" si="29"/>
        <v>0.58535386104284692</v>
      </c>
      <c r="O65" s="270">
        <f>IFERROR(
INDEX('Admin - FEOR'!$A$4:$F$465,MATCH(Bérköltség!H65,'Admin - FEOR'!$A$4:$A$465,0),
IF(J65="30 év alatt",3,
IF(J65="30–39 éves",4,
IF(J65="40–49 éves",5,
IF(J65="50 év és afelett",6
)))))*1.5,"NA")</f>
        <v>1537531.5</v>
      </c>
      <c r="P65" s="270">
        <f t="shared" si="30"/>
        <v>1537531.5</v>
      </c>
      <c r="Q65" s="270">
        <f t="shared" si="31"/>
        <v>600000</v>
      </c>
      <c r="R65" s="275">
        <f t="shared" si="32"/>
        <v>1</v>
      </c>
      <c r="S65" s="270">
        <f t="shared" si="33"/>
        <v>0</v>
      </c>
      <c r="T65" s="270">
        <f t="shared" si="34"/>
        <v>0</v>
      </c>
      <c r="U65" s="271">
        <f t="shared" si="35"/>
        <v>0</v>
      </c>
      <c r="V65" s="272">
        <f t="shared" si="36"/>
        <v>678000</v>
      </c>
      <c r="W65" s="273" t="str">
        <f t="shared" si="37"/>
        <v>Nem szükséges indoklás.</v>
      </c>
      <c r="X65" s="372">
        <f t="shared" si="38"/>
        <v>0</v>
      </c>
      <c r="Y65" s="317">
        <f t="shared" si="39"/>
        <v>600000</v>
      </c>
      <c r="Z65" s="317">
        <f t="shared" si="40"/>
        <v>78000</v>
      </c>
      <c r="AA65" s="12">
        <v>2</v>
      </c>
      <c r="AB65" s="274">
        <v>8413223210</v>
      </c>
      <c r="AC65" s="40" t="s">
        <v>217</v>
      </c>
      <c r="AD65" s="82" t="s">
        <v>75</v>
      </c>
      <c r="AE65" s="41" t="s">
        <v>52</v>
      </c>
      <c r="AF65" s="11" t="s">
        <v>159</v>
      </c>
      <c r="AG65" s="11" t="s">
        <v>166</v>
      </c>
      <c r="AH65" s="14" t="s">
        <v>122</v>
      </c>
      <c r="AI65" s="86" t="s">
        <v>33</v>
      </c>
      <c r="AJ65" s="113" t="str">
        <f>IF(COUNTIFS(Admin!$A$29:$A$40,AI65)&gt;0,Admin!$A$28,IF(COUNTIFS(Admin!$B$29:$B$40,AI65)&gt;0,Admin!$B$28,IF(COUNTIFS(Admin!$C$29:$C$40,AI65)&gt;0,Admin!$C$28,IF(COUNTIFS(Admin!$D$29:$D$40,AI65)&gt;0,Admin!$D$28,"-"))))</f>
        <v>2. mérföldkő</v>
      </c>
      <c r="AK65" s="14" t="s">
        <v>7</v>
      </c>
      <c r="AL65" s="9" t="s">
        <v>56</v>
      </c>
      <c r="AM65" s="131">
        <v>600000</v>
      </c>
      <c r="AN65" s="132">
        <f t="shared" si="115"/>
        <v>78000</v>
      </c>
      <c r="AO65" s="121">
        <v>174</v>
      </c>
      <c r="AP65" s="121">
        <v>174</v>
      </c>
      <c r="AQ65" s="123">
        <f t="shared" si="182"/>
        <v>1</v>
      </c>
      <c r="AR65" s="133">
        <f t="shared" si="183"/>
        <v>600000</v>
      </c>
      <c r="AS65" s="133">
        <f t="shared" si="184"/>
        <v>78000</v>
      </c>
      <c r="AT65" s="123">
        <f t="shared" si="185"/>
        <v>0</v>
      </c>
      <c r="AU65" s="124">
        <v>0.13</v>
      </c>
      <c r="AV65" s="394" t="s">
        <v>2758</v>
      </c>
      <c r="AW65" s="15">
        <v>44908</v>
      </c>
      <c r="AX65" s="12" t="s">
        <v>206</v>
      </c>
      <c r="AZ65" s="8" t="str">
        <f>IF(VLOOKUP(LEFT($AB65,10),'Havi béradatok'!$B:$E,2,FALSE)=AG65,"EGYEZIK","HIBÁS")</f>
        <v>EGYEZIK</v>
      </c>
      <c r="BA65" s="1">
        <f>VLOOKUP(LEFT($AB65,10),'Havi béradatok'!$B:$E,3,FALSE)-AM65</f>
        <v>0</v>
      </c>
      <c r="BB65" s="1">
        <f>VLOOKUP(LEFT($AB65,10),'Havi béradatok'!$B:$E,4,FALSE)-AN65</f>
        <v>0</v>
      </c>
      <c r="BC65" s="1" t="s">
        <v>2816</v>
      </c>
      <c r="BD65" s="1" t="str">
        <f t="shared" si="181"/>
        <v>Kutató_NK_1 - Kutató</v>
      </c>
    </row>
    <row r="66" spans="1:56" s="1" customFormat="1" hidden="1" x14ac:dyDescent="0.25">
      <c r="A66" s="264" t="str">
        <f>Bérköltség!$B66</f>
        <v>FEOR</v>
      </c>
      <c r="B66" s="264" t="str">
        <f>IFERROR(
IF(AND(Bérköltség!$F66="",H66="NA"),"HIÁNYOS ADATOK",
IF(Bérköltség!$F66&lt;Bérköltség!$U66,Admin!$B$18,Admin!$B$17)),
"")</f>
        <v>FEOR</v>
      </c>
      <c r="C66" s="265" t="str">
        <f>IFERROR(INDEX('Historikus berek_2021-2'!$A$1:$F$903,MATCH(AB66,'Historikus berek_2021-2'!$A$1:$A$903,0),4),"")</f>
        <v/>
      </c>
      <c r="D66" s="279" t="str">
        <f t="shared" si="23"/>
        <v/>
      </c>
      <c r="E66" s="265">
        <f t="shared" si="24"/>
        <v>600000</v>
      </c>
      <c r="F66" s="266" t="str">
        <f t="shared" si="25"/>
        <v/>
      </c>
      <c r="G66" s="267" t="str">
        <f t="shared" si="26"/>
        <v/>
      </c>
      <c r="H66" s="268">
        <f>IFERROR(INDEX('FEOR kodok'!$A$2:$J$1126,MATCH(Bérköltség!AB66,'FEOR kodok'!$B$2:$B$1126,0),8),"NA")</f>
        <v>2149</v>
      </c>
      <c r="I66" s="269">
        <f>IFERROR(INDEX('FEOR kodok'!$A$2:$J$1126,MATCH(Bérköltség!AB66,'FEOR kodok'!$B$2:$B$1126,0),10),"NA")</f>
        <v>43</v>
      </c>
      <c r="J66" s="276" t="str">
        <f t="shared" si="27"/>
        <v>40–49 éves</v>
      </c>
      <c r="K66" s="269" t="str">
        <f>IFERROR(INDEX(admin_feor[#All],MATCH(Bérköltség!H66,admin_feor[[#All],[Foglalkozás]],0),2),"NA")</f>
        <v>Egyéb szoftver- és alkalmazásfejlesztő, -elemző</v>
      </c>
      <c r="L66" s="270">
        <f>IFERROR(
INDEX('Admin - FEOR'!$A$4:$F$465,MATCH(Bérköltség!H66,'Admin - FEOR'!$A$4:$A$465,0),
IF(J66="30 év alatt",3,
IF(J66="30–39 éves",4,
IF(J66="40–49 éves",5,
IF(J66="50 év és afelett",6
)))))*1,"NA")</f>
        <v>1025021</v>
      </c>
      <c r="M66" s="270">
        <f t="shared" si="28"/>
        <v>600000</v>
      </c>
      <c r="N66" s="318">
        <f t="shared" si="29"/>
        <v>0.58535386104284692</v>
      </c>
      <c r="O66" s="270">
        <f>IFERROR(
INDEX('Admin - FEOR'!$A$4:$F$465,MATCH(Bérköltség!H66,'Admin - FEOR'!$A$4:$A$465,0),
IF(J66="30 év alatt",3,
IF(J66="30–39 éves",4,
IF(J66="40–49 éves",5,
IF(J66="50 év és afelett",6
)))))*1.5,"NA")</f>
        <v>1537531.5</v>
      </c>
      <c r="P66" s="270">
        <f t="shared" si="30"/>
        <v>1537531.5</v>
      </c>
      <c r="Q66" s="270">
        <f t="shared" si="31"/>
        <v>600000</v>
      </c>
      <c r="R66" s="275">
        <f t="shared" si="32"/>
        <v>1</v>
      </c>
      <c r="S66" s="270">
        <f t="shared" si="33"/>
        <v>0</v>
      </c>
      <c r="T66" s="270">
        <f t="shared" si="34"/>
        <v>0</v>
      </c>
      <c r="U66" s="271">
        <f t="shared" si="35"/>
        <v>0</v>
      </c>
      <c r="V66" s="272">
        <f t="shared" si="36"/>
        <v>678000</v>
      </c>
      <c r="W66" s="273" t="str">
        <f t="shared" si="37"/>
        <v>Nem szükséges indoklás.</v>
      </c>
      <c r="X66" s="372">
        <f t="shared" si="38"/>
        <v>0</v>
      </c>
      <c r="Y66" s="317">
        <f t="shared" si="39"/>
        <v>600000</v>
      </c>
      <c r="Z66" s="317">
        <f t="shared" si="40"/>
        <v>78000</v>
      </c>
      <c r="AA66" s="12">
        <v>2</v>
      </c>
      <c r="AB66" s="274">
        <v>8413223210</v>
      </c>
      <c r="AC66" s="40" t="s">
        <v>217</v>
      </c>
      <c r="AD66" s="82" t="s">
        <v>75</v>
      </c>
      <c r="AE66" s="41" t="s">
        <v>52</v>
      </c>
      <c r="AF66" s="11" t="s">
        <v>159</v>
      </c>
      <c r="AG66" s="11" t="s">
        <v>166</v>
      </c>
      <c r="AH66" s="14" t="s">
        <v>122</v>
      </c>
      <c r="AI66" s="86" t="s">
        <v>34</v>
      </c>
      <c r="AJ66" s="113" t="str">
        <f>IF(COUNTIFS(Admin!$A$29:$A$40,AI66)&gt;0,Admin!$A$28,IF(COUNTIFS(Admin!$B$29:$B$40,AI66)&gt;0,Admin!$B$28,IF(COUNTIFS(Admin!$C$29:$C$40,AI66)&gt;0,Admin!$C$28,IF(COUNTIFS(Admin!$D$29:$D$40,AI66)&gt;0,Admin!$D$28,"-"))))</f>
        <v>2. mérföldkő</v>
      </c>
      <c r="AK66" s="14" t="s">
        <v>7</v>
      </c>
      <c r="AL66" s="9" t="s">
        <v>56</v>
      </c>
      <c r="AM66" s="131">
        <v>600000</v>
      </c>
      <c r="AN66" s="132">
        <f t="shared" si="115"/>
        <v>78000</v>
      </c>
      <c r="AO66" s="121">
        <v>174</v>
      </c>
      <c r="AP66" s="121">
        <v>174</v>
      </c>
      <c r="AQ66" s="123">
        <f t="shared" si="182"/>
        <v>1</v>
      </c>
      <c r="AR66" s="133">
        <f t="shared" si="183"/>
        <v>600000</v>
      </c>
      <c r="AS66" s="133">
        <f t="shared" si="184"/>
        <v>78000</v>
      </c>
      <c r="AT66" s="123">
        <f t="shared" si="185"/>
        <v>0</v>
      </c>
      <c r="AU66" s="124">
        <v>0.13</v>
      </c>
      <c r="AV66" s="394" t="s">
        <v>2758</v>
      </c>
      <c r="AW66" s="15">
        <v>44908</v>
      </c>
      <c r="AX66" s="12" t="s">
        <v>206</v>
      </c>
      <c r="BC66" s="1" t="s">
        <v>2816</v>
      </c>
      <c r="BD66" s="1" t="str">
        <f t="shared" si="181"/>
        <v>Kutató_NK_1 - Kutató</v>
      </c>
    </row>
    <row r="67" spans="1:56" s="1" customFormat="1" x14ac:dyDescent="0.25">
      <c r="A67" s="264" t="str">
        <f>Bérköltség!$B67</f>
        <v>FEOR</v>
      </c>
      <c r="B67" s="264" t="str">
        <f>IFERROR(
IF(AND(Bérköltség!$F67="",H67="NA"),"HIÁNYOS ADATOK",
IF(Bérköltség!$F67&lt;Bérköltség!$U67,Admin!$B$18,Admin!$B$17)),
"")</f>
        <v>FEOR</v>
      </c>
      <c r="C67" s="265" t="str">
        <f>IFERROR(INDEX('Historikus berek_2021-2'!$A$1:$F$903,MATCH(AB67,'Historikus berek_2021-2'!$A$1:$A$903,0),4),"")</f>
        <v/>
      </c>
      <c r="D67" s="279" t="str">
        <f t="shared" ref="D67:D72" si="186">IFERROR(C67*AQ67,"")</f>
        <v/>
      </c>
      <c r="E67" s="265">
        <f t="shared" ref="E67:E72" si="187">AR67</f>
        <v>600000</v>
      </c>
      <c r="F67" s="266" t="str">
        <f t="shared" ref="F67:F72" si="188">IFERROR(IF((E67*(1+AU67)-D67*(1+AU67))&lt;0,0,(E67*(1+AU67)-D67*(1+AU67))),"")</f>
        <v/>
      </c>
      <c r="G67" s="267" t="str">
        <f t="shared" ref="G67:G72" si="189">IFERROR((E67*(1+AU67)-F67),"")</f>
        <v/>
      </c>
      <c r="H67" s="268">
        <f>IFERROR(INDEX('FEOR kodok'!$A$2:$J$1126,MATCH(Bérköltség!AB67,'FEOR kodok'!$B$2:$B$1126,0),8),"NA")</f>
        <v>2149</v>
      </c>
      <c r="I67" s="269">
        <f>IFERROR(INDEX('FEOR kodok'!$A$2:$J$1126,MATCH(Bérköltség!AB67,'FEOR kodok'!$B$2:$B$1126,0),10),"NA")</f>
        <v>43</v>
      </c>
      <c r="J67" s="276" t="str">
        <f t="shared" ref="J67:J72" si="190">IF(I67="NA","NA",
IF(I67&lt;30,"30 év alatt",
IF(AND(I67&gt;=30,I67&lt;=39),"30–39 éves",
IF(AND(I67&gt;=40,I67&lt;=49),"40–49 éves",
IF(I67&gt;=50,"50 év és afelett",
"")))))</f>
        <v>40–49 éves</v>
      </c>
      <c r="K67" s="269" t="str">
        <f>IFERROR(INDEX(admin_feor[#All],MATCH(Bérköltség!H67,admin_feor[[#All],[Foglalkozás]],0),2),"NA")</f>
        <v>Egyéb szoftver- és alkalmazásfejlesztő, -elemző</v>
      </c>
      <c r="L67" s="270">
        <f>IFERROR(
INDEX('Admin - FEOR'!$A$4:$F$465,MATCH(Bérköltség!H67,'Admin - FEOR'!$A$4:$A$465,0),
IF(J67="30 év alatt",3,
IF(J67="30–39 éves",4,
IF(J67="40–49 éves",5,
IF(J67="50 év és afelett",6
)))))*1,"NA")</f>
        <v>1025021</v>
      </c>
      <c r="M67" s="270">
        <f t="shared" ref="M67:M72" si="191">AM67</f>
        <v>600000</v>
      </c>
      <c r="N67" s="318">
        <f t="shared" ref="N67:N72" si="192">IFERROR(
M67/L67,"NA")</f>
        <v>0.58535386104284692</v>
      </c>
      <c r="O67" s="270">
        <f>IFERROR(
INDEX('Admin - FEOR'!$A$4:$F$465,MATCH(Bérköltség!H67,'Admin - FEOR'!$A$4:$A$465,0),
IF(J67="30 év alatt",3,
IF(J67="30–39 éves",4,
IF(J67="40–49 éves",5,
IF(J67="50 év és afelett",6
)))))*1.5,"NA")</f>
        <v>1537531.5</v>
      </c>
      <c r="P67" s="270">
        <f t="shared" ref="P67:P72" si="193">IFERROR(
AQ67*O67,"NA")</f>
        <v>1537531.5</v>
      </c>
      <c r="Q67" s="270">
        <f t="shared" ref="Q67:Q72" si="194">IFERROR(AR67,"")</f>
        <v>600000</v>
      </c>
      <c r="R67" s="275">
        <f t="shared" ref="R67:R72" si="195">IFERROR(AQ67,"")</f>
        <v>1</v>
      </c>
      <c r="S67" s="270">
        <f t="shared" ref="S67:S72" si="196">IFERROR(
IF(AR67-P67&lt;0,0,AR67-P67),"NA")</f>
        <v>0</v>
      </c>
      <c r="T67" s="270">
        <f t="shared" ref="T67:T72" si="197">IFERROR(
S67*AU67,"NA")</f>
        <v>0</v>
      </c>
      <c r="U67" s="271">
        <f t="shared" ref="U67:U72" si="198">IFERROR(
S67+T67,"NA")</f>
        <v>0</v>
      </c>
      <c r="V67" s="272">
        <f t="shared" ref="V67:V72" si="199">IFERROR(
IF(U67&gt;0,AR67+AS67-U67,AR67+AS67),"NA")</f>
        <v>678000</v>
      </c>
      <c r="W67" s="273" t="str">
        <f t="shared" ref="W67:W72" si="200">IF(P67="NA","FEOR hiányzik",
IF(AND(N67&gt;1,A67="FEOR"),CONCATENATE("Indoklás szükséges mivel a FEOR: ",ROUND(N67*100,1),"%"),"Nem szükséges indoklás.")
)</f>
        <v>Nem szükséges indoklás.</v>
      </c>
      <c r="X67" s="372">
        <f t="shared" ref="X67:X72" si="201">IF(A67="FEOR",U67,IF(A67="HIÁNYOS ADATOK","HIÁNYOS ADATOK",F67))</f>
        <v>0</v>
      </c>
      <c r="Y67" s="317">
        <f t="shared" ref="Y67:Y72" si="202">IF(A67="FEOR",ROUND((V67/(1+AU67)),0),IF(A67="HIÁNYOS ADATOK","HIÁNYOS ADATOK",ROUND(G67/(1+AU67),0)))</f>
        <v>600000</v>
      </c>
      <c r="Z67" s="317">
        <f t="shared" ref="Z67:Z72" si="203">IF(A67="FEOR",ROUND((V67-Y67),0),IF(A67="HIÁNYOS ADATOK","HIÁNYOS ADATOK",ROUND((G67-Y67),0)))</f>
        <v>78000</v>
      </c>
      <c r="AA67" s="36"/>
      <c r="AB67" s="274">
        <v>8413223210</v>
      </c>
      <c r="AC67" s="40" t="s">
        <v>217</v>
      </c>
      <c r="AD67" s="82" t="s">
        <v>75</v>
      </c>
      <c r="AE67" s="41" t="s">
        <v>52</v>
      </c>
      <c r="AF67" s="11" t="s">
        <v>159</v>
      </c>
      <c r="AG67" s="11" t="s">
        <v>166</v>
      </c>
      <c r="AH67" s="14" t="s">
        <v>122</v>
      </c>
      <c r="AI67" s="86" t="s">
        <v>35</v>
      </c>
      <c r="AJ67" s="113" t="str">
        <f>IF(COUNTIFS(Admin!$A$29:$A$40,AI67)&gt;0,Admin!$A$28,IF(COUNTIFS(Admin!$B$29:$B$40,AI67)&gt;0,Admin!$B$28,IF(COUNTIFS(Admin!$C$29:$C$40,AI67)&gt;0,Admin!$C$28,IF(COUNTIFS(Admin!$D$29:$D$40,AI67)&gt;0,Admin!$D$28,"-"))))</f>
        <v>3. mérföldkő</v>
      </c>
      <c r="AK67" s="14" t="s">
        <v>7</v>
      </c>
      <c r="AL67" s="9" t="s">
        <v>56</v>
      </c>
      <c r="AM67" s="131">
        <v>600000</v>
      </c>
      <c r="AN67" s="132">
        <f t="shared" ref="AN67" si="204">IFERROR(ROUND(AM67*AU67,0),"")</f>
        <v>78000</v>
      </c>
      <c r="AO67" s="121">
        <v>174</v>
      </c>
      <c r="AP67" s="121">
        <v>174</v>
      </c>
      <c r="AQ67" s="123">
        <f t="shared" ref="AQ67" si="205">IFERROR(AP67/AO67,"")</f>
        <v>1</v>
      </c>
      <c r="AR67" s="133">
        <f t="shared" ref="AR67" si="206">IFERROR(ROUND(AM67*AP67/AO67,0),"")</f>
        <v>600000</v>
      </c>
      <c r="AS67" s="133">
        <f t="shared" ref="AS67" si="207">IFERROR(ROUND(AR67*AU67,0),"")</f>
        <v>78000</v>
      </c>
      <c r="AT67" s="123">
        <f t="shared" ref="AT67" si="208">IFERROR(AP67/AO67-AR67/AM67,"")</f>
        <v>0</v>
      </c>
      <c r="AU67" s="124">
        <v>0.13</v>
      </c>
      <c r="AV67" s="394" t="s">
        <v>2758</v>
      </c>
      <c r="AW67" s="15">
        <v>44995</v>
      </c>
      <c r="AX67" s="12" t="s">
        <v>206</v>
      </c>
      <c r="AZ67" s="1" t="str">
        <f>IF(VLOOKUP(LEFT($AB67,10),'Havi béradatok'!$B:$E,2,FALSE)=AG67,"EGYEZIK","HIBÁS")</f>
        <v>EGYEZIK</v>
      </c>
      <c r="BA67" s="1">
        <f>VLOOKUP(LEFT($AB67,10),'Havi béradatok'!$B:$E,3,FALSE)-AM67</f>
        <v>0</v>
      </c>
      <c r="BB67" s="1">
        <f>VLOOKUP(LEFT($AB67,10),'Havi béradatok'!$B:$E,4,FALSE)-AN67</f>
        <v>0</v>
      </c>
      <c r="BC67" s="400" t="s">
        <v>2816</v>
      </c>
      <c r="BD67" s="400"/>
    </row>
    <row r="68" spans="1:56" s="1" customFormat="1" hidden="1" x14ac:dyDescent="0.25">
      <c r="A68" s="264" t="str">
        <f>Bérköltség!$B68</f>
        <v>FEOR</v>
      </c>
      <c r="B68" s="264" t="str">
        <f>IFERROR(
IF(AND(Bérköltség!$F68="",H68="NA"),"HIÁNYOS ADATOK",
IF(Bérköltség!$F68&lt;Bérköltség!$U68,Admin!$B$18,Admin!$B$17)),
"")</f>
        <v>FEOR</v>
      </c>
      <c r="C68" s="265" t="str">
        <f>IFERROR(INDEX('Historikus berek_2021-2'!$A$1:$F$903,MATCH(AB68,'Historikus berek_2021-2'!$A$1:$A$903,0),4),"")</f>
        <v/>
      </c>
      <c r="D68" s="279" t="str">
        <f t="shared" si="186"/>
        <v/>
      </c>
      <c r="E68" s="265">
        <f t="shared" si="187"/>
        <v>600000</v>
      </c>
      <c r="F68" s="266" t="str">
        <f t="shared" si="188"/>
        <v/>
      </c>
      <c r="G68" s="267" t="str">
        <f t="shared" si="189"/>
        <v/>
      </c>
      <c r="H68" s="268">
        <f>IFERROR(INDEX('FEOR kodok'!$A$2:$J$1126,MATCH(Bérköltség!AB68,'FEOR kodok'!$B$2:$B$1126,0),8),"NA")</f>
        <v>2149</v>
      </c>
      <c r="I68" s="269">
        <f>IFERROR(INDEX('FEOR kodok'!$A$2:$J$1126,MATCH(Bérköltség!AB68,'FEOR kodok'!$B$2:$B$1126,0),10),"NA")</f>
        <v>43</v>
      </c>
      <c r="J68" s="276" t="str">
        <f t="shared" si="190"/>
        <v>40–49 éves</v>
      </c>
      <c r="K68" s="269" t="str">
        <f>IFERROR(INDEX(admin_feor[#All],MATCH(Bérköltség!H68,admin_feor[[#All],[Foglalkozás]],0),2),"NA")</f>
        <v>Egyéb szoftver- és alkalmazásfejlesztő, -elemző</v>
      </c>
      <c r="L68" s="270">
        <f>IFERROR(
INDEX('Admin - FEOR'!$A$4:$F$465,MATCH(Bérköltség!H68,'Admin - FEOR'!$A$4:$A$465,0),
IF(J68="30 év alatt",3,
IF(J68="30–39 éves",4,
IF(J68="40–49 éves",5,
IF(J68="50 év és afelett",6
)))))*1,"NA")</f>
        <v>1025021</v>
      </c>
      <c r="M68" s="270">
        <f t="shared" si="191"/>
        <v>600000</v>
      </c>
      <c r="N68" s="318">
        <f t="shared" si="192"/>
        <v>0.58535386104284692</v>
      </c>
      <c r="O68" s="270">
        <f>IFERROR(
INDEX('Admin - FEOR'!$A$4:$F$465,MATCH(Bérköltség!H68,'Admin - FEOR'!$A$4:$A$465,0),
IF(J68="30 év alatt",3,
IF(J68="30–39 éves",4,
IF(J68="40–49 éves",5,
IF(J68="50 év és afelett",6
)))))*1.5,"NA")</f>
        <v>1537531.5</v>
      </c>
      <c r="P68" s="270">
        <f t="shared" si="193"/>
        <v>1537531.5</v>
      </c>
      <c r="Q68" s="270">
        <f t="shared" si="194"/>
        <v>600000</v>
      </c>
      <c r="R68" s="275">
        <f t="shared" si="195"/>
        <v>1</v>
      </c>
      <c r="S68" s="270">
        <f t="shared" si="196"/>
        <v>0</v>
      </c>
      <c r="T68" s="270">
        <f t="shared" si="197"/>
        <v>0</v>
      </c>
      <c r="U68" s="271">
        <f t="shared" si="198"/>
        <v>0</v>
      </c>
      <c r="V68" s="272">
        <f t="shared" si="199"/>
        <v>678000</v>
      </c>
      <c r="W68" s="273" t="str">
        <f t="shared" si="200"/>
        <v>Nem szükséges indoklás.</v>
      </c>
      <c r="X68" s="372">
        <f t="shared" si="201"/>
        <v>0</v>
      </c>
      <c r="Y68" s="317">
        <f t="shared" si="202"/>
        <v>600000</v>
      </c>
      <c r="Z68" s="317">
        <f t="shared" si="203"/>
        <v>78000</v>
      </c>
      <c r="AA68" s="36"/>
      <c r="AB68" s="274">
        <v>8413223210</v>
      </c>
      <c r="AC68" s="40" t="s">
        <v>217</v>
      </c>
      <c r="AD68" s="82" t="s">
        <v>75</v>
      </c>
      <c r="AE68" s="41" t="s">
        <v>52</v>
      </c>
      <c r="AF68" s="11" t="s">
        <v>159</v>
      </c>
      <c r="AG68" s="11" t="s">
        <v>166</v>
      </c>
      <c r="AH68" s="14" t="s">
        <v>122</v>
      </c>
      <c r="AI68" s="86" t="s">
        <v>36</v>
      </c>
      <c r="AJ68" s="113" t="str">
        <f>IF(COUNTIFS(Admin!$A$29:$A$40,AI68)&gt;0,Admin!$A$28,IF(COUNTIFS(Admin!$B$29:$B$40,AI68)&gt;0,Admin!$B$28,IF(COUNTIFS(Admin!$C$29:$C$40,AI68)&gt;0,Admin!$C$28,IF(COUNTIFS(Admin!$D$29:$D$40,AI68)&gt;0,Admin!$D$28,"-"))))</f>
        <v>3. mérföldkő</v>
      </c>
      <c r="AK68" s="14" t="s">
        <v>141</v>
      </c>
      <c r="AL68" s="9" t="s">
        <v>56</v>
      </c>
      <c r="AM68" s="131">
        <v>600000</v>
      </c>
      <c r="AN68" s="132">
        <f t="shared" ref="AN68:AN72" si="209">IFERROR(ROUND(AM68*AU68,0),"")</f>
        <v>78000</v>
      </c>
      <c r="AO68" s="121">
        <v>174</v>
      </c>
      <c r="AP68" s="121">
        <v>174</v>
      </c>
      <c r="AQ68" s="123">
        <f t="shared" ref="AQ68:AQ72" si="210">IFERROR(AP68/AO68,"")</f>
        <v>1</v>
      </c>
      <c r="AR68" s="133">
        <f t="shared" ref="AR68:AR72" si="211">IFERROR(ROUND(AM68*AP68/AO68,0),"")</f>
        <v>600000</v>
      </c>
      <c r="AS68" s="133">
        <f t="shared" ref="AS68:AS72" si="212">IFERROR(ROUND(AR68*AU68,0),"")</f>
        <v>78000</v>
      </c>
      <c r="AT68" s="123">
        <f t="shared" ref="AT68:AT72" si="213">IFERROR(AP68/AO68-AR68/AM68,"")</f>
        <v>0</v>
      </c>
      <c r="AU68" s="124">
        <v>0.13</v>
      </c>
      <c r="AV68" s="394" t="s">
        <v>2758</v>
      </c>
      <c r="AW68" s="15">
        <v>44995</v>
      </c>
      <c r="AX68" s="12" t="s">
        <v>206</v>
      </c>
      <c r="BC68" s="1" t="s">
        <v>2816</v>
      </c>
    </row>
    <row r="69" spans="1:56" s="1" customFormat="1" hidden="1" x14ac:dyDescent="0.25">
      <c r="A69" s="264" t="str">
        <f>Bérköltség!$B69</f>
        <v>FEOR</v>
      </c>
      <c r="B69" s="264" t="str">
        <f>IFERROR(
IF(AND(Bérköltség!$F69="",H69="NA"),"HIÁNYOS ADATOK",
IF(Bérköltség!$F69&lt;Bérköltség!$U69,Admin!$B$18,Admin!$B$17)),
"")</f>
        <v>FEOR</v>
      </c>
      <c r="C69" s="265" t="str">
        <f>IFERROR(INDEX('Historikus berek_2021-2'!$A$1:$F$903,MATCH(AB69,'Historikus berek_2021-2'!$A$1:$A$903,0),4),"")</f>
        <v/>
      </c>
      <c r="D69" s="279" t="str">
        <f t="shared" si="186"/>
        <v/>
      </c>
      <c r="E69" s="265">
        <f t="shared" si="187"/>
        <v>600000</v>
      </c>
      <c r="F69" s="266" t="str">
        <f t="shared" si="188"/>
        <v/>
      </c>
      <c r="G69" s="267" t="str">
        <f t="shared" si="189"/>
        <v/>
      </c>
      <c r="H69" s="268">
        <f>IFERROR(INDEX('FEOR kodok'!$A$2:$J$1126,MATCH(Bérköltség!AB69,'FEOR kodok'!$B$2:$B$1126,0),8),"NA")</f>
        <v>2149</v>
      </c>
      <c r="I69" s="269">
        <f>IFERROR(INDEX('FEOR kodok'!$A$2:$J$1126,MATCH(Bérköltség!AB69,'FEOR kodok'!$B$2:$B$1126,0),10),"NA")</f>
        <v>43</v>
      </c>
      <c r="J69" s="276" t="str">
        <f t="shared" si="190"/>
        <v>40–49 éves</v>
      </c>
      <c r="K69" s="269" t="str">
        <f>IFERROR(INDEX(admin_feor[#All],MATCH(Bérköltség!H69,admin_feor[[#All],[Foglalkozás]],0),2),"NA")</f>
        <v>Egyéb szoftver- és alkalmazásfejlesztő, -elemző</v>
      </c>
      <c r="L69" s="270">
        <f>IFERROR(
INDEX('Admin - FEOR'!$A$4:$F$465,MATCH(Bérköltség!H69,'Admin - FEOR'!$A$4:$A$465,0),
IF(J69="30 év alatt",3,
IF(J69="30–39 éves",4,
IF(J69="40–49 éves",5,
IF(J69="50 év és afelett",6
)))))*1,"NA")</f>
        <v>1025021</v>
      </c>
      <c r="M69" s="270">
        <f t="shared" si="191"/>
        <v>600000</v>
      </c>
      <c r="N69" s="318">
        <f t="shared" si="192"/>
        <v>0.58535386104284692</v>
      </c>
      <c r="O69" s="270">
        <f>IFERROR(
INDEX('Admin - FEOR'!$A$4:$F$465,MATCH(Bérköltség!H69,'Admin - FEOR'!$A$4:$A$465,0),
IF(J69="30 év alatt",3,
IF(J69="30–39 éves",4,
IF(J69="40–49 éves",5,
IF(J69="50 év és afelett",6
)))))*1.5,"NA")</f>
        <v>1537531.5</v>
      </c>
      <c r="P69" s="270">
        <f t="shared" si="193"/>
        <v>1537531.5</v>
      </c>
      <c r="Q69" s="270">
        <f t="shared" si="194"/>
        <v>600000</v>
      </c>
      <c r="R69" s="275">
        <f t="shared" si="195"/>
        <v>1</v>
      </c>
      <c r="S69" s="270">
        <f t="shared" si="196"/>
        <v>0</v>
      </c>
      <c r="T69" s="270">
        <f t="shared" si="197"/>
        <v>0</v>
      </c>
      <c r="U69" s="271">
        <f t="shared" si="198"/>
        <v>0</v>
      </c>
      <c r="V69" s="272">
        <f t="shared" si="199"/>
        <v>678000</v>
      </c>
      <c r="W69" s="273" t="str">
        <f t="shared" si="200"/>
        <v>Nem szükséges indoklás.</v>
      </c>
      <c r="X69" s="372">
        <f t="shared" si="201"/>
        <v>0</v>
      </c>
      <c r="Y69" s="317">
        <f t="shared" si="202"/>
        <v>600000</v>
      </c>
      <c r="Z69" s="317">
        <f t="shared" si="203"/>
        <v>78000</v>
      </c>
      <c r="AA69" s="36"/>
      <c r="AB69" s="274">
        <v>8413223210</v>
      </c>
      <c r="AC69" s="40" t="s">
        <v>217</v>
      </c>
      <c r="AD69" s="82" t="s">
        <v>75</v>
      </c>
      <c r="AE69" s="41" t="s">
        <v>52</v>
      </c>
      <c r="AF69" s="11" t="s">
        <v>159</v>
      </c>
      <c r="AG69" s="11" t="s">
        <v>166</v>
      </c>
      <c r="AH69" s="14" t="s">
        <v>122</v>
      </c>
      <c r="AI69" s="86" t="s">
        <v>37</v>
      </c>
      <c r="AJ69" s="113" t="str">
        <f>IF(COUNTIFS(Admin!$A$29:$A$40,AI69)&gt;0,Admin!$A$28,IF(COUNTIFS(Admin!$B$29:$B$40,AI69)&gt;0,Admin!$B$28,IF(COUNTIFS(Admin!$C$29:$C$40,AI69)&gt;0,Admin!$C$28,IF(COUNTIFS(Admin!$D$29:$D$40,AI69)&gt;0,Admin!$D$28,"-"))))</f>
        <v>3. mérföldkő</v>
      </c>
      <c r="AK69" s="14" t="s">
        <v>141</v>
      </c>
      <c r="AL69" s="9" t="s">
        <v>56</v>
      </c>
      <c r="AM69" s="131">
        <v>600000</v>
      </c>
      <c r="AN69" s="132">
        <f t="shared" si="209"/>
        <v>78000</v>
      </c>
      <c r="AO69" s="121">
        <v>174</v>
      </c>
      <c r="AP69" s="121">
        <v>174</v>
      </c>
      <c r="AQ69" s="123">
        <f t="shared" si="210"/>
        <v>1</v>
      </c>
      <c r="AR69" s="133">
        <f t="shared" si="211"/>
        <v>600000</v>
      </c>
      <c r="AS69" s="133">
        <f t="shared" si="212"/>
        <v>78000</v>
      </c>
      <c r="AT69" s="123">
        <f t="shared" si="213"/>
        <v>0</v>
      </c>
      <c r="AU69" s="124">
        <v>0.13</v>
      </c>
      <c r="AV69" s="394" t="s">
        <v>2758</v>
      </c>
      <c r="AW69" s="15">
        <v>44995</v>
      </c>
      <c r="AX69" s="12" t="s">
        <v>206</v>
      </c>
      <c r="BC69" s="1" t="s">
        <v>2816</v>
      </c>
    </row>
    <row r="70" spans="1:56" s="1" customFormat="1" hidden="1" x14ac:dyDescent="0.25">
      <c r="A70" s="264" t="str">
        <f>Bérköltség!$B70</f>
        <v>FEOR</v>
      </c>
      <c r="B70" s="264" t="str">
        <f>IFERROR(
IF(AND(Bérköltség!$F70="",H70="NA"),"HIÁNYOS ADATOK",
IF(Bérköltség!$F70&lt;Bérköltség!$U70,Admin!$B$18,Admin!$B$17)),
"")</f>
        <v>FEOR</v>
      </c>
      <c r="C70" s="265" t="str">
        <f>IFERROR(INDEX('Historikus berek_2021-2'!$A$1:$F$903,MATCH(AB70,'Historikus berek_2021-2'!$A$1:$A$903,0),4),"")</f>
        <v/>
      </c>
      <c r="D70" s="279" t="str">
        <f t="shared" si="186"/>
        <v/>
      </c>
      <c r="E70" s="265">
        <f t="shared" si="187"/>
        <v>600000</v>
      </c>
      <c r="F70" s="266" t="str">
        <f t="shared" si="188"/>
        <v/>
      </c>
      <c r="G70" s="267" t="str">
        <f t="shared" si="189"/>
        <v/>
      </c>
      <c r="H70" s="268">
        <f>IFERROR(INDEX('FEOR kodok'!$A$2:$J$1126,MATCH(Bérköltség!AB70,'FEOR kodok'!$B$2:$B$1126,0),8),"NA")</f>
        <v>2149</v>
      </c>
      <c r="I70" s="269">
        <f>IFERROR(INDEX('FEOR kodok'!$A$2:$J$1126,MATCH(Bérköltség!AB70,'FEOR kodok'!$B$2:$B$1126,0),10),"NA")</f>
        <v>43</v>
      </c>
      <c r="J70" s="276" t="str">
        <f t="shared" si="190"/>
        <v>40–49 éves</v>
      </c>
      <c r="K70" s="269" t="str">
        <f>IFERROR(INDEX(admin_feor[#All],MATCH(Bérköltség!H70,admin_feor[[#All],[Foglalkozás]],0),2),"NA")</f>
        <v>Egyéb szoftver- és alkalmazásfejlesztő, -elemző</v>
      </c>
      <c r="L70" s="270">
        <f>IFERROR(
INDEX('Admin - FEOR'!$A$4:$F$465,MATCH(Bérköltség!H70,'Admin - FEOR'!$A$4:$A$465,0),
IF(J70="30 év alatt",3,
IF(J70="30–39 éves",4,
IF(J70="40–49 éves",5,
IF(J70="50 év és afelett",6
)))))*1,"NA")</f>
        <v>1025021</v>
      </c>
      <c r="M70" s="270">
        <f t="shared" si="191"/>
        <v>600000</v>
      </c>
      <c r="N70" s="318">
        <f t="shared" si="192"/>
        <v>0.58535386104284692</v>
      </c>
      <c r="O70" s="270">
        <f>IFERROR(
INDEX('Admin - FEOR'!$A$4:$F$465,MATCH(Bérköltség!H70,'Admin - FEOR'!$A$4:$A$465,0),
IF(J70="30 év alatt",3,
IF(J70="30–39 éves",4,
IF(J70="40–49 éves",5,
IF(J70="50 év és afelett",6
)))))*1.5,"NA")</f>
        <v>1537531.5</v>
      </c>
      <c r="P70" s="270">
        <f t="shared" si="193"/>
        <v>1537531.5</v>
      </c>
      <c r="Q70" s="270">
        <f t="shared" si="194"/>
        <v>600000</v>
      </c>
      <c r="R70" s="275">
        <f t="shared" si="195"/>
        <v>1</v>
      </c>
      <c r="S70" s="270">
        <f t="shared" si="196"/>
        <v>0</v>
      </c>
      <c r="T70" s="270">
        <f t="shared" si="197"/>
        <v>0</v>
      </c>
      <c r="U70" s="271">
        <f t="shared" si="198"/>
        <v>0</v>
      </c>
      <c r="V70" s="272">
        <f t="shared" si="199"/>
        <v>678000</v>
      </c>
      <c r="W70" s="273" t="str">
        <f t="shared" si="200"/>
        <v>Nem szükséges indoklás.</v>
      </c>
      <c r="X70" s="372">
        <f t="shared" si="201"/>
        <v>0</v>
      </c>
      <c r="Y70" s="317">
        <f t="shared" si="202"/>
        <v>600000</v>
      </c>
      <c r="Z70" s="317">
        <f t="shared" si="203"/>
        <v>78000</v>
      </c>
      <c r="AA70" s="36"/>
      <c r="AB70" s="274">
        <v>8413223210</v>
      </c>
      <c r="AC70" s="40" t="s">
        <v>217</v>
      </c>
      <c r="AD70" s="82" t="s">
        <v>75</v>
      </c>
      <c r="AE70" s="41" t="s">
        <v>52</v>
      </c>
      <c r="AF70" s="11" t="s">
        <v>159</v>
      </c>
      <c r="AG70" s="11" t="s">
        <v>166</v>
      </c>
      <c r="AH70" s="14" t="s">
        <v>122</v>
      </c>
      <c r="AI70" s="86" t="s">
        <v>38</v>
      </c>
      <c r="AJ70" s="113" t="str">
        <f>IF(COUNTIFS(Admin!$A$29:$A$40,AI70)&gt;0,Admin!$A$28,IF(COUNTIFS(Admin!$B$29:$B$40,AI70)&gt;0,Admin!$B$28,IF(COUNTIFS(Admin!$C$29:$C$40,AI70)&gt;0,Admin!$C$28,IF(COUNTIFS(Admin!$D$29:$D$40,AI70)&gt;0,Admin!$D$28,"-"))))</f>
        <v>3. mérföldkő</v>
      </c>
      <c r="AK70" s="14" t="s">
        <v>141</v>
      </c>
      <c r="AL70" s="9" t="s">
        <v>56</v>
      </c>
      <c r="AM70" s="131">
        <v>600000</v>
      </c>
      <c r="AN70" s="132">
        <f t="shared" si="209"/>
        <v>78000</v>
      </c>
      <c r="AO70" s="121">
        <v>174</v>
      </c>
      <c r="AP70" s="121">
        <v>174</v>
      </c>
      <c r="AQ70" s="123">
        <f t="shared" si="210"/>
        <v>1</v>
      </c>
      <c r="AR70" s="133">
        <f t="shared" si="211"/>
        <v>600000</v>
      </c>
      <c r="AS70" s="133">
        <f t="shared" si="212"/>
        <v>78000</v>
      </c>
      <c r="AT70" s="123">
        <f t="shared" si="213"/>
        <v>0</v>
      </c>
      <c r="AU70" s="124">
        <v>0.13</v>
      </c>
      <c r="AV70" s="394" t="s">
        <v>2758</v>
      </c>
      <c r="AW70" s="15">
        <v>44995</v>
      </c>
      <c r="AX70" s="12" t="s">
        <v>206</v>
      </c>
      <c r="BC70" s="1" t="s">
        <v>2816</v>
      </c>
    </row>
    <row r="71" spans="1:56" s="1" customFormat="1" hidden="1" x14ac:dyDescent="0.25">
      <c r="A71" s="264" t="str">
        <f>Bérköltség!$B71</f>
        <v>FEOR</v>
      </c>
      <c r="B71" s="264" t="str">
        <f>IFERROR(
IF(AND(Bérköltség!$F71="",H71="NA"),"HIÁNYOS ADATOK",
IF(Bérköltség!$F71&lt;Bérköltség!$U71,Admin!$B$18,Admin!$B$17)),
"")</f>
        <v>FEOR</v>
      </c>
      <c r="C71" s="265" t="str">
        <f>IFERROR(INDEX('Historikus berek_2021-2'!$A$1:$F$903,MATCH(AB71,'Historikus berek_2021-2'!$A$1:$A$903,0),4),"")</f>
        <v/>
      </c>
      <c r="D71" s="279" t="str">
        <f t="shared" si="186"/>
        <v/>
      </c>
      <c r="E71" s="265">
        <f t="shared" si="187"/>
        <v>600000</v>
      </c>
      <c r="F71" s="266" t="str">
        <f t="shared" si="188"/>
        <v/>
      </c>
      <c r="G71" s="267" t="str">
        <f t="shared" si="189"/>
        <v/>
      </c>
      <c r="H71" s="268">
        <f>IFERROR(INDEX('FEOR kodok'!$A$2:$J$1126,MATCH(Bérköltség!AB71,'FEOR kodok'!$B$2:$B$1126,0),8),"NA")</f>
        <v>2149</v>
      </c>
      <c r="I71" s="269">
        <f>IFERROR(INDEX('FEOR kodok'!$A$2:$J$1126,MATCH(Bérköltség!AB71,'FEOR kodok'!$B$2:$B$1126,0),10),"NA")</f>
        <v>43</v>
      </c>
      <c r="J71" s="276" t="str">
        <f t="shared" si="190"/>
        <v>40–49 éves</v>
      </c>
      <c r="K71" s="269" t="str">
        <f>IFERROR(INDEX(admin_feor[#All],MATCH(Bérköltség!H71,admin_feor[[#All],[Foglalkozás]],0),2),"NA")</f>
        <v>Egyéb szoftver- és alkalmazásfejlesztő, -elemző</v>
      </c>
      <c r="L71" s="270">
        <f>IFERROR(
INDEX('Admin - FEOR'!$A$4:$F$465,MATCH(Bérköltség!H71,'Admin - FEOR'!$A$4:$A$465,0),
IF(J71="30 év alatt",3,
IF(J71="30–39 éves",4,
IF(J71="40–49 éves",5,
IF(J71="50 év és afelett",6
)))))*1,"NA")</f>
        <v>1025021</v>
      </c>
      <c r="M71" s="270">
        <f t="shared" si="191"/>
        <v>600000</v>
      </c>
      <c r="N71" s="318">
        <f t="shared" si="192"/>
        <v>0.58535386104284692</v>
      </c>
      <c r="O71" s="270">
        <f>IFERROR(
INDEX('Admin - FEOR'!$A$4:$F$465,MATCH(Bérköltség!H71,'Admin - FEOR'!$A$4:$A$465,0),
IF(J71="30 év alatt",3,
IF(J71="30–39 éves",4,
IF(J71="40–49 éves",5,
IF(J71="50 év és afelett",6
)))))*1.5,"NA")</f>
        <v>1537531.5</v>
      </c>
      <c r="P71" s="270">
        <f t="shared" si="193"/>
        <v>1537531.5</v>
      </c>
      <c r="Q71" s="270">
        <f t="shared" si="194"/>
        <v>600000</v>
      </c>
      <c r="R71" s="275">
        <f t="shared" si="195"/>
        <v>1</v>
      </c>
      <c r="S71" s="270">
        <f t="shared" si="196"/>
        <v>0</v>
      </c>
      <c r="T71" s="270">
        <f t="shared" si="197"/>
        <v>0</v>
      </c>
      <c r="U71" s="271">
        <f t="shared" si="198"/>
        <v>0</v>
      </c>
      <c r="V71" s="272">
        <f t="shared" si="199"/>
        <v>678000</v>
      </c>
      <c r="W71" s="273" t="str">
        <f t="shared" si="200"/>
        <v>Nem szükséges indoklás.</v>
      </c>
      <c r="X71" s="372">
        <f t="shared" si="201"/>
        <v>0</v>
      </c>
      <c r="Y71" s="317">
        <f t="shared" si="202"/>
        <v>600000</v>
      </c>
      <c r="Z71" s="317">
        <f t="shared" si="203"/>
        <v>78000</v>
      </c>
      <c r="AA71" s="36"/>
      <c r="AB71" s="274">
        <v>8413223210</v>
      </c>
      <c r="AC71" s="40" t="s">
        <v>217</v>
      </c>
      <c r="AD71" s="82" t="s">
        <v>75</v>
      </c>
      <c r="AE71" s="41" t="s">
        <v>52</v>
      </c>
      <c r="AF71" s="11" t="s">
        <v>159</v>
      </c>
      <c r="AG71" s="11" t="s">
        <v>166</v>
      </c>
      <c r="AH71" s="14" t="s">
        <v>122</v>
      </c>
      <c r="AI71" s="86" t="s">
        <v>39</v>
      </c>
      <c r="AJ71" s="113" t="str">
        <f>IF(COUNTIFS(Admin!$A$29:$A$40,AI71)&gt;0,Admin!$A$28,IF(COUNTIFS(Admin!$B$29:$B$40,AI71)&gt;0,Admin!$B$28,IF(COUNTIFS(Admin!$C$29:$C$40,AI71)&gt;0,Admin!$C$28,IF(COUNTIFS(Admin!$D$29:$D$40,AI71)&gt;0,Admin!$D$28,"-"))))</f>
        <v>3. mérföldkő</v>
      </c>
      <c r="AK71" s="14" t="s">
        <v>141</v>
      </c>
      <c r="AL71" s="9" t="s">
        <v>56</v>
      </c>
      <c r="AM71" s="131">
        <v>600000</v>
      </c>
      <c r="AN71" s="132">
        <f t="shared" si="209"/>
        <v>78000</v>
      </c>
      <c r="AO71" s="121">
        <v>174</v>
      </c>
      <c r="AP71" s="121">
        <v>174</v>
      </c>
      <c r="AQ71" s="123">
        <f t="shared" si="210"/>
        <v>1</v>
      </c>
      <c r="AR71" s="133">
        <f t="shared" si="211"/>
        <v>600000</v>
      </c>
      <c r="AS71" s="133">
        <f t="shared" si="212"/>
        <v>78000</v>
      </c>
      <c r="AT71" s="123">
        <f t="shared" si="213"/>
        <v>0</v>
      </c>
      <c r="AU71" s="124">
        <v>0.13</v>
      </c>
      <c r="AV71" s="394" t="s">
        <v>2758</v>
      </c>
      <c r="AW71" s="15">
        <v>44995</v>
      </c>
      <c r="AX71" s="12" t="s">
        <v>206</v>
      </c>
      <c r="BC71" s="1" t="s">
        <v>2816</v>
      </c>
    </row>
    <row r="72" spans="1:56" s="1" customFormat="1" hidden="1" x14ac:dyDescent="0.25">
      <c r="A72" s="264" t="str">
        <f>Bérköltség!$B72</f>
        <v>FEOR</v>
      </c>
      <c r="B72" s="264" t="str">
        <f>IFERROR(
IF(AND(Bérköltség!$F72="",H72="NA"),"HIÁNYOS ADATOK",
IF(Bérköltség!$F72&lt;Bérköltség!$U72,Admin!$B$18,Admin!$B$17)),
"")</f>
        <v>FEOR</v>
      </c>
      <c r="C72" s="265" t="str">
        <f>IFERROR(INDEX('Historikus berek_2021-2'!$A$1:$F$903,MATCH(AB72,'Historikus berek_2021-2'!$A$1:$A$903,0),4),"")</f>
        <v/>
      </c>
      <c r="D72" s="279" t="str">
        <f t="shared" si="186"/>
        <v/>
      </c>
      <c r="E72" s="265">
        <f t="shared" si="187"/>
        <v>600000</v>
      </c>
      <c r="F72" s="266" t="str">
        <f t="shared" si="188"/>
        <v/>
      </c>
      <c r="G72" s="267" t="str">
        <f t="shared" si="189"/>
        <v/>
      </c>
      <c r="H72" s="268">
        <f>IFERROR(INDEX('FEOR kodok'!$A$2:$J$1126,MATCH(Bérköltség!AB72,'FEOR kodok'!$B$2:$B$1126,0),8),"NA")</f>
        <v>2149</v>
      </c>
      <c r="I72" s="269">
        <f>IFERROR(INDEX('FEOR kodok'!$A$2:$J$1126,MATCH(Bérköltség!AB72,'FEOR kodok'!$B$2:$B$1126,0),10),"NA")</f>
        <v>43</v>
      </c>
      <c r="J72" s="276" t="str">
        <f t="shared" si="190"/>
        <v>40–49 éves</v>
      </c>
      <c r="K72" s="269" t="str">
        <f>IFERROR(INDEX(admin_feor[#All],MATCH(Bérköltség!H72,admin_feor[[#All],[Foglalkozás]],0),2),"NA")</f>
        <v>Egyéb szoftver- és alkalmazásfejlesztő, -elemző</v>
      </c>
      <c r="L72" s="270">
        <f>IFERROR(
INDEX('Admin - FEOR'!$A$4:$F$465,MATCH(Bérköltség!H72,'Admin - FEOR'!$A$4:$A$465,0),
IF(J72="30 év alatt",3,
IF(J72="30–39 éves",4,
IF(J72="40–49 éves",5,
IF(J72="50 év és afelett",6
)))))*1,"NA")</f>
        <v>1025021</v>
      </c>
      <c r="M72" s="270">
        <f t="shared" si="191"/>
        <v>600000</v>
      </c>
      <c r="N72" s="318">
        <f t="shared" si="192"/>
        <v>0.58535386104284692</v>
      </c>
      <c r="O72" s="270">
        <f>IFERROR(
INDEX('Admin - FEOR'!$A$4:$F$465,MATCH(Bérköltség!H72,'Admin - FEOR'!$A$4:$A$465,0),
IF(J72="30 év alatt",3,
IF(J72="30–39 éves",4,
IF(J72="40–49 éves",5,
IF(J72="50 év és afelett",6
)))))*1.5,"NA")</f>
        <v>1537531.5</v>
      </c>
      <c r="P72" s="270">
        <f t="shared" si="193"/>
        <v>1537531.5</v>
      </c>
      <c r="Q72" s="270">
        <f t="shared" si="194"/>
        <v>600000</v>
      </c>
      <c r="R72" s="275">
        <f t="shared" si="195"/>
        <v>1</v>
      </c>
      <c r="S72" s="270">
        <f t="shared" si="196"/>
        <v>0</v>
      </c>
      <c r="T72" s="270">
        <f t="shared" si="197"/>
        <v>0</v>
      </c>
      <c r="U72" s="271">
        <f t="shared" si="198"/>
        <v>0</v>
      </c>
      <c r="V72" s="272">
        <f t="shared" si="199"/>
        <v>678000</v>
      </c>
      <c r="W72" s="273" t="str">
        <f t="shared" si="200"/>
        <v>Nem szükséges indoklás.</v>
      </c>
      <c r="X72" s="372">
        <f t="shared" si="201"/>
        <v>0</v>
      </c>
      <c r="Y72" s="317">
        <f t="shared" si="202"/>
        <v>600000</v>
      </c>
      <c r="Z72" s="317">
        <f t="shared" si="203"/>
        <v>78000</v>
      </c>
      <c r="AA72" s="36"/>
      <c r="AB72" s="274">
        <v>8413223210</v>
      </c>
      <c r="AC72" s="40" t="s">
        <v>217</v>
      </c>
      <c r="AD72" s="82" t="s">
        <v>75</v>
      </c>
      <c r="AE72" s="41" t="s">
        <v>52</v>
      </c>
      <c r="AF72" s="11" t="s">
        <v>159</v>
      </c>
      <c r="AG72" s="11" t="s">
        <v>166</v>
      </c>
      <c r="AH72" s="14" t="s">
        <v>122</v>
      </c>
      <c r="AI72" s="86" t="s">
        <v>40</v>
      </c>
      <c r="AJ72" s="113" t="str">
        <f>IF(COUNTIFS(Admin!$A$29:$A$40,AI72)&gt;0,Admin!$A$28,IF(COUNTIFS(Admin!$B$29:$B$40,AI72)&gt;0,Admin!$B$28,IF(COUNTIFS(Admin!$C$29:$C$40,AI72)&gt;0,Admin!$C$28,IF(COUNTIFS(Admin!$D$29:$D$40,AI72)&gt;0,Admin!$D$28,"-"))))</f>
        <v>3. mérföldkő</v>
      </c>
      <c r="AK72" s="14" t="s">
        <v>141</v>
      </c>
      <c r="AL72" s="9" t="s">
        <v>56</v>
      </c>
      <c r="AM72" s="131">
        <v>600000</v>
      </c>
      <c r="AN72" s="132">
        <f t="shared" si="209"/>
        <v>78000</v>
      </c>
      <c r="AO72" s="121">
        <v>174</v>
      </c>
      <c r="AP72" s="121">
        <v>174</v>
      </c>
      <c r="AQ72" s="123">
        <f t="shared" si="210"/>
        <v>1</v>
      </c>
      <c r="AR72" s="133">
        <f t="shared" si="211"/>
        <v>600000</v>
      </c>
      <c r="AS72" s="133">
        <f t="shared" si="212"/>
        <v>78000</v>
      </c>
      <c r="AT72" s="123">
        <f t="shared" si="213"/>
        <v>0</v>
      </c>
      <c r="AU72" s="124">
        <v>0.13</v>
      </c>
      <c r="AV72" s="394" t="s">
        <v>2758</v>
      </c>
      <c r="AW72" s="15">
        <v>44995</v>
      </c>
      <c r="AX72" s="12" t="s">
        <v>206</v>
      </c>
      <c r="BC72" s="1" t="s">
        <v>2816</v>
      </c>
    </row>
    <row r="73" spans="1:56" s="1" customFormat="1" hidden="1" x14ac:dyDescent="0.25">
      <c r="A73" s="264" t="str">
        <f>Bérköltség!$B73</f>
        <v>FEOR</v>
      </c>
      <c r="B73" s="264" t="str">
        <f>IFERROR(
IF(AND(Bérköltség!$F73="",H73="NA"),"HIÁNYOS ADATOK",
IF(Bérköltség!$F73&lt;Bérköltség!$U73,Admin!$B$18,Admin!$B$17)),
"")</f>
        <v>FEOR</v>
      </c>
      <c r="C73" s="265">
        <f>IFERROR(INDEX('Historikus berek_2021-2'!$A$1:$F$903,MATCH(AB73,'Historikus berek_2021-2'!$A$1:$A$903,0),4),"")</f>
        <v>484533.33333333331</v>
      </c>
      <c r="D73" s="279">
        <f t="shared" si="23"/>
        <v>431624.5210727969</v>
      </c>
      <c r="E73" s="265">
        <f t="shared" si="24"/>
        <v>400239</v>
      </c>
      <c r="F73" s="266">
        <f t="shared" si="25"/>
        <v>0</v>
      </c>
      <c r="G73" s="267">
        <f t="shared" si="26"/>
        <v>452270.06999999995</v>
      </c>
      <c r="H73" s="268">
        <f>IFERROR(INDEX('FEOR kodok'!$A$2:$J$1126,MATCH(Bérköltség!AB73,'FEOR kodok'!$B$2:$B$1126,0),8),"NA")</f>
        <v>3611</v>
      </c>
      <c r="I73" s="269">
        <f>IFERROR(INDEX('FEOR kodok'!$A$2:$J$1126,MATCH(Bérköltség!AB73,'FEOR kodok'!$B$2:$B$1126,0),10),"NA")</f>
        <v>49</v>
      </c>
      <c r="J73" s="276" t="str">
        <f t="shared" si="27"/>
        <v>40–49 éves</v>
      </c>
      <c r="K73" s="269" t="str">
        <f>IFERROR(INDEX(admin_feor[#All],MATCH(Bérköltség!H73,admin_feor[[#All],[Foglalkozás]],0),2),"NA")</f>
        <v>Pénzügyi ügyintéző (a pénzintézeti ügyintéző kivételével)</v>
      </c>
      <c r="L73" s="270">
        <f>IFERROR(
INDEX('Admin - FEOR'!$A$4:$F$465,MATCH(Bérköltség!H73,'Admin - FEOR'!$A$4:$A$465,0),
IF(J73="30 év alatt",3,
IF(J73="30–39 éves",4,
IF(J73="40–49 éves",5,
IF(J73="50 év és afelett",6
)))))*1,"NA")</f>
        <v>455910</v>
      </c>
      <c r="M73" s="270">
        <f t="shared" si="28"/>
        <v>524300</v>
      </c>
      <c r="N73" s="318">
        <f t="shared" si="29"/>
        <v>1.1500076769537848</v>
      </c>
      <c r="O73" s="270">
        <f>IFERROR(
INDEX('Admin - FEOR'!$A$4:$F$465,MATCH(Bérköltség!H73,'Admin - FEOR'!$A$4:$A$465,0),
IF(J73="30 év alatt",3,
IF(J73="30–39 éves",4,
IF(J73="40–49 éves",5,
IF(J73="50 év és afelett",6
)))))*1.5,"NA")</f>
        <v>683865</v>
      </c>
      <c r="P73" s="270">
        <f t="shared" si="30"/>
        <v>609190.08620689658</v>
      </c>
      <c r="Q73" s="270">
        <f t="shared" si="31"/>
        <v>400239</v>
      </c>
      <c r="R73" s="275">
        <f t="shared" si="32"/>
        <v>0.89080459770114939</v>
      </c>
      <c r="S73" s="270">
        <f t="shared" si="33"/>
        <v>0</v>
      </c>
      <c r="T73" s="270">
        <f t="shared" si="34"/>
        <v>0</v>
      </c>
      <c r="U73" s="271">
        <f t="shared" si="35"/>
        <v>0</v>
      </c>
      <c r="V73" s="272">
        <f t="shared" si="36"/>
        <v>452270</v>
      </c>
      <c r="W73" s="273" t="str">
        <f t="shared" si="37"/>
        <v>Indoklás szükséges mivel a FEOR: 115%</v>
      </c>
      <c r="X73" s="372">
        <f t="shared" si="38"/>
        <v>0</v>
      </c>
      <c r="Y73" s="317">
        <f t="shared" si="39"/>
        <v>400239</v>
      </c>
      <c r="Z73" s="317">
        <f t="shared" si="40"/>
        <v>52031</v>
      </c>
      <c r="AA73" s="12" t="s">
        <v>2800</v>
      </c>
      <c r="AB73" s="274">
        <v>8391703703</v>
      </c>
      <c r="AC73" s="40" t="s">
        <v>292</v>
      </c>
      <c r="AD73" s="82" t="s">
        <v>76</v>
      </c>
      <c r="AE73" s="41" t="s">
        <v>84</v>
      </c>
      <c r="AF73" s="11" t="s">
        <v>160</v>
      </c>
      <c r="AG73" s="11" t="s">
        <v>293</v>
      </c>
      <c r="AH73" s="14" t="s">
        <v>142</v>
      </c>
      <c r="AI73" s="86" t="s">
        <v>26</v>
      </c>
      <c r="AJ73" s="113" t="str">
        <f>IF(COUNTIFS(Admin!$A$29:$A$40,AI73)&gt;0,Admin!$A$28,IF(COUNTIFS(Admin!$B$29:$B$40,AI73)&gt;0,Admin!$B$28,IF(COUNTIFS(Admin!$C$29:$C$40,AI73)&gt;0,Admin!$C$28,IF(COUNTIFS(Admin!$D$29:$D$40,AI73)&gt;0,Admin!$D$28,"-"))))</f>
        <v>2. mérföldkő</v>
      </c>
      <c r="AK73" s="14" t="s">
        <v>7</v>
      </c>
      <c r="AL73" s="9" t="s">
        <v>56</v>
      </c>
      <c r="AM73" s="131">
        <v>524300</v>
      </c>
      <c r="AN73" s="132">
        <f t="shared" si="115"/>
        <v>68159</v>
      </c>
      <c r="AO73" s="121">
        <v>174</v>
      </c>
      <c r="AP73" s="121">
        <v>155</v>
      </c>
      <c r="AQ73" s="123">
        <f t="shared" si="182"/>
        <v>0.89080459770114939</v>
      </c>
      <c r="AR73" s="133">
        <v>400239</v>
      </c>
      <c r="AS73" s="133">
        <f t="shared" si="184"/>
        <v>52031</v>
      </c>
      <c r="AT73" s="123">
        <f t="shared" si="185"/>
        <v>0.12742676058499447</v>
      </c>
      <c r="AU73" s="124">
        <v>0.13</v>
      </c>
      <c r="AV73" s="394" t="s">
        <v>2759</v>
      </c>
      <c r="AW73" s="15">
        <v>44881</v>
      </c>
      <c r="AX73" s="12" t="s">
        <v>206</v>
      </c>
      <c r="AZ73" s="1" t="s">
        <v>2667</v>
      </c>
      <c r="BA73" s="1" t="s">
        <v>2668</v>
      </c>
      <c r="BB73" s="1" t="s">
        <v>2668</v>
      </c>
    </row>
    <row r="74" spans="1:56" s="1" customFormat="1" hidden="1" x14ac:dyDescent="0.25">
      <c r="A74" s="264" t="str">
        <f>Bérköltség!$B74</f>
        <v>FEOR</v>
      </c>
      <c r="B74" s="264" t="str">
        <f>IFERROR(
IF(AND(Bérköltség!$F74="",H74="NA"),"HIÁNYOS ADATOK",
IF(Bérköltség!$F74&lt;Bérköltség!$U74,Admin!$B$18,Admin!$B$17)),
"")</f>
        <v>FEOR</v>
      </c>
      <c r="C74" s="265">
        <f>IFERROR(INDEX('Historikus berek_2021-2'!$A$1:$F$903,MATCH(AB74,'Historikus berek_2021-2'!$A$1:$A$903,0),4),"")</f>
        <v>484533.33333333331</v>
      </c>
      <c r="D74" s="279">
        <f t="shared" si="23"/>
        <v>431624.5210727969</v>
      </c>
      <c r="E74" s="265">
        <f t="shared" si="24"/>
        <v>400239</v>
      </c>
      <c r="F74" s="266">
        <f t="shared" si="25"/>
        <v>0</v>
      </c>
      <c r="G74" s="267">
        <f t="shared" si="26"/>
        <v>452270.06999999995</v>
      </c>
      <c r="H74" s="268">
        <f>IFERROR(INDEX('FEOR kodok'!$A$2:$J$1126,MATCH(Bérköltség!AB74,'FEOR kodok'!$B$2:$B$1126,0),8),"NA")</f>
        <v>3611</v>
      </c>
      <c r="I74" s="269">
        <f>IFERROR(INDEX('FEOR kodok'!$A$2:$J$1126,MATCH(Bérköltség!AB74,'FEOR kodok'!$B$2:$B$1126,0),10),"NA")</f>
        <v>49</v>
      </c>
      <c r="J74" s="276" t="str">
        <f t="shared" si="27"/>
        <v>40–49 éves</v>
      </c>
      <c r="K74" s="269" t="str">
        <f>IFERROR(INDEX(admin_feor[#All],MATCH(Bérköltség!H74,admin_feor[[#All],[Foglalkozás]],0),2),"NA")</f>
        <v>Pénzügyi ügyintéző (a pénzintézeti ügyintéző kivételével)</v>
      </c>
      <c r="L74" s="270">
        <f>IFERROR(
INDEX('Admin - FEOR'!$A$4:$F$465,MATCH(Bérköltség!H74,'Admin - FEOR'!$A$4:$A$465,0),
IF(J74="30 év alatt",3,
IF(J74="30–39 éves",4,
IF(J74="40–49 éves",5,
IF(J74="50 év és afelett",6
)))))*1,"NA")</f>
        <v>455910</v>
      </c>
      <c r="M74" s="270">
        <f t="shared" si="28"/>
        <v>579500</v>
      </c>
      <c r="N74" s="318">
        <f t="shared" si="29"/>
        <v>1.2710842052159417</v>
      </c>
      <c r="O74" s="270">
        <f>IFERROR(
INDEX('Admin - FEOR'!$A$4:$F$465,MATCH(Bérköltség!H74,'Admin - FEOR'!$A$4:$A$465,0),
IF(J74="30 év alatt",3,
IF(J74="30–39 éves",4,
IF(J74="40–49 éves",5,
IF(J74="50 év és afelett",6
)))))*1.5,"NA")</f>
        <v>683865</v>
      </c>
      <c r="P74" s="270">
        <f t="shared" si="30"/>
        <v>609190.08620689658</v>
      </c>
      <c r="Q74" s="270">
        <f t="shared" si="31"/>
        <v>400239</v>
      </c>
      <c r="R74" s="275">
        <f t="shared" si="32"/>
        <v>0.89080459770114939</v>
      </c>
      <c r="S74" s="270">
        <f t="shared" si="33"/>
        <v>0</v>
      </c>
      <c r="T74" s="270">
        <f t="shared" si="34"/>
        <v>0</v>
      </c>
      <c r="U74" s="271">
        <f t="shared" si="35"/>
        <v>0</v>
      </c>
      <c r="V74" s="272">
        <f t="shared" si="36"/>
        <v>452270</v>
      </c>
      <c r="W74" s="273" t="str">
        <f t="shared" si="37"/>
        <v>Indoklás szükséges mivel a FEOR: 127,1%</v>
      </c>
      <c r="X74" s="372">
        <f t="shared" si="38"/>
        <v>0</v>
      </c>
      <c r="Y74" s="317">
        <f t="shared" si="39"/>
        <v>400239</v>
      </c>
      <c r="Z74" s="317">
        <f t="shared" si="40"/>
        <v>52031</v>
      </c>
      <c r="AA74" s="12" t="s">
        <v>2800</v>
      </c>
      <c r="AB74" s="274">
        <v>8391703703</v>
      </c>
      <c r="AC74" s="40" t="s">
        <v>292</v>
      </c>
      <c r="AD74" s="82" t="s">
        <v>76</v>
      </c>
      <c r="AE74" s="41" t="s">
        <v>84</v>
      </c>
      <c r="AF74" s="11" t="s">
        <v>160</v>
      </c>
      <c r="AG74" s="11" t="s">
        <v>293</v>
      </c>
      <c r="AH74" s="14" t="s">
        <v>142</v>
      </c>
      <c r="AI74" s="86" t="s">
        <v>32</v>
      </c>
      <c r="AJ74" s="113" t="str">
        <f>IF(COUNTIFS(Admin!$A$29:$A$40,AI74)&gt;0,Admin!$A$28,IF(COUNTIFS(Admin!$B$29:$B$40,AI74)&gt;0,Admin!$B$28,IF(COUNTIFS(Admin!$C$29:$C$40,AI74)&gt;0,Admin!$C$28,IF(COUNTIFS(Admin!$D$29:$D$40,AI74)&gt;0,Admin!$D$28,"-"))))</f>
        <v>2. mérföldkő</v>
      </c>
      <c r="AK74" s="14" t="s">
        <v>7</v>
      </c>
      <c r="AL74" s="9" t="s">
        <v>56</v>
      </c>
      <c r="AM74" s="131">
        <v>579500</v>
      </c>
      <c r="AN74" s="132">
        <f t="shared" si="115"/>
        <v>75335</v>
      </c>
      <c r="AO74" s="121">
        <v>174</v>
      </c>
      <c r="AP74" s="121">
        <v>155</v>
      </c>
      <c r="AQ74" s="123">
        <f t="shared" si="182"/>
        <v>0.89080459770114939</v>
      </c>
      <c r="AR74" s="133">
        <v>400239</v>
      </c>
      <c r="AS74" s="133">
        <f t="shared" si="184"/>
        <v>52031</v>
      </c>
      <c r="AT74" s="123">
        <f t="shared" si="185"/>
        <v>0.20014195749407437</v>
      </c>
      <c r="AU74" s="124">
        <v>0.13</v>
      </c>
      <c r="AV74" s="394" t="s">
        <v>2759</v>
      </c>
      <c r="AW74" s="15">
        <v>44881</v>
      </c>
      <c r="AX74" s="12" t="s">
        <v>206</v>
      </c>
      <c r="AZ74" s="1" t="s">
        <v>2667</v>
      </c>
      <c r="BA74" s="1">
        <v>0</v>
      </c>
      <c r="BB74" s="1">
        <v>0</v>
      </c>
    </row>
    <row r="75" spans="1:56" s="1" customFormat="1" hidden="1" x14ac:dyDescent="0.25">
      <c r="A75" s="264" t="str">
        <f>Bérköltség!$B75</f>
        <v>FEOR</v>
      </c>
      <c r="B75" s="264" t="str">
        <f>IFERROR(
IF(AND(Bérköltség!$F75="",H75="NA"),"HIÁNYOS ADATOK",
IF(Bérköltség!$F75&lt;Bérköltség!$U75,Admin!$B$18,Admin!$B$17)),
"")</f>
        <v>FEOR</v>
      </c>
      <c r="C75" s="265">
        <f>IFERROR(INDEX('Historikus berek_2021-2'!$A$1:$F$903,MATCH(AB75,'Historikus berek_2021-2'!$A$1:$A$903,0),4),"")</f>
        <v>484533.33333333331</v>
      </c>
      <c r="D75" s="279">
        <f t="shared" si="23"/>
        <v>431624.5210727969</v>
      </c>
      <c r="E75" s="265">
        <f t="shared" si="24"/>
        <v>400239</v>
      </c>
      <c r="F75" s="266">
        <f t="shared" si="25"/>
        <v>0</v>
      </c>
      <c r="G75" s="267">
        <f t="shared" si="26"/>
        <v>452270.06999999995</v>
      </c>
      <c r="H75" s="268">
        <f>IFERROR(INDEX('FEOR kodok'!$A$2:$J$1126,MATCH(Bérköltség!AB75,'FEOR kodok'!$B$2:$B$1126,0),8),"NA")</f>
        <v>3611</v>
      </c>
      <c r="I75" s="269">
        <f>IFERROR(INDEX('FEOR kodok'!$A$2:$J$1126,MATCH(Bérköltség!AB75,'FEOR kodok'!$B$2:$B$1126,0),10),"NA")</f>
        <v>49</v>
      </c>
      <c r="J75" s="276" t="str">
        <f t="shared" si="27"/>
        <v>40–49 éves</v>
      </c>
      <c r="K75" s="269" t="str">
        <f>IFERROR(INDEX(admin_feor[#All],MATCH(Bérköltség!H75,admin_feor[[#All],[Foglalkozás]],0),2),"NA")</f>
        <v>Pénzügyi ügyintéző (a pénzintézeti ügyintéző kivételével)</v>
      </c>
      <c r="L75" s="270">
        <f>IFERROR(
INDEX('Admin - FEOR'!$A$4:$F$465,MATCH(Bérköltség!H75,'Admin - FEOR'!$A$4:$A$465,0),
IF(J75="30 év alatt",3,
IF(J75="30–39 éves",4,
IF(J75="40–49 éves",5,
IF(J75="50 év és afelett",6
)))))*1,"NA")</f>
        <v>455910</v>
      </c>
      <c r="M75" s="270">
        <f t="shared" si="28"/>
        <v>579500</v>
      </c>
      <c r="N75" s="318">
        <f t="shared" si="29"/>
        <v>1.2710842052159417</v>
      </c>
      <c r="O75" s="270">
        <f>IFERROR(
INDEX('Admin - FEOR'!$A$4:$F$465,MATCH(Bérköltség!H75,'Admin - FEOR'!$A$4:$A$465,0),
IF(J75="30 év alatt",3,
IF(J75="30–39 éves",4,
IF(J75="40–49 éves",5,
IF(J75="50 év és afelett",6
)))))*1.5,"NA")</f>
        <v>683865</v>
      </c>
      <c r="P75" s="270">
        <f t="shared" si="30"/>
        <v>609190.08620689658</v>
      </c>
      <c r="Q75" s="270">
        <f t="shared" si="31"/>
        <v>400239</v>
      </c>
      <c r="R75" s="275">
        <f t="shared" si="32"/>
        <v>0.89080459770114939</v>
      </c>
      <c r="S75" s="270">
        <f t="shared" si="33"/>
        <v>0</v>
      </c>
      <c r="T75" s="270">
        <f t="shared" si="34"/>
        <v>0</v>
      </c>
      <c r="U75" s="271">
        <f t="shared" si="35"/>
        <v>0</v>
      </c>
      <c r="V75" s="272">
        <f t="shared" si="36"/>
        <v>452270</v>
      </c>
      <c r="W75" s="273" t="str">
        <f t="shared" si="37"/>
        <v>Indoklás szükséges mivel a FEOR: 127,1%</v>
      </c>
      <c r="X75" s="372">
        <f t="shared" si="38"/>
        <v>0</v>
      </c>
      <c r="Y75" s="317">
        <f t="shared" si="39"/>
        <v>400239</v>
      </c>
      <c r="Z75" s="317">
        <f t="shared" si="40"/>
        <v>52031</v>
      </c>
      <c r="AA75" s="12" t="s">
        <v>2800</v>
      </c>
      <c r="AB75" s="274">
        <v>8391703703</v>
      </c>
      <c r="AC75" s="40" t="s">
        <v>292</v>
      </c>
      <c r="AD75" s="82" t="s">
        <v>76</v>
      </c>
      <c r="AE75" s="41" t="s">
        <v>84</v>
      </c>
      <c r="AF75" s="11" t="s">
        <v>160</v>
      </c>
      <c r="AG75" s="11" t="s">
        <v>293</v>
      </c>
      <c r="AH75" s="14" t="s">
        <v>142</v>
      </c>
      <c r="AI75" s="86" t="s">
        <v>33</v>
      </c>
      <c r="AJ75" s="113" t="str">
        <f>IF(COUNTIFS(Admin!$A$29:$A$40,AI75)&gt;0,Admin!$A$28,IF(COUNTIFS(Admin!$B$29:$B$40,AI75)&gt;0,Admin!$B$28,IF(COUNTIFS(Admin!$C$29:$C$40,AI75)&gt;0,Admin!$C$28,IF(COUNTIFS(Admin!$D$29:$D$40,AI75)&gt;0,Admin!$D$28,"-"))))</f>
        <v>2. mérföldkő</v>
      </c>
      <c r="AK75" s="14" t="s">
        <v>7</v>
      </c>
      <c r="AL75" s="9" t="s">
        <v>56</v>
      </c>
      <c r="AM75" s="131">
        <v>579500</v>
      </c>
      <c r="AN75" s="132">
        <f t="shared" si="115"/>
        <v>75335</v>
      </c>
      <c r="AO75" s="121">
        <v>174</v>
      </c>
      <c r="AP75" s="121">
        <v>155</v>
      </c>
      <c r="AQ75" s="123">
        <f t="shared" si="182"/>
        <v>0.89080459770114939</v>
      </c>
      <c r="AR75" s="133">
        <v>400239</v>
      </c>
      <c r="AS75" s="133">
        <f t="shared" si="184"/>
        <v>52031</v>
      </c>
      <c r="AT75" s="123">
        <f t="shared" si="185"/>
        <v>0.20014195749407437</v>
      </c>
      <c r="AU75" s="124">
        <v>0.13</v>
      </c>
      <c r="AV75" s="394" t="s">
        <v>2759</v>
      </c>
      <c r="AW75" s="15">
        <v>44881</v>
      </c>
      <c r="AX75" s="12" t="s">
        <v>206</v>
      </c>
      <c r="AZ75" s="8" t="str">
        <f>IF(VLOOKUP(LEFT($AB75,10),'Havi béradatok'!$B:$E,2,FALSE)=AG75,"EGYEZIK","HIBÁS")</f>
        <v>EGYEZIK</v>
      </c>
      <c r="BA75" s="1">
        <f>VLOOKUP(LEFT($AB75,10),'Havi béradatok'!$B:$E,3,FALSE)-AM75</f>
        <v>-1</v>
      </c>
      <c r="BB75" s="1">
        <f>VLOOKUP(LEFT($AB75,10),'Havi béradatok'!$B:$E,4,FALSE)-AN75</f>
        <v>54527</v>
      </c>
    </row>
    <row r="76" spans="1:56" s="1" customFormat="1" hidden="1" x14ac:dyDescent="0.25">
      <c r="A76" s="264" t="str">
        <f>Bérköltség!$B76</f>
        <v>FEOR</v>
      </c>
      <c r="B76" s="264" t="str">
        <f>IFERROR(
IF(AND(Bérköltség!$F76="",H76="NA"),"HIÁNYOS ADATOK",
IF(Bérköltség!$F76&lt;Bérköltség!$U76,Admin!$B$18,Admin!$B$17)),
"")</f>
        <v>FEOR</v>
      </c>
      <c r="C76" s="265">
        <f>IFERROR(INDEX('Historikus berek_2021-2'!$A$1:$F$903,MATCH(AB76,'Historikus berek_2021-2'!$A$1:$A$903,0),4),"")</f>
        <v>484533.33333333331</v>
      </c>
      <c r="D76" s="279">
        <f t="shared" si="23"/>
        <v>431624.5210727969</v>
      </c>
      <c r="E76" s="265">
        <f t="shared" si="24"/>
        <v>400239</v>
      </c>
      <c r="F76" s="266">
        <f t="shared" si="25"/>
        <v>0</v>
      </c>
      <c r="G76" s="267">
        <f t="shared" si="26"/>
        <v>452270.06999999995</v>
      </c>
      <c r="H76" s="268">
        <f>IFERROR(INDEX('FEOR kodok'!$A$2:$J$1126,MATCH(Bérköltség!AB76,'FEOR kodok'!$B$2:$B$1126,0),8),"NA")</f>
        <v>3611</v>
      </c>
      <c r="I76" s="269">
        <f>IFERROR(INDEX('FEOR kodok'!$A$2:$J$1126,MATCH(Bérköltség!AB76,'FEOR kodok'!$B$2:$B$1126,0),10),"NA")</f>
        <v>49</v>
      </c>
      <c r="J76" s="276" t="str">
        <f t="shared" si="27"/>
        <v>40–49 éves</v>
      </c>
      <c r="K76" s="269" t="str">
        <f>IFERROR(INDEX(admin_feor[#All],MATCH(Bérköltség!H76,admin_feor[[#All],[Foglalkozás]],0),2),"NA")</f>
        <v>Pénzügyi ügyintéző (a pénzintézeti ügyintéző kivételével)</v>
      </c>
      <c r="L76" s="270">
        <f>IFERROR(
INDEX('Admin - FEOR'!$A$4:$F$465,MATCH(Bérköltség!H76,'Admin - FEOR'!$A$4:$A$465,0),
IF(J76="30 év alatt",3,
IF(J76="30–39 éves",4,
IF(J76="40–49 éves",5,
IF(J76="50 év és afelett",6
)))))*1,"NA")</f>
        <v>455910</v>
      </c>
      <c r="M76" s="270">
        <f t="shared" si="28"/>
        <v>579500</v>
      </c>
      <c r="N76" s="318">
        <f t="shared" si="29"/>
        <v>1.2710842052159417</v>
      </c>
      <c r="O76" s="270">
        <f>IFERROR(
INDEX('Admin - FEOR'!$A$4:$F$465,MATCH(Bérköltség!H76,'Admin - FEOR'!$A$4:$A$465,0),
IF(J76="30 év alatt",3,
IF(J76="30–39 éves",4,
IF(J76="40–49 éves",5,
IF(J76="50 év és afelett",6
)))))*1.5,"NA")</f>
        <v>683865</v>
      </c>
      <c r="P76" s="270">
        <f t="shared" si="30"/>
        <v>609190.08620689658</v>
      </c>
      <c r="Q76" s="270">
        <f t="shared" si="31"/>
        <v>400239</v>
      </c>
      <c r="R76" s="275">
        <f t="shared" si="32"/>
        <v>0.89080459770114939</v>
      </c>
      <c r="S76" s="270">
        <f t="shared" si="33"/>
        <v>0</v>
      </c>
      <c r="T76" s="270">
        <f t="shared" si="34"/>
        <v>0</v>
      </c>
      <c r="U76" s="271">
        <f t="shared" si="35"/>
        <v>0</v>
      </c>
      <c r="V76" s="272">
        <f t="shared" si="36"/>
        <v>452270</v>
      </c>
      <c r="W76" s="273" t="str">
        <f t="shared" si="37"/>
        <v>Indoklás szükséges mivel a FEOR: 127,1%</v>
      </c>
      <c r="X76" s="372">
        <f t="shared" si="38"/>
        <v>0</v>
      </c>
      <c r="Y76" s="317">
        <f t="shared" si="39"/>
        <v>400239</v>
      </c>
      <c r="Z76" s="317">
        <f t="shared" si="40"/>
        <v>52031</v>
      </c>
      <c r="AA76" s="12" t="s">
        <v>2800</v>
      </c>
      <c r="AB76" s="274">
        <v>8391703703</v>
      </c>
      <c r="AC76" s="40" t="s">
        <v>292</v>
      </c>
      <c r="AD76" s="82" t="s">
        <v>76</v>
      </c>
      <c r="AE76" s="41" t="s">
        <v>84</v>
      </c>
      <c r="AF76" s="11" t="s">
        <v>160</v>
      </c>
      <c r="AG76" s="11" t="s">
        <v>293</v>
      </c>
      <c r="AH76" s="14" t="s">
        <v>142</v>
      </c>
      <c r="AI76" s="86" t="s">
        <v>34</v>
      </c>
      <c r="AJ76" s="113" t="str">
        <f>IF(COUNTIFS(Admin!$A$29:$A$40,AI76)&gt;0,Admin!$A$28,IF(COUNTIFS(Admin!$B$29:$B$40,AI76)&gt;0,Admin!$B$28,IF(COUNTIFS(Admin!$C$29:$C$40,AI76)&gt;0,Admin!$C$28,IF(COUNTIFS(Admin!$D$29:$D$40,AI76)&gt;0,Admin!$D$28,"-"))))</f>
        <v>2. mérföldkő</v>
      </c>
      <c r="AK76" s="14" t="s">
        <v>7</v>
      </c>
      <c r="AL76" s="9" t="s">
        <v>56</v>
      </c>
      <c r="AM76" s="131">
        <v>579500</v>
      </c>
      <c r="AN76" s="132">
        <f t="shared" si="115"/>
        <v>75335</v>
      </c>
      <c r="AO76" s="121">
        <v>174</v>
      </c>
      <c r="AP76" s="121">
        <v>155</v>
      </c>
      <c r="AQ76" s="123">
        <f t="shared" si="182"/>
        <v>0.89080459770114939</v>
      </c>
      <c r="AR76" s="133">
        <v>400239</v>
      </c>
      <c r="AS76" s="133">
        <f t="shared" si="184"/>
        <v>52031</v>
      </c>
      <c r="AT76" s="123">
        <f t="shared" si="185"/>
        <v>0.20014195749407437</v>
      </c>
      <c r="AU76" s="124">
        <v>0.13</v>
      </c>
      <c r="AV76" s="394" t="s">
        <v>2759</v>
      </c>
      <c r="AW76" s="15">
        <v>44881</v>
      </c>
      <c r="AX76" s="12" t="s">
        <v>206</v>
      </c>
    </row>
    <row r="77" spans="1:56" s="1" customFormat="1" x14ac:dyDescent="0.25">
      <c r="A77" s="264" t="str">
        <f>Bérköltség!$B77</f>
        <v>FEOR</v>
      </c>
      <c r="B77" s="264" t="str">
        <f>IFERROR(
IF(AND(Bérköltség!$F77="",H77="NA"),"HIÁNYOS ADATOK",
IF(Bérköltség!$F77&lt;Bérköltség!$U77,Admin!$B$18,Admin!$B$17)),
"")</f>
        <v>FEOR</v>
      </c>
      <c r="C77" s="265">
        <f>IFERROR(INDEX('Historikus berek_2021-2'!$A$1:$F$903,MATCH(AB77,'Historikus berek_2021-2'!$A$1:$A$903,0),4),"")</f>
        <v>484533.33333333331</v>
      </c>
      <c r="D77" s="279">
        <f t="shared" si="23"/>
        <v>431624.5210727969</v>
      </c>
      <c r="E77" s="265">
        <f t="shared" si="24"/>
        <v>400239</v>
      </c>
      <c r="F77" s="266">
        <f t="shared" si="25"/>
        <v>0</v>
      </c>
      <c r="G77" s="267">
        <f t="shared" si="26"/>
        <v>452270.06999999995</v>
      </c>
      <c r="H77" s="268">
        <f>IFERROR(INDEX('FEOR kodok'!$A$2:$J$1126,MATCH(Bérköltség!AB77,'FEOR kodok'!$B$2:$B$1126,0),8),"NA")</f>
        <v>3611</v>
      </c>
      <c r="I77" s="269">
        <f>IFERROR(INDEX('FEOR kodok'!$A$2:$J$1126,MATCH(Bérköltség!AB77,'FEOR kodok'!$B$2:$B$1126,0),10),"NA")</f>
        <v>49</v>
      </c>
      <c r="J77" s="276" t="str">
        <f t="shared" si="27"/>
        <v>40–49 éves</v>
      </c>
      <c r="K77" s="269" t="str">
        <f>IFERROR(INDEX(admin_feor[#All],MATCH(Bérköltség!H77,admin_feor[[#All],[Foglalkozás]],0),2),"NA")</f>
        <v>Pénzügyi ügyintéző (a pénzintézeti ügyintéző kivételével)</v>
      </c>
      <c r="L77" s="270">
        <f>IFERROR(
INDEX('Admin - FEOR'!$A$4:$F$465,MATCH(Bérköltség!H77,'Admin - FEOR'!$A$4:$A$465,0),
IF(J77="30 év alatt",3,
IF(J77="30–39 éves",4,
IF(J77="40–49 éves",5,
IF(J77="50 év és afelett",6
)))))*1,"NA")</f>
        <v>455910</v>
      </c>
      <c r="M77" s="270">
        <f t="shared" si="28"/>
        <v>579499</v>
      </c>
      <c r="N77" s="318">
        <f t="shared" si="29"/>
        <v>1.2710820118005748</v>
      </c>
      <c r="O77" s="270">
        <f>IFERROR(
INDEX('Admin - FEOR'!$A$4:$F$465,MATCH(Bérköltség!H77,'Admin - FEOR'!$A$4:$A$465,0),
IF(J77="30 év alatt",3,
IF(J77="30–39 éves",4,
IF(J77="40–49 éves",5,
IF(J77="50 év és afelett",6
)))))*1.5,"NA")</f>
        <v>683865</v>
      </c>
      <c r="P77" s="270">
        <f t="shared" si="30"/>
        <v>609190.08620689658</v>
      </c>
      <c r="Q77" s="270">
        <f t="shared" si="31"/>
        <v>400239</v>
      </c>
      <c r="R77" s="275">
        <f t="shared" si="32"/>
        <v>0.89080459770114939</v>
      </c>
      <c r="S77" s="270">
        <f t="shared" si="33"/>
        <v>0</v>
      </c>
      <c r="T77" s="270">
        <f t="shared" si="34"/>
        <v>0</v>
      </c>
      <c r="U77" s="271">
        <f t="shared" si="35"/>
        <v>0</v>
      </c>
      <c r="V77" s="272">
        <f t="shared" si="36"/>
        <v>452270</v>
      </c>
      <c r="W77" s="273" t="str">
        <f t="shared" si="37"/>
        <v>Indoklás szükséges mivel a FEOR: 127,1%</v>
      </c>
      <c r="X77" s="372">
        <f t="shared" si="38"/>
        <v>0</v>
      </c>
      <c r="Y77" s="317">
        <f t="shared" si="39"/>
        <v>400239</v>
      </c>
      <c r="Z77" s="317">
        <f t="shared" si="40"/>
        <v>52031</v>
      </c>
      <c r="AA77" s="36"/>
      <c r="AB77" s="274">
        <v>8391703703</v>
      </c>
      <c r="AC77" s="40" t="s">
        <v>292</v>
      </c>
      <c r="AD77" s="82" t="s">
        <v>76</v>
      </c>
      <c r="AE77" s="41" t="s">
        <v>84</v>
      </c>
      <c r="AF77" s="11" t="s">
        <v>160</v>
      </c>
      <c r="AG77" s="11" t="s">
        <v>293</v>
      </c>
      <c r="AH77" s="14" t="s">
        <v>142</v>
      </c>
      <c r="AI77" s="86" t="s">
        <v>35</v>
      </c>
      <c r="AJ77" s="113" t="str">
        <f>IF(COUNTIFS(Admin!$A$29:$A$40,AI77)&gt;0,Admin!$A$28,IF(COUNTIFS(Admin!$B$29:$B$40,AI77)&gt;0,Admin!$B$28,IF(COUNTIFS(Admin!$C$29:$C$40,AI77)&gt;0,Admin!$C$28,IF(COUNTIFS(Admin!$D$29:$D$40,AI77)&gt;0,Admin!$D$28,"-"))))</f>
        <v>3. mérföldkő</v>
      </c>
      <c r="AK77" s="14" t="s">
        <v>7</v>
      </c>
      <c r="AL77" s="9" t="s">
        <v>56</v>
      </c>
      <c r="AM77" s="131">
        <v>579499</v>
      </c>
      <c r="AN77" s="132">
        <f t="shared" si="115"/>
        <v>75335</v>
      </c>
      <c r="AO77" s="121">
        <v>174</v>
      </c>
      <c r="AP77" s="121">
        <v>155</v>
      </c>
      <c r="AQ77" s="123">
        <f t="shared" si="182"/>
        <v>0.89080459770114939</v>
      </c>
      <c r="AR77" s="133">
        <v>400239</v>
      </c>
      <c r="AS77" s="133">
        <f t="shared" si="184"/>
        <v>52031</v>
      </c>
      <c r="AT77" s="123">
        <f t="shared" si="185"/>
        <v>0.20014076566692673</v>
      </c>
      <c r="AU77" s="124">
        <v>0.13</v>
      </c>
      <c r="AV77" s="394" t="s">
        <v>2759</v>
      </c>
      <c r="AW77" s="15">
        <v>44881</v>
      </c>
      <c r="AX77" s="12" t="s">
        <v>206</v>
      </c>
      <c r="AZ77" s="1" t="str">
        <f>IF(VLOOKUP(LEFT($AB77,10),'Havi béradatok'!$B:$E,2,FALSE)=AG77,"EGYEZIK","HIBÁS")</f>
        <v>EGYEZIK</v>
      </c>
      <c r="BA77" s="1">
        <f>VLOOKUP(LEFT($AB77,10),'Havi béradatok'!$B:$E,3,FALSE)-AM77</f>
        <v>0</v>
      </c>
      <c r="BB77" s="391">
        <f>VLOOKUP(LEFT($AB77,10),'Havi béradatok'!$B:$E,4,FALSE)-AN77</f>
        <v>54527</v>
      </c>
      <c r="BC77" s="400"/>
      <c r="BD77" s="400"/>
    </row>
    <row r="78" spans="1:56" s="1" customFormat="1" hidden="1" x14ac:dyDescent="0.25">
      <c r="A78" s="264" t="str">
        <f>Bérköltség!$B78</f>
        <v>FEOR</v>
      </c>
      <c r="B78" s="264" t="str">
        <f>IFERROR(
IF(AND(Bérköltség!$F78="",H78="NA"),"HIÁNYOS ADATOK",
IF(Bérköltség!$F78&lt;Bérköltség!$U78,Admin!$B$18,Admin!$B$17)),
"")</f>
        <v>FEOR</v>
      </c>
      <c r="C78" s="265">
        <f>IFERROR(INDEX('Historikus berek_2021-2'!$A$1:$F$903,MATCH(AB78,'Historikus berek_2021-2'!$A$1:$A$903,0),4),"")</f>
        <v>484533.33333333331</v>
      </c>
      <c r="D78" s="279">
        <f t="shared" si="23"/>
        <v>431624.5210727969</v>
      </c>
      <c r="E78" s="265">
        <f t="shared" si="24"/>
        <v>400239</v>
      </c>
      <c r="F78" s="266">
        <f t="shared" si="25"/>
        <v>0</v>
      </c>
      <c r="G78" s="267">
        <f t="shared" si="26"/>
        <v>452270.06999999995</v>
      </c>
      <c r="H78" s="268">
        <f>IFERROR(INDEX('FEOR kodok'!$A$2:$J$1126,MATCH(Bérköltség!AB78,'FEOR kodok'!$B$2:$B$1126,0),8),"NA")</f>
        <v>3611</v>
      </c>
      <c r="I78" s="269">
        <f>IFERROR(INDEX('FEOR kodok'!$A$2:$J$1126,MATCH(Bérköltség!AB78,'FEOR kodok'!$B$2:$B$1126,0),10),"NA")</f>
        <v>49</v>
      </c>
      <c r="J78" s="276" t="str">
        <f t="shared" si="27"/>
        <v>40–49 éves</v>
      </c>
      <c r="K78" s="269" t="str">
        <f>IFERROR(INDEX(admin_feor[#All],MATCH(Bérköltség!H78,admin_feor[[#All],[Foglalkozás]],0),2),"NA")</f>
        <v>Pénzügyi ügyintéző (a pénzintézeti ügyintéző kivételével)</v>
      </c>
      <c r="L78" s="270">
        <f>IFERROR(
INDEX('Admin - FEOR'!$A$4:$F$465,MATCH(Bérköltség!H78,'Admin - FEOR'!$A$4:$A$465,0),
IF(J78="30 év alatt",3,
IF(J78="30–39 éves",4,
IF(J78="40–49 éves",5,
IF(J78="50 év és afelett",6
)))))*1,"NA")</f>
        <v>455910</v>
      </c>
      <c r="M78" s="270">
        <f t="shared" si="28"/>
        <v>579500</v>
      </c>
      <c r="N78" s="318">
        <f t="shared" si="29"/>
        <v>1.2710842052159417</v>
      </c>
      <c r="O78" s="270">
        <f>IFERROR(
INDEX('Admin - FEOR'!$A$4:$F$465,MATCH(Bérköltség!H78,'Admin - FEOR'!$A$4:$A$465,0),
IF(J78="30 év alatt",3,
IF(J78="30–39 éves",4,
IF(J78="40–49 éves",5,
IF(J78="50 év és afelett",6
)))))*1.5,"NA")</f>
        <v>683865</v>
      </c>
      <c r="P78" s="270">
        <f t="shared" si="30"/>
        <v>609190.08620689658</v>
      </c>
      <c r="Q78" s="270">
        <f t="shared" si="31"/>
        <v>400239</v>
      </c>
      <c r="R78" s="275">
        <f t="shared" si="32"/>
        <v>0.89080459770114939</v>
      </c>
      <c r="S78" s="270">
        <f t="shared" si="33"/>
        <v>0</v>
      </c>
      <c r="T78" s="270">
        <f t="shared" si="34"/>
        <v>0</v>
      </c>
      <c r="U78" s="271">
        <f t="shared" si="35"/>
        <v>0</v>
      </c>
      <c r="V78" s="272">
        <f t="shared" si="36"/>
        <v>452270</v>
      </c>
      <c r="W78" s="273" t="str">
        <f t="shared" si="37"/>
        <v>Indoklás szükséges mivel a FEOR: 127,1%</v>
      </c>
      <c r="X78" s="372">
        <f t="shared" si="38"/>
        <v>0</v>
      </c>
      <c r="Y78" s="317">
        <f t="shared" si="39"/>
        <v>400239</v>
      </c>
      <c r="Z78" s="317">
        <f t="shared" si="40"/>
        <v>52031</v>
      </c>
      <c r="AA78" s="36"/>
      <c r="AB78" s="274">
        <v>8391703703</v>
      </c>
      <c r="AC78" s="40" t="s">
        <v>292</v>
      </c>
      <c r="AD78" s="82" t="s">
        <v>76</v>
      </c>
      <c r="AE78" s="41" t="s">
        <v>84</v>
      </c>
      <c r="AF78" s="11" t="s">
        <v>160</v>
      </c>
      <c r="AG78" s="11" t="s">
        <v>293</v>
      </c>
      <c r="AH78" s="14" t="s">
        <v>142</v>
      </c>
      <c r="AI78" s="86" t="s">
        <v>36</v>
      </c>
      <c r="AJ78" s="113" t="str">
        <f>IF(COUNTIFS(Admin!$A$29:$A$40,AI78)&gt;0,Admin!$A$28,IF(COUNTIFS(Admin!$B$29:$B$40,AI78)&gt;0,Admin!$B$28,IF(COUNTIFS(Admin!$C$29:$C$40,AI78)&gt;0,Admin!$C$28,IF(COUNTIFS(Admin!$D$29:$D$40,AI78)&gt;0,Admin!$D$28,"-"))))</f>
        <v>3. mérföldkő</v>
      </c>
      <c r="AK78" s="14" t="s">
        <v>141</v>
      </c>
      <c r="AL78" s="9" t="s">
        <v>56</v>
      </c>
      <c r="AM78" s="131">
        <v>579500</v>
      </c>
      <c r="AN78" s="132">
        <f t="shared" si="115"/>
        <v>75335</v>
      </c>
      <c r="AO78" s="121">
        <v>174</v>
      </c>
      <c r="AP78" s="121">
        <v>155</v>
      </c>
      <c r="AQ78" s="123">
        <f t="shared" si="182"/>
        <v>0.89080459770114939</v>
      </c>
      <c r="AR78" s="133">
        <v>400239</v>
      </c>
      <c r="AS78" s="133">
        <f t="shared" si="184"/>
        <v>52031</v>
      </c>
      <c r="AT78" s="123">
        <f t="shared" si="185"/>
        <v>0.20014195749407437</v>
      </c>
      <c r="AU78" s="124">
        <v>0.13</v>
      </c>
      <c r="AV78" s="394" t="s">
        <v>2759</v>
      </c>
      <c r="AW78" s="15">
        <v>44881</v>
      </c>
      <c r="AX78" s="12" t="s">
        <v>206</v>
      </c>
    </row>
    <row r="79" spans="1:56" s="1" customFormat="1" hidden="1" x14ac:dyDescent="0.25">
      <c r="A79" s="264" t="str">
        <f>Bérköltség!$B79</f>
        <v>FEOR</v>
      </c>
      <c r="B79" s="264" t="str">
        <f>IFERROR(
IF(AND(Bérköltség!$F79="",H79="NA"),"HIÁNYOS ADATOK",
IF(Bérköltség!$F79&lt;Bérköltség!$U79,Admin!$B$18,Admin!$B$17)),
"")</f>
        <v>FEOR</v>
      </c>
      <c r="C79" s="265">
        <f>IFERROR(INDEX('Historikus berek_2021-2'!$A$1:$F$903,MATCH(AB79,'Historikus berek_2021-2'!$A$1:$A$903,0),4),"")</f>
        <v>484533.33333333331</v>
      </c>
      <c r="D79" s="279">
        <f t="shared" si="23"/>
        <v>431624.5210727969</v>
      </c>
      <c r="E79" s="265">
        <f t="shared" si="24"/>
        <v>400239</v>
      </c>
      <c r="F79" s="266">
        <f t="shared" si="25"/>
        <v>0</v>
      </c>
      <c r="G79" s="267">
        <f t="shared" si="26"/>
        <v>452270.06999999995</v>
      </c>
      <c r="H79" s="268">
        <f>IFERROR(INDEX('FEOR kodok'!$A$2:$J$1126,MATCH(Bérköltség!AB79,'FEOR kodok'!$B$2:$B$1126,0),8),"NA")</f>
        <v>3611</v>
      </c>
      <c r="I79" s="269">
        <f>IFERROR(INDEX('FEOR kodok'!$A$2:$J$1126,MATCH(Bérköltség!AB79,'FEOR kodok'!$B$2:$B$1126,0),10),"NA")</f>
        <v>49</v>
      </c>
      <c r="J79" s="276" t="str">
        <f t="shared" si="27"/>
        <v>40–49 éves</v>
      </c>
      <c r="K79" s="269" t="str">
        <f>IFERROR(INDEX(admin_feor[#All],MATCH(Bérköltség!H79,admin_feor[[#All],[Foglalkozás]],0),2),"NA")</f>
        <v>Pénzügyi ügyintéző (a pénzintézeti ügyintéző kivételével)</v>
      </c>
      <c r="L79" s="270">
        <f>IFERROR(
INDEX('Admin - FEOR'!$A$4:$F$465,MATCH(Bérköltség!H79,'Admin - FEOR'!$A$4:$A$465,0),
IF(J79="30 év alatt",3,
IF(J79="30–39 éves",4,
IF(J79="40–49 éves",5,
IF(J79="50 év és afelett",6
)))))*1,"NA")</f>
        <v>455910</v>
      </c>
      <c r="M79" s="270">
        <f t="shared" si="28"/>
        <v>579500</v>
      </c>
      <c r="N79" s="318">
        <f t="shared" si="29"/>
        <v>1.2710842052159417</v>
      </c>
      <c r="O79" s="270">
        <f>IFERROR(
INDEX('Admin - FEOR'!$A$4:$F$465,MATCH(Bérköltség!H79,'Admin - FEOR'!$A$4:$A$465,0),
IF(J79="30 év alatt",3,
IF(J79="30–39 éves",4,
IF(J79="40–49 éves",5,
IF(J79="50 év és afelett",6
)))))*1.5,"NA")</f>
        <v>683865</v>
      </c>
      <c r="P79" s="270">
        <f t="shared" si="30"/>
        <v>609190.08620689658</v>
      </c>
      <c r="Q79" s="270">
        <f t="shared" si="31"/>
        <v>400239</v>
      </c>
      <c r="R79" s="275">
        <f t="shared" si="32"/>
        <v>0.89080459770114939</v>
      </c>
      <c r="S79" s="270">
        <f t="shared" si="33"/>
        <v>0</v>
      </c>
      <c r="T79" s="270">
        <f t="shared" si="34"/>
        <v>0</v>
      </c>
      <c r="U79" s="271">
        <f t="shared" si="35"/>
        <v>0</v>
      </c>
      <c r="V79" s="272">
        <f t="shared" si="36"/>
        <v>452270</v>
      </c>
      <c r="W79" s="273" t="str">
        <f t="shared" si="37"/>
        <v>Indoklás szükséges mivel a FEOR: 127,1%</v>
      </c>
      <c r="X79" s="372">
        <f t="shared" si="38"/>
        <v>0</v>
      </c>
      <c r="Y79" s="317">
        <f t="shared" si="39"/>
        <v>400239</v>
      </c>
      <c r="Z79" s="317">
        <f t="shared" si="40"/>
        <v>52031</v>
      </c>
      <c r="AA79" s="36"/>
      <c r="AB79" s="274">
        <v>8391703703</v>
      </c>
      <c r="AC79" s="40" t="s">
        <v>292</v>
      </c>
      <c r="AD79" s="82" t="s">
        <v>76</v>
      </c>
      <c r="AE79" s="41" t="s">
        <v>84</v>
      </c>
      <c r="AF79" s="11" t="s">
        <v>160</v>
      </c>
      <c r="AG79" s="11" t="s">
        <v>293</v>
      </c>
      <c r="AH79" s="14" t="s">
        <v>142</v>
      </c>
      <c r="AI79" s="86" t="s">
        <v>37</v>
      </c>
      <c r="AJ79" s="113" t="str">
        <f>IF(COUNTIFS(Admin!$A$29:$A$40,AI79)&gt;0,Admin!$A$28,IF(COUNTIFS(Admin!$B$29:$B$40,AI79)&gt;0,Admin!$B$28,IF(COUNTIFS(Admin!$C$29:$C$40,AI79)&gt;0,Admin!$C$28,IF(COUNTIFS(Admin!$D$29:$D$40,AI79)&gt;0,Admin!$D$28,"-"))))</f>
        <v>3. mérföldkő</v>
      </c>
      <c r="AK79" s="14" t="s">
        <v>141</v>
      </c>
      <c r="AL79" s="9" t="s">
        <v>56</v>
      </c>
      <c r="AM79" s="131">
        <v>579500</v>
      </c>
      <c r="AN79" s="132">
        <f t="shared" si="115"/>
        <v>75335</v>
      </c>
      <c r="AO79" s="121">
        <v>174</v>
      </c>
      <c r="AP79" s="121">
        <v>155</v>
      </c>
      <c r="AQ79" s="123">
        <f t="shared" si="182"/>
        <v>0.89080459770114939</v>
      </c>
      <c r="AR79" s="133">
        <v>400239</v>
      </c>
      <c r="AS79" s="133">
        <f t="shared" si="184"/>
        <v>52031</v>
      </c>
      <c r="AT79" s="123">
        <f t="shared" si="185"/>
        <v>0.20014195749407437</v>
      </c>
      <c r="AU79" s="124">
        <v>0.13</v>
      </c>
      <c r="AV79" s="394" t="s">
        <v>2759</v>
      </c>
      <c r="AW79" s="15">
        <v>44881</v>
      </c>
      <c r="AX79" s="12" t="s">
        <v>206</v>
      </c>
    </row>
    <row r="80" spans="1:56" s="1" customFormat="1" hidden="1" x14ac:dyDescent="0.25">
      <c r="A80" s="264" t="str">
        <f>Bérköltség!$B80</f>
        <v>FEOR</v>
      </c>
      <c r="B80" s="264" t="str">
        <f>IFERROR(
IF(AND(Bérköltség!$F80="",H80="NA"),"HIÁNYOS ADATOK",
IF(Bérköltség!$F80&lt;Bérköltség!$U80,Admin!$B$18,Admin!$B$17)),
"")</f>
        <v>FEOR</v>
      </c>
      <c r="C80" s="265" t="str">
        <f>IFERROR(INDEX('Historikus berek_2021-2'!$A$1:$F$903,MATCH(AB80,'Historikus berek_2021-2'!$A$1:$A$903,0),4),"")</f>
        <v/>
      </c>
      <c r="D80" s="279" t="str">
        <f t="shared" si="23"/>
        <v/>
      </c>
      <c r="E80" s="265">
        <f t="shared" si="24"/>
        <v>75000</v>
      </c>
      <c r="F80" s="266" t="str">
        <f t="shared" si="25"/>
        <v/>
      </c>
      <c r="G80" s="267" t="str">
        <f t="shared" si="26"/>
        <v/>
      </c>
      <c r="H80" s="268">
        <f>IFERROR(INDEX('FEOR kodok'!$A$2:$J$1126,MATCH(Bérköltség!AB80,'FEOR kodok'!$B$2:$B$1126,0),8),"NA")</f>
        <v>2167</v>
      </c>
      <c r="I80" s="269">
        <f>IFERROR(INDEX('FEOR kodok'!$A$2:$J$1126,MATCH(Bérköltség!AB80,'FEOR kodok'!$B$2:$B$1126,0),10),"NA")</f>
        <v>33</v>
      </c>
      <c r="J80" s="276" t="str">
        <f t="shared" si="27"/>
        <v>30–39 éves</v>
      </c>
      <c r="K80" s="269" t="str">
        <f>IFERROR(INDEX(admin_feor[#All],MATCH(Bérköltség!H80,admin_feor[[#All],[Foglalkozás]],0),2),"NA")</f>
        <v>Biológus, botanikus, zoológus és rokon foglalkozású</v>
      </c>
      <c r="L80" s="270">
        <f>IFERROR(
INDEX('Admin - FEOR'!$A$4:$F$465,MATCH(Bérköltség!H80,'Admin - FEOR'!$A$4:$A$465,0),
IF(J80="30 év alatt",3,
IF(J80="30–39 éves",4,
IF(J80="40–49 éves",5,
IF(J80="50 év és afelett",6
)))))*1,"NA")</f>
        <v>578385</v>
      </c>
      <c r="M80" s="270">
        <f t="shared" si="28"/>
        <v>75000</v>
      </c>
      <c r="N80" s="318">
        <f t="shared" si="29"/>
        <v>0.1296714126403693</v>
      </c>
      <c r="O80" s="270">
        <f>IFERROR(
INDEX('Admin - FEOR'!$A$4:$F$465,MATCH(Bérköltség!H80,'Admin - FEOR'!$A$4:$A$465,0),
IF(J80="30 év alatt",3,
IF(J80="30–39 éves",4,
IF(J80="40–49 éves",5,
IF(J80="50 év és afelett",6
)))))*1.5,"NA")</f>
        <v>867577.5</v>
      </c>
      <c r="P80" s="270">
        <f t="shared" si="30"/>
        <v>867577.5</v>
      </c>
      <c r="Q80" s="270">
        <f t="shared" si="31"/>
        <v>75000</v>
      </c>
      <c r="R80" s="275">
        <f t="shared" si="32"/>
        <v>1</v>
      </c>
      <c r="S80" s="270">
        <f t="shared" si="33"/>
        <v>0</v>
      </c>
      <c r="T80" s="270">
        <f t="shared" si="34"/>
        <v>0</v>
      </c>
      <c r="U80" s="271">
        <f t="shared" si="35"/>
        <v>0</v>
      </c>
      <c r="V80" s="272">
        <f t="shared" si="36"/>
        <v>84750</v>
      </c>
      <c r="W80" s="273" t="str">
        <f t="shared" si="37"/>
        <v>Nem szükséges indoklás.</v>
      </c>
      <c r="X80" s="372">
        <f t="shared" si="38"/>
        <v>0</v>
      </c>
      <c r="Y80" s="317">
        <f t="shared" si="39"/>
        <v>75000</v>
      </c>
      <c r="Z80" s="317">
        <f t="shared" si="40"/>
        <v>9750</v>
      </c>
      <c r="AA80" s="12">
        <v>2</v>
      </c>
      <c r="AB80" s="274">
        <v>8451441513</v>
      </c>
      <c r="AC80" s="40" t="s">
        <v>167</v>
      </c>
      <c r="AD80" s="82" t="s">
        <v>75</v>
      </c>
      <c r="AE80" s="41" t="s">
        <v>52</v>
      </c>
      <c r="AF80" s="11" t="s">
        <v>153</v>
      </c>
      <c r="AG80" s="11" t="s">
        <v>168</v>
      </c>
      <c r="AH80" s="14" t="s">
        <v>122</v>
      </c>
      <c r="AI80" s="86" t="s">
        <v>21</v>
      </c>
      <c r="AJ80" s="113" t="str">
        <f>IF(COUNTIFS(Admin!$A$29:$A$40,AI80)&gt;0,Admin!$A$28,IF(COUNTIFS(Admin!$B$29:$B$40,AI80)&gt;0,Admin!$B$28,IF(COUNTIFS(Admin!$C$29:$C$40,AI80)&gt;0,Admin!$C$28,IF(COUNTIFS(Admin!$D$29:$D$40,AI80)&gt;0,Admin!$D$28,"-"))))</f>
        <v>2. mérföldkő</v>
      </c>
      <c r="AK80" s="14" t="s">
        <v>7</v>
      </c>
      <c r="AL80" s="9" t="s">
        <v>56</v>
      </c>
      <c r="AM80" s="131">
        <v>75000</v>
      </c>
      <c r="AN80" s="132">
        <f t="shared" si="115"/>
        <v>9750</v>
      </c>
      <c r="AO80" s="121">
        <v>44</v>
      </c>
      <c r="AP80" s="121">
        <v>44</v>
      </c>
      <c r="AQ80" s="354">
        <f t="shared" si="182"/>
        <v>1</v>
      </c>
      <c r="AR80" s="133">
        <f t="shared" ref="AR80:AR384" si="214">IFERROR(ROUND(AM80*AP80/AO80,0),"")</f>
        <v>75000</v>
      </c>
      <c r="AS80" s="133">
        <f t="shared" si="184"/>
        <v>9750</v>
      </c>
      <c r="AT80" s="123">
        <f t="shared" si="185"/>
        <v>0</v>
      </c>
      <c r="AU80" s="124">
        <v>0.13</v>
      </c>
      <c r="AV80" s="394" t="s">
        <v>2760</v>
      </c>
      <c r="AW80" s="15">
        <v>44736</v>
      </c>
      <c r="AX80" s="12" t="s">
        <v>206</v>
      </c>
      <c r="BC80" s="1" t="s">
        <v>2817</v>
      </c>
      <c r="BD80" s="1" t="str">
        <f t="shared" ref="BD80:BD93" si="215">CONCATENATE(BC80," - ",AE80)</f>
        <v>Kutató_MK_1 - Kutató</v>
      </c>
    </row>
    <row r="81" spans="1:56" s="1" customFormat="1" hidden="1" x14ac:dyDescent="0.25">
      <c r="A81" s="264" t="str">
        <f>Bérköltség!$B81</f>
        <v>FEOR</v>
      </c>
      <c r="B81" s="264" t="str">
        <f>IFERROR(
IF(AND(Bérköltség!$F81="",H81="NA"),"HIÁNYOS ADATOK",
IF(Bérköltség!$F81&lt;Bérköltség!$U81,Admin!$B$18,Admin!$B$17)),
"")</f>
        <v>FEOR</v>
      </c>
      <c r="C81" s="265" t="str">
        <f>IFERROR(INDEX('Historikus berek_2021-2'!$A$1:$F$903,MATCH(AB81,'Historikus berek_2021-2'!$A$1:$A$903,0),4),"")</f>
        <v/>
      </c>
      <c r="D81" s="279" t="str">
        <f t="shared" si="23"/>
        <v/>
      </c>
      <c r="E81" s="265">
        <f t="shared" si="24"/>
        <v>75000</v>
      </c>
      <c r="F81" s="266" t="str">
        <f t="shared" si="25"/>
        <v/>
      </c>
      <c r="G81" s="267" t="str">
        <f t="shared" si="26"/>
        <v/>
      </c>
      <c r="H81" s="268">
        <f>IFERROR(INDEX('FEOR kodok'!$A$2:$J$1126,MATCH(Bérköltség!AB81,'FEOR kodok'!$B$2:$B$1126,0),8),"NA")</f>
        <v>2167</v>
      </c>
      <c r="I81" s="269">
        <f>IFERROR(INDEX('FEOR kodok'!$A$2:$J$1126,MATCH(Bérköltség!AB81,'FEOR kodok'!$B$2:$B$1126,0),10),"NA")</f>
        <v>33</v>
      </c>
      <c r="J81" s="276" t="str">
        <f t="shared" si="27"/>
        <v>30–39 éves</v>
      </c>
      <c r="K81" s="269" t="str">
        <f>IFERROR(INDEX(admin_feor[#All],MATCH(Bérköltség!H81,admin_feor[[#All],[Foglalkozás]],0),2),"NA")</f>
        <v>Biológus, botanikus, zoológus és rokon foglalkozású</v>
      </c>
      <c r="L81" s="270">
        <f>IFERROR(
INDEX('Admin - FEOR'!$A$4:$F$465,MATCH(Bérköltség!H81,'Admin - FEOR'!$A$4:$A$465,0),
IF(J81="30 év alatt",3,
IF(J81="30–39 éves",4,
IF(J81="40–49 éves",5,
IF(J81="50 év és afelett",6
)))))*1,"NA")</f>
        <v>578385</v>
      </c>
      <c r="M81" s="270">
        <f t="shared" si="28"/>
        <v>75000</v>
      </c>
      <c r="N81" s="318">
        <f t="shared" si="29"/>
        <v>0.1296714126403693</v>
      </c>
      <c r="O81" s="270">
        <f>IFERROR(
INDEX('Admin - FEOR'!$A$4:$F$465,MATCH(Bérköltség!H81,'Admin - FEOR'!$A$4:$A$465,0),
IF(J81="30 év alatt",3,
IF(J81="30–39 éves",4,
IF(J81="40–49 éves",5,
IF(J81="50 év és afelett",6
)))))*1.5,"NA")</f>
        <v>867577.5</v>
      </c>
      <c r="P81" s="270">
        <f t="shared" si="30"/>
        <v>867577.5</v>
      </c>
      <c r="Q81" s="270">
        <f t="shared" si="31"/>
        <v>75000</v>
      </c>
      <c r="R81" s="275">
        <f t="shared" si="32"/>
        <v>1</v>
      </c>
      <c r="S81" s="270">
        <f t="shared" si="33"/>
        <v>0</v>
      </c>
      <c r="T81" s="270">
        <f t="shared" si="34"/>
        <v>0</v>
      </c>
      <c r="U81" s="271">
        <f t="shared" si="35"/>
        <v>0</v>
      </c>
      <c r="V81" s="272">
        <f t="shared" si="36"/>
        <v>84750</v>
      </c>
      <c r="W81" s="273" t="str">
        <f t="shared" si="37"/>
        <v>Nem szükséges indoklás.</v>
      </c>
      <c r="X81" s="372">
        <f t="shared" si="38"/>
        <v>0</v>
      </c>
      <c r="Y81" s="317">
        <f t="shared" si="39"/>
        <v>75000</v>
      </c>
      <c r="Z81" s="317">
        <f t="shared" si="40"/>
        <v>9750</v>
      </c>
      <c r="AA81" s="12">
        <v>2</v>
      </c>
      <c r="AB81" s="274">
        <v>8451441513</v>
      </c>
      <c r="AC81" s="40" t="s">
        <v>167</v>
      </c>
      <c r="AD81" s="82" t="s">
        <v>75</v>
      </c>
      <c r="AE81" s="41" t="s">
        <v>52</v>
      </c>
      <c r="AF81" s="11" t="s">
        <v>153</v>
      </c>
      <c r="AG81" s="11" t="s">
        <v>168</v>
      </c>
      <c r="AH81" s="14" t="s">
        <v>122</v>
      </c>
      <c r="AI81" s="86" t="s">
        <v>22</v>
      </c>
      <c r="AJ81" s="113" t="str">
        <f>IF(COUNTIFS(Admin!$A$29:$A$40,AI81)&gt;0,Admin!$A$28,IF(COUNTIFS(Admin!$B$29:$B$40,AI81)&gt;0,Admin!$B$28,IF(COUNTIFS(Admin!$C$29:$C$40,AI81)&gt;0,Admin!$C$28,IF(COUNTIFS(Admin!$D$29:$D$40,AI81)&gt;0,Admin!$D$28,"-"))))</f>
        <v>2. mérföldkő</v>
      </c>
      <c r="AK81" s="14" t="s">
        <v>7</v>
      </c>
      <c r="AL81" s="9" t="s">
        <v>56</v>
      </c>
      <c r="AM81" s="131">
        <v>75000</v>
      </c>
      <c r="AN81" s="132">
        <f t="shared" si="115"/>
        <v>9750</v>
      </c>
      <c r="AO81" s="121">
        <v>44</v>
      </c>
      <c r="AP81" s="121">
        <v>44</v>
      </c>
      <c r="AQ81" s="354">
        <f t="shared" si="182"/>
        <v>1</v>
      </c>
      <c r="AR81" s="133">
        <f t="shared" si="214"/>
        <v>75000</v>
      </c>
      <c r="AS81" s="133">
        <f t="shared" si="184"/>
        <v>9750</v>
      </c>
      <c r="AT81" s="123">
        <f t="shared" si="185"/>
        <v>0</v>
      </c>
      <c r="AU81" s="124">
        <v>0.13</v>
      </c>
      <c r="AV81" s="394" t="s">
        <v>2760</v>
      </c>
      <c r="AW81" s="15">
        <v>44736</v>
      </c>
      <c r="AX81" s="12" t="s">
        <v>206</v>
      </c>
      <c r="BC81" s="1" t="s">
        <v>2817</v>
      </c>
      <c r="BD81" s="1" t="str">
        <f t="shared" si="215"/>
        <v>Kutató_MK_1 - Kutató</v>
      </c>
    </row>
    <row r="82" spans="1:56" s="1" customFormat="1" hidden="1" x14ac:dyDescent="0.25">
      <c r="A82" s="264" t="str">
        <f>Bérköltség!$B82</f>
        <v>FEOR</v>
      </c>
      <c r="B82" s="264" t="str">
        <f>IFERROR(
IF(AND(Bérköltség!$F82="",H82="NA"),"HIÁNYOS ADATOK",
IF(Bérköltség!$F82&lt;Bérköltség!$U82,Admin!$B$18,Admin!$B$17)),
"")</f>
        <v>FEOR</v>
      </c>
      <c r="C82" s="265" t="str">
        <f>IFERROR(INDEX('Historikus berek_2021-2'!$A$1:$F$903,MATCH(AB82,'Historikus berek_2021-2'!$A$1:$A$903,0),4),"")</f>
        <v/>
      </c>
      <c r="D82" s="279" t="str">
        <f t="shared" si="23"/>
        <v/>
      </c>
      <c r="E82" s="265">
        <f t="shared" si="24"/>
        <v>75000</v>
      </c>
      <c r="F82" s="266" t="str">
        <f t="shared" si="25"/>
        <v/>
      </c>
      <c r="G82" s="267" t="str">
        <f t="shared" si="26"/>
        <v/>
      </c>
      <c r="H82" s="268">
        <f>IFERROR(INDEX('FEOR kodok'!$A$2:$J$1126,MATCH(Bérköltség!AB82,'FEOR kodok'!$B$2:$B$1126,0),8),"NA")</f>
        <v>2167</v>
      </c>
      <c r="I82" s="269">
        <f>IFERROR(INDEX('FEOR kodok'!$A$2:$J$1126,MATCH(Bérköltség!AB82,'FEOR kodok'!$B$2:$B$1126,0),10),"NA")</f>
        <v>33</v>
      </c>
      <c r="J82" s="276" t="str">
        <f t="shared" si="27"/>
        <v>30–39 éves</v>
      </c>
      <c r="K82" s="269" t="str">
        <f>IFERROR(INDEX(admin_feor[#All],MATCH(Bérköltség!H82,admin_feor[[#All],[Foglalkozás]],0),2),"NA")</f>
        <v>Biológus, botanikus, zoológus és rokon foglalkozású</v>
      </c>
      <c r="L82" s="270">
        <f>IFERROR(
INDEX('Admin - FEOR'!$A$4:$F$465,MATCH(Bérköltség!H82,'Admin - FEOR'!$A$4:$A$465,0),
IF(J82="30 év alatt",3,
IF(J82="30–39 éves",4,
IF(J82="40–49 éves",5,
IF(J82="50 év és afelett",6
)))))*1,"NA")</f>
        <v>578385</v>
      </c>
      <c r="M82" s="270">
        <f t="shared" si="28"/>
        <v>75000</v>
      </c>
      <c r="N82" s="318">
        <f t="shared" si="29"/>
        <v>0.1296714126403693</v>
      </c>
      <c r="O82" s="270">
        <f>IFERROR(
INDEX('Admin - FEOR'!$A$4:$F$465,MATCH(Bérköltség!H82,'Admin - FEOR'!$A$4:$A$465,0),
IF(J82="30 év alatt",3,
IF(J82="30–39 éves",4,
IF(J82="40–49 éves",5,
IF(J82="50 év és afelett",6
)))))*1.5,"NA")</f>
        <v>867577.5</v>
      </c>
      <c r="P82" s="270">
        <f t="shared" si="30"/>
        <v>867577.5</v>
      </c>
      <c r="Q82" s="270">
        <f t="shared" si="31"/>
        <v>75000</v>
      </c>
      <c r="R82" s="275">
        <f t="shared" si="32"/>
        <v>1</v>
      </c>
      <c r="S82" s="270">
        <f t="shared" si="33"/>
        <v>0</v>
      </c>
      <c r="T82" s="270">
        <f t="shared" si="34"/>
        <v>0</v>
      </c>
      <c r="U82" s="271">
        <f t="shared" si="35"/>
        <v>0</v>
      </c>
      <c r="V82" s="272">
        <f t="shared" si="36"/>
        <v>84750</v>
      </c>
      <c r="W82" s="273" t="str">
        <f t="shared" si="37"/>
        <v>Nem szükséges indoklás.</v>
      </c>
      <c r="X82" s="372">
        <f t="shared" si="38"/>
        <v>0</v>
      </c>
      <c r="Y82" s="317">
        <f t="shared" si="39"/>
        <v>75000</v>
      </c>
      <c r="Z82" s="317">
        <f t="shared" si="40"/>
        <v>9750</v>
      </c>
      <c r="AA82" s="12">
        <v>2</v>
      </c>
      <c r="AB82" s="274">
        <v>8451441513</v>
      </c>
      <c r="AC82" s="40" t="s">
        <v>167</v>
      </c>
      <c r="AD82" s="82" t="s">
        <v>75</v>
      </c>
      <c r="AE82" s="41" t="s">
        <v>52</v>
      </c>
      <c r="AF82" s="11" t="s">
        <v>153</v>
      </c>
      <c r="AG82" s="11" t="s">
        <v>168</v>
      </c>
      <c r="AH82" s="14" t="s">
        <v>122</v>
      </c>
      <c r="AI82" s="86" t="s">
        <v>23</v>
      </c>
      <c r="AJ82" s="113" t="str">
        <f>IF(COUNTIFS(Admin!$A$29:$A$40,AI82)&gt;0,Admin!$A$28,IF(COUNTIFS(Admin!$B$29:$B$40,AI82)&gt;0,Admin!$B$28,IF(COUNTIFS(Admin!$C$29:$C$40,AI82)&gt;0,Admin!$C$28,IF(COUNTIFS(Admin!$D$29:$D$40,AI82)&gt;0,Admin!$D$28,"-"))))</f>
        <v>2. mérföldkő</v>
      </c>
      <c r="AK82" s="14" t="s">
        <v>7</v>
      </c>
      <c r="AL82" s="9" t="s">
        <v>56</v>
      </c>
      <c r="AM82" s="131">
        <v>75000</v>
      </c>
      <c r="AN82" s="132">
        <f t="shared" si="115"/>
        <v>9750</v>
      </c>
      <c r="AO82" s="121">
        <v>44</v>
      </c>
      <c r="AP82" s="121">
        <v>44</v>
      </c>
      <c r="AQ82" s="354">
        <f t="shared" si="182"/>
        <v>1</v>
      </c>
      <c r="AR82" s="133">
        <f t="shared" si="214"/>
        <v>75000</v>
      </c>
      <c r="AS82" s="133">
        <f t="shared" si="184"/>
        <v>9750</v>
      </c>
      <c r="AT82" s="123">
        <f t="shared" si="185"/>
        <v>0</v>
      </c>
      <c r="AU82" s="124">
        <v>0.13</v>
      </c>
      <c r="AV82" s="394" t="s">
        <v>2760</v>
      </c>
      <c r="AW82" s="15">
        <v>44736</v>
      </c>
      <c r="AX82" s="12" t="s">
        <v>206</v>
      </c>
      <c r="BC82" s="1" t="s">
        <v>2817</v>
      </c>
      <c r="BD82" s="1" t="str">
        <f t="shared" si="215"/>
        <v>Kutató_MK_1 - Kutató</v>
      </c>
    </row>
    <row r="83" spans="1:56" s="1" customFormat="1" hidden="1" x14ac:dyDescent="0.25">
      <c r="A83" s="264" t="str">
        <f>Bérköltség!$B83</f>
        <v>FEOR</v>
      </c>
      <c r="B83" s="264" t="str">
        <f>IFERROR(
IF(AND(Bérköltség!$F83="",H83="NA"),"HIÁNYOS ADATOK",
IF(Bérköltség!$F83&lt;Bérköltség!$U83,Admin!$B$18,Admin!$B$17)),
"")</f>
        <v>FEOR</v>
      </c>
      <c r="C83" s="265" t="str">
        <f>IFERROR(INDEX('Historikus berek_2021-2'!$A$1:$F$903,MATCH(AB83,'Historikus berek_2021-2'!$A$1:$A$903,0),4),"")</f>
        <v/>
      </c>
      <c r="D83" s="279" t="str">
        <f t="shared" si="23"/>
        <v/>
      </c>
      <c r="E83" s="265">
        <f t="shared" si="24"/>
        <v>57142</v>
      </c>
      <c r="F83" s="266" t="str">
        <f t="shared" si="25"/>
        <v/>
      </c>
      <c r="G83" s="267" t="str">
        <f t="shared" si="26"/>
        <v/>
      </c>
      <c r="H83" s="268">
        <f>IFERROR(INDEX('FEOR kodok'!$A$2:$J$1126,MATCH(Bérköltség!AB83,'FEOR kodok'!$B$2:$B$1126,0),8),"NA")</f>
        <v>2167</v>
      </c>
      <c r="I83" s="269">
        <f>IFERROR(INDEX('FEOR kodok'!$A$2:$J$1126,MATCH(Bérköltség!AB83,'FEOR kodok'!$B$2:$B$1126,0),10),"NA")</f>
        <v>33</v>
      </c>
      <c r="J83" s="276" t="str">
        <f t="shared" si="27"/>
        <v>30–39 éves</v>
      </c>
      <c r="K83" s="269" t="str">
        <f>IFERROR(INDEX(admin_feor[#All],MATCH(Bérköltség!H83,admin_feor[[#All],[Foglalkozás]],0),2),"NA")</f>
        <v>Biológus, botanikus, zoológus és rokon foglalkozású</v>
      </c>
      <c r="L83" s="270">
        <f>IFERROR(
INDEX('Admin - FEOR'!$A$4:$F$465,MATCH(Bérköltség!H83,'Admin - FEOR'!$A$4:$A$465,0),
IF(J83="30 év alatt",3,
IF(J83="30–39 éves",4,
IF(J83="40–49 éves",5,
IF(J83="50 év és afelett",6
)))))*1,"NA")</f>
        <v>578385</v>
      </c>
      <c r="M83" s="270">
        <f t="shared" si="28"/>
        <v>57142</v>
      </c>
      <c r="N83" s="318">
        <f t="shared" si="29"/>
        <v>9.8795784814613097E-2</v>
      </c>
      <c r="O83" s="270">
        <f>IFERROR(
INDEX('Admin - FEOR'!$A$4:$F$465,MATCH(Bérköltség!H83,'Admin - FEOR'!$A$4:$A$465,0),
IF(J83="30 év alatt",3,
IF(J83="30–39 éves",4,
IF(J83="40–49 éves",5,
IF(J83="50 év és afelett",6
)))))*1.5,"NA")</f>
        <v>867577.5</v>
      </c>
      <c r="P83" s="270">
        <f t="shared" si="30"/>
        <v>867577.5</v>
      </c>
      <c r="Q83" s="270">
        <f t="shared" si="31"/>
        <v>57142</v>
      </c>
      <c r="R83" s="275">
        <f t="shared" si="32"/>
        <v>1</v>
      </c>
      <c r="S83" s="270">
        <f t="shared" si="33"/>
        <v>0</v>
      </c>
      <c r="T83" s="270">
        <f t="shared" si="34"/>
        <v>0</v>
      </c>
      <c r="U83" s="271">
        <f t="shared" si="35"/>
        <v>0</v>
      </c>
      <c r="V83" s="272">
        <f t="shared" si="36"/>
        <v>64570</v>
      </c>
      <c r="W83" s="273" t="str">
        <f t="shared" si="37"/>
        <v>Nem szükséges indoklás.</v>
      </c>
      <c r="X83" s="372">
        <f t="shared" si="38"/>
        <v>0</v>
      </c>
      <c r="Y83" s="317">
        <f t="shared" si="39"/>
        <v>57142</v>
      </c>
      <c r="Z83" s="317">
        <f t="shared" si="40"/>
        <v>7428</v>
      </c>
      <c r="AA83" s="12">
        <v>2</v>
      </c>
      <c r="AB83" s="274">
        <v>8451441513</v>
      </c>
      <c r="AC83" s="40" t="s">
        <v>167</v>
      </c>
      <c r="AD83" s="82" t="s">
        <v>75</v>
      </c>
      <c r="AE83" s="41" t="s">
        <v>52</v>
      </c>
      <c r="AF83" s="11" t="s">
        <v>153</v>
      </c>
      <c r="AG83" s="11" t="s">
        <v>168</v>
      </c>
      <c r="AH83" s="14" t="s">
        <v>122</v>
      </c>
      <c r="AI83" s="86" t="s">
        <v>24</v>
      </c>
      <c r="AJ83" s="113" t="str">
        <f>IF(COUNTIFS(Admin!$A$29:$A$40,AI83)&gt;0,Admin!$A$28,IF(COUNTIFS(Admin!$B$29:$B$40,AI83)&gt;0,Admin!$B$28,IF(COUNTIFS(Admin!$C$29:$C$40,AI83)&gt;0,Admin!$C$28,IF(COUNTIFS(Admin!$D$29:$D$40,AI83)&gt;0,Admin!$D$28,"-"))))</f>
        <v>2. mérföldkő</v>
      </c>
      <c r="AK83" s="14" t="s">
        <v>7</v>
      </c>
      <c r="AL83" s="9" t="s">
        <v>56</v>
      </c>
      <c r="AM83" s="131">
        <v>57142</v>
      </c>
      <c r="AN83" s="132">
        <f t="shared" si="115"/>
        <v>7428</v>
      </c>
      <c r="AO83" s="121">
        <v>44</v>
      </c>
      <c r="AP83" s="121">
        <v>44</v>
      </c>
      <c r="AQ83" s="354">
        <f t="shared" si="182"/>
        <v>1</v>
      </c>
      <c r="AR83" s="133">
        <f t="shared" si="214"/>
        <v>57142</v>
      </c>
      <c r="AS83" s="133">
        <f t="shared" si="184"/>
        <v>7428</v>
      </c>
      <c r="AT83" s="123">
        <f t="shared" si="185"/>
        <v>0</v>
      </c>
      <c r="AU83" s="124">
        <v>0.13</v>
      </c>
      <c r="AV83" s="394" t="s">
        <v>2760</v>
      </c>
      <c r="AW83" s="15">
        <v>44736</v>
      </c>
      <c r="AX83" s="12" t="s">
        <v>206</v>
      </c>
      <c r="BC83" s="1" t="s">
        <v>2817</v>
      </c>
      <c r="BD83" s="1" t="str">
        <f t="shared" si="215"/>
        <v>Kutató_MK_1 - Kutató</v>
      </c>
    </row>
    <row r="84" spans="1:56" s="1" customFormat="1" hidden="1" x14ac:dyDescent="0.25">
      <c r="A84" s="264" t="str">
        <f>Bérköltség!$B84</f>
        <v>FEOR</v>
      </c>
      <c r="B84" s="264" t="str">
        <f>IFERROR(
IF(AND(Bérköltség!$F84="",H84="NA"),"HIÁNYOS ADATOK",
IF(Bérköltség!$F84&lt;Bérköltség!$U84,Admin!$B$18,Admin!$B$17)),
"")</f>
        <v>FEOR</v>
      </c>
      <c r="C84" s="265" t="str">
        <f>IFERROR(INDEX('Historikus berek_2021-2'!$A$1:$F$903,MATCH(AB84,'Historikus berek_2021-2'!$A$1:$A$903,0),4),"")</f>
        <v/>
      </c>
      <c r="D84" s="279" t="str">
        <f t="shared" si="23"/>
        <v/>
      </c>
      <c r="E84" s="265">
        <f t="shared" si="24"/>
        <v>74999</v>
      </c>
      <c r="F84" s="266" t="str">
        <f t="shared" si="25"/>
        <v/>
      </c>
      <c r="G84" s="267" t="str">
        <f t="shared" si="26"/>
        <v/>
      </c>
      <c r="H84" s="268">
        <f>IFERROR(INDEX('FEOR kodok'!$A$2:$J$1126,MATCH(Bérköltség!AB84,'FEOR kodok'!$B$2:$B$1126,0),8),"NA")</f>
        <v>2167</v>
      </c>
      <c r="I84" s="269">
        <f>IFERROR(INDEX('FEOR kodok'!$A$2:$J$1126,MATCH(Bérköltség!AB84,'FEOR kodok'!$B$2:$B$1126,0),10),"NA")</f>
        <v>33</v>
      </c>
      <c r="J84" s="276" t="str">
        <f t="shared" si="27"/>
        <v>30–39 éves</v>
      </c>
      <c r="K84" s="269" t="str">
        <f>IFERROR(INDEX(admin_feor[#All],MATCH(Bérköltség!H84,admin_feor[[#All],[Foglalkozás]],0),2),"NA")</f>
        <v>Biológus, botanikus, zoológus és rokon foglalkozású</v>
      </c>
      <c r="L84" s="270">
        <f>IFERROR(
INDEX('Admin - FEOR'!$A$4:$F$465,MATCH(Bérköltség!H84,'Admin - FEOR'!$A$4:$A$465,0),
IF(J84="30 év alatt",3,
IF(J84="30–39 éves",4,
IF(J84="40–49 éves",5,
IF(J84="50 év és afelett",6
)))))*1,"NA")</f>
        <v>578385</v>
      </c>
      <c r="M84" s="270">
        <f t="shared" si="28"/>
        <v>74999</v>
      </c>
      <c r="N84" s="318">
        <f t="shared" si="29"/>
        <v>0.12966968368820075</v>
      </c>
      <c r="O84" s="270">
        <f>IFERROR(
INDEX('Admin - FEOR'!$A$4:$F$465,MATCH(Bérköltség!H84,'Admin - FEOR'!$A$4:$A$465,0),
IF(J84="30 év alatt",3,
IF(J84="30–39 éves",4,
IF(J84="40–49 éves",5,
IF(J84="50 év és afelett",6
)))))*1.5,"NA")</f>
        <v>867577.5</v>
      </c>
      <c r="P84" s="270">
        <f t="shared" si="30"/>
        <v>867577.5</v>
      </c>
      <c r="Q84" s="270">
        <f t="shared" si="31"/>
        <v>74999</v>
      </c>
      <c r="R84" s="275">
        <f t="shared" si="32"/>
        <v>1</v>
      </c>
      <c r="S84" s="270">
        <f t="shared" si="33"/>
        <v>0</v>
      </c>
      <c r="T84" s="270">
        <f t="shared" si="34"/>
        <v>0</v>
      </c>
      <c r="U84" s="271">
        <f t="shared" si="35"/>
        <v>0</v>
      </c>
      <c r="V84" s="272">
        <f t="shared" si="36"/>
        <v>84749</v>
      </c>
      <c r="W84" s="273" t="str">
        <f t="shared" si="37"/>
        <v>Nem szükséges indoklás.</v>
      </c>
      <c r="X84" s="372">
        <f t="shared" si="38"/>
        <v>0</v>
      </c>
      <c r="Y84" s="317">
        <f t="shared" si="39"/>
        <v>74999</v>
      </c>
      <c r="Z84" s="317">
        <f t="shared" si="40"/>
        <v>9750</v>
      </c>
      <c r="AA84" s="12">
        <v>2</v>
      </c>
      <c r="AB84" s="274">
        <v>8451441513</v>
      </c>
      <c r="AC84" s="40" t="s">
        <v>167</v>
      </c>
      <c r="AD84" s="82" t="s">
        <v>75</v>
      </c>
      <c r="AE84" s="41" t="s">
        <v>52</v>
      </c>
      <c r="AF84" s="11" t="s">
        <v>153</v>
      </c>
      <c r="AG84" s="11" t="s">
        <v>168</v>
      </c>
      <c r="AH84" s="14" t="s">
        <v>122</v>
      </c>
      <c r="AI84" s="86" t="s">
        <v>25</v>
      </c>
      <c r="AJ84" s="113" t="str">
        <f>IF(COUNTIFS(Admin!$A$29:$A$40,AI84)&gt;0,Admin!$A$28,IF(COUNTIFS(Admin!$B$29:$B$40,AI84)&gt;0,Admin!$B$28,IF(COUNTIFS(Admin!$C$29:$C$40,AI84)&gt;0,Admin!$C$28,IF(COUNTIFS(Admin!$D$29:$D$40,AI84)&gt;0,Admin!$D$28,"-"))))</f>
        <v>2. mérföldkő</v>
      </c>
      <c r="AK84" s="14" t="s">
        <v>7</v>
      </c>
      <c r="AL84" s="9" t="s">
        <v>56</v>
      </c>
      <c r="AM84" s="131">
        <v>74999</v>
      </c>
      <c r="AN84" s="132">
        <f t="shared" si="115"/>
        <v>9750</v>
      </c>
      <c r="AO84" s="121">
        <v>44</v>
      </c>
      <c r="AP84" s="121">
        <v>44</v>
      </c>
      <c r="AQ84" s="354">
        <f t="shared" si="182"/>
        <v>1</v>
      </c>
      <c r="AR84" s="133">
        <f t="shared" si="214"/>
        <v>74999</v>
      </c>
      <c r="AS84" s="133">
        <f t="shared" si="184"/>
        <v>9750</v>
      </c>
      <c r="AT84" s="123">
        <f t="shared" si="185"/>
        <v>0</v>
      </c>
      <c r="AU84" s="124">
        <v>0.13</v>
      </c>
      <c r="AV84" s="394" t="s">
        <v>2760</v>
      </c>
      <c r="AW84" s="15">
        <v>44736</v>
      </c>
      <c r="AX84" s="12" t="s">
        <v>206</v>
      </c>
      <c r="AZ84" s="1" t="s">
        <v>2667</v>
      </c>
      <c r="BA84" s="1" t="s">
        <v>2667</v>
      </c>
      <c r="BB84" s="1" t="s">
        <v>2667</v>
      </c>
      <c r="BC84" s="1" t="s">
        <v>2817</v>
      </c>
      <c r="BD84" s="1" t="str">
        <f t="shared" si="215"/>
        <v>Kutató_MK_1 - Kutató</v>
      </c>
    </row>
    <row r="85" spans="1:56" s="1" customFormat="1" hidden="1" x14ac:dyDescent="0.25">
      <c r="A85" s="264" t="str">
        <f>Bérköltség!$B85</f>
        <v>HIÁNYOS ADATOK</v>
      </c>
      <c r="B85" s="264" t="str">
        <f>IFERROR(
IF(AND(Bérköltség!$F85="",H85="NA"),"HIÁNYOS ADATOK",
IF(Bérköltség!$F85&lt;Bérköltség!$U85,Admin!$B$18,Admin!$B$17)),
"")</f>
        <v>HIÁNYOS ADATOK</v>
      </c>
      <c r="C85" s="265" t="str">
        <f>IFERROR(INDEX('Historikus berek_2021-2'!$A$1:$F$903,MATCH(AB85,'Historikus berek_2021-2'!$A$1:$A$903,0),4),"")</f>
        <v/>
      </c>
      <c r="D85" s="279" t="str">
        <f t="shared" ref="D85" si="216">IFERROR(C85*AQ85,"")</f>
        <v/>
      </c>
      <c r="E85" s="265">
        <f t="shared" ref="E85" si="217">AR85</f>
        <v>600000</v>
      </c>
      <c r="F85" s="266" t="str">
        <f t="shared" ref="F85" si="218">IFERROR(IF((E85*(1+AU85)-D85*(1+AU85))&lt;0,0,(E85*(1+AU85)-D85*(1+AU85))),"")</f>
        <v/>
      </c>
      <c r="G85" s="267" t="str">
        <f t="shared" ref="G85" si="219">IFERROR((E85*(1+AU85)-F85),"")</f>
        <v/>
      </c>
      <c r="H85" s="268" t="str">
        <f>IFERROR(INDEX('FEOR kodok'!$A$2:$J$1126,MATCH(Bérköltség!AB85,'FEOR kodok'!$B$2:$B$1126,0),8),"NA")</f>
        <v>NA</v>
      </c>
      <c r="I85" s="269" t="str">
        <f>IFERROR(INDEX('FEOR kodok'!$A$2:$J$1126,MATCH(Bérköltség!AB85,'FEOR kodok'!$B$2:$B$1126,0),10),"NA")</f>
        <v>NA</v>
      </c>
      <c r="J85" s="276" t="str">
        <f t="shared" ref="J85" si="220">IF(I85="NA","NA",
IF(I85&lt;30,"30 év alatt",
IF(AND(I85&gt;=30,I85&lt;=39),"30–39 éves",
IF(AND(I85&gt;=40,I85&lt;=49),"40–49 éves",
IF(I85&gt;=50,"50 év és afelett",
"")))))</f>
        <v>NA</v>
      </c>
      <c r="K85" s="269" t="str">
        <f>IFERROR(INDEX(admin_feor[#All],MATCH(Bérköltség!H85,admin_feor[[#All],[Foglalkozás]],0),2),"NA")</f>
        <v>NA</v>
      </c>
      <c r="L85" s="270" t="str">
        <f>IFERROR(
INDEX('Admin - FEOR'!$A$4:$F$465,MATCH(Bérköltség!H85,'Admin - FEOR'!$A$4:$A$465,0),
IF(J85="30 év alatt",3,
IF(J85="30–39 éves",4,
IF(J85="40–49 éves",5,
IF(J85="50 év és afelett",6
)))))*1,"NA")</f>
        <v>NA</v>
      </c>
      <c r="M85" s="270">
        <f t="shared" ref="M85" si="221">AM85</f>
        <v>600000</v>
      </c>
      <c r="N85" s="318" t="str">
        <f t="shared" ref="N85" si="222">IFERROR(
M85/L85,"NA")</f>
        <v>NA</v>
      </c>
      <c r="O85" s="270" t="str">
        <f>IFERROR(
INDEX('Admin - FEOR'!$A$4:$F$465,MATCH(Bérköltség!H85,'Admin - FEOR'!$A$4:$A$465,0),
IF(J85="30 év alatt",3,
IF(J85="30–39 éves",4,
IF(J85="40–49 éves",5,
IF(J85="50 év és afelett",6
)))))*1.5,"NA")</f>
        <v>NA</v>
      </c>
      <c r="P85" s="270" t="str">
        <f t="shared" ref="P85" si="223">IFERROR(
AQ85*O85,"NA")</f>
        <v>NA</v>
      </c>
      <c r="Q85" s="270">
        <f t="shared" ref="Q85" si="224">IFERROR(AR85,"")</f>
        <v>600000</v>
      </c>
      <c r="R85" s="275">
        <f t="shared" ref="R85" si="225">IFERROR(AQ85,"")</f>
        <v>1</v>
      </c>
      <c r="S85" s="270" t="str">
        <f t="shared" ref="S85" si="226">IFERROR(
IF(AR85-P85&lt;0,0,AR85-P85),"NA")</f>
        <v>NA</v>
      </c>
      <c r="T85" s="270" t="str">
        <f t="shared" ref="T85" si="227">IFERROR(
S85*AU85,"NA")</f>
        <v>NA</v>
      </c>
      <c r="U85" s="271" t="str">
        <f t="shared" ref="U85" si="228">IFERROR(
S85+T85,"NA")</f>
        <v>NA</v>
      </c>
      <c r="V85" s="272" t="str">
        <f t="shared" ref="V85" si="229">IFERROR(
IF(U85&gt;0,AR85+AS85-U85,AR85+AS85),"NA")</f>
        <v>NA</v>
      </c>
      <c r="W85" s="273" t="str">
        <f t="shared" ref="W85" si="230">IF(P85="NA","FEOR hiányzik",
IF(AND(N85&gt;1,A85="FEOR"),CONCATENATE("Indoklás szükséges mivel a FEOR: ",ROUND(N85*100,1),"%"),"Nem szükséges indoklás.")
)</f>
        <v>FEOR hiányzik</v>
      </c>
      <c r="X85" s="372" t="str">
        <f t="shared" ref="X85" si="231">IF(A85="FEOR",U85,IF(A85="HIÁNYOS ADATOK","HIÁNYOS ADATOK",F85))</f>
        <v>HIÁNYOS ADATOK</v>
      </c>
      <c r="Y85" s="317" t="str">
        <f t="shared" ref="Y85" si="232">IF(A85="FEOR",ROUND((V85/(1+AU85)),0),IF(A85="HIÁNYOS ADATOK","HIÁNYOS ADATOK",ROUND(G85/(1+AU85),0)))</f>
        <v>HIÁNYOS ADATOK</v>
      </c>
      <c r="Z85" s="317" t="str">
        <f t="shared" ref="Z85" si="233">IF(A85="FEOR",ROUND((V85-Y85),0),IF(A85="HIÁNYOS ADATOK","HIÁNYOS ADATOK",ROUND((G85-Y85),0)))</f>
        <v>HIÁNYOS ADATOK</v>
      </c>
      <c r="AA85" s="12"/>
      <c r="AB85" s="274">
        <v>8438554873</v>
      </c>
      <c r="AC85" s="40" t="s">
        <v>2856</v>
      </c>
      <c r="AD85" s="82" t="s">
        <v>75</v>
      </c>
      <c r="AE85" s="41" t="s">
        <v>52</v>
      </c>
      <c r="AF85" s="11" t="s">
        <v>159</v>
      </c>
      <c r="AG85" s="11" t="s">
        <v>166</v>
      </c>
      <c r="AH85" s="14" t="s">
        <v>122</v>
      </c>
      <c r="AI85" s="86" t="s">
        <v>36</v>
      </c>
      <c r="AJ85" s="113" t="str">
        <f>IF(COUNTIFS(Admin!$A$29:$A$40,AI85)&gt;0,Admin!$A$28,IF(COUNTIFS(Admin!$B$29:$B$40,AI85)&gt;0,Admin!$B$28,IF(COUNTIFS(Admin!$C$29:$C$40,AI85)&gt;0,Admin!$C$28,IF(COUNTIFS(Admin!$D$29:$D$40,AI85)&gt;0,Admin!$D$28,"-"))))</f>
        <v>3. mérföldkő</v>
      </c>
      <c r="AK85" s="14" t="s">
        <v>141</v>
      </c>
      <c r="AL85" s="9" t="s">
        <v>56</v>
      </c>
      <c r="AM85" s="131">
        <v>600000</v>
      </c>
      <c r="AN85" s="132">
        <f t="shared" ref="AN85" si="234">IFERROR(ROUND(AM85*AU85,0),"")</f>
        <v>78000</v>
      </c>
      <c r="AO85" s="121">
        <v>174</v>
      </c>
      <c r="AP85" s="121">
        <v>174</v>
      </c>
      <c r="AQ85" s="354">
        <f t="shared" ref="AQ85" si="235">IFERROR(AP85/AO85,"")</f>
        <v>1</v>
      </c>
      <c r="AR85" s="133">
        <f t="shared" ref="AR85" si="236">IFERROR(ROUND(AM85*AP85/AO85,0),"")</f>
        <v>600000</v>
      </c>
      <c r="AS85" s="133">
        <f t="shared" ref="AS85" si="237">IFERROR(ROUND(AR85*AU85,0),"")</f>
        <v>78000</v>
      </c>
      <c r="AT85" s="123">
        <f t="shared" ref="AT85" si="238">IFERROR(AP85/AO85-AR85/AM85,"")</f>
        <v>0</v>
      </c>
      <c r="AU85" s="124">
        <v>0.13</v>
      </c>
      <c r="AV85" s="394"/>
      <c r="AW85" s="15">
        <v>45033</v>
      </c>
      <c r="AX85" s="12" t="s">
        <v>206</v>
      </c>
    </row>
    <row r="86" spans="1:56" s="1" customFormat="1" hidden="1" x14ac:dyDescent="0.25">
      <c r="A86" s="264" t="str">
        <f>Bérköltség!$B86</f>
        <v>HIÁNYOS ADATOK</v>
      </c>
      <c r="B86" s="264" t="str">
        <f>IFERROR(
IF(AND(Bérköltség!$F86="",H86="NA"),"HIÁNYOS ADATOK",
IF(Bérköltség!$F86&lt;Bérköltség!$U86,Admin!$B$18,Admin!$B$17)),
"")</f>
        <v>HIÁNYOS ADATOK</v>
      </c>
      <c r="C86" s="265" t="str">
        <f>IFERROR(INDEX('Historikus berek_2021-2'!$A$1:$F$903,MATCH(AB86,'Historikus berek_2021-2'!$A$1:$A$903,0),4),"")</f>
        <v/>
      </c>
      <c r="D86" s="279" t="str">
        <f t="shared" ref="D86:D90" si="239">IFERROR(C86*AQ86,"")</f>
        <v/>
      </c>
      <c r="E86" s="265">
        <f t="shared" ref="E86:E90" si="240">AR86</f>
        <v>600000</v>
      </c>
      <c r="F86" s="266" t="str">
        <f t="shared" ref="F86:F90" si="241">IFERROR(IF((E86*(1+AU86)-D86*(1+AU86))&lt;0,0,(E86*(1+AU86)-D86*(1+AU86))),"")</f>
        <v/>
      </c>
      <c r="G86" s="267" t="str">
        <f t="shared" ref="G86:G90" si="242">IFERROR((E86*(1+AU86)-F86),"")</f>
        <v/>
      </c>
      <c r="H86" s="268" t="str">
        <f>IFERROR(INDEX('FEOR kodok'!$A$2:$J$1126,MATCH(Bérköltség!AB86,'FEOR kodok'!$B$2:$B$1126,0),8),"NA")</f>
        <v>NA</v>
      </c>
      <c r="I86" s="269" t="str">
        <f>IFERROR(INDEX('FEOR kodok'!$A$2:$J$1126,MATCH(Bérköltség!AB86,'FEOR kodok'!$B$2:$B$1126,0),10),"NA")</f>
        <v>NA</v>
      </c>
      <c r="J86" s="276" t="str">
        <f t="shared" ref="J86:J90" si="243">IF(I86="NA","NA",
IF(I86&lt;30,"30 év alatt",
IF(AND(I86&gt;=30,I86&lt;=39),"30–39 éves",
IF(AND(I86&gt;=40,I86&lt;=49),"40–49 éves",
IF(I86&gt;=50,"50 év és afelett",
"")))))</f>
        <v>NA</v>
      </c>
      <c r="K86" s="269" t="str">
        <f>IFERROR(INDEX(admin_feor[#All],MATCH(Bérköltség!H86,admin_feor[[#All],[Foglalkozás]],0),2),"NA")</f>
        <v>NA</v>
      </c>
      <c r="L86" s="270" t="str">
        <f>IFERROR(
INDEX('Admin - FEOR'!$A$4:$F$465,MATCH(Bérköltség!H86,'Admin - FEOR'!$A$4:$A$465,0),
IF(J86="30 év alatt",3,
IF(J86="30–39 éves",4,
IF(J86="40–49 éves",5,
IF(J86="50 év és afelett",6
)))))*1,"NA")</f>
        <v>NA</v>
      </c>
      <c r="M86" s="270">
        <f t="shared" ref="M86:M90" si="244">AM86</f>
        <v>600000</v>
      </c>
      <c r="N86" s="318" t="str">
        <f t="shared" ref="N86:N90" si="245">IFERROR(
M86/L86,"NA")</f>
        <v>NA</v>
      </c>
      <c r="O86" s="270" t="str">
        <f>IFERROR(
INDEX('Admin - FEOR'!$A$4:$F$465,MATCH(Bérköltség!H86,'Admin - FEOR'!$A$4:$A$465,0),
IF(J86="30 év alatt",3,
IF(J86="30–39 éves",4,
IF(J86="40–49 éves",5,
IF(J86="50 év és afelett",6
)))))*1.5,"NA")</f>
        <v>NA</v>
      </c>
      <c r="P86" s="270" t="str">
        <f t="shared" ref="P86:P90" si="246">IFERROR(
AQ86*O86,"NA")</f>
        <v>NA</v>
      </c>
      <c r="Q86" s="270">
        <f t="shared" ref="Q86:Q90" si="247">IFERROR(AR86,"")</f>
        <v>600000</v>
      </c>
      <c r="R86" s="275">
        <f t="shared" ref="R86:R90" si="248">IFERROR(AQ86,"")</f>
        <v>1</v>
      </c>
      <c r="S86" s="270" t="str">
        <f t="shared" ref="S86:S90" si="249">IFERROR(
IF(AR86-P86&lt;0,0,AR86-P86),"NA")</f>
        <v>NA</v>
      </c>
      <c r="T86" s="270" t="str">
        <f t="shared" ref="T86:T90" si="250">IFERROR(
S86*AU86,"NA")</f>
        <v>NA</v>
      </c>
      <c r="U86" s="271" t="str">
        <f t="shared" ref="U86:U90" si="251">IFERROR(
S86+T86,"NA")</f>
        <v>NA</v>
      </c>
      <c r="V86" s="272" t="str">
        <f t="shared" ref="V86:V90" si="252">IFERROR(
IF(U86&gt;0,AR86+AS86-U86,AR86+AS86),"NA")</f>
        <v>NA</v>
      </c>
      <c r="W86" s="273" t="str">
        <f t="shared" ref="W86:W90" si="253">IF(P86="NA","FEOR hiányzik",
IF(AND(N86&gt;1,A86="FEOR"),CONCATENATE("Indoklás szükséges mivel a FEOR: ",ROUND(N86*100,1),"%"),"Nem szükséges indoklás.")
)</f>
        <v>FEOR hiányzik</v>
      </c>
      <c r="X86" s="372" t="str">
        <f t="shared" ref="X86:X90" si="254">IF(A86="FEOR",U86,IF(A86="HIÁNYOS ADATOK","HIÁNYOS ADATOK",F86))</f>
        <v>HIÁNYOS ADATOK</v>
      </c>
      <c r="Y86" s="317" t="str">
        <f t="shared" ref="Y86:Y90" si="255">IF(A86="FEOR",ROUND((V86/(1+AU86)),0),IF(A86="HIÁNYOS ADATOK","HIÁNYOS ADATOK",ROUND(G86/(1+AU86),0)))</f>
        <v>HIÁNYOS ADATOK</v>
      </c>
      <c r="Z86" s="317" t="str">
        <f t="shared" ref="Z86:Z90" si="256">IF(A86="FEOR",ROUND((V86-Y86),0),IF(A86="HIÁNYOS ADATOK","HIÁNYOS ADATOK",ROUND((G86-Y86),0)))</f>
        <v>HIÁNYOS ADATOK</v>
      </c>
      <c r="AA86" s="12"/>
      <c r="AB86" s="274">
        <v>8438554873</v>
      </c>
      <c r="AC86" s="40" t="s">
        <v>2856</v>
      </c>
      <c r="AD86" s="82" t="s">
        <v>75</v>
      </c>
      <c r="AE86" s="41" t="s">
        <v>52</v>
      </c>
      <c r="AF86" s="11" t="s">
        <v>159</v>
      </c>
      <c r="AG86" s="11" t="s">
        <v>166</v>
      </c>
      <c r="AH86" s="14" t="s">
        <v>122</v>
      </c>
      <c r="AI86" s="86" t="s">
        <v>37</v>
      </c>
      <c r="AJ86" s="113" t="str">
        <f>IF(COUNTIFS(Admin!$A$29:$A$40,AI86)&gt;0,Admin!$A$28,IF(COUNTIFS(Admin!$B$29:$B$40,AI86)&gt;0,Admin!$B$28,IF(COUNTIFS(Admin!$C$29:$C$40,AI86)&gt;0,Admin!$C$28,IF(COUNTIFS(Admin!$D$29:$D$40,AI86)&gt;0,Admin!$D$28,"-"))))</f>
        <v>3. mérföldkő</v>
      </c>
      <c r="AK86" s="14" t="s">
        <v>141</v>
      </c>
      <c r="AL86" s="9" t="s">
        <v>56</v>
      </c>
      <c r="AM86" s="131">
        <v>600000</v>
      </c>
      <c r="AN86" s="132">
        <f t="shared" ref="AN86:AN90" si="257">IFERROR(ROUND(AM86*AU86,0),"")</f>
        <v>78000</v>
      </c>
      <c r="AO86" s="121">
        <v>174</v>
      </c>
      <c r="AP86" s="121">
        <v>174</v>
      </c>
      <c r="AQ86" s="354">
        <f t="shared" ref="AQ86:AQ90" si="258">IFERROR(AP86/AO86,"")</f>
        <v>1</v>
      </c>
      <c r="AR86" s="133">
        <f t="shared" ref="AR86:AR90" si="259">IFERROR(ROUND(AM86*AP86/AO86,0),"")</f>
        <v>600000</v>
      </c>
      <c r="AS86" s="133">
        <f t="shared" ref="AS86:AS90" si="260">IFERROR(ROUND(AR86*AU86,0),"")</f>
        <v>78000</v>
      </c>
      <c r="AT86" s="123">
        <f t="shared" ref="AT86:AT90" si="261">IFERROR(AP86/AO86-AR86/AM86,"")</f>
        <v>0</v>
      </c>
      <c r="AU86" s="124">
        <v>0.13</v>
      </c>
      <c r="AV86" s="394"/>
      <c r="AW86" s="15">
        <v>45033</v>
      </c>
      <c r="AX86" s="12" t="s">
        <v>206</v>
      </c>
    </row>
    <row r="87" spans="1:56" s="1" customFormat="1" hidden="1" x14ac:dyDescent="0.25">
      <c r="A87" s="264" t="str">
        <f>Bérköltség!$B87</f>
        <v>HIÁNYOS ADATOK</v>
      </c>
      <c r="B87" s="264" t="str">
        <f>IFERROR(
IF(AND(Bérköltség!$F87="",H87="NA"),"HIÁNYOS ADATOK",
IF(Bérköltség!$F87&lt;Bérköltség!$U87,Admin!$B$18,Admin!$B$17)),
"")</f>
        <v>HIÁNYOS ADATOK</v>
      </c>
      <c r="C87" s="265" t="str">
        <f>IFERROR(INDEX('Historikus berek_2021-2'!$A$1:$F$903,MATCH(AB87,'Historikus berek_2021-2'!$A$1:$A$903,0),4),"")</f>
        <v/>
      </c>
      <c r="D87" s="279" t="str">
        <f t="shared" si="239"/>
        <v/>
      </c>
      <c r="E87" s="265">
        <f t="shared" si="240"/>
        <v>600000</v>
      </c>
      <c r="F87" s="266" t="str">
        <f t="shared" si="241"/>
        <v/>
      </c>
      <c r="G87" s="267" t="str">
        <f t="shared" si="242"/>
        <v/>
      </c>
      <c r="H87" s="268" t="str">
        <f>IFERROR(INDEX('FEOR kodok'!$A$2:$J$1126,MATCH(Bérköltség!AB87,'FEOR kodok'!$B$2:$B$1126,0),8),"NA")</f>
        <v>NA</v>
      </c>
      <c r="I87" s="269" t="str">
        <f>IFERROR(INDEX('FEOR kodok'!$A$2:$J$1126,MATCH(Bérköltség!AB87,'FEOR kodok'!$B$2:$B$1126,0),10),"NA")</f>
        <v>NA</v>
      </c>
      <c r="J87" s="276" t="str">
        <f t="shared" si="243"/>
        <v>NA</v>
      </c>
      <c r="K87" s="269" t="str">
        <f>IFERROR(INDEX(admin_feor[#All],MATCH(Bérköltség!H87,admin_feor[[#All],[Foglalkozás]],0),2),"NA")</f>
        <v>NA</v>
      </c>
      <c r="L87" s="270" t="str">
        <f>IFERROR(
INDEX('Admin - FEOR'!$A$4:$F$465,MATCH(Bérköltség!H87,'Admin - FEOR'!$A$4:$A$465,0),
IF(J87="30 év alatt",3,
IF(J87="30–39 éves",4,
IF(J87="40–49 éves",5,
IF(J87="50 év és afelett",6
)))))*1,"NA")</f>
        <v>NA</v>
      </c>
      <c r="M87" s="270">
        <f t="shared" si="244"/>
        <v>600000</v>
      </c>
      <c r="N87" s="318" t="str">
        <f t="shared" si="245"/>
        <v>NA</v>
      </c>
      <c r="O87" s="270" t="str">
        <f>IFERROR(
INDEX('Admin - FEOR'!$A$4:$F$465,MATCH(Bérköltség!H87,'Admin - FEOR'!$A$4:$A$465,0),
IF(J87="30 év alatt",3,
IF(J87="30–39 éves",4,
IF(J87="40–49 éves",5,
IF(J87="50 év és afelett",6
)))))*1.5,"NA")</f>
        <v>NA</v>
      </c>
      <c r="P87" s="270" t="str">
        <f t="shared" si="246"/>
        <v>NA</v>
      </c>
      <c r="Q87" s="270">
        <f t="shared" si="247"/>
        <v>600000</v>
      </c>
      <c r="R87" s="275">
        <f t="shared" si="248"/>
        <v>1</v>
      </c>
      <c r="S87" s="270" t="str">
        <f t="shared" si="249"/>
        <v>NA</v>
      </c>
      <c r="T87" s="270" t="str">
        <f t="shared" si="250"/>
        <v>NA</v>
      </c>
      <c r="U87" s="271" t="str">
        <f t="shared" si="251"/>
        <v>NA</v>
      </c>
      <c r="V87" s="272" t="str">
        <f t="shared" si="252"/>
        <v>NA</v>
      </c>
      <c r="W87" s="273" t="str">
        <f t="shared" si="253"/>
        <v>FEOR hiányzik</v>
      </c>
      <c r="X87" s="372" t="str">
        <f t="shared" si="254"/>
        <v>HIÁNYOS ADATOK</v>
      </c>
      <c r="Y87" s="317" t="str">
        <f t="shared" si="255"/>
        <v>HIÁNYOS ADATOK</v>
      </c>
      <c r="Z87" s="317" t="str">
        <f t="shared" si="256"/>
        <v>HIÁNYOS ADATOK</v>
      </c>
      <c r="AA87" s="12"/>
      <c r="AB87" s="274">
        <v>8438554873</v>
      </c>
      <c r="AC87" s="40" t="s">
        <v>2856</v>
      </c>
      <c r="AD87" s="82" t="s">
        <v>75</v>
      </c>
      <c r="AE87" s="41" t="s">
        <v>52</v>
      </c>
      <c r="AF87" s="11" t="s">
        <v>159</v>
      </c>
      <c r="AG87" s="11" t="s">
        <v>166</v>
      </c>
      <c r="AH87" s="14" t="s">
        <v>122</v>
      </c>
      <c r="AI87" s="86" t="s">
        <v>38</v>
      </c>
      <c r="AJ87" s="113" t="str">
        <f>IF(COUNTIFS(Admin!$A$29:$A$40,AI87)&gt;0,Admin!$A$28,IF(COUNTIFS(Admin!$B$29:$B$40,AI87)&gt;0,Admin!$B$28,IF(COUNTIFS(Admin!$C$29:$C$40,AI87)&gt;0,Admin!$C$28,IF(COUNTIFS(Admin!$D$29:$D$40,AI87)&gt;0,Admin!$D$28,"-"))))</f>
        <v>3. mérföldkő</v>
      </c>
      <c r="AK87" s="14" t="s">
        <v>141</v>
      </c>
      <c r="AL87" s="9" t="s">
        <v>56</v>
      </c>
      <c r="AM87" s="131">
        <v>600000</v>
      </c>
      <c r="AN87" s="132">
        <f t="shared" si="257"/>
        <v>78000</v>
      </c>
      <c r="AO87" s="121">
        <v>174</v>
      </c>
      <c r="AP87" s="121">
        <v>174</v>
      </c>
      <c r="AQ87" s="354">
        <f t="shared" si="258"/>
        <v>1</v>
      </c>
      <c r="AR87" s="133">
        <f t="shared" si="259"/>
        <v>600000</v>
      </c>
      <c r="AS87" s="133">
        <f t="shared" si="260"/>
        <v>78000</v>
      </c>
      <c r="AT87" s="123">
        <f t="shared" si="261"/>
        <v>0</v>
      </c>
      <c r="AU87" s="124">
        <v>0.13</v>
      </c>
      <c r="AV87" s="394"/>
      <c r="AW87" s="15">
        <v>45033</v>
      </c>
      <c r="AX87" s="12" t="s">
        <v>206</v>
      </c>
    </row>
    <row r="88" spans="1:56" s="1" customFormat="1" hidden="1" x14ac:dyDescent="0.25">
      <c r="A88" s="264" t="str">
        <f>Bérköltség!$B88</f>
        <v>HIÁNYOS ADATOK</v>
      </c>
      <c r="B88" s="264" t="str">
        <f>IFERROR(
IF(AND(Bérköltség!$F88="",H88="NA"),"HIÁNYOS ADATOK",
IF(Bérköltség!$F88&lt;Bérköltség!$U88,Admin!$B$18,Admin!$B$17)),
"")</f>
        <v>HIÁNYOS ADATOK</v>
      </c>
      <c r="C88" s="265" t="str">
        <f>IFERROR(INDEX('Historikus berek_2021-2'!$A$1:$F$903,MATCH(AB88,'Historikus berek_2021-2'!$A$1:$A$903,0),4),"")</f>
        <v/>
      </c>
      <c r="D88" s="279" t="str">
        <f t="shared" si="239"/>
        <v/>
      </c>
      <c r="E88" s="265">
        <f t="shared" si="240"/>
        <v>600000</v>
      </c>
      <c r="F88" s="266" t="str">
        <f t="shared" si="241"/>
        <v/>
      </c>
      <c r="G88" s="267" t="str">
        <f t="shared" si="242"/>
        <v/>
      </c>
      <c r="H88" s="268" t="str">
        <f>IFERROR(INDEX('FEOR kodok'!$A$2:$J$1126,MATCH(Bérköltség!AB88,'FEOR kodok'!$B$2:$B$1126,0),8),"NA")</f>
        <v>NA</v>
      </c>
      <c r="I88" s="269" t="str">
        <f>IFERROR(INDEX('FEOR kodok'!$A$2:$J$1126,MATCH(Bérköltség!AB88,'FEOR kodok'!$B$2:$B$1126,0),10),"NA")</f>
        <v>NA</v>
      </c>
      <c r="J88" s="276" t="str">
        <f t="shared" si="243"/>
        <v>NA</v>
      </c>
      <c r="K88" s="269" t="str">
        <f>IFERROR(INDEX(admin_feor[#All],MATCH(Bérköltség!H88,admin_feor[[#All],[Foglalkozás]],0),2),"NA")</f>
        <v>NA</v>
      </c>
      <c r="L88" s="270" t="str">
        <f>IFERROR(
INDEX('Admin - FEOR'!$A$4:$F$465,MATCH(Bérköltség!H88,'Admin - FEOR'!$A$4:$A$465,0),
IF(J88="30 év alatt",3,
IF(J88="30–39 éves",4,
IF(J88="40–49 éves",5,
IF(J88="50 év és afelett",6
)))))*1,"NA")</f>
        <v>NA</v>
      </c>
      <c r="M88" s="270">
        <f t="shared" si="244"/>
        <v>600000</v>
      </c>
      <c r="N88" s="318" t="str">
        <f t="shared" si="245"/>
        <v>NA</v>
      </c>
      <c r="O88" s="270" t="str">
        <f>IFERROR(
INDEX('Admin - FEOR'!$A$4:$F$465,MATCH(Bérköltség!H88,'Admin - FEOR'!$A$4:$A$465,0),
IF(J88="30 év alatt",3,
IF(J88="30–39 éves",4,
IF(J88="40–49 éves",5,
IF(J88="50 év és afelett",6
)))))*1.5,"NA")</f>
        <v>NA</v>
      </c>
      <c r="P88" s="270" t="str">
        <f t="shared" si="246"/>
        <v>NA</v>
      </c>
      <c r="Q88" s="270">
        <f t="shared" si="247"/>
        <v>600000</v>
      </c>
      <c r="R88" s="275">
        <f t="shared" si="248"/>
        <v>1</v>
      </c>
      <c r="S88" s="270" t="str">
        <f t="shared" si="249"/>
        <v>NA</v>
      </c>
      <c r="T88" s="270" t="str">
        <f t="shared" si="250"/>
        <v>NA</v>
      </c>
      <c r="U88" s="271" t="str">
        <f t="shared" si="251"/>
        <v>NA</v>
      </c>
      <c r="V88" s="272" t="str">
        <f t="shared" si="252"/>
        <v>NA</v>
      </c>
      <c r="W88" s="273" t="str">
        <f t="shared" si="253"/>
        <v>FEOR hiányzik</v>
      </c>
      <c r="X88" s="372" t="str">
        <f t="shared" si="254"/>
        <v>HIÁNYOS ADATOK</v>
      </c>
      <c r="Y88" s="317" t="str">
        <f t="shared" si="255"/>
        <v>HIÁNYOS ADATOK</v>
      </c>
      <c r="Z88" s="317" t="str">
        <f t="shared" si="256"/>
        <v>HIÁNYOS ADATOK</v>
      </c>
      <c r="AA88" s="12"/>
      <c r="AB88" s="274">
        <v>8438554873</v>
      </c>
      <c r="AC88" s="40" t="s">
        <v>2856</v>
      </c>
      <c r="AD88" s="82" t="s">
        <v>75</v>
      </c>
      <c r="AE88" s="41" t="s">
        <v>52</v>
      </c>
      <c r="AF88" s="11" t="s">
        <v>159</v>
      </c>
      <c r="AG88" s="11" t="s">
        <v>166</v>
      </c>
      <c r="AH88" s="14" t="s">
        <v>122</v>
      </c>
      <c r="AI88" s="86" t="s">
        <v>39</v>
      </c>
      <c r="AJ88" s="113" t="str">
        <f>IF(COUNTIFS(Admin!$A$29:$A$40,AI88)&gt;0,Admin!$A$28,IF(COUNTIFS(Admin!$B$29:$B$40,AI88)&gt;0,Admin!$B$28,IF(COUNTIFS(Admin!$C$29:$C$40,AI88)&gt;0,Admin!$C$28,IF(COUNTIFS(Admin!$D$29:$D$40,AI88)&gt;0,Admin!$D$28,"-"))))</f>
        <v>3. mérföldkő</v>
      </c>
      <c r="AK88" s="14" t="s">
        <v>141</v>
      </c>
      <c r="AL88" s="9" t="s">
        <v>56</v>
      </c>
      <c r="AM88" s="131">
        <v>600000</v>
      </c>
      <c r="AN88" s="132">
        <f t="shared" si="257"/>
        <v>78000</v>
      </c>
      <c r="AO88" s="121">
        <v>174</v>
      </c>
      <c r="AP88" s="121">
        <v>174</v>
      </c>
      <c r="AQ88" s="354">
        <f t="shared" si="258"/>
        <v>1</v>
      </c>
      <c r="AR88" s="133">
        <f t="shared" si="259"/>
        <v>600000</v>
      </c>
      <c r="AS88" s="133">
        <f t="shared" si="260"/>
        <v>78000</v>
      </c>
      <c r="AT88" s="123">
        <f t="shared" si="261"/>
        <v>0</v>
      </c>
      <c r="AU88" s="124">
        <v>0.13</v>
      </c>
      <c r="AV88" s="394"/>
      <c r="AW88" s="15">
        <v>45033</v>
      </c>
      <c r="AX88" s="12" t="s">
        <v>206</v>
      </c>
    </row>
    <row r="89" spans="1:56" s="1" customFormat="1" hidden="1" x14ac:dyDescent="0.25">
      <c r="A89" s="264" t="str">
        <f>Bérköltség!$B89</f>
        <v>HIÁNYOS ADATOK</v>
      </c>
      <c r="B89" s="264" t="str">
        <f>IFERROR(
IF(AND(Bérköltség!$F89="",H89="NA"),"HIÁNYOS ADATOK",
IF(Bérköltség!$F89&lt;Bérköltség!$U89,Admin!$B$18,Admin!$B$17)),
"")</f>
        <v>HIÁNYOS ADATOK</v>
      </c>
      <c r="C89" s="265" t="str">
        <f>IFERROR(INDEX('Historikus berek_2021-2'!$A$1:$F$903,MATCH(AB89,'Historikus berek_2021-2'!$A$1:$A$903,0),4),"")</f>
        <v/>
      </c>
      <c r="D89" s="279" t="str">
        <f t="shared" si="239"/>
        <v/>
      </c>
      <c r="E89" s="265">
        <f t="shared" si="240"/>
        <v>600000</v>
      </c>
      <c r="F89" s="266" t="str">
        <f t="shared" si="241"/>
        <v/>
      </c>
      <c r="G89" s="267" t="str">
        <f t="shared" si="242"/>
        <v/>
      </c>
      <c r="H89" s="268" t="str">
        <f>IFERROR(INDEX('FEOR kodok'!$A$2:$J$1126,MATCH(Bérköltség!AB89,'FEOR kodok'!$B$2:$B$1126,0),8),"NA")</f>
        <v>NA</v>
      </c>
      <c r="I89" s="269" t="str">
        <f>IFERROR(INDEX('FEOR kodok'!$A$2:$J$1126,MATCH(Bérköltség!AB89,'FEOR kodok'!$B$2:$B$1126,0),10),"NA")</f>
        <v>NA</v>
      </c>
      <c r="J89" s="276" t="str">
        <f t="shared" si="243"/>
        <v>NA</v>
      </c>
      <c r="K89" s="269" t="str">
        <f>IFERROR(INDEX(admin_feor[#All],MATCH(Bérköltség!H89,admin_feor[[#All],[Foglalkozás]],0),2),"NA")</f>
        <v>NA</v>
      </c>
      <c r="L89" s="270" t="str">
        <f>IFERROR(
INDEX('Admin - FEOR'!$A$4:$F$465,MATCH(Bérköltség!H89,'Admin - FEOR'!$A$4:$A$465,0),
IF(J89="30 év alatt",3,
IF(J89="30–39 éves",4,
IF(J89="40–49 éves",5,
IF(J89="50 év és afelett",6
)))))*1,"NA")</f>
        <v>NA</v>
      </c>
      <c r="M89" s="270">
        <f t="shared" si="244"/>
        <v>600000</v>
      </c>
      <c r="N89" s="318" t="str">
        <f t="shared" si="245"/>
        <v>NA</v>
      </c>
      <c r="O89" s="270" t="str">
        <f>IFERROR(
INDEX('Admin - FEOR'!$A$4:$F$465,MATCH(Bérköltség!H89,'Admin - FEOR'!$A$4:$A$465,0),
IF(J89="30 év alatt",3,
IF(J89="30–39 éves",4,
IF(J89="40–49 éves",5,
IF(J89="50 év és afelett",6
)))))*1.5,"NA")</f>
        <v>NA</v>
      </c>
      <c r="P89" s="270" t="str">
        <f t="shared" si="246"/>
        <v>NA</v>
      </c>
      <c r="Q89" s="270">
        <f t="shared" si="247"/>
        <v>600000</v>
      </c>
      <c r="R89" s="275">
        <f t="shared" si="248"/>
        <v>1</v>
      </c>
      <c r="S89" s="270" t="str">
        <f t="shared" si="249"/>
        <v>NA</v>
      </c>
      <c r="T89" s="270" t="str">
        <f t="shared" si="250"/>
        <v>NA</v>
      </c>
      <c r="U89" s="271" t="str">
        <f t="shared" si="251"/>
        <v>NA</v>
      </c>
      <c r="V89" s="272" t="str">
        <f t="shared" si="252"/>
        <v>NA</v>
      </c>
      <c r="W89" s="273" t="str">
        <f t="shared" si="253"/>
        <v>FEOR hiányzik</v>
      </c>
      <c r="X89" s="372" t="str">
        <f t="shared" si="254"/>
        <v>HIÁNYOS ADATOK</v>
      </c>
      <c r="Y89" s="317" t="str">
        <f t="shared" si="255"/>
        <v>HIÁNYOS ADATOK</v>
      </c>
      <c r="Z89" s="317" t="str">
        <f t="shared" si="256"/>
        <v>HIÁNYOS ADATOK</v>
      </c>
      <c r="AA89" s="12"/>
      <c r="AB89" s="274">
        <v>8438554873</v>
      </c>
      <c r="AC89" s="40" t="s">
        <v>2856</v>
      </c>
      <c r="AD89" s="82" t="s">
        <v>75</v>
      </c>
      <c r="AE89" s="41" t="s">
        <v>52</v>
      </c>
      <c r="AF89" s="11" t="s">
        <v>159</v>
      </c>
      <c r="AG89" s="11" t="s">
        <v>166</v>
      </c>
      <c r="AH89" s="14" t="s">
        <v>122</v>
      </c>
      <c r="AI89" s="86" t="s">
        <v>40</v>
      </c>
      <c r="AJ89" s="113" t="str">
        <f>IF(COUNTIFS(Admin!$A$29:$A$40,AI89)&gt;0,Admin!$A$28,IF(COUNTIFS(Admin!$B$29:$B$40,AI89)&gt;0,Admin!$B$28,IF(COUNTIFS(Admin!$C$29:$C$40,AI89)&gt;0,Admin!$C$28,IF(COUNTIFS(Admin!$D$29:$D$40,AI89)&gt;0,Admin!$D$28,"-"))))</f>
        <v>3. mérföldkő</v>
      </c>
      <c r="AK89" s="14" t="s">
        <v>141</v>
      </c>
      <c r="AL89" s="9" t="s">
        <v>56</v>
      </c>
      <c r="AM89" s="131">
        <v>600000</v>
      </c>
      <c r="AN89" s="132">
        <f t="shared" si="257"/>
        <v>78000</v>
      </c>
      <c r="AO89" s="121">
        <v>174</v>
      </c>
      <c r="AP89" s="121">
        <v>174</v>
      </c>
      <c r="AQ89" s="354">
        <f t="shared" si="258"/>
        <v>1</v>
      </c>
      <c r="AR89" s="133">
        <f t="shared" si="259"/>
        <v>600000</v>
      </c>
      <c r="AS89" s="133">
        <f t="shared" si="260"/>
        <v>78000</v>
      </c>
      <c r="AT89" s="123">
        <f t="shared" si="261"/>
        <v>0</v>
      </c>
      <c r="AU89" s="124">
        <v>0.13</v>
      </c>
      <c r="AV89" s="394"/>
      <c r="AW89" s="15">
        <v>45033</v>
      </c>
      <c r="AX89" s="12" t="s">
        <v>206</v>
      </c>
    </row>
    <row r="90" spans="1:56" s="1" customFormat="1" hidden="1" x14ac:dyDescent="0.25">
      <c r="A90" s="264" t="str">
        <f>Bérköltség!$B90</f>
        <v>HIÁNYOS ADATOK</v>
      </c>
      <c r="B90" s="264" t="str">
        <f>IFERROR(
IF(AND(Bérköltség!$F90="",H90="NA"),"HIÁNYOS ADATOK",
IF(Bérköltség!$F90&lt;Bérköltség!$U90,Admin!$B$18,Admin!$B$17)),
"")</f>
        <v>HIÁNYOS ADATOK</v>
      </c>
      <c r="C90" s="265" t="str">
        <f>IFERROR(INDEX('Historikus berek_2021-2'!$A$1:$F$903,MATCH(AB90,'Historikus berek_2021-2'!$A$1:$A$903,0),4),"")</f>
        <v/>
      </c>
      <c r="D90" s="279" t="str">
        <f t="shared" si="239"/>
        <v/>
      </c>
      <c r="E90" s="265">
        <f t="shared" si="240"/>
        <v>600000</v>
      </c>
      <c r="F90" s="266" t="str">
        <f t="shared" si="241"/>
        <v/>
      </c>
      <c r="G90" s="267" t="str">
        <f t="shared" si="242"/>
        <v/>
      </c>
      <c r="H90" s="268" t="str">
        <f>IFERROR(INDEX('FEOR kodok'!$A$2:$J$1126,MATCH(Bérköltség!AB90,'FEOR kodok'!$B$2:$B$1126,0),8),"NA")</f>
        <v>NA</v>
      </c>
      <c r="I90" s="269" t="str">
        <f>IFERROR(INDEX('FEOR kodok'!$A$2:$J$1126,MATCH(Bérköltség!AB90,'FEOR kodok'!$B$2:$B$1126,0),10),"NA")</f>
        <v>NA</v>
      </c>
      <c r="J90" s="276" t="str">
        <f t="shared" si="243"/>
        <v>NA</v>
      </c>
      <c r="K90" s="269" t="str">
        <f>IFERROR(INDEX(admin_feor[#All],MATCH(Bérköltség!H90,admin_feor[[#All],[Foglalkozás]],0),2),"NA")</f>
        <v>NA</v>
      </c>
      <c r="L90" s="270" t="str">
        <f>IFERROR(
INDEX('Admin - FEOR'!$A$4:$F$465,MATCH(Bérköltség!H90,'Admin - FEOR'!$A$4:$A$465,0),
IF(J90="30 év alatt",3,
IF(J90="30–39 éves",4,
IF(J90="40–49 éves",5,
IF(J90="50 év és afelett",6
)))))*1,"NA")</f>
        <v>NA</v>
      </c>
      <c r="M90" s="270">
        <f t="shared" si="244"/>
        <v>600000</v>
      </c>
      <c r="N90" s="318" t="str">
        <f t="shared" si="245"/>
        <v>NA</v>
      </c>
      <c r="O90" s="270" t="str">
        <f>IFERROR(
INDEX('Admin - FEOR'!$A$4:$F$465,MATCH(Bérköltség!H90,'Admin - FEOR'!$A$4:$A$465,0),
IF(J90="30 év alatt",3,
IF(J90="30–39 éves",4,
IF(J90="40–49 éves",5,
IF(J90="50 év és afelett",6
)))))*1.5,"NA")</f>
        <v>NA</v>
      </c>
      <c r="P90" s="270" t="str">
        <f t="shared" si="246"/>
        <v>NA</v>
      </c>
      <c r="Q90" s="270">
        <f t="shared" si="247"/>
        <v>600000</v>
      </c>
      <c r="R90" s="275">
        <f t="shared" si="248"/>
        <v>1</v>
      </c>
      <c r="S90" s="270" t="str">
        <f t="shared" si="249"/>
        <v>NA</v>
      </c>
      <c r="T90" s="270" t="str">
        <f t="shared" si="250"/>
        <v>NA</v>
      </c>
      <c r="U90" s="271" t="str">
        <f t="shared" si="251"/>
        <v>NA</v>
      </c>
      <c r="V90" s="272" t="str">
        <f t="shared" si="252"/>
        <v>NA</v>
      </c>
      <c r="W90" s="273" t="str">
        <f t="shared" si="253"/>
        <v>FEOR hiányzik</v>
      </c>
      <c r="X90" s="372" t="str">
        <f t="shared" si="254"/>
        <v>HIÁNYOS ADATOK</v>
      </c>
      <c r="Y90" s="317" t="str">
        <f t="shared" si="255"/>
        <v>HIÁNYOS ADATOK</v>
      </c>
      <c r="Z90" s="317" t="str">
        <f t="shared" si="256"/>
        <v>HIÁNYOS ADATOK</v>
      </c>
      <c r="AA90" s="12"/>
      <c r="AB90" s="274">
        <v>8438554873</v>
      </c>
      <c r="AC90" s="40" t="s">
        <v>2856</v>
      </c>
      <c r="AD90" s="82" t="s">
        <v>75</v>
      </c>
      <c r="AE90" s="41" t="s">
        <v>52</v>
      </c>
      <c r="AF90" s="11" t="s">
        <v>159</v>
      </c>
      <c r="AG90" s="11" t="s">
        <v>166</v>
      </c>
      <c r="AH90" s="14" t="s">
        <v>122</v>
      </c>
      <c r="AI90" s="86" t="s">
        <v>41</v>
      </c>
      <c r="AJ90" s="113" t="str">
        <f>IF(COUNTIFS(Admin!$A$29:$A$40,AI90)&gt;0,Admin!$A$28,IF(COUNTIFS(Admin!$B$29:$B$40,AI90)&gt;0,Admin!$B$28,IF(COUNTIFS(Admin!$C$29:$C$40,AI90)&gt;0,Admin!$C$28,IF(COUNTIFS(Admin!$D$29:$D$40,AI90)&gt;0,Admin!$D$28,"-"))))</f>
        <v>3. mérföldkő</v>
      </c>
      <c r="AK90" s="14" t="s">
        <v>141</v>
      </c>
      <c r="AL90" s="9" t="s">
        <v>56</v>
      </c>
      <c r="AM90" s="131">
        <v>600000</v>
      </c>
      <c r="AN90" s="132">
        <f t="shared" si="257"/>
        <v>78000</v>
      </c>
      <c r="AO90" s="121">
        <v>174</v>
      </c>
      <c r="AP90" s="121">
        <v>174</v>
      </c>
      <c r="AQ90" s="354">
        <f t="shared" si="258"/>
        <v>1</v>
      </c>
      <c r="AR90" s="133">
        <f t="shared" si="259"/>
        <v>600000</v>
      </c>
      <c r="AS90" s="133">
        <f t="shared" si="260"/>
        <v>78000</v>
      </c>
      <c r="AT90" s="123">
        <f t="shared" si="261"/>
        <v>0</v>
      </c>
      <c r="AU90" s="124">
        <v>0.13</v>
      </c>
      <c r="AV90" s="394"/>
      <c r="AW90" s="15">
        <v>45033</v>
      </c>
      <c r="AX90" s="12" t="s">
        <v>206</v>
      </c>
    </row>
    <row r="91" spans="1:56" s="1" customFormat="1" hidden="1" x14ac:dyDescent="0.25">
      <c r="A91" s="264" t="str">
        <f>Bérköltség!$B91</f>
        <v>FEOR</v>
      </c>
      <c r="B91" s="264" t="str">
        <f>IFERROR(
IF(AND(Bérköltség!$F91="",H91="NA"),"HIÁNYOS ADATOK",
IF(Bérköltség!$F91&lt;Bérköltség!$U91,Admin!$B$18,Admin!$B$17)),
"")</f>
        <v>FEOR</v>
      </c>
      <c r="C91" s="265">
        <f>IFERROR(INDEX('Historikus berek_2021-2'!$A$1:$F$903,MATCH(AB91,'Historikus berek_2021-2'!$A$1:$A$903,0),4),"")</f>
        <v>476900</v>
      </c>
      <c r="D91" s="279">
        <f t="shared" si="23"/>
        <v>211041.9540229885</v>
      </c>
      <c r="E91" s="265">
        <f t="shared" si="24"/>
        <v>304460</v>
      </c>
      <c r="F91" s="266">
        <f t="shared" si="25"/>
        <v>105562.39195402301</v>
      </c>
      <c r="G91" s="267">
        <f t="shared" si="26"/>
        <v>238477.40804597698</v>
      </c>
      <c r="H91" s="268">
        <f>IFERROR(INDEX('FEOR kodok'!$A$2:$J$1126,MATCH(Bérköltség!AB91,'FEOR kodok'!$B$2:$B$1126,0),8),"NA")</f>
        <v>2117</v>
      </c>
      <c r="I91" s="269">
        <f>IFERROR(INDEX('FEOR kodok'!$A$2:$J$1126,MATCH(Bérköltség!AB91,'FEOR kodok'!$B$2:$B$1126,0),10),"NA")</f>
        <v>37</v>
      </c>
      <c r="J91" s="276" t="str">
        <f t="shared" si="27"/>
        <v>30–39 éves</v>
      </c>
      <c r="K91" s="269" t="str">
        <f>IFERROR(INDEX(admin_feor[#All],MATCH(Bérköltség!H91,admin_feor[[#All],[Foglalkozás]],0),2),"NA")</f>
        <v>Vegyészmérnök</v>
      </c>
      <c r="L91" s="270">
        <f>IFERROR(
INDEX('Admin - FEOR'!$A$4:$F$465,MATCH(Bérköltség!H91,'Admin - FEOR'!$A$4:$A$465,0),
IF(J91="30 év alatt",3,
IF(J91="30–39 éves",4,
IF(J91="40–49 éves",5,
IF(J91="50 év és afelett",6
)))))*1,"NA")</f>
        <v>696588</v>
      </c>
      <c r="M91" s="270">
        <f t="shared" si="28"/>
        <v>688000</v>
      </c>
      <c r="N91" s="318">
        <f t="shared" si="29"/>
        <v>0.9876713351364077</v>
      </c>
      <c r="O91" s="270">
        <f>IFERROR(
INDEX('Admin - FEOR'!$A$4:$F$465,MATCH(Bérköltség!H91,'Admin - FEOR'!$A$4:$A$465,0),
IF(J91="30 év alatt",3,
IF(J91="30–39 éves",4,
IF(J91="40–49 éves",5,
IF(J91="50 év és afelett",6
)))))*1.5,"NA")</f>
        <v>1044882</v>
      </c>
      <c r="P91" s="270">
        <f t="shared" si="30"/>
        <v>462390.31034482759</v>
      </c>
      <c r="Q91" s="270">
        <f t="shared" si="31"/>
        <v>304460</v>
      </c>
      <c r="R91" s="275">
        <f t="shared" si="32"/>
        <v>0.44252873563218392</v>
      </c>
      <c r="S91" s="270">
        <f t="shared" si="33"/>
        <v>0</v>
      </c>
      <c r="T91" s="270">
        <f t="shared" si="34"/>
        <v>0</v>
      </c>
      <c r="U91" s="271">
        <f t="shared" si="35"/>
        <v>0</v>
      </c>
      <c r="V91" s="272">
        <f t="shared" si="36"/>
        <v>344040</v>
      </c>
      <c r="W91" s="273" t="str">
        <f t="shared" si="37"/>
        <v>Nem szükséges indoklás.</v>
      </c>
      <c r="X91" s="372">
        <f t="shared" si="38"/>
        <v>0</v>
      </c>
      <c r="Y91" s="317">
        <f t="shared" si="39"/>
        <v>304460</v>
      </c>
      <c r="Z91" s="317">
        <f t="shared" si="40"/>
        <v>39580</v>
      </c>
      <c r="AA91" s="12">
        <v>2</v>
      </c>
      <c r="AB91" s="274">
        <v>8438023282</v>
      </c>
      <c r="AC91" s="40" t="s">
        <v>353</v>
      </c>
      <c r="AD91" s="82" t="s">
        <v>75</v>
      </c>
      <c r="AE91" s="41" t="s">
        <v>52</v>
      </c>
      <c r="AF91" s="11" t="s">
        <v>152</v>
      </c>
      <c r="AG91" s="11" t="s">
        <v>168</v>
      </c>
      <c r="AH91" s="14" t="s">
        <v>122</v>
      </c>
      <c r="AI91" s="86" t="s">
        <v>32</v>
      </c>
      <c r="AJ91" s="113" t="str">
        <f>IF(COUNTIFS(Admin!$A$29:$A$40,AI91)&gt;0,Admin!$A$28,IF(COUNTIFS(Admin!$B$29:$B$40,AI91)&gt;0,Admin!$B$28,IF(COUNTIFS(Admin!$C$29:$C$40,AI91)&gt;0,Admin!$C$28,IF(COUNTIFS(Admin!$D$29:$D$40,AI91)&gt;0,Admin!$D$28,"-"))))</f>
        <v>2. mérföldkő</v>
      </c>
      <c r="AK91" s="14" t="s">
        <v>7</v>
      </c>
      <c r="AL91" s="9" t="s">
        <v>56</v>
      </c>
      <c r="AM91" s="131">
        <v>688000</v>
      </c>
      <c r="AN91" s="132">
        <f t="shared" si="115"/>
        <v>89440</v>
      </c>
      <c r="AO91" s="121">
        <v>174</v>
      </c>
      <c r="AP91" s="121">
        <v>77</v>
      </c>
      <c r="AQ91" s="354">
        <f t="shared" si="182"/>
        <v>0.44252873563218392</v>
      </c>
      <c r="AR91" s="133">
        <f t="shared" si="214"/>
        <v>304460</v>
      </c>
      <c r="AS91" s="133">
        <f t="shared" si="184"/>
        <v>39580</v>
      </c>
      <c r="AT91" s="123">
        <f t="shared" si="185"/>
        <v>-3.3413525796222032E-7</v>
      </c>
      <c r="AU91" s="124">
        <v>0.13</v>
      </c>
      <c r="AV91" s="394" t="s">
        <v>2761</v>
      </c>
      <c r="AW91" s="15">
        <v>44936</v>
      </c>
      <c r="AX91" s="12" t="s">
        <v>206</v>
      </c>
      <c r="AZ91" s="1" t="s">
        <v>2667</v>
      </c>
      <c r="BA91" s="1">
        <v>0</v>
      </c>
      <c r="BB91" s="1">
        <v>0</v>
      </c>
      <c r="BC91" s="1" t="s">
        <v>2818</v>
      </c>
      <c r="BD91" s="1" t="str">
        <f t="shared" si="215"/>
        <v>Kutató_VM_9 - Kutató</v>
      </c>
    </row>
    <row r="92" spans="1:56" s="1" customFormat="1" hidden="1" x14ac:dyDescent="0.25">
      <c r="A92" s="264" t="str">
        <f>Bérköltség!$B92</f>
        <v>FEOR</v>
      </c>
      <c r="B92" s="264" t="str">
        <f>IFERROR(
IF(AND(Bérköltség!$F92="",H92="NA"),"HIÁNYOS ADATOK",
IF(Bérköltség!$F92&lt;Bérköltség!$U92,Admin!$B$18,Admin!$B$17)),
"")</f>
        <v>FEOR</v>
      </c>
      <c r="C92" s="265">
        <f>IFERROR(INDEX('Historikus berek_2021-2'!$A$1:$F$903,MATCH(AB92,'Historikus berek_2021-2'!$A$1:$A$903,0),4),"")</f>
        <v>476900</v>
      </c>
      <c r="D92" s="279">
        <f t="shared" si="23"/>
        <v>211041.9540229885</v>
      </c>
      <c r="E92" s="265">
        <f t="shared" si="24"/>
        <v>304460</v>
      </c>
      <c r="F92" s="266">
        <f t="shared" si="25"/>
        <v>105562.39195402301</v>
      </c>
      <c r="G92" s="267">
        <f t="shared" si="26"/>
        <v>238477.40804597698</v>
      </c>
      <c r="H92" s="268">
        <f>IFERROR(INDEX('FEOR kodok'!$A$2:$J$1126,MATCH(Bérköltség!AB92,'FEOR kodok'!$B$2:$B$1126,0),8),"NA")</f>
        <v>2117</v>
      </c>
      <c r="I92" s="269">
        <f>IFERROR(INDEX('FEOR kodok'!$A$2:$J$1126,MATCH(Bérköltség!AB92,'FEOR kodok'!$B$2:$B$1126,0),10),"NA")</f>
        <v>37</v>
      </c>
      <c r="J92" s="276" t="str">
        <f t="shared" si="27"/>
        <v>30–39 éves</v>
      </c>
      <c r="K92" s="269" t="str">
        <f>IFERROR(INDEX(admin_feor[#All],MATCH(Bérköltség!H92,admin_feor[[#All],[Foglalkozás]],0),2),"NA")</f>
        <v>Vegyészmérnök</v>
      </c>
      <c r="L92" s="270">
        <f>IFERROR(
INDEX('Admin - FEOR'!$A$4:$F$465,MATCH(Bérköltség!H92,'Admin - FEOR'!$A$4:$A$465,0),
IF(J92="30 év alatt",3,
IF(J92="30–39 éves",4,
IF(J92="40–49 éves",5,
IF(J92="50 év és afelett",6
)))))*1,"NA")</f>
        <v>696588</v>
      </c>
      <c r="M92" s="270">
        <f t="shared" si="28"/>
        <v>688000</v>
      </c>
      <c r="N92" s="318">
        <f t="shared" si="29"/>
        <v>0.9876713351364077</v>
      </c>
      <c r="O92" s="270">
        <f>IFERROR(
INDEX('Admin - FEOR'!$A$4:$F$465,MATCH(Bérköltség!H92,'Admin - FEOR'!$A$4:$A$465,0),
IF(J92="30 év alatt",3,
IF(J92="30–39 éves",4,
IF(J92="40–49 éves",5,
IF(J92="50 év és afelett",6
)))))*1.5,"NA")</f>
        <v>1044882</v>
      </c>
      <c r="P92" s="270">
        <f t="shared" si="30"/>
        <v>462390.31034482759</v>
      </c>
      <c r="Q92" s="270">
        <f t="shared" si="31"/>
        <v>304460</v>
      </c>
      <c r="R92" s="275">
        <f t="shared" si="32"/>
        <v>0.44252873563218392</v>
      </c>
      <c r="S92" s="270">
        <f t="shared" si="33"/>
        <v>0</v>
      </c>
      <c r="T92" s="270">
        <f t="shared" si="34"/>
        <v>0</v>
      </c>
      <c r="U92" s="271">
        <f t="shared" si="35"/>
        <v>0</v>
      </c>
      <c r="V92" s="272">
        <f t="shared" si="36"/>
        <v>344040</v>
      </c>
      <c r="W92" s="273" t="str">
        <f t="shared" si="37"/>
        <v>Nem szükséges indoklás.</v>
      </c>
      <c r="X92" s="372">
        <f t="shared" si="38"/>
        <v>0</v>
      </c>
      <c r="Y92" s="317">
        <f t="shared" si="39"/>
        <v>304460</v>
      </c>
      <c r="Z92" s="317">
        <f t="shared" si="40"/>
        <v>39580</v>
      </c>
      <c r="AA92" s="12">
        <v>2</v>
      </c>
      <c r="AB92" s="274">
        <v>8438023282</v>
      </c>
      <c r="AC92" s="40" t="s">
        <v>353</v>
      </c>
      <c r="AD92" s="82" t="s">
        <v>75</v>
      </c>
      <c r="AE92" s="41" t="s">
        <v>52</v>
      </c>
      <c r="AF92" s="11" t="s">
        <v>152</v>
      </c>
      <c r="AG92" s="11" t="s">
        <v>168</v>
      </c>
      <c r="AH92" s="14" t="s">
        <v>122</v>
      </c>
      <c r="AI92" s="86" t="s">
        <v>33</v>
      </c>
      <c r="AJ92" s="113" t="str">
        <f>IF(COUNTIFS(Admin!$A$29:$A$40,AI92)&gt;0,Admin!$A$28,IF(COUNTIFS(Admin!$B$29:$B$40,AI92)&gt;0,Admin!$B$28,IF(COUNTIFS(Admin!$C$29:$C$40,AI92)&gt;0,Admin!$C$28,IF(COUNTIFS(Admin!$D$29:$D$40,AI92)&gt;0,Admin!$D$28,"-"))))</f>
        <v>2. mérföldkő</v>
      </c>
      <c r="AK92" s="14" t="s">
        <v>7</v>
      </c>
      <c r="AL92" s="9" t="s">
        <v>56</v>
      </c>
      <c r="AM92" s="131">
        <v>688000</v>
      </c>
      <c r="AN92" s="132">
        <f t="shared" si="115"/>
        <v>89440</v>
      </c>
      <c r="AO92" s="121">
        <v>174</v>
      </c>
      <c r="AP92" s="121">
        <v>77</v>
      </c>
      <c r="AQ92" s="354">
        <f t="shared" si="182"/>
        <v>0.44252873563218392</v>
      </c>
      <c r="AR92" s="133">
        <f t="shared" si="214"/>
        <v>304460</v>
      </c>
      <c r="AS92" s="133">
        <f t="shared" si="184"/>
        <v>39580</v>
      </c>
      <c r="AT92" s="123">
        <f t="shared" si="185"/>
        <v>-3.3413525796222032E-7</v>
      </c>
      <c r="AU92" s="124">
        <v>0.13</v>
      </c>
      <c r="AV92" s="394" t="s">
        <v>2761</v>
      </c>
      <c r="AW92" s="15">
        <v>44936</v>
      </c>
      <c r="AX92" s="12" t="s">
        <v>206</v>
      </c>
      <c r="AZ92" s="8" t="str">
        <f>IF(VLOOKUP(LEFT($AB92,10),'Havi béradatok'!$B:$E,2,FALSE)=AG92,"EGYEZIK","HIBÁS")</f>
        <v>EGYEZIK</v>
      </c>
      <c r="BA92" s="1">
        <f>VLOOKUP(LEFT($AB92,10),'Havi béradatok'!$B:$E,3,FALSE)-AM92</f>
        <v>0</v>
      </c>
      <c r="BB92" s="1">
        <f>VLOOKUP(LEFT($AB92,10),'Havi béradatok'!$B:$E,4,FALSE)-AN92</f>
        <v>0</v>
      </c>
      <c r="BC92" s="1" t="s">
        <v>2818</v>
      </c>
      <c r="BD92" s="1" t="str">
        <f t="shared" si="215"/>
        <v>Kutató_VM_9 - Kutató</v>
      </c>
    </row>
    <row r="93" spans="1:56" s="1" customFormat="1" hidden="1" x14ac:dyDescent="0.25">
      <c r="A93" s="264" t="str">
        <f>Bérköltség!$B93</f>
        <v>FEOR</v>
      </c>
      <c r="B93" s="264" t="str">
        <f>IFERROR(
IF(AND(Bérköltség!$F93="",H93="NA"),"HIÁNYOS ADATOK",
IF(Bérköltség!$F93&lt;Bérköltség!$U93,Admin!$B$18,Admin!$B$17)),
"")</f>
        <v>FEOR</v>
      </c>
      <c r="C93" s="265">
        <f>IFERROR(INDEX('Historikus berek_2021-2'!$A$1:$F$903,MATCH(AB93,'Historikus berek_2021-2'!$A$1:$A$903,0),4),"")</f>
        <v>476900</v>
      </c>
      <c r="D93" s="279">
        <f t="shared" si="23"/>
        <v>211041.9540229885</v>
      </c>
      <c r="E93" s="265">
        <f t="shared" si="24"/>
        <v>304460</v>
      </c>
      <c r="F93" s="266">
        <f t="shared" si="25"/>
        <v>105562.39195402301</v>
      </c>
      <c r="G93" s="267">
        <f t="shared" si="26"/>
        <v>238477.40804597698</v>
      </c>
      <c r="H93" s="268">
        <f>IFERROR(INDEX('FEOR kodok'!$A$2:$J$1126,MATCH(Bérköltség!AB93,'FEOR kodok'!$B$2:$B$1126,0),8),"NA")</f>
        <v>2117</v>
      </c>
      <c r="I93" s="269">
        <f>IFERROR(INDEX('FEOR kodok'!$A$2:$J$1126,MATCH(Bérköltség!AB93,'FEOR kodok'!$B$2:$B$1126,0),10),"NA")</f>
        <v>37</v>
      </c>
      <c r="J93" s="276" t="str">
        <f t="shared" si="27"/>
        <v>30–39 éves</v>
      </c>
      <c r="K93" s="269" t="str">
        <f>IFERROR(INDEX(admin_feor[#All],MATCH(Bérköltség!H93,admin_feor[[#All],[Foglalkozás]],0),2),"NA")</f>
        <v>Vegyészmérnök</v>
      </c>
      <c r="L93" s="270">
        <f>IFERROR(
INDEX('Admin - FEOR'!$A$4:$F$465,MATCH(Bérköltség!H93,'Admin - FEOR'!$A$4:$A$465,0),
IF(J93="30 év alatt",3,
IF(J93="30–39 éves",4,
IF(J93="40–49 éves",5,
IF(J93="50 év és afelett",6
)))))*1,"NA")</f>
        <v>696588</v>
      </c>
      <c r="M93" s="270">
        <f t="shared" si="28"/>
        <v>688000</v>
      </c>
      <c r="N93" s="318">
        <f t="shared" si="29"/>
        <v>0.9876713351364077</v>
      </c>
      <c r="O93" s="270">
        <f>IFERROR(
INDEX('Admin - FEOR'!$A$4:$F$465,MATCH(Bérköltség!H93,'Admin - FEOR'!$A$4:$A$465,0),
IF(J93="30 év alatt",3,
IF(J93="30–39 éves",4,
IF(J93="40–49 éves",5,
IF(J93="50 év és afelett",6
)))))*1.5,"NA")</f>
        <v>1044882</v>
      </c>
      <c r="P93" s="270">
        <f t="shared" si="30"/>
        <v>462390.31034482759</v>
      </c>
      <c r="Q93" s="270">
        <f t="shared" si="31"/>
        <v>304460</v>
      </c>
      <c r="R93" s="275">
        <f t="shared" si="32"/>
        <v>0.44252873563218392</v>
      </c>
      <c r="S93" s="270">
        <f t="shared" si="33"/>
        <v>0</v>
      </c>
      <c r="T93" s="270">
        <f t="shared" si="34"/>
        <v>0</v>
      </c>
      <c r="U93" s="271">
        <f t="shared" si="35"/>
        <v>0</v>
      </c>
      <c r="V93" s="272">
        <f t="shared" si="36"/>
        <v>344040</v>
      </c>
      <c r="W93" s="273" t="str">
        <f t="shared" si="37"/>
        <v>Nem szükséges indoklás.</v>
      </c>
      <c r="X93" s="372">
        <f t="shared" si="38"/>
        <v>0</v>
      </c>
      <c r="Y93" s="317">
        <f t="shared" si="39"/>
        <v>304460</v>
      </c>
      <c r="Z93" s="317">
        <f t="shared" si="40"/>
        <v>39580</v>
      </c>
      <c r="AA93" s="12">
        <v>2</v>
      </c>
      <c r="AB93" s="274">
        <v>8438023282</v>
      </c>
      <c r="AC93" s="40" t="s">
        <v>353</v>
      </c>
      <c r="AD93" s="82" t="s">
        <v>75</v>
      </c>
      <c r="AE93" s="41" t="s">
        <v>52</v>
      </c>
      <c r="AF93" s="11" t="s">
        <v>152</v>
      </c>
      <c r="AG93" s="11" t="s">
        <v>168</v>
      </c>
      <c r="AH93" s="14" t="s">
        <v>122</v>
      </c>
      <c r="AI93" s="86" t="s">
        <v>34</v>
      </c>
      <c r="AJ93" s="113" t="str">
        <f>IF(COUNTIFS(Admin!$A$29:$A$40,AI93)&gt;0,Admin!$A$28,IF(COUNTIFS(Admin!$B$29:$B$40,AI93)&gt;0,Admin!$B$28,IF(COUNTIFS(Admin!$C$29:$C$40,AI93)&gt;0,Admin!$C$28,IF(COUNTIFS(Admin!$D$29:$D$40,AI93)&gt;0,Admin!$D$28,"-"))))</f>
        <v>2. mérföldkő</v>
      </c>
      <c r="AK93" s="14" t="s">
        <v>7</v>
      </c>
      <c r="AL93" s="9" t="s">
        <v>56</v>
      </c>
      <c r="AM93" s="131">
        <v>688000</v>
      </c>
      <c r="AN93" s="132">
        <f t="shared" si="115"/>
        <v>89440</v>
      </c>
      <c r="AO93" s="121">
        <v>174</v>
      </c>
      <c r="AP93" s="121">
        <v>77</v>
      </c>
      <c r="AQ93" s="354">
        <f t="shared" si="182"/>
        <v>0.44252873563218392</v>
      </c>
      <c r="AR93" s="133">
        <f t="shared" si="214"/>
        <v>304460</v>
      </c>
      <c r="AS93" s="133">
        <f t="shared" si="184"/>
        <v>39580</v>
      </c>
      <c r="AT93" s="123">
        <f t="shared" si="185"/>
        <v>-3.3413525796222032E-7</v>
      </c>
      <c r="AU93" s="124">
        <v>0.13</v>
      </c>
      <c r="AV93" s="394" t="s">
        <v>2761</v>
      </c>
      <c r="AW93" s="15">
        <v>44936</v>
      </c>
      <c r="AX93" s="12" t="s">
        <v>206</v>
      </c>
      <c r="BC93" s="1" t="s">
        <v>2818</v>
      </c>
      <c r="BD93" s="1" t="str">
        <f t="shared" si="215"/>
        <v>Kutató_VM_9 - Kutató</v>
      </c>
    </row>
    <row r="94" spans="1:56" s="1" customFormat="1" x14ac:dyDescent="0.25">
      <c r="A94" s="264" t="str">
        <f>Bérköltség!$B94</f>
        <v>FEOR</v>
      </c>
      <c r="B94" s="264" t="str">
        <f>IFERROR(
IF(AND(Bérköltség!$F94="",H94="NA"),"HIÁNYOS ADATOK",
IF(Bérköltség!$F94&lt;Bérköltség!$U94,Admin!$B$18,Admin!$B$17)),
"")</f>
        <v>FEOR</v>
      </c>
      <c r="C94" s="265">
        <f>IFERROR(INDEX('Historikus berek_2021-2'!$A$1:$F$903,MATCH(AB94,'Historikus berek_2021-2'!$A$1:$A$903,0),4),"")</f>
        <v>476900</v>
      </c>
      <c r="D94" s="279">
        <f t="shared" ref="D94:D99" si="262">IFERROR(C94*AQ94,"")</f>
        <v>211041.9540229885</v>
      </c>
      <c r="E94" s="265">
        <f t="shared" ref="E94:E99" si="263">AR94</f>
        <v>304460</v>
      </c>
      <c r="F94" s="266">
        <f t="shared" ref="F94:F99" si="264">IFERROR(IF((E94*(1+AU94)-D94*(1+AU94))&lt;0,0,(E94*(1+AU94)-D94*(1+AU94))),"")</f>
        <v>105562.39195402301</v>
      </c>
      <c r="G94" s="267">
        <f t="shared" ref="G94:G99" si="265">IFERROR((E94*(1+AU94)-F94),"")</f>
        <v>238477.40804597698</v>
      </c>
      <c r="H94" s="268">
        <f>IFERROR(INDEX('FEOR kodok'!$A$2:$J$1126,MATCH(Bérköltség!AB94,'FEOR kodok'!$B$2:$B$1126,0),8),"NA")</f>
        <v>2117</v>
      </c>
      <c r="I94" s="269">
        <f>IFERROR(INDEX('FEOR kodok'!$A$2:$J$1126,MATCH(Bérköltség!AB94,'FEOR kodok'!$B$2:$B$1126,0),10),"NA")</f>
        <v>37</v>
      </c>
      <c r="J94" s="276" t="str">
        <f t="shared" ref="J94:J99" si="266">IF(I94="NA","NA",
IF(I94&lt;30,"30 év alatt",
IF(AND(I94&gt;=30,I94&lt;=39),"30–39 éves",
IF(AND(I94&gt;=40,I94&lt;=49),"40–49 éves",
IF(I94&gt;=50,"50 év és afelett",
"")))))</f>
        <v>30–39 éves</v>
      </c>
      <c r="K94" s="269" t="str">
        <f>IFERROR(INDEX(admin_feor[#All],MATCH(Bérköltség!H94,admin_feor[[#All],[Foglalkozás]],0),2),"NA")</f>
        <v>Vegyészmérnök</v>
      </c>
      <c r="L94" s="270">
        <f>IFERROR(
INDEX('Admin - FEOR'!$A$4:$F$465,MATCH(Bérköltség!H94,'Admin - FEOR'!$A$4:$A$465,0),
IF(J94="30 év alatt",3,
IF(J94="30–39 éves",4,
IF(J94="40–49 éves",5,
IF(J94="50 év és afelett",6
)))))*1,"NA")</f>
        <v>696588</v>
      </c>
      <c r="M94" s="270">
        <f t="shared" ref="M94:M99" si="267">AM94</f>
        <v>688000</v>
      </c>
      <c r="N94" s="318">
        <f t="shared" ref="N94:N99" si="268">IFERROR(
M94/L94,"NA")</f>
        <v>0.9876713351364077</v>
      </c>
      <c r="O94" s="270">
        <f>IFERROR(
INDEX('Admin - FEOR'!$A$4:$F$465,MATCH(Bérköltség!H94,'Admin - FEOR'!$A$4:$A$465,0),
IF(J94="30 év alatt",3,
IF(J94="30–39 éves",4,
IF(J94="40–49 éves",5,
IF(J94="50 év és afelett",6
)))))*1.5,"NA")</f>
        <v>1044882</v>
      </c>
      <c r="P94" s="270">
        <f t="shared" ref="P94:P99" si="269">IFERROR(
AQ94*O94,"NA")</f>
        <v>462390.31034482759</v>
      </c>
      <c r="Q94" s="270">
        <f t="shared" ref="Q94:Q99" si="270">IFERROR(AR94,"")</f>
        <v>304460</v>
      </c>
      <c r="R94" s="275">
        <f t="shared" ref="R94:R99" si="271">IFERROR(AQ94,"")</f>
        <v>0.44252873563218392</v>
      </c>
      <c r="S94" s="270">
        <f t="shared" ref="S94:S99" si="272">IFERROR(
IF(AR94-P94&lt;0,0,AR94-P94),"NA")</f>
        <v>0</v>
      </c>
      <c r="T94" s="270">
        <f t="shared" ref="T94:T99" si="273">IFERROR(
S94*AU94,"NA")</f>
        <v>0</v>
      </c>
      <c r="U94" s="271">
        <f t="shared" ref="U94:U99" si="274">IFERROR(
S94+T94,"NA")</f>
        <v>0</v>
      </c>
      <c r="V94" s="272">
        <f t="shared" ref="V94:V99" si="275">IFERROR(
IF(U94&gt;0,AR94+AS94-U94,AR94+AS94),"NA")</f>
        <v>344040</v>
      </c>
      <c r="W94" s="273" t="str">
        <f t="shared" ref="W94:W99" si="276">IF(P94="NA","FEOR hiányzik",
IF(AND(N94&gt;1,A94="FEOR"),CONCATENATE("Indoklás szükséges mivel a FEOR: ",ROUND(N94*100,1),"%"),"Nem szükséges indoklás.")
)</f>
        <v>Nem szükséges indoklás.</v>
      </c>
      <c r="X94" s="372">
        <f t="shared" ref="X94:X99" si="277">IF(A94="FEOR",U94,IF(A94="HIÁNYOS ADATOK","HIÁNYOS ADATOK",F94))</f>
        <v>0</v>
      </c>
      <c r="Y94" s="317">
        <f t="shared" ref="Y94:Y99" si="278">IF(A94="FEOR",ROUND((V94/(1+AU94)),0),IF(A94="HIÁNYOS ADATOK","HIÁNYOS ADATOK",ROUND(G94/(1+AU94),0)))</f>
        <v>304460</v>
      </c>
      <c r="Z94" s="317">
        <f t="shared" ref="Z94:Z99" si="279">IF(A94="FEOR",ROUND((V94-Y94),0),IF(A94="HIÁNYOS ADATOK","HIÁNYOS ADATOK",ROUND((G94-Y94),0)))</f>
        <v>39580</v>
      </c>
      <c r="AA94" s="36"/>
      <c r="AB94" s="274">
        <v>8438023282</v>
      </c>
      <c r="AC94" s="40" t="s">
        <v>353</v>
      </c>
      <c r="AD94" s="82" t="s">
        <v>75</v>
      </c>
      <c r="AE94" s="41" t="s">
        <v>52</v>
      </c>
      <c r="AF94" s="11" t="s">
        <v>152</v>
      </c>
      <c r="AG94" s="11" t="s">
        <v>168</v>
      </c>
      <c r="AH94" s="14" t="s">
        <v>122</v>
      </c>
      <c r="AI94" s="86" t="s">
        <v>35</v>
      </c>
      <c r="AJ94" s="113" t="str">
        <f>IF(COUNTIFS(Admin!$A$29:$A$40,AI94)&gt;0,Admin!$A$28,IF(COUNTIFS(Admin!$B$29:$B$40,AI94)&gt;0,Admin!$B$28,IF(COUNTIFS(Admin!$C$29:$C$40,AI94)&gt;0,Admin!$C$28,IF(COUNTIFS(Admin!$D$29:$D$40,AI94)&gt;0,Admin!$D$28,"-"))))</f>
        <v>3. mérföldkő</v>
      </c>
      <c r="AK94" s="14" t="s">
        <v>7</v>
      </c>
      <c r="AL94" s="9" t="s">
        <v>56</v>
      </c>
      <c r="AM94" s="131">
        <v>688000</v>
      </c>
      <c r="AN94" s="132">
        <f t="shared" ref="AN94" si="280">IFERROR(ROUND(AM94*AU94,0),"")</f>
        <v>89440</v>
      </c>
      <c r="AO94" s="121">
        <v>174</v>
      </c>
      <c r="AP94" s="121">
        <v>77</v>
      </c>
      <c r="AQ94" s="354">
        <f t="shared" ref="AQ94" si="281">IFERROR(AP94/AO94,"")</f>
        <v>0.44252873563218392</v>
      </c>
      <c r="AR94" s="133">
        <f t="shared" ref="AR94" si="282">IFERROR(ROUND(AM94*AP94/AO94,0),"")</f>
        <v>304460</v>
      </c>
      <c r="AS94" s="133">
        <f t="shared" ref="AS94" si="283">IFERROR(ROUND(AR94*AU94,0),"")</f>
        <v>39580</v>
      </c>
      <c r="AT94" s="123">
        <f t="shared" ref="AT94" si="284">IFERROR(AP94/AO94-AR94/AM94,"")</f>
        <v>-3.3413525796222032E-7</v>
      </c>
      <c r="AU94" s="124">
        <v>0.13</v>
      </c>
      <c r="AV94" s="394" t="s">
        <v>2761</v>
      </c>
      <c r="AW94" s="15">
        <v>45002</v>
      </c>
      <c r="AX94" s="12" t="s">
        <v>206</v>
      </c>
      <c r="AZ94" s="1" t="str">
        <f>IF(VLOOKUP(LEFT($AB94,10),'Havi béradatok'!$B:$E,2,FALSE)=AG94,"EGYEZIK","HIBÁS")</f>
        <v>EGYEZIK</v>
      </c>
      <c r="BA94" s="1">
        <f>VLOOKUP(LEFT($AB94,10),'Havi béradatok'!$B:$E,3,FALSE)-AM94</f>
        <v>0</v>
      </c>
      <c r="BB94" s="1">
        <f>VLOOKUP(LEFT($AB94,10),'Havi béradatok'!$B:$E,4,FALSE)-AN94</f>
        <v>0</v>
      </c>
      <c r="BC94" s="400" t="s">
        <v>2818</v>
      </c>
      <c r="BD94" s="400"/>
    </row>
    <row r="95" spans="1:56" s="1" customFormat="1" hidden="1" x14ac:dyDescent="0.25">
      <c r="A95" s="264" t="str">
        <f>Bérköltség!$B95</f>
        <v>FEOR</v>
      </c>
      <c r="B95" s="264" t="str">
        <f>IFERROR(
IF(AND(Bérköltség!$F95="",H95="NA"),"HIÁNYOS ADATOK",
IF(Bérköltség!$F95&lt;Bérköltség!$U95,Admin!$B$18,Admin!$B$17)),
"")</f>
        <v>FEOR</v>
      </c>
      <c r="C95" s="265">
        <f>IFERROR(INDEX('Historikus berek_2021-2'!$A$1:$F$903,MATCH(AB95,'Historikus berek_2021-2'!$A$1:$A$903,0),4),"")</f>
        <v>476900</v>
      </c>
      <c r="D95" s="279">
        <f t="shared" si="262"/>
        <v>211041.9540229885</v>
      </c>
      <c r="E95" s="265">
        <f t="shared" si="263"/>
        <v>304460</v>
      </c>
      <c r="F95" s="266">
        <f t="shared" si="264"/>
        <v>105562.39195402301</v>
      </c>
      <c r="G95" s="267">
        <f t="shared" si="265"/>
        <v>238477.40804597698</v>
      </c>
      <c r="H95" s="268">
        <f>IFERROR(INDEX('FEOR kodok'!$A$2:$J$1126,MATCH(Bérköltség!AB95,'FEOR kodok'!$B$2:$B$1126,0),8),"NA")</f>
        <v>2117</v>
      </c>
      <c r="I95" s="269">
        <f>IFERROR(INDEX('FEOR kodok'!$A$2:$J$1126,MATCH(Bérköltség!AB95,'FEOR kodok'!$B$2:$B$1126,0),10),"NA")</f>
        <v>37</v>
      </c>
      <c r="J95" s="276" t="str">
        <f t="shared" si="266"/>
        <v>30–39 éves</v>
      </c>
      <c r="K95" s="269" t="str">
        <f>IFERROR(INDEX(admin_feor[#All],MATCH(Bérköltség!H95,admin_feor[[#All],[Foglalkozás]],0),2),"NA")</f>
        <v>Vegyészmérnök</v>
      </c>
      <c r="L95" s="270">
        <f>IFERROR(
INDEX('Admin - FEOR'!$A$4:$F$465,MATCH(Bérköltség!H95,'Admin - FEOR'!$A$4:$A$465,0),
IF(J95="30 év alatt",3,
IF(J95="30–39 éves",4,
IF(J95="40–49 éves",5,
IF(J95="50 év és afelett",6
)))))*1,"NA")</f>
        <v>696588</v>
      </c>
      <c r="M95" s="270">
        <f t="shared" si="267"/>
        <v>688000</v>
      </c>
      <c r="N95" s="318">
        <f t="shared" si="268"/>
        <v>0.9876713351364077</v>
      </c>
      <c r="O95" s="270">
        <f>IFERROR(
INDEX('Admin - FEOR'!$A$4:$F$465,MATCH(Bérköltség!H95,'Admin - FEOR'!$A$4:$A$465,0),
IF(J95="30 év alatt",3,
IF(J95="30–39 éves",4,
IF(J95="40–49 éves",5,
IF(J95="50 év és afelett",6
)))))*1.5,"NA")</f>
        <v>1044882</v>
      </c>
      <c r="P95" s="270">
        <f t="shared" si="269"/>
        <v>462390.31034482759</v>
      </c>
      <c r="Q95" s="270">
        <f t="shared" si="270"/>
        <v>304460</v>
      </c>
      <c r="R95" s="275">
        <f t="shared" si="271"/>
        <v>0.44252873563218392</v>
      </c>
      <c r="S95" s="270">
        <f t="shared" si="272"/>
        <v>0</v>
      </c>
      <c r="T95" s="270">
        <f t="shared" si="273"/>
        <v>0</v>
      </c>
      <c r="U95" s="271">
        <f t="shared" si="274"/>
        <v>0</v>
      </c>
      <c r="V95" s="272">
        <f t="shared" si="275"/>
        <v>344040</v>
      </c>
      <c r="W95" s="273" t="str">
        <f t="shared" si="276"/>
        <v>Nem szükséges indoklás.</v>
      </c>
      <c r="X95" s="372">
        <f t="shared" si="277"/>
        <v>0</v>
      </c>
      <c r="Y95" s="317">
        <f t="shared" si="278"/>
        <v>304460</v>
      </c>
      <c r="Z95" s="317">
        <f t="shared" si="279"/>
        <v>39580</v>
      </c>
      <c r="AA95" s="36"/>
      <c r="AB95" s="274">
        <v>8438023282</v>
      </c>
      <c r="AC95" s="40" t="s">
        <v>353</v>
      </c>
      <c r="AD95" s="82" t="s">
        <v>75</v>
      </c>
      <c r="AE95" s="41" t="s">
        <v>52</v>
      </c>
      <c r="AF95" s="11" t="s">
        <v>152</v>
      </c>
      <c r="AG95" s="11" t="s">
        <v>168</v>
      </c>
      <c r="AH95" s="14" t="s">
        <v>122</v>
      </c>
      <c r="AI95" s="86" t="s">
        <v>36</v>
      </c>
      <c r="AJ95" s="113" t="str">
        <f>IF(COUNTIFS(Admin!$A$29:$A$40,AI95)&gt;0,Admin!$A$28,IF(COUNTIFS(Admin!$B$29:$B$40,AI95)&gt;0,Admin!$B$28,IF(COUNTIFS(Admin!$C$29:$C$40,AI95)&gt;0,Admin!$C$28,IF(COUNTIFS(Admin!$D$29:$D$40,AI95)&gt;0,Admin!$D$28,"-"))))</f>
        <v>3. mérföldkő</v>
      </c>
      <c r="AK95" s="14" t="s">
        <v>141</v>
      </c>
      <c r="AL95" s="9" t="s">
        <v>56</v>
      </c>
      <c r="AM95" s="131">
        <v>688000</v>
      </c>
      <c r="AN95" s="132">
        <f t="shared" ref="AN95:AN99" si="285">IFERROR(ROUND(AM95*AU95,0),"")</f>
        <v>89440</v>
      </c>
      <c r="AO95" s="121">
        <v>174</v>
      </c>
      <c r="AP95" s="121">
        <v>77</v>
      </c>
      <c r="AQ95" s="354">
        <f t="shared" ref="AQ95:AQ99" si="286">IFERROR(AP95/AO95,"")</f>
        <v>0.44252873563218392</v>
      </c>
      <c r="AR95" s="133">
        <f t="shared" ref="AR95:AR99" si="287">IFERROR(ROUND(AM95*AP95/AO95,0),"")</f>
        <v>304460</v>
      </c>
      <c r="AS95" s="133">
        <f t="shared" ref="AS95:AS99" si="288">IFERROR(ROUND(AR95*AU95,0),"")</f>
        <v>39580</v>
      </c>
      <c r="AT95" s="123">
        <f t="shared" ref="AT95:AT99" si="289">IFERROR(AP95/AO95-AR95/AM95,"")</f>
        <v>-3.3413525796222032E-7</v>
      </c>
      <c r="AU95" s="124">
        <v>0.13</v>
      </c>
      <c r="AV95" s="394" t="s">
        <v>2761</v>
      </c>
      <c r="AW95" s="15">
        <v>45002</v>
      </c>
      <c r="AX95" s="12" t="s">
        <v>206</v>
      </c>
      <c r="BC95" s="1" t="s">
        <v>2818</v>
      </c>
    </row>
    <row r="96" spans="1:56" s="1" customFormat="1" hidden="1" x14ac:dyDescent="0.25">
      <c r="A96" s="264" t="str">
        <f>Bérköltség!$B96</f>
        <v>FEOR</v>
      </c>
      <c r="B96" s="264" t="str">
        <f>IFERROR(
IF(AND(Bérköltség!$F96="",H96="NA"),"HIÁNYOS ADATOK",
IF(Bérköltség!$F96&lt;Bérköltség!$U96,Admin!$B$18,Admin!$B$17)),
"")</f>
        <v>FEOR</v>
      </c>
      <c r="C96" s="265">
        <f>IFERROR(INDEX('Historikus berek_2021-2'!$A$1:$F$903,MATCH(AB96,'Historikus berek_2021-2'!$A$1:$A$903,0),4),"")</f>
        <v>476900</v>
      </c>
      <c r="D96" s="279">
        <f t="shared" si="262"/>
        <v>211041.9540229885</v>
      </c>
      <c r="E96" s="265">
        <f t="shared" si="263"/>
        <v>304460</v>
      </c>
      <c r="F96" s="266">
        <f t="shared" si="264"/>
        <v>105562.39195402301</v>
      </c>
      <c r="G96" s="267">
        <f t="shared" si="265"/>
        <v>238477.40804597698</v>
      </c>
      <c r="H96" s="268">
        <f>IFERROR(INDEX('FEOR kodok'!$A$2:$J$1126,MATCH(Bérköltség!AB96,'FEOR kodok'!$B$2:$B$1126,0),8),"NA")</f>
        <v>2117</v>
      </c>
      <c r="I96" s="269">
        <f>IFERROR(INDEX('FEOR kodok'!$A$2:$J$1126,MATCH(Bérköltség!AB96,'FEOR kodok'!$B$2:$B$1126,0),10),"NA")</f>
        <v>37</v>
      </c>
      <c r="J96" s="276" t="str">
        <f t="shared" si="266"/>
        <v>30–39 éves</v>
      </c>
      <c r="K96" s="269" t="str">
        <f>IFERROR(INDEX(admin_feor[#All],MATCH(Bérköltség!H96,admin_feor[[#All],[Foglalkozás]],0),2),"NA")</f>
        <v>Vegyészmérnök</v>
      </c>
      <c r="L96" s="270">
        <f>IFERROR(
INDEX('Admin - FEOR'!$A$4:$F$465,MATCH(Bérköltség!H96,'Admin - FEOR'!$A$4:$A$465,0),
IF(J96="30 év alatt",3,
IF(J96="30–39 éves",4,
IF(J96="40–49 éves",5,
IF(J96="50 év és afelett",6
)))))*1,"NA")</f>
        <v>696588</v>
      </c>
      <c r="M96" s="270">
        <f t="shared" si="267"/>
        <v>688000</v>
      </c>
      <c r="N96" s="318">
        <f t="shared" si="268"/>
        <v>0.9876713351364077</v>
      </c>
      <c r="O96" s="270">
        <f>IFERROR(
INDEX('Admin - FEOR'!$A$4:$F$465,MATCH(Bérköltség!H96,'Admin - FEOR'!$A$4:$A$465,0),
IF(J96="30 év alatt",3,
IF(J96="30–39 éves",4,
IF(J96="40–49 éves",5,
IF(J96="50 év és afelett",6
)))))*1.5,"NA")</f>
        <v>1044882</v>
      </c>
      <c r="P96" s="270">
        <f t="shared" si="269"/>
        <v>462390.31034482759</v>
      </c>
      <c r="Q96" s="270">
        <f t="shared" si="270"/>
        <v>304460</v>
      </c>
      <c r="R96" s="275">
        <f t="shared" si="271"/>
        <v>0.44252873563218392</v>
      </c>
      <c r="S96" s="270">
        <f t="shared" si="272"/>
        <v>0</v>
      </c>
      <c r="T96" s="270">
        <f t="shared" si="273"/>
        <v>0</v>
      </c>
      <c r="U96" s="271">
        <f t="shared" si="274"/>
        <v>0</v>
      </c>
      <c r="V96" s="272">
        <f t="shared" si="275"/>
        <v>344040</v>
      </c>
      <c r="W96" s="273" t="str">
        <f t="shared" si="276"/>
        <v>Nem szükséges indoklás.</v>
      </c>
      <c r="X96" s="372">
        <f t="shared" si="277"/>
        <v>0</v>
      </c>
      <c r="Y96" s="317">
        <f t="shared" si="278"/>
        <v>304460</v>
      </c>
      <c r="Z96" s="317">
        <f t="shared" si="279"/>
        <v>39580</v>
      </c>
      <c r="AA96" s="36"/>
      <c r="AB96" s="274">
        <v>8438023282</v>
      </c>
      <c r="AC96" s="40" t="s">
        <v>353</v>
      </c>
      <c r="AD96" s="82" t="s">
        <v>75</v>
      </c>
      <c r="AE96" s="41" t="s">
        <v>52</v>
      </c>
      <c r="AF96" s="11" t="s">
        <v>152</v>
      </c>
      <c r="AG96" s="11" t="s">
        <v>168</v>
      </c>
      <c r="AH96" s="14" t="s">
        <v>122</v>
      </c>
      <c r="AI96" s="86" t="s">
        <v>37</v>
      </c>
      <c r="AJ96" s="113" t="str">
        <f>IF(COUNTIFS(Admin!$A$29:$A$40,AI96)&gt;0,Admin!$A$28,IF(COUNTIFS(Admin!$B$29:$B$40,AI96)&gt;0,Admin!$B$28,IF(COUNTIFS(Admin!$C$29:$C$40,AI96)&gt;0,Admin!$C$28,IF(COUNTIFS(Admin!$D$29:$D$40,AI96)&gt;0,Admin!$D$28,"-"))))</f>
        <v>3. mérföldkő</v>
      </c>
      <c r="AK96" s="14" t="s">
        <v>141</v>
      </c>
      <c r="AL96" s="9" t="s">
        <v>56</v>
      </c>
      <c r="AM96" s="131">
        <v>688000</v>
      </c>
      <c r="AN96" s="132">
        <f t="shared" si="285"/>
        <v>89440</v>
      </c>
      <c r="AO96" s="121">
        <v>174</v>
      </c>
      <c r="AP96" s="121">
        <v>77</v>
      </c>
      <c r="AQ96" s="354">
        <f t="shared" si="286"/>
        <v>0.44252873563218392</v>
      </c>
      <c r="AR96" s="133">
        <f t="shared" si="287"/>
        <v>304460</v>
      </c>
      <c r="AS96" s="133">
        <f t="shared" si="288"/>
        <v>39580</v>
      </c>
      <c r="AT96" s="123">
        <f t="shared" si="289"/>
        <v>-3.3413525796222032E-7</v>
      </c>
      <c r="AU96" s="124">
        <v>0.13</v>
      </c>
      <c r="AV96" s="394" t="s">
        <v>2761</v>
      </c>
      <c r="AW96" s="15">
        <v>45002</v>
      </c>
      <c r="AX96" s="12" t="s">
        <v>206</v>
      </c>
      <c r="BC96" s="1" t="s">
        <v>2818</v>
      </c>
    </row>
    <row r="97" spans="1:56" s="1" customFormat="1" hidden="1" x14ac:dyDescent="0.25">
      <c r="A97" s="264" t="str">
        <f>Bérköltség!$B97</f>
        <v>FEOR</v>
      </c>
      <c r="B97" s="264" t="str">
        <f>IFERROR(
IF(AND(Bérköltség!$F97="",H97="NA"),"HIÁNYOS ADATOK",
IF(Bérköltség!$F97&lt;Bérköltség!$U97,Admin!$B$18,Admin!$B$17)),
"")</f>
        <v>FEOR</v>
      </c>
      <c r="C97" s="265">
        <f>IFERROR(INDEX('Historikus berek_2021-2'!$A$1:$F$903,MATCH(AB97,'Historikus berek_2021-2'!$A$1:$A$903,0),4),"")</f>
        <v>476900</v>
      </c>
      <c r="D97" s="279">
        <f t="shared" si="262"/>
        <v>211041.9540229885</v>
      </c>
      <c r="E97" s="265">
        <f t="shared" si="263"/>
        <v>304460</v>
      </c>
      <c r="F97" s="266">
        <f t="shared" si="264"/>
        <v>105562.39195402301</v>
      </c>
      <c r="G97" s="267">
        <f t="shared" si="265"/>
        <v>238477.40804597698</v>
      </c>
      <c r="H97" s="268">
        <f>IFERROR(INDEX('FEOR kodok'!$A$2:$J$1126,MATCH(Bérköltség!AB97,'FEOR kodok'!$B$2:$B$1126,0),8),"NA")</f>
        <v>2117</v>
      </c>
      <c r="I97" s="269">
        <f>IFERROR(INDEX('FEOR kodok'!$A$2:$J$1126,MATCH(Bérköltség!AB97,'FEOR kodok'!$B$2:$B$1126,0),10),"NA")</f>
        <v>37</v>
      </c>
      <c r="J97" s="276" t="str">
        <f t="shared" si="266"/>
        <v>30–39 éves</v>
      </c>
      <c r="K97" s="269" t="str">
        <f>IFERROR(INDEX(admin_feor[#All],MATCH(Bérköltség!H97,admin_feor[[#All],[Foglalkozás]],0),2),"NA")</f>
        <v>Vegyészmérnök</v>
      </c>
      <c r="L97" s="270">
        <f>IFERROR(
INDEX('Admin - FEOR'!$A$4:$F$465,MATCH(Bérköltség!H97,'Admin - FEOR'!$A$4:$A$465,0),
IF(J97="30 év alatt",3,
IF(J97="30–39 éves",4,
IF(J97="40–49 éves",5,
IF(J97="50 év és afelett",6
)))))*1,"NA")</f>
        <v>696588</v>
      </c>
      <c r="M97" s="270">
        <f t="shared" si="267"/>
        <v>688000</v>
      </c>
      <c r="N97" s="318">
        <f t="shared" si="268"/>
        <v>0.9876713351364077</v>
      </c>
      <c r="O97" s="270">
        <f>IFERROR(
INDEX('Admin - FEOR'!$A$4:$F$465,MATCH(Bérköltség!H97,'Admin - FEOR'!$A$4:$A$465,0),
IF(J97="30 év alatt",3,
IF(J97="30–39 éves",4,
IF(J97="40–49 éves",5,
IF(J97="50 év és afelett",6
)))))*1.5,"NA")</f>
        <v>1044882</v>
      </c>
      <c r="P97" s="270">
        <f t="shared" si="269"/>
        <v>462390.31034482759</v>
      </c>
      <c r="Q97" s="270">
        <f t="shared" si="270"/>
        <v>304460</v>
      </c>
      <c r="R97" s="275">
        <f t="shared" si="271"/>
        <v>0.44252873563218392</v>
      </c>
      <c r="S97" s="270">
        <f t="shared" si="272"/>
        <v>0</v>
      </c>
      <c r="T97" s="270">
        <f t="shared" si="273"/>
        <v>0</v>
      </c>
      <c r="U97" s="271">
        <f t="shared" si="274"/>
        <v>0</v>
      </c>
      <c r="V97" s="272">
        <f t="shared" si="275"/>
        <v>344040</v>
      </c>
      <c r="W97" s="273" t="str">
        <f t="shared" si="276"/>
        <v>Nem szükséges indoklás.</v>
      </c>
      <c r="X97" s="372">
        <f t="shared" si="277"/>
        <v>0</v>
      </c>
      <c r="Y97" s="317">
        <f t="shared" si="278"/>
        <v>304460</v>
      </c>
      <c r="Z97" s="317">
        <f t="shared" si="279"/>
        <v>39580</v>
      </c>
      <c r="AA97" s="36"/>
      <c r="AB97" s="274">
        <v>8438023282</v>
      </c>
      <c r="AC97" s="40" t="s">
        <v>353</v>
      </c>
      <c r="AD97" s="82" t="s">
        <v>75</v>
      </c>
      <c r="AE97" s="41" t="s">
        <v>52</v>
      </c>
      <c r="AF97" s="11" t="s">
        <v>152</v>
      </c>
      <c r="AG97" s="11" t="s">
        <v>168</v>
      </c>
      <c r="AH97" s="14" t="s">
        <v>122</v>
      </c>
      <c r="AI97" s="86" t="s">
        <v>38</v>
      </c>
      <c r="AJ97" s="113" t="str">
        <f>IF(COUNTIFS(Admin!$A$29:$A$40,AI97)&gt;0,Admin!$A$28,IF(COUNTIFS(Admin!$B$29:$B$40,AI97)&gt;0,Admin!$B$28,IF(COUNTIFS(Admin!$C$29:$C$40,AI97)&gt;0,Admin!$C$28,IF(COUNTIFS(Admin!$D$29:$D$40,AI97)&gt;0,Admin!$D$28,"-"))))</f>
        <v>3. mérföldkő</v>
      </c>
      <c r="AK97" s="14" t="s">
        <v>141</v>
      </c>
      <c r="AL97" s="9" t="s">
        <v>56</v>
      </c>
      <c r="AM97" s="131">
        <v>688000</v>
      </c>
      <c r="AN97" s="132">
        <f t="shared" si="285"/>
        <v>89440</v>
      </c>
      <c r="AO97" s="121">
        <v>174</v>
      </c>
      <c r="AP97" s="121">
        <v>77</v>
      </c>
      <c r="AQ97" s="354">
        <f t="shared" si="286"/>
        <v>0.44252873563218392</v>
      </c>
      <c r="AR97" s="133">
        <f t="shared" si="287"/>
        <v>304460</v>
      </c>
      <c r="AS97" s="133">
        <f t="shared" si="288"/>
        <v>39580</v>
      </c>
      <c r="AT97" s="123">
        <f t="shared" si="289"/>
        <v>-3.3413525796222032E-7</v>
      </c>
      <c r="AU97" s="124">
        <v>0.13</v>
      </c>
      <c r="AV97" s="394" t="s">
        <v>2761</v>
      </c>
      <c r="AW97" s="15">
        <v>45002</v>
      </c>
      <c r="AX97" s="12" t="s">
        <v>206</v>
      </c>
      <c r="BC97" s="1" t="s">
        <v>2818</v>
      </c>
    </row>
    <row r="98" spans="1:56" s="1" customFormat="1" hidden="1" x14ac:dyDescent="0.25">
      <c r="A98" s="264" t="str">
        <f>Bérköltség!$B98</f>
        <v>FEOR</v>
      </c>
      <c r="B98" s="264" t="str">
        <f>IFERROR(
IF(AND(Bérköltség!$F98="",H98="NA"),"HIÁNYOS ADATOK",
IF(Bérköltség!$F98&lt;Bérköltség!$U98,Admin!$B$18,Admin!$B$17)),
"")</f>
        <v>FEOR</v>
      </c>
      <c r="C98" s="265">
        <f>IFERROR(INDEX('Historikus berek_2021-2'!$A$1:$F$903,MATCH(AB98,'Historikus berek_2021-2'!$A$1:$A$903,0),4),"")</f>
        <v>476900</v>
      </c>
      <c r="D98" s="279">
        <f t="shared" si="262"/>
        <v>211041.9540229885</v>
      </c>
      <c r="E98" s="265">
        <f t="shared" si="263"/>
        <v>304460</v>
      </c>
      <c r="F98" s="266">
        <f t="shared" si="264"/>
        <v>105562.39195402301</v>
      </c>
      <c r="G98" s="267">
        <f t="shared" si="265"/>
        <v>238477.40804597698</v>
      </c>
      <c r="H98" s="268">
        <f>IFERROR(INDEX('FEOR kodok'!$A$2:$J$1126,MATCH(Bérköltség!AB98,'FEOR kodok'!$B$2:$B$1126,0),8),"NA")</f>
        <v>2117</v>
      </c>
      <c r="I98" s="269">
        <f>IFERROR(INDEX('FEOR kodok'!$A$2:$J$1126,MATCH(Bérköltség!AB98,'FEOR kodok'!$B$2:$B$1126,0),10),"NA")</f>
        <v>37</v>
      </c>
      <c r="J98" s="276" t="str">
        <f t="shared" si="266"/>
        <v>30–39 éves</v>
      </c>
      <c r="K98" s="269" t="str">
        <f>IFERROR(INDEX(admin_feor[#All],MATCH(Bérköltség!H98,admin_feor[[#All],[Foglalkozás]],0),2),"NA")</f>
        <v>Vegyészmérnök</v>
      </c>
      <c r="L98" s="270">
        <f>IFERROR(
INDEX('Admin - FEOR'!$A$4:$F$465,MATCH(Bérköltség!H98,'Admin - FEOR'!$A$4:$A$465,0),
IF(J98="30 év alatt",3,
IF(J98="30–39 éves",4,
IF(J98="40–49 éves",5,
IF(J98="50 év és afelett",6
)))))*1,"NA")</f>
        <v>696588</v>
      </c>
      <c r="M98" s="270">
        <f t="shared" si="267"/>
        <v>688000</v>
      </c>
      <c r="N98" s="318">
        <f t="shared" si="268"/>
        <v>0.9876713351364077</v>
      </c>
      <c r="O98" s="270">
        <f>IFERROR(
INDEX('Admin - FEOR'!$A$4:$F$465,MATCH(Bérköltség!H98,'Admin - FEOR'!$A$4:$A$465,0),
IF(J98="30 év alatt",3,
IF(J98="30–39 éves",4,
IF(J98="40–49 éves",5,
IF(J98="50 év és afelett",6
)))))*1.5,"NA")</f>
        <v>1044882</v>
      </c>
      <c r="P98" s="270">
        <f t="shared" si="269"/>
        <v>462390.31034482759</v>
      </c>
      <c r="Q98" s="270">
        <f t="shared" si="270"/>
        <v>304460</v>
      </c>
      <c r="R98" s="275">
        <f t="shared" si="271"/>
        <v>0.44252873563218392</v>
      </c>
      <c r="S98" s="270">
        <f t="shared" si="272"/>
        <v>0</v>
      </c>
      <c r="T98" s="270">
        <f t="shared" si="273"/>
        <v>0</v>
      </c>
      <c r="U98" s="271">
        <f t="shared" si="274"/>
        <v>0</v>
      </c>
      <c r="V98" s="272">
        <f t="shared" si="275"/>
        <v>344040</v>
      </c>
      <c r="W98" s="273" t="str">
        <f t="shared" si="276"/>
        <v>Nem szükséges indoklás.</v>
      </c>
      <c r="X98" s="372">
        <f t="shared" si="277"/>
        <v>0</v>
      </c>
      <c r="Y98" s="317">
        <f t="shared" si="278"/>
        <v>304460</v>
      </c>
      <c r="Z98" s="317">
        <f t="shared" si="279"/>
        <v>39580</v>
      </c>
      <c r="AA98" s="36"/>
      <c r="AB98" s="274">
        <v>8438023282</v>
      </c>
      <c r="AC98" s="40" t="s">
        <v>353</v>
      </c>
      <c r="AD98" s="82" t="s">
        <v>75</v>
      </c>
      <c r="AE98" s="41" t="s">
        <v>52</v>
      </c>
      <c r="AF98" s="11" t="s">
        <v>152</v>
      </c>
      <c r="AG98" s="11" t="s">
        <v>168</v>
      </c>
      <c r="AH98" s="14" t="s">
        <v>122</v>
      </c>
      <c r="AI98" s="86" t="s">
        <v>39</v>
      </c>
      <c r="AJ98" s="113" t="str">
        <f>IF(COUNTIFS(Admin!$A$29:$A$40,AI98)&gt;0,Admin!$A$28,IF(COUNTIFS(Admin!$B$29:$B$40,AI98)&gt;0,Admin!$B$28,IF(COUNTIFS(Admin!$C$29:$C$40,AI98)&gt;0,Admin!$C$28,IF(COUNTIFS(Admin!$D$29:$D$40,AI98)&gt;0,Admin!$D$28,"-"))))</f>
        <v>3. mérföldkő</v>
      </c>
      <c r="AK98" s="14" t="s">
        <v>141</v>
      </c>
      <c r="AL98" s="9" t="s">
        <v>56</v>
      </c>
      <c r="AM98" s="131">
        <v>688000</v>
      </c>
      <c r="AN98" s="132">
        <f t="shared" si="285"/>
        <v>89440</v>
      </c>
      <c r="AO98" s="121">
        <v>174</v>
      </c>
      <c r="AP98" s="121">
        <v>77</v>
      </c>
      <c r="AQ98" s="354">
        <f t="shared" si="286"/>
        <v>0.44252873563218392</v>
      </c>
      <c r="AR98" s="133">
        <f t="shared" si="287"/>
        <v>304460</v>
      </c>
      <c r="AS98" s="133">
        <f t="shared" si="288"/>
        <v>39580</v>
      </c>
      <c r="AT98" s="123">
        <f t="shared" si="289"/>
        <v>-3.3413525796222032E-7</v>
      </c>
      <c r="AU98" s="124">
        <v>0.13</v>
      </c>
      <c r="AV98" s="394" t="s">
        <v>2761</v>
      </c>
      <c r="AW98" s="15">
        <v>45002</v>
      </c>
      <c r="AX98" s="12" t="s">
        <v>206</v>
      </c>
      <c r="BC98" s="1" t="s">
        <v>2818</v>
      </c>
    </row>
    <row r="99" spans="1:56" s="1" customFormat="1" hidden="1" x14ac:dyDescent="0.25">
      <c r="A99" s="264" t="str">
        <f>Bérköltség!$B99</f>
        <v>FEOR</v>
      </c>
      <c r="B99" s="264" t="str">
        <f>IFERROR(
IF(AND(Bérköltség!$F99="",H99="NA"),"HIÁNYOS ADATOK",
IF(Bérköltség!$F99&lt;Bérköltség!$U99,Admin!$B$18,Admin!$B$17)),
"")</f>
        <v>FEOR</v>
      </c>
      <c r="C99" s="265">
        <f>IFERROR(INDEX('Historikus berek_2021-2'!$A$1:$F$903,MATCH(AB99,'Historikus berek_2021-2'!$A$1:$A$903,0),4),"")</f>
        <v>476900</v>
      </c>
      <c r="D99" s="279">
        <f t="shared" si="262"/>
        <v>211041.9540229885</v>
      </c>
      <c r="E99" s="265">
        <f t="shared" si="263"/>
        <v>304460</v>
      </c>
      <c r="F99" s="266">
        <f t="shared" si="264"/>
        <v>105562.39195402301</v>
      </c>
      <c r="G99" s="267">
        <f t="shared" si="265"/>
        <v>238477.40804597698</v>
      </c>
      <c r="H99" s="268">
        <f>IFERROR(INDEX('FEOR kodok'!$A$2:$J$1126,MATCH(Bérköltség!AB99,'FEOR kodok'!$B$2:$B$1126,0),8),"NA")</f>
        <v>2117</v>
      </c>
      <c r="I99" s="269">
        <f>IFERROR(INDEX('FEOR kodok'!$A$2:$J$1126,MATCH(Bérköltség!AB99,'FEOR kodok'!$B$2:$B$1126,0),10),"NA")</f>
        <v>37</v>
      </c>
      <c r="J99" s="276" t="str">
        <f t="shared" si="266"/>
        <v>30–39 éves</v>
      </c>
      <c r="K99" s="269" t="str">
        <f>IFERROR(INDEX(admin_feor[#All],MATCH(Bérköltség!H99,admin_feor[[#All],[Foglalkozás]],0),2),"NA")</f>
        <v>Vegyészmérnök</v>
      </c>
      <c r="L99" s="270">
        <f>IFERROR(
INDEX('Admin - FEOR'!$A$4:$F$465,MATCH(Bérköltség!H99,'Admin - FEOR'!$A$4:$A$465,0),
IF(J99="30 év alatt",3,
IF(J99="30–39 éves",4,
IF(J99="40–49 éves",5,
IF(J99="50 év és afelett",6
)))))*1,"NA")</f>
        <v>696588</v>
      </c>
      <c r="M99" s="270">
        <f t="shared" si="267"/>
        <v>688000</v>
      </c>
      <c r="N99" s="318">
        <f t="shared" si="268"/>
        <v>0.9876713351364077</v>
      </c>
      <c r="O99" s="270">
        <f>IFERROR(
INDEX('Admin - FEOR'!$A$4:$F$465,MATCH(Bérköltség!H99,'Admin - FEOR'!$A$4:$A$465,0),
IF(J99="30 év alatt",3,
IF(J99="30–39 éves",4,
IF(J99="40–49 éves",5,
IF(J99="50 év és afelett",6
)))))*1.5,"NA")</f>
        <v>1044882</v>
      </c>
      <c r="P99" s="270">
        <f t="shared" si="269"/>
        <v>462390.31034482759</v>
      </c>
      <c r="Q99" s="270">
        <f t="shared" si="270"/>
        <v>304460</v>
      </c>
      <c r="R99" s="275">
        <f t="shared" si="271"/>
        <v>0.44252873563218392</v>
      </c>
      <c r="S99" s="270">
        <f t="shared" si="272"/>
        <v>0</v>
      </c>
      <c r="T99" s="270">
        <f t="shared" si="273"/>
        <v>0</v>
      </c>
      <c r="U99" s="271">
        <f t="shared" si="274"/>
        <v>0</v>
      </c>
      <c r="V99" s="272">
        <f t="shared" si="275"/>
        <v>344040</v>
      </c>
      <c r="W99" s="273" t="str">
        <f t="shared" si="276"/>
        <v>Nem szükséges indoklás.</v>
      </c>
      <c r="X99" s="372">
        <f t="shared" si="277"/>
        <v>0</v>
      </c>
      <c r="Y99" s="317">
        <f t="shared" si="278"/>
        <v>304460</v>
      </c>
      <c r="Z99" s="317">
        <f t="shared" si="279"/>
        <v>39580</v>
      </c>
      <c r="AA99" s="36"/>
      <c r="AB99" s="274">
        <v>8438023282</v>
      </c>
      <c r="AC99" s="40" t="s">
        <v>353</v>
      </c>
      <c r="AD99" s="82" t="s">
        <v>75</v>
      </c>
      <c r="AE99" s="41" t="s">
        <v>52</v>
      </c>
      <c r="AF99" s="11" t="s">
        <v>152</v>
      </c>
      <c r="AG99" s="11" t="s">
        <v>168</v>
      </c>
      <c r="AH99" s="14" t="s">
        <v>122</v>
      </c>
      <c r="AI99" s="86" t="s">
        <v>40</v>
      </c>
      <c r="AJ99" s="113" t="str">
        <f>IF(COUNTIFS(Admin!$A$29:$A$40,AI99)&gt;0,Admin!$A$28,IF(COUNTIFS(Admin!$B$29:$B$40,AI99)&gt;0,Admin!$B$28,IF(COUNTIFS(Admin!$C$29:$C$40,AI99)&gt;0,Admin!$C$28,IF(COUNTIFS(Admin!$D$29:$D$40,AI99)&gt;0,Admin!$D$28,"-"))))</f>
        <v>3. mérföldkő</v>
      </c>
      <c r="AK99" s="14" t="s">
        <v>141</v>
      </c>
      <c r="AL99" s="9" t="s">
        <v>56</v>
      </c>
      <c r="AM99" s="131">
        <v>688000</v>
      </c>
      <c r="AN99" s="132">
        <f t="shared" si="285"/>
        <v>89440</v>
      </c>
      <c r="AO99" s="121">
        <v>174</v>
      </c>
      <c r="AP99" s="121">
        <v>77</v>
      </c>
      <c r="AQ99" s="354">
        <f t="shared" si="286"/>
        <v>0.44252873563218392</v>
      </c>
      <c r="AR99" s="133">
        <f t="shared" si="287"/>
        <v>304460</v>
      </c>
      <c r="AS99" s="133">
        <f t="shared" si="288"/>
        <v>39580</v>
      </c>
      <c r="AT99" s="123">
        <f t="shared" si="289"/>
        <v>-3.3413525796222032E-7</v>
      </c>
      <c r="AU99" s="124">
        <v>0.13</v>
      </c>
      <c r="AV99" s="394" t="s">
        <v>2761</v>
      </c>
      <c r="AW99" s="15">
        <v>45002</v>
      </c>
      <c r="AX99" s="12" t="s">
        <v>206</v>
      </c>
      <c r="BC99" s="1" t="s">
        <v>2818</v>
      </c>
    </row>
    <row r="100" spans="1:56" s="1" customFormat="1" hidden="1" x14ac:dyDescent="0.25">
      <c r="A100" s="264" t="str">
        <f>Bérköltség!$B100</f>
        <v>FEOR</v>
      </c>
      <c r="B100" s="264" t="str">
        <f>IFERROR(
IF(AND(Bérköltség!$F100="",H100="NA"),"HIÁNYOS ADATOK",
IF(Bérköltség!$F100&lt;Bérköltség!$U100,Admin!$B$18,Admin!$B$17)),
"")</f>
        <v>FEOR</v>
      </c>
      <c r="C100" s="265">
        <f>IFERROR(INDEX('Historikus berek_2021-2'!$A$1:$F$903,MATCH(AB100,'Historikus berek_2021-2'!$A$1:$A$903,0),4),"")</f>
        <v>284260</v>
      </c>
      <c r="D100" s="279">
        <f t="shared" si="23"/>
        <v>284260</v>
      </c>
      <c r="E100" s="265">
        <f t="shared" si="24"/>
        <v>335137</v>
      </c>
      <c r="F100" s="266">
        <f t="shared" si="25"/>
        <v>57491.009999999951</v>
      </c>
      <c r="G100" s="267">
        <f t="shared" si="26"/>
        <v>321213.8</v>
      </c>
      <c r="H100" s="268">
        <f>IFERROR(INDEX('FEOR kodok'!$A$2:$J$1126,MATCH(Bérköltség!AB100,'FEOR kodok'!$B$2:$B$1126,0),8),"NA")</f>
        <v>3910</v>
      </c>
      <c r="I100" s="269">
        <f>IFERROR(INDEX('FEOR kodok'!$A$2:$J$1126,MATCH(Bérköltség!AB100,'FEOR kodok'!$B$2:$B$1126,0),10),"NA")</f>
        <v>26</v>
      </c>
      <c r="J100" s="276" t="str">
        <f t="shared" si="27"/>
        <v>30 év alatt</v>
      </c>
      <c r="K100" s="269" t="str">
        <f>IFERROR(INDEX(admin_feor[#All],MATCH(Bérköltség!H100,admin_feor[[#All],[Foglalkozás]],0),2),"NA")</f>
        <v>Egyéb ügyintéző</v>
      </c>
      <c r="L100" s="270">
        <f>IFERROR(
INDEX('Admin - FEOR'!$A$4:$F$465,MATCH(Bérköltség!H100,'Admin - FEOR'!$A$4:$A$465,0),
IF(J100="30 év alatt",3,
IF(J100="30–39 éves",4,
IF(J100="40–49 éves",5,
IF(J100="50 év és afelett",6
)))))*1,"NA")</f>
        <v>359927</v>
      </c>
      <c r="M100" s="270">
        <f t="shared" si="28"/>
        <v>335137</v>
      </c>
      <c r="N100" s="318">
        <f t="shared" si="29"/>
        <v>0.93112492255374002</v>
      </c>
      <c r="O100" s="270">
        <f>IFERROR(
INDEX('Admin - FEOR'!$A$4:$F$465,MATCH(Bérköltség!H100,'Admin - FEOR'!$A$4:$A$465,0),
IF(J100="30 év alatt",3,
IF(J100="30–39 éves",4,
IF(J100="40–49 éves",5,
IF(J100="50 év és afelett",6
)))))*1.5,"NA")</f>
        <v>539890.5</v>
      </c>
      <c r="P100" s="270">
        <f t="shared" si="30"/>
        <v>539890.5</v>
      </c>
      <c r="Q100" s="270">
        <f t="shared" si="31"/>
        <v>335137</v>
      </c>
      <c r="R100" s="275">
        <f t="shared" si="32"/>
        <v>1</v>
      </c>
      <c r="S100" s="270">
        <f t="shared" si="33"/>
        <v>0</v>
      </c>
      <c r="T100" s="270">
        <f t="shared" si="34"/>
        <v>0</v>
      </c>
      <c r="U100" s="271">
        <f t="shared" si="35"/>
        <v>0</v>
      </c>
      <c r="V100" s="272">
        <f t="shared" si="36"/>
        <v>378705</v>
      </c>
      <c r="W100" s="273" t="str">
        <f t="shared" si="37"/>
        <v>Nem szükséges indoklás.</v>
      </c>
      <c r="X100" s="372">
        <f t="shared" si="38"/>
        <v>0</v>
      </c>
      <c r="Y100" s="317">
        <f t="shared" si="39"/>
        <v>335137</v>
      </c>
      <c r="Z100" s="317">
        <f t="shared" si="40"/>
        <v>43568</v>
      </c>
      <c r="AA100" s="12" t="s">
        <v>2800</v>
      </c>
      <c r="AB100" s="274">
        <v>8476082037</v>
      </c>
      <c r="AC100" s="40" t="s">
        <v>218</v>
      </c>
      <c r="AD100" s="82" t="s">
        <v>76</v>
      </c>
      <c r="AE100" s="41" t="s">
        <v>85</v>
      </c>
      <c r="AF100" s="11" t="s">
        <v>160</v>
      </c>
      <c r="AG100" s="11" t="s">
        <v>196</v>
      </c>
      <c r="AH100" s="14" t="s">
        <v>142</v>
      </c>
      <c r="AI100" s="86" t="s">
        <v>23</v>
      </c>
      <c r="AJ100" s="113" t="str">
        <f>IF(COUNTIFS(Admin!$A$29:$A$40,AI100)&gt;0,Admin!$A$28,IF(COUNTIFS(Admin!$B$29:$B$40,AI100)&gt;0,Admin!$B$28,IF(COUNTIFS(Admin!$C$29:$C$40,AI100)&gt;0,Admin!$C$28,IF(COUNTIFS(Admin!$D$29:$D$40,AI100)&gt;0,Admin!$D$28,"-"))))</f>
        <v>2. mérföldkő</v>
      </c>
      <c r="AK100" s="14" t="s">
        <v>7</v>
      </c>
      <c r="AL100" s="9" t="s">
        <v>56</v>
      </c>
      <c r="AM100" s="131">
        <v>335137</v>
      </c>
      <c r="AN100" s="132">
        <f t="shared" si="115"/>
        <v>43568</v>
      </c>
      <c r="AO100" s="121">
        <v>174</v>
      </c>
      <c r="AP100" s="121">
        <v>174</v>
      </c>
      <c r="AQ100" s="354">
        <f t="shared" si="182"/>
        <v>1</v>
      </c>
      <c r="AR100" s="133">
        <f t="shared" si="214"/>
        <v>335137</v>
      </c>
      <c r="AS100" s="133">
        <f t="shared" si="184"/>
        <v>43568</v>
      </c>
      <c r="AT100" s="123">
        <f t="shared" si="185"/>
        <v>0</v>
      </c>
      <c r="AU100" s="124">
        <v>0.13</v>
      </c>
      <c r="AV100" s="394" t="s">
        <v>2762</v>
      </c>
      <c r="AW100" s="15">
        <v>44796</v>
      </c>
      <c r="AX100" s="12" t="s">
        <v>206</v>
      </c>
    </row>
    <row r="101" spans="1:56" s="1" customFormat="1" hidden="1" x14ac:dyDescent="0.25">
      <c r="A101" s="264" t="str">
        <f>Bérköltség!$B101</f>
        <v>FEOR</v>
      </c>
      <c r="B101" s="264" t="str">
        <f>IFERROR(
IF(AND(Bérköltség!$F101="",H101="NA"),"HIÁNYOS ADATOK",
IF(Bérköltség!$F101&lt;Bérköltség!$U101,Admin!$B$18,Admin!$B$17)),
"")</f>
        <v>FEOR</v>
      </c>
      <c r="C101" s="265">
        <f>IFERROR(INDEX('Historikus berek_2021-2'!$A$1:$F$903,MATCH(AB101,'Historikus berek_2021-2'!$A$1:$A$903,0),4),"")</f>
        <v>786533.33333333337</v>
      </c>
      <c r="D101" s="279">
        <f t="shared" si="23"/>
        <v>144649.80842911877</v>
      </c>
      <c r="E101" s="265">
        <f t="shared" si="24"/>
        <v>191264</v>
      </c>
      <c r="F101" s="266">
        <f t="shared" si="25"/>
        <v>52674.036475095781</v>
      </c>
      <c r="G101" s="267">
        <f t="shared" si="26"/>
        <v>163454.2835249042</v>
      </c>
      <c r="H101" s="268">
        <f>IFERROR(INDEX('FEOR kodok'!$A$2:$J$1126,MATCH(Bérköltség!AB101,'FEOR kodok'!$B$2:$B$1126,0),8),"NA")</f>
        <v>2410</v>
      </c>
      <c r="I101" s="269">
        <f>IFERROR(INDEX('FEOR kodok'!$A$2:$J$1126,MATCH(Bérköltség!AB101,'FEOR kodok'!$B$2:$B$1126,0),10),"NA")</f>
        <v>45</v>
      </c>
      <c r="J101" s="276" t="str">
        <f t="shared" si="27"/>
        <v>40–49 éves</v>
      </c>
      <c r="K101" s="269" t="str">
        <f>IFERROR(INDEX(admin_feor[#All],MATCH(Bérköltség!H101,admin_feor[[#All],[Foglalkozás]],0),2),"NA")</f>
        <v>Egyetemi, főiskolai oktató, tanár</v>
      </c>
      <c r="L101" s="270">
        <f>IFERROR(
INDEX('Admin - FEOR'!$A$4:$F$465,MATCH(Bérköltség!H101,'Admin - FEOR'!$A$4:$A$465,0),
IF(J101="30 év alatt",3,
IF(J101="30–39 éves",4,
IF(J101="40–49 éves",5,
IF(J101="50 év és afelett",6
)))))*1,"NA")</f>
        <v>629398</v>
      </c>
      <c r="M101" s="270">
        <f t="shared" si="28"/>
        <v>1040000</v>
      </c>
      <c r="N101" s="318">
        <f t="shared" si="29"/>
        <v>1.6523725845967099</v>
      </c>
      <c r="O101" s="270">
        <f>IFERROR(
INDEX('Admin - FEOR'!$A$4:$F$465,MATCH(Bérköltség!H101,'Admin - FEOR'!$A$4:$A$465,0),
IF(J101="30 év alatt",3,
IF(J101="30–39 éves",4,
IF(J101="40–49 éves",5,
IF(J101="50 év és afelett",6
)))))*1.5,"NA")</f>
        <v>944097</v>
      </c>
      <c r="P101" s="270">
        <f t="shared" si="30"/>
        <v>173627.03448275861</v>
      </c>
      <c r="Q101" s="270">
        <f t="shared" si="31"/>
        <v>191264</v>
      </c>
      <c r="R101" s="275">
        <f t="shared" si="32"/>
        <v>0.18390804597701149</v>
      </c>
      <c r="S101" s="270">
        <f t="shared" si="33"/>
        <v>17636.965517241391</v>
      </c>
      <c r="T101" s="270">
        <f t="shared" si="34"/>
        <v>2292.805517241381</v>
      </c>
      <c r="U101" s="271">
        <f t="shared" si="35"/>
        <v>19929.771034482772</v>
      </c>
      <c r="V101" s="272">
        <f t="shared" si="36"/>
        <v>196198.22896551722</v>
      </c>
      <c r="W101" s="273" t="str">
        <f t="shared" si="37"/>
        <v>Indoklás szükséges mivel a FEOR: 165,2%</v>
      </c>
      <c r="X101" s="372">
        <f t="shared" si="38"/>
        <v>19929.771034482772</v>
      </c>
      <c r="Y101" s="317">
        <f t="shared" si="39"/>
        <v>173627</v>
      </c>
      <c r="Z101" s="317">
        <f t="shared" si="40"/>
        <v>22571</v>
      </c>
      <c r="AA101" s="12">
        <v>2</v>
      </c>
      <c r="AB101" s="274">
        <v>8405671307</v>
      </c>
      <c r="AC101" s="40" t="s">
        <v>215</v>
      </c>
      <c r="AD101" s="82" t="s">
        <v>75</v>
      </c>
      <c r="AE101" s="41" t="s">
        <v>52</v>
      </c>
      <c r="AF101" s="11" t="s">
        <v>159</v>
      </c>
      <c r="AG101" s="11" t="s">
        <v>211</v>
      </c>
      <c r="AH101" s="14" t="s">
        <v>122</v>
      </c>
      <c r="AI101" s="86" t="s">
        <v>23</v>
      </c>
      <c r="AJ101" s="113" t="str">
        <f>IF(COUNTIFS(Admin!$A$29:$A$40,AI101)&gt;0,Admin!$A$28,IF(COUNTIFS(Admin!$B$29:$B$40,AI101)&gt;0,Admin!$B$28,IF(COUNTIFS(Admin!$C$29:$C$40,AI101)&gt;0,Admin!$C$28,IF(COUNTIFS(Admin!$D$29:$D$40,AI101)&gt;0,Admin!$D$28,"-"))))</f>
        <v>2. mérföldkő</v>
      </c>
      <c r="AK101" s="14" t="s">
        <v>7</v>
      </c>
      <c r="AL101" s="9" t="s">
        <v>56</v>
      </c>
      <c r="AM101" s="131">
        <v>1040000</v>
      </c>
      <c r="AN101" s="132">
        <f t="shared" si="115"/>
        <v>135200</v>
      </c>
      <c r="AO101" s="121">
        <v>174</v>
      </c>
      <c r="AP101" s="121">
        <v>32</v>
      </c>
      <c r="AQ101" s="354">
        <f t="shared" si="182"/>
        <v>0.18390804597701149</v>
      </c>
      <c r="AR101" s="133">
        <f t="shared" si="214"/>
        <v>191264</v>
      </c>
      <c r="AS101" s="133">
        <f t="shared" si="184"/>
        <v>24864</v>
      </c>
      <c r="AT101" s="123">
        <f t="shared" si="185"/>
        <v>3.5366931919189604E-7</v>
      </c>
      <c r="AU101" s="124">
        <v>0.13</v>
      </c>
      <c r="AV101" s="394" t="s">
        <v>2763</v>
      </c>
      <c r="AW101" s="15">
        <v>44789</v>
      </c>
      <c r="AX101" s="12" t="s">
        <v>206</v>
      </c>
      <c r="BC101" s="1" t="s">
        <v>2819</v>
      </c>
      <c r="BD101" s="1" t="str">
        <f t="shared" ref="BD101:BD107" si="290">CONCATENATE(BC101," - ",AE101)</f>
        <v>Kutató_NK_5 - Kutató</v>
      </c>
    </row>
    <row r="102" spans="1:56" s="1" customFormat="1" hidden="1" x14ac:dyDescent="0.25">
      <c r="A102" s="264" t="str">
        <f>Bérköltség!$B102</f>
        <v>FEOR</v>
      </c>
      <c r="B102" s="264" t="str">
        <f>IFERROR(
IF(AND(Bérköltség!$F102="",H102="NA"),"HIÁNYOS ADATOK",
IF(Bérköltség!$F102&lt;Bérköltség!$U102,Admin!$B$18,Admin!$B$17)),
"")</f>
        <v>FEOR</v>
      </c>
      <c r="C102" s="265">
        <f>IFERROR(INDEX('Historikus berek_2021-2'!$A$1:$F$903,MATCH(AB102,'Historikus berek_2021-2'!$A$1:$A$903,0),4),"")</f>
        <v>786533.33333333337</v>
      </c>
      <c r="D102" s="279">
        <f t="shared" si="23"/>
        <v>135609.19540229888</v>
      </c>
      <c r="E102" s="265">
        <f t="shared" si="24"/>
        <v>189655</v>
      </c>
      <c r="F102" s="266">
        <f t="shared" si="25"/>
        <v>61071.759195402265</v>
      </c>
      <c r="G102" s="267">
        <f t="shared" si="26"/>
        <v>153238.39080459773</v>
      </c>
      <c r="H102" s="268">
        <f>IFERROR(INDEX('FEOR kodok'!$A$2:$J$1126,MATCH(Bérköltség!AB102,'FEOR kodok'!$B$2:$B$1126,0),8),"NA")</f>
        <v>2410</v>
      </c>
      <c r="I102" s="269">
        <f>IFERROR(INDEX('FEOR kodok'!$A$2:$J$1126,MATCH(Bérköltség!AB102,'FEOR kodok'!$B$2:$B$1126,0),10),"NA")</f>
        <v>45</v>
      </c>
      <c r="J102" s="276" t="str">
        <f t="shared" si="27"/>
        <v>40–49 éves</v>
      </c>
      <c r="K102" s="269" t="str">
        <f>IFERROR(INDEX(admin_feor[#All],MATCH(Bérköltség!H102,admin_feor[[#All],[Foglalkozás]],0),2),"NA")</f>
        <v>Egyetemi, főiskolai oktató, tanár</v>
      </c>
      <c r="L102" s="270">
        <f>IFERROR(
INDEX('Admin - FEOR'!$A$4:$F$465,MATCH(Bérköltség!H102,'Admin - FEOR'!$A$4:$A$465,0),
IF(J102="30 év alatt",3,
IF(J102="30–39 éves",4,
IF(J102="40–49 éves",5,
IF(J102="50 év és afelett",6
)))))*1,"NA")</f>
        <v>629398</v>
      </c>
      <c r="M102" s="270">
        <f t="shared" si="28"/>
        <v>1100000</v>
      </c>
      <c r="N102" s="318">
        <f t="shared" si="29"/>
        <v>1.7477017721695969</v>
      </c>
      <c r="O102" s="270">
        <f>IFERROR(
INDEX('Admin - FEOR'!$A$4:$F$465,MATCH(Bérköltség!H102,'Admin - FEOR'!$A$4:$A$465,0),
IF(J102="30 év alatt",3,
IF(J102="30–39 éves",4,
IF(J102="40–49 éves",5,
IF(J102="50 év és afelett",6
)))))*1.5,"NA")</f>
        <v>944097</v>
      </c>
      <c r="P102" s="270">
        <f t="shared" si="30"/>
        <v>162775.34482758623</v>
      </c>
      <c r="Q102" s="270">
        <f t="shared" si="31"/>
        <v>189655</v>
      </c>
      <c r="R102" s="275">
        <f t="shared" si="32"/>
        <v>0.17241379310344829</v>
      </c>
      <c r="S102" s="270">
        <f t="shared" si="33"/>
        <v>26879.655172413768</v>
      </c>
      <c r="T102" s="270">
        <f t="shared" si="34"/>
        <v>3494.3551724137901</v>
      </c>
      <c r="U102" s="271">
        <f t="shared" si="35"/>
        <v>30374.010344827559</v>
      </c>
      <c r="V102" s="272">
        <f t="shared" si="36"/>
        <v>183935.98965517245</v>
      </c>
      <c r="W102" s="273" t="str">
        <f t="shared" si="37"/>
        <v>Indoklás szükséges mivel a FEOR: 174,8%</v>
      </c>
      <c r="X102" s="372">
        <f t="shared" si="38"/>
        <v>30374.010344827559</v>
      </c>
      <c r="Y102" s="317">
        <f t="shared" si="39"/>
        <v>162775</v>
      </c>
      <c r="Z102" s="317">
        <f t="shared" si="40"/>
        <v>21161</v>
      </c>
      <c r="AA102" s="12">
        <v>2</v>
      </c>
      <c r="AB102" s="274">
        <v>8405671307</v>
      </c>
      <c r="AC102" s="40" t="s">
        <v>215</v>
      </c>
      <c r="AD102" s="82" t="s">
        <v>75</v>
      </c>
      <c r="AE102" s="41" t="s">
        <v>52</v>
      </c>
      <c r="AF102" s="11" t="s">
        <v>159</v>
      </c>
      <c r="AG102" s="11" t="s">
        <v>211</v>
      </c>
      <c r="AH102" s="14" t="s">
        <v>122</v>
      </c>
      <c r="AI102" s="86" t="s">
        <v>24</v>
      </c>
      <c r="AJ102" s="113" t="str">
        <f>IF(COUNTIFS(Admin!$A$29:$A$40,AI102)&gt;0,Admin!$A$28,IF(COUNTIFS(Admin!$B$29:$B$40,AI102)&gt;0,Admin!$B$28,IF(COUNTIFS(Admin!$C$29:$C$40,AI102)&gt;0,Admin!$C$28,IF(COUNTIFS(Admin!$D$29:$D$40,AI102)&gt;0,Admin!$D$28,"-"))))</f>
        <v>2. mérföldkő</v>
      </c>
      <c r="AK102" s="14" t="s">
        <v>7</v>
      </c>
      <c r="AL102" s="9" t="s">
        <v>56</v>
      </c>
      <c r="AM102" s="131">
        <v>1100000</v>
      </c>
      <c r="AN102" s="132">
        <f t="shared" si="115"/>
        <v>143000</v>
      </c>
      <c r="AO102" s="121">
        <v>174</v>
      </c>
      <c r="AP102" s="121">
        <v>30</v>
      </c>
      <c r="AQ102" s="354">
        <f t="shared" si="182"/>
        <v>0.17241379310344829</v>
      </c>
      <c r="AR102" s="133">
        <f t="shared" si="214"/>
        <v>189655</v>
      </c>
      <c r="AS102" s="133">
        <f t="shared" si="184"/>
        <v>24655</v>
      </c>
      <c r="AT102" s="123">
        <f t="shared" si="185"/>
        <v>1.5673981193509157E-7</v>
      </c>
      <c r="AU102" s="124">
        <v>0.13</v>
      </c>
      <c r="AV102" s="394" t="s">
        <v>2763</v>
      </c>
      <c r="AW102" s="15">
        <v>44823</v>
      </c>
      <c r="AX102" s="12" t="s">
        <v>206</v>
      </c>
      <c r="BC102" s="1" t="s">
        <v>2819</v>
      </c>
      <c r="BD102" s="1" t="str">
        <f t="shared" si="290"/>
        <v>Kutató_NK_5 - Kutató</v>
      </c>
    </row>
    <row r="103" spans="1:56" s="1" customFormat="1" hidden="1" x14ac:dyDescent="0.25">
      <c r="A103" s="264" t="str">
        <f>Bérköltség!$B103</f>
        <v>FEOR</v>
      </c>
      <c r="B103" s="264" t="str">
        <f>IFERROR(
IF(AND(Bérköltség!$F103="",H103="NA"),"HIÁNYOS ADATOK",
IF(Bérköltség!$F103&lt;Bérköltség!$U103,Admin!$B$18,Admin!$B$17)),
"")</f>
        <v>FEOR</v>
      </c>
      <c r="C103" s="265">
        <f>IFERROR(INDEX('Historikus berek_2021-2'!$A$1:$F$903,MATCH(AB103,'Historikus berek_2021-2'!$A$1:$A$903,0),4),"")</f>
        <v>786533.33333333337</v>
      </c>
      <c r="D103" s="279">
        <f t="shared" si="23"/>
        <v>144649.80842911877</v>
      </c>
      <c r="E103" s="265">
        <f t="shared" si="24"/>
        <v>196782</v>
      </c>
      <c r="F103" s="266">
        <f t="shared" si="25"/>
        <v>58909.376475095778</v>
      </c>
      <c r="G103" s="267">
        <f t="shared" si="26"/>
        <v>163454.2835249042</v>
      </c>
      <c r="H103" s="268">
        <f>IFERROR(INDEX('FEOR kodok'!$A$2:$J$1126,MATCH(Bérköltség!AB103,'FEOR kodok'!$B$2:$B$1126,0),8),"NA")</f>
        <v>2410</v>
      </c>
      <c r="I103" s="269">
        <f>IFERROR(INDEX('FEOR kodok'!$A$2:$J$1126,MATCH(Bérköltség!AB103,'FEOR kodok'!$B$2:$B$1126,0),10),"NA")</f>
        <v>45</v>
      </c>
      <c r="J103" s="276" t="str">
        <f t="shared" si="27"/>
        <v>40–49 éves</v>
      </c>
      <c r="K103" s="269" t="str">
        <f>IFERROR(INDEX(admin_feor[#All],MATCH(Bérköltség!H103,admin_feor[[#All],[Foglalkozás]],0),2),"NA")</f>
        <v>Egyetemi, főiskolai oktató, tanár</v>
      </c>
      <c r="L103" s="270">
        <f>IFERROR(
INDEX('Admin - FEOR'!$A$4:$F$465,MATCH(Bérköltség!H103,'Admin - FEOR'!$A$4:$A$465,0),
IF(J103="30 év alatt",3,
IF(J103="30–39 éves",4,
IF(J103="40–49 éves",5,
IF(J103="50 év és afelett",6
)))))*1,"NA")</f>
        <v>629398</v>
      </c>
      <c r="M103" s="270">
        <f t="shared" si="28"/>
        <v>1070000</v>
      </c>
      <c r="N103" s="318">
        <f t="shared" si="29"/>
        <v>1.7000371783831534</v>
      </c>
      <c r="O103" s="270">
        <f>IFERROR(
INDEX('Admin - FEOR'!$A$4:$F$465,MATCH(Bérköltség!H103,'Admin - FEOR'!$A$4:$A$465,0),
IF(J103="30 év alatt",3,
IF(J103="30–39 éves",4,
IF(J103="40–49 éves",5,
IF(J103="50 év és afelett",6
)))))*1.5,"NA")</f>
        <v>944097</v>
      </c>
      <c r="P103" s="270">
        <f t="shared" si="30"/>
        <v>173627.03448275861</v>
      </c>
      <c r="Q103" s="270">
        <f t="shared" si="31"/>
        <v>196782</v>
      </c>
      <c r="R103" s="275">
        <f t="shared" si="32"/>
        <v>0.18390804597701149</v>
      </c>
      <c r="S103" s="270">
        <f t="shared" si="33"/>
        <v>23154.965517241391</v>
      </c>
      <c r="T103" s="270">
        <f t="shared" si="34"/>
        <v>3010.1455172413812</v>
      </c>
      <c r="U103" s="271">
        <f t="shared" si="35"/>
        <v>26165.111034482772</v>
      </c>
      <c r="V103" s="272">
        <f t="shared" si="36"/>
        <v>196198.88896551722</v>
      </c>
      <c r="W103" s="273" t="str">
        <f t="shared" si="37"/>
        <v>Indoklás szükséges mivel a FEOR: 170%</v>
      </c>
      <c r="X103" s="372">
        <f t="shared" si="38"/>
        <v>26165.111034482772</v>
      </c>
      <c r="Y103" s="317">
        <f t="shared" si="39"/>
        <v>173627</v>
      </c>
      <c r="Z103" s="317">
        <f t="shared" si="40"/>
        <v>22572</v>
      </c>
      <c r="AA103" s="12">
        <v>2</v>
      </c>
      <c r="AB103" s="274">
        <v>8405671307</v>
      </c>
      <c r="AC103" s="40" t="s">
        <v>215</v>
      </c>
      <c r="AD103" s="82" t="s">
        <v>75</v>
      </c>
      <c r="AE103" s="41" t="s">
        <v>52</v>
      </c>
      <c r="AF103" s="11" t="s">
        <v>159</v>
      </c>
      <c r="AG103" s="11" t="s">
        <v>211</v>
      </c>
      <c r="AH103" s="14" t="s">
        <v>122</v>
      </c>
      <c r="AI103" s="86" t="s">
        <v>25</v>
      </c>
      <c r="AJ103" s="113" t="str">
        <f>IF(COUNTIFS(Admin!$A$29:$A$40,AI103)&gt;0,Admin!$A$28,IF(COUNTIFS(Admin!$B$29:$B$40,AI103)&gt;0,Admin!$B$28,IF(COUNTIFS(Admin!$C$29:$C$40,AI103)&gt;0,Admin!$C$28,IF(COUNTIFS(Admin!$D$29:$D$40,AI103)&gt;0,Admin!$D$28,"-"))))</f>
        <v>2. mérföldkő</v>
      </c>
      <c r="AK103" s="14" t="s">
        <v>7</v>
      </c>
      <c r="AL103" s="9" t="s">
        <v>56</v>
      </c>
      <c r="AM103" s="131">
        <v>1070000</v>
      </c>
      <c r="AN103" s="132">
        <f t="shared" si="115"/>
        <v>139100</v>
      </c>
      <c r="AO103" s="121">
        <v>174</v>
      </c>
      <c r="AP103" s="121">
        <v>32</v>
      </c>
      <c r="AQ103" s="354">
        <f t="shared" si="182"/>
        <v>0.18390804597701149</v>
      </c>
      <c r="AR103" s="133">
        <f t="shared" si="214"/>
        <v>196782</v>
      </c>
      <c r="AS103" s="133">
        <f t="shared" si="184"/>
        <v>25582</v>
      </c>
      <c r="AT103" s="123">
        <f t="shared" si="185"/>
        <v>-3.6523794177956148E-7</v>
      </c>
      <c r="AU103" s="124">
        <v>0.13</v>
      </c>
      <c r="AV103" s="394" t="s">
        <v>2763</v>
      </c>
      <c r="AW103" s="15">
        <v>44858</v>
      </c>
      <c r="AX103" s="12" t="s">
        <v>206</v>
      </c>
      <c r="AZ103" s="1" t="s">
        <v>2667</v>
      </c>
      <c r="BA103" s="1" t="s">
        <v>2667</v>
      </c>
      <c r="BB103" s="1" t="s">
        <v>2667</v>
      </c>
      <c r="BC103" s="1" t="s">
        <v>2819</v>
      </c>
      <c r="BD103" s="1" t="str">
        <f t="shared" si="290"/>
        <v>Kutató_NK_5 - Kutató</v>
      </c>
    </row>
    <row r="104" spans="1:56" s="1" customFormat="1" hidden="1" x14ac:dyDescent="0.25">
      <c r="A104" s="264" t="str">
        <f>Bérköltség!$B104</f>
        <v>FEOR</v>
      </c>
      <c r="B104" s="264" t="str">
        <f>IFERROR(
IF(AND(Bérköltség!$F104="",H104="NA"),"HIÁNYOS ADATOK",
IF(Bérköltség!$F104&lt;Bérköltség!$U104,Admin!$B$18,Admin!$B$17)),
"")</f>
        <v>FEOR</v>
      </c>
      <c r="C104" s="265">
        <f>IFERROR(INDEX('Historikus berek_2021-2'!$A$1:$F$903,MATCH(AB104,'Historikus berek_2021-2'!$A$1:$A$903,0),4),"")</f>
        <v>786533.33333333337</v>
      </c>
      <c r="D104" s="279">
        <f t="shared" si="23"/>
        <v>144649.80842911877</v>
      </c>
      <c r="E104" s="265">
        <f t="shared" si="24"/>
        <v>196782</v>
      </c>
      <c r="F104" s="266">
        <f t="shared" si="25"/>
        <v>58909.376475095778</v>
      </c>
      <c r="G104" s="267">
        <f t="shared" si="26"/>
        <v>163454.2835249042</v>
      </c>
      <c r="H104" s="268">
        <f>IFERROR(INDEX('FEOR kodok'!$A$2:$J$1126,MATCH(Bérköltség!AB104,'FEOR kodok'!$B$2:$B$1126,0),8),"NA")</f>
        <v>2410</v>
      </c>
      <c r="I104" s="269">
        <f>IFERROR(INDEX('FEOR kodok'!$A$2:$J$1126,MATCH(Bérköltség!AB104,'FEOR kodok'!$B$2:$B$1126,0),10),"NA")</f>
        <v>45</v>
      </c>
      <c r="J104" s="276" t="str">
        <f t="shared" si="27"/>
        <v>40–49 éves</v>
      </c>
      <c r="K104" s="269" t="str">
        <f>IFERROR(INDEX(admin_feor[#All],MATCH(Bérköltség!H104,admin_feor[[#All],[Foglalkozás]],0),2),"NA")</f>
        <v>Egyetemi, főiskolai oktató, tanár</v>
      </c>
      <c r="L104" s="270">
        <f>IFERROR(
INDEX('Admin - FEOR'!$A$4:$F$465,MATCH(Bérköltség!H104,'Admin - FEOR'!$A$4:$A$465,0),
IF(J104="30 év alatt",3,
IF(J104="30–39 éves",4,
IF(J104="40–49 éves",5,
IF(J104="50 év és afelett",6
)))))*1,"NA")</f>
        <v>629398</v>
      </c>
      <c r="M104" s="270">
        <f t="shared" si="28"/>
        <v>1070000</v>
      </c>
      <c r="N104" s="318">
        <f t="shared" si="29"/>
        <v>1.7000371783831534</v>
      </c>
      <c r="O104" s="270">
        <f>IFERROR(
INDEX('Admin - FEOR'!$A$4:$F$465,MATCH(Bérköltség!H104,'Admin - FEOR'!$A$4:$A$465,0),
IF(J104="30 év alatt",3,
IF(J104="30–39 éves",4,
IF(J104="40–49 éves",5,
IF(J104="50 év és afelett",6
)))))*1.5,"NA")</f>
        <v>944097</v>
      </c>
      <c r="P104" s="270">
        <f t="shared" si="30"/>
        <v>173627.03448275861</v>
      </c>
      <c r="Q104" s="270">
        <f t="shared" si="31"/>
        <v>196782</v>
      </c>
      <c r="R104" s="275">
        <f t="shared" si="32"/>
        <v>0.18390804597701149</v>
      </c>
      <c r="S104" s="270">
        <f t="shared" si="33"/>
        <v>23154.965517241391</v>
      </c>
      <c r="T104" s="270">
        <f t="shared" si="34"/>
        <v>3010.1455172413812</v>
      </c>
      <c r="U104" s="271">
        <f t="shared" si="35"/>
        <v>26165.111034482772</v>
      </c>
      <c r="V104" s="272">
        <f t="shared" si="36"/>
        <v>196198.88896551722</v>
      </c>
      <c r="W104" s="273" t="str">
        <f t="shared" si="37"/>
        <v>Indoklás szükséges mivel a FEOR: 170%</v>
      </c>
      <c r="X104" s="372">
        <f t="shared" si="38"/>
        <v>26165.111034482772</v>
      </c>
      <c r="Y104" s="317">
        <f t="shared" si="39"/>
        <v>173627</v>
      </c>
      <c r="Z104" s="317">
        <f t="shared" si="40"/>
        <v>22572</v>
      </c>
      <c r="AA104" s="12">
        <v>2</v>
      </c>
      <c r="AB104" s="274">
        <v>8405671307</v>
      </c>
      <c r="AC104" s="40" t="s">
        <v>215</v>
      </c>
      <c r="AD104" s="82" t="s">
        <v>75</v>
      </c>
      <c r="AE104" s="41" t="s">
        <v>52</v>
      </c>
      <c r="AF104" s="11" t="s">
        <v>159</v>
      </c>
      <c r="AG104" s="11" t="s">
        <v>211</v>
      </c>
      <c r="AH104" s="14" t="s">
        <v>122</v>
      </c>
      <c r="AI104" s="86" t="s">
        <v>26</v>
      </c>
      <c r="AJ104" s="113" t="str">
        <f>IF(COUNTIFS(Admin!$A$29:$A$40,AI104)&gt;0,Admin!$A$28,IF(COUNTIFS(Admin!$B$29:$B$40,AI104)&gt;0,Admin!$B$28,IF(COUNTIFS(Admin!$C$29:$C$40,AI104)&gt;0,Admin!$C$28,IF(COUNTIFS(Admin!$D$29:$D$40,AI104)&gt;0,Admin!$D$28,"-"))))</f>
        <v>2. mérföldkő</v>
      </c>
      <c r="AK104" s="14" t="s">
        <v>7</v>
      </c>
      <c r="AL104" s="9" t="s">
        <v>56</v>
      </c>
      <c r="AM104" s="131">
        <v>1070000</v>
      </c>
      <c r="AN104" s="132">
        <f t="shared" si="115"/>
        <v>139100</v>
      </c>
      <c r="AO104" s="121">
        <v>174</v>
      </c>
      <c r="AP104" s="121">
        <v>32</v>
      </c>
      <c r="AQ104" s="354">
        <f t="shared" si="182"/>
        <v>0.18390804597701149</v>
      </c>
      <c r="AR104" s="133">
        <f t="shared" si="214"/>
        <v>196782</v>
      </c>
      <c r="AS104" s="133">
        <f t="shared" si="184"/>
        <v>25582</v>
      </c>
      <c r="AT104" s="123">
        <f t="shared" si="185"/>
        <v>-3.6523794177956148E-7</v>
      </c>
      <c r="AU104" s="124">
        <v>0.13</v>
      </c>
      <c r="AV104" s="394" t="s">
        <v>2763</v>
      </c>
      <c r="AW104" s="15">
        <v>44858</v>
      </c>
      <c r="AX104" s="12" t="s">
        <v>206</v>
      </c>
      <c r="AZ104" s="1" t="s">
        <v>2667</v>
      </c>
      <c r="BA104" s="1" t="s">
        <v>2667</v>
      </c>
      <c r="BB104" s="1" t="s">
        <v>2667</v>
      </c>
      <c r="BC104" s="1" t="s">
        <v>2819</v>
      </c>
      <c r="BD104" s="1" t="str">
        <f t="shared" si="290"/>
        <v>Kutató_NK_5 - Kutató</v>
      </c>
    </row>
    <row r="105" spans="1:56" s="1" customFormat="1" hidden="1" x14ac:dyDescent="0.25">
      <c r="A105" s="264" t="str">
        <f>Bérköltség!$B105</f>
        <v>FEOR</v>
      </c>
      <c r="B105" s="264" t="str">
        <f>IFERROR(
IF(AND(Bérköltség!$F105="",H105="NA"),"HIÁNYOS ADATOK",
IF(Bérköltség!$F105&lt;Bérköltség!$U105,Admin!$B$18,Admin!$B$17)),
"")</f>
        <v>FEOR</v>
      </c>
      <c r="C105" s="265">
        <f>IFERROR(INDEX('Historikus berek_2021-2'!$A$1:$F$903,MATCH(AB105,'Historikus berek_2021-2'!$A$1:$A$903,0),4),"")</f>
        <v>786533.33333333337</v>
      </c>
      <c r="D105" s="279">
        <f t="shared" si="23"/>
        <v>144649.80842911877</v>
      </c>
      <c r="E105" s="265">
        <f t="shared" si="24"/>
        <v>195954</v>
      </c>
      <c r="F105" s="266">
        <f t="shared" si="25"/>
        <v>57973.736475095793</v>
      </c>
      <c r="G105" s="267">
        <f t="shared" si="26"/>
        <v>163454.2835249042</v>
      </c>
      <c r="H105" s="268">
        <f>IFERROR(INDEX('FEOR kodok'!$A$2:$J$1126,MATCH(Bérköltség!AB105,'FEOR kodok'!$B$2:$B$1126,0),8),"NA")</f>
        <v>2410</v>
      </c>
      <c r="I105" s="269">
        <f>IFERROR(INDEX('FEOR kodok'!$A$2:$J$1126,MATCH(Bérköltség!AB105,'FEOR kodok'!$B$2:$B$1126,0),10),"NA")</f>
        <v>45</v>
      </c>
      <c r="J105" s="276" t="str">
        <f t="shared" si="27"/>
        <v>40–49 éves</v>
      </c>
      <c r="K105" s="269" t="str">
        <f>IFERROR(INDEX(admin_feor[#All],MATCH(Bérköltség!H105,admin_feor[[#All],[Foglalkozás]],0),2),"NA")</f>
        <v>Egyetemi, főiskolai oktató, tanár</v>
      </c>
      <c r="L105" s="270">
        <f>IFERROR(
INDEX('Admin - FEOR'!$A$4:$F$465,MATCH(Bérköltség!H105,'Admin - FEOR'!$A$4:$A$465,0),
IF(J105="30 év alatt",3,
IF(J105="30–39 éves",4,
IF(J105="40–49 éves",5,
IF(J105="50 év és afelett",6
)))))*1,"NA")</f>
        <v>629398</v>
      </c>
      <c r="M105" s="270">
        <f t="shared" si="28"/>
        <v>1070000</v>
      </c>
      <c r="N105" s="318">
        <f t="shared" si="29"/>
        <v>1.7000371783831534</v>
      </c>
      <c r="O105" s="270">
        <f>IFERROR(
INDEX('Admin - FEOR'!$A$4:$F$465,MATCH(Bérköltség!H105,'Admin - FEOR'!$A$4:$A$465,0),
IF(J105="30 év alatt",3,
IF(J105="30–39 éves",4,
IF(J105="40–49 éves",5,
IF(J105="50 év és afelett",6
)))))*1.5,"NA")</f>
        <v>944097</v>
      </c>
      <c r="P105" s="270">
        <f t="shared" si="30"/>
        <v>173627.03448275861</v>
      </c>
      <c r="Q105" s="270">
        <f t="shared" si="31"/>
        <v>195954</v>
      </c>
      <c r="R105" s="275">
        <f t="shared" si="32"/>
        <v>0.18390804597701149</v>
      </c>
      <c r="S105" s="270">
        <f t="shared" si="33"/>
        <v>22326.965517241391</v>
      </c>
      <c r="T105" s="270">
        <f t="shared" si="34"/>
        <v>2902.5055172413809</v>
      </c>
      <c r="U105" s="271">
        <f t="shared" si="35"/>
        <v>25229.471034482773</v>
      </c>
      <c r="V105" s="272">
        <f t="shared" si="36"/>
        <v>196198.52896551724</v>
      </c>
      <c r="W105" s="273" t="str">
        <f t="shared" si="37"/>
        <v>Indoklás szükséges mivel a FEOR: 170%</v>
      </c>
      <c r="X105" s="372">
        <f t="shared" si="38"/>
        <v>25229.471034482773</v>
      </c>
      <c r="Y105" s="317">
        <f t="shared" si="39"/>
        <v>173627</v>
      </c>
      <c r="Z105" s="317">
        <f t="shared" si="40"/>
        <v>22572</v>
      </c>
      <c r="AA105" s="12">
        <v>2</v>
      </c>
      <c r="AB105" s="274">
        <v>8405671307</v>
      </c>
      <c r="AC105" s="40" t="s">
        <v>215</v>
      </c>
      <c r="AD105" s="82" t="s">
        <v>75</v>
      </c>
      <c r="AE105" s="41" t="s">
        <v>52</v>
      </c>
      <c r="AF105" s="11" t="s">
        <v>159</v>
      </c>
      <c r="AG105" s="11" t="s">
        <v>211</v>
      </c>
      <c r="AH105" s="14" t="s">
        <v>122</v>
      </c>
      <c r="AI105" s="86" t="s">
        <v>32</v>
      </c>
      <c r="AJ105" s="113" t="str">
        <f>IF(COUNTIFS(Admin!$A$29:$A$40,AI105)&gt;0,Admin!$A$28,IF(COUNTIFS(Admin!$B$29:$B$40,AI105)&gt;0,Admin!$B$28,IF(COUNTIFS(Admin!$C$29:$C$40,AI105)&gt;0,Admin!$C$28,IF(COUNTIFS(Admin!$D$29:$D$40,AI105)&gt;0,Admin!$D$28,"-"))))</f>
        <v>2. mérföldkő</v>
      </c>
      <c r="AK105" s="14" t="s">
        <v>7</v>
      </c>
      <c r="AL105" s="9" t="s">
        <v>56</v>
      </c>
      <c r="AM105" s="131">
        <v>1070000</v>
      </c>
      <c r="AN105" s="132">
        <f t="shared" si="115"/>
        <v>139100</v>
      </c>
      <c r="AO105" s="121">
        <v>174</v>
      </c>
      <c r="AP105" s="121">
        <v>32</v>
      </c>
      <c r="AQ105" s="354">
        <f t="shared" si="182"/>
        <v>0.18390804597701149</v>
      </c>
      <c r="AR105" s="133">
        <v>195954</v>
      </c>
      <c r="AS105" s="133">
        <f t="shared" si="184"/>
        <v>25474</v>
      </c>
      <c r="AT105" s="123">
        <f t="shared" si="185"/>
        <v>7.734665377591432E-4</v>
      </c>
      <c r="AU105" s="124">
        <v>0.13</v>
      </c>
      <c r="AV105" s="394" t="s">
        <v>2763</v>
      </c>
      <c r="AW105" s="15">
        <v>44936</v>
      </c>
      <c r="AX105" s="12" t="s">
        <v>206</v>
      </c>
      <c r="AZ105" s="1" t="s">
        <v>2667</v>
      </c>
      <c r="BA105" s="1">
        <v>0</v>
      </c>
      <c r="BB105" s="1">
        <v>0</v>
      </c>
      <c r="BC105" s="1" t="s">
        <v>2819</v>
      </c>
      <c r="BD105" s="1" t="str">
        <f t="shared" si="290"/>
        <v>Kutató_NK_5 - Kutató</v>
      </c>
    </row>
    <row r="106" spans="1:56" s="1" customFormat="1" hidden="1" x14ac:dyDescent="0.25">
      <c r="A106" s="264" t="str">
        <f>Bérköltség!$B106</f>
        <v>FEOR</v>
      </c>
      <c r="B106" s="264" t="str">
        <f>IFERROR(
IF(AND(Bérköltség!$F106="",H106="NA"),"HIÁNYOS ADATOK",
IF(Bérköltség!$F106&lt;Bérköltség!$U106,Admin!$B$18,Admin!$B$17)),
"")</f>
        <v>FEOR</v>
      </c>
      <c r="C106" s="265">
        <f>IFERROR(INDEX('Historikus berek_2021-2'!$A$1:$F$903,MATCH(AB106,'Historikus berek_2021-2'!$A$1:$A$903,0),4),"")</f>
        <v>786533.33333333337</v>
      </c>
      <c r="D106" s="279">
        <f t="shared" si="23"/>
        <v>144649.80842911877</v>
      </c>
      <c r="E106" s="265">
        <f t="shared" si="24"/>
        <v>195954</v>
      </c>
      <c r="F106" s="266">
        <f t="shared" si="25"/>
        <v>57973.736475095793</v>
      </c>
      <c r="G106" s="267">
        <f t="shared" si="26"/>
        <v>163454.2835249042</v>
      </c>
      <c r="H106" s="268">
        <f>IFERROR(INDEX('FEOR kodok'!$A$2:$J$1126,MATCH(Bérköltség!AB106,'FEOR kodok'!$B$2:$B$1126,0),8),"NA")</f>
        <v>2410</v>
      </c>
      <c r="I106" s="269">
        <f>IFERROR(INDEX('FEOR kodok'!$A$2:$J$1126,MATCH(Bérköltség!AB106,'FEOR kodok'!$B$2:$B$1126,0),10),"NA")</f>
        <v>45</v>
      </c>
      <c r="J106" s="276" t="str">
        <f t="shared" si="27"/>
        <v>40–49 éves</v>
      </c>
      <c r="K106" s="269" t="str">
        <f>IFERROR(INDEX(admin_feor[#All],MATCH(Bérköltség!H106,admin_feor[[#All],[Foglalkozás]],0),2),"NA")</f>
        <v>Egyetemi, főiskolai oktató, tanár</v>
      </c>
      <c r="L106" s="270">
        <f>IFERROR(
INDEX('Admin - FEOR'!$A$4:$F$465,MATCH(Bérköltség!H106,'Admin - FEOR'!$A$4:$A$465,0),
IF(J106="30 év alatt",3,
IF(J106="30–39 éves",4,
IF(J106="40–49 éves",5,
IF(J106="50 év és afelett",6
)))))*1,"NA")</f>
        <v>629398</v>
      </c>
      <c r="M106" s="270">
        <f t="shared" si="28"/>
        <v>1070000</v>
      </c>
      <c r="N106" s="318">
        <f t="shared" si="29"/>
        <v>1.7000371783831534</v>
      </c>
      <c r="O106" s="270">
        <f>IFERROR(
INDEX('Admin - FEOR'!$A$4:$F$465,MATCH(Bérköltség!H106,'Admin - FEOR'!$A$4:$A$465,0),
IF(J106="30 év alatt",3,
IF(J106="30–39 éves",4,
IF(J106="40–49 éves",5,
IF(J106="50 év és afelett",6
)))))*1.5,"NA")</f>
        <v>944097</v>
      </c>
      <c r="P106" s="270">
        <f t="shared" si="30"/>
        <v>173627.03448275861</v>
      </c>
      <c r="Q106" s="270">
        <f t="shared" si="31"/>
        <v>195954</v>
      </c>
      <c r="R106" s="275">
        <f t="shared" si="32"/>
        <v>0.18390804597701149</v>
      </c>
      <c r="S106" s="270">
        <f t="shared" si="33"/>
        <v>22326.965517241391</v>
      </c>
      <c r="T106" s="270">
        <f t="shared" si="34"/>
        <v>2902.5055172413809</v>
      </c>
      <c r="U106" s="271">
        <f t="shared" si="35"/>
        <v>25229.471034482773</v>
      </c>
      <c r="V106" s="272">
        <f t="shared" si="36"/>
        <v>196198.52896551724</v>
      </c>
      <c r="W106" s="273" t="str">
        <f t="shared" si="37"/>
        <v>Indoklás szükséges mivel a FEOR: 170%</v>
      </c>
      <c r="X106" s="372">
        <f t="shared" si="38"/>
        <v>25229.471034482773</v>
      </c>
      <c r="Y106" s="317">
        <f t="shared" si="39"/>
        <v>173627</v>
      </c>
      <c r="Z106" s="317">
        <f t="shared" si="40"/>
        <v>22572</v>
      </c>
      <c r="AA106" s="12">
        <v>2</v>
      </c>
      <c r="AB106" s="274">
        <v>8405671307</v>
      </c>
      <c r="AC106" s="40" t="s">
        <v>215</v>
      </c>
      <c r="AD106" s="82" t="s">
        <v>75</v>
      </c>
      <c r="AE106" s="41" t="s">
        <v>52</v>
      </c>
      <c r="AF106" s="11" t="s">
        <v>159</v>
      </c>
      <c r="AG106" s="11" t="s">
        <v>211</v>
      </c>
      <c r="AH106" s="14" t="s">
        <v>122</v>
      </c>
      <c r="AI106" s="86" t="s">
        <v>33</v>
      </c>
      <c r="AJ106" s="113" t="str">
        <f>IF(COUNTIFS(Admin!$A$29:$A$40,AI106)&gt;0,Admin!$A$28,IF(COUNTIFS(Admin!$B$29:$B$40,AI106)&gt;0,Admin!$B$28,IF(COUNTIFS(Admin!$C$29:$C$40,AI106)&gt;0,Admin!$C$28,IF(COUNTIFS(Admin!$D$29:$D$40,AI106)&gt;0,Admin!$D$28,"-"))))</f>
        <v>2. mérföldkő</v>
      </c>
      <c r="AK106" s="14" t="s">
        <v>7</v>
      </c>
      <c r="AL106" s="9" t="s">
        <v>56</v>
      </c>
      <c r="AM106" s="131">
        <v>1070000</v>
      </c>
      <c r="AN106" s="132">
        <f t="shared" si="115"/>
        <v>139100</v>
      </c>
      <c r="AO106" s="121">
        <v>174</v>
      </c>
      <c r="AP106" s="121">
        <v>32</v>
      </c>
      <c r="AQ106" s="354">
        <f t="shared" si="182"/>
        <v>0.18390804597701149</v>
      </c>
      <c r="AR106" s="133">
        <v>195954</v>
      </c>
      <c r="AS106" s="133">
        <f t="shared" si="184"/>
        <v>25474</v>
      </c>
      <c r="AT106" s="123">
        <f t="shared" si="185"/>
        <v>7.734665377591432E-4</v>
      </c>
      <c r="AU106" s="124">
        <v>0.13</v>
      </c>
      <c r="AV106" s="394" t="s">
        <v>2763</v>
      </c>
      <c r="AW106" s="15">
        <v>44936</v>
      </c>
      <c r="AX106" s="12" t="s">
        <v>206</v>
      </c>
      <c r="AZ106" s="8" t="str">
        <f>IF(VLOOKUP(LEFT($AB106,10),'Havi béradatok'!$B:$E,2,FALSE)=AG106,"EGYEZIK","HIBÁS")</f>
        <v>EGYEZIK</v>
      </c>
      <c r="BA106" s="1">
        <f>VLOOKUP(LEFT($AB106,10),'Havi béradatok'!$B:$E,3,FALSE)-AM106</f>
        <v>0</v>
      </c>
      <c r="BB106" s="1">
        <f>VLOOKUP(LEFT($AB106,10),'Havi béradatok'!$B:$E,4,FALSE)-AN106</f>
        <v>111280</v>
      </c>
      <c r="BC106" s="1" t="s">
        <v>2819</v>
      </c>
      <c r="BD106" s="1" t="str">
        <f t="shared" si="290"/>
        <v>Kutató_NK_5 - Kutató</v>
      </c>
    </row>
    <row r="107" spans="1:56" s="1" customFormat="1" hidden="1" x14ac:dyDescent="0.25">
      <c r="A107" s="264" t="str">
        <f>Bérköltség!$B107</f>
        <v>FEOR</v>
      </c>
      <c r="B107" s="264" t="str">
        <f>IFERROR(
IF(AND(Bérköltség!$F107="",H107="NA"),"HIÁNYOS ADATOK",
IF(Bérköltség!$F107&lt;Bérköltség!$U107,Admin!$B$18,Admin!$B$17)),
"")</f>
        <v>FEOR</v>
      </c>
      <c r="C107" s="265">
        <f>IFERROR(INDEX('Historikus berek_2021-2'!$A$1:$F$903,MATCH(AB107,'Historikus berek_2021-2'!$A$1:$A$903,0),4),"")</f>
        <v>786533.33333333337</v>
      </c>
      <c r="D107" s="279">
        <f t="shared" si="23"/>
        <v>144649.80842911877</v>
      </c>
      <c r="E107" s="265">
        <f t="shared" si="24"/>
        <v>195954</v>
      </c>
      <c r="F107" s="266">
        <f t="shared" si="25"/>
        <v>57973.736475095793</v>
      </c>
      <c r="G107" s="267">
        <f t="shared" si="26"/>
        <v>163454.2835249042</v>
      </c>
      <c r="H107" s="268">
        <f>IFERROR(INDEX('FEOR kodok'!$A$2:$J$1126,MATCH(Bérköltség!AB107,'FEOR kodok'!$B$2:$B$1126,0),8),"NA")</f>
        <v>2410</v>
      </c>
      <c r="I107" s="269">
        <f>IFERROR(INDEX('FEOR kodok'!$A$2:$J$1126,MATCH(Bérköltség!AB107,'FEOR kodok'!$B$2:$B$1126,0),10),"NA")</f>
        <v>45</v>
      </c>
      <c r="J107" s="276" t="str">
        <f t="shared" si="27"/>
        <v>40–49 éves</v>
      </c>
      <c r="K107" s="269" t="str">
        <f>IFERROR(INDEX(admin_feor[#All],MATCH(Bérköltség!H107,admin_feor[[#All],[Foglalkozás]],0),2),"NA")</f>
        <v>Egyetemi, főiskolai oktató, tanár</v>
      </c>
      <c r="L107" s="270">
        <f>IFERROR(
INDEX('Admin - FEOR'!$A$4:$F$465,MATCH(Bérköltség!H107,'Admin - FEOR'!$A$4:$A$465,0),
IF(J107="30 év alatt",3,
IF(J107="30–39 éves",4,
IF(J107="40–49 éves",5,
IF(J107="50 év és afelett",6
)))))*1,"NA")</f>
        <v>629398</v>
      </c>
      <c r="M107" s="270">
        <f t="shared" si="28"/>
        <v>1070000</v>
      </c>
      <c r="N107" s="318">
        <f t="shared" si="29"/>
        <v>1.7000371783831534</v>
      </c>
      <c r="O107" s="270">
        <f>IFERROR(
INDEX('Admin - FEOR'!$A$4:$F$465,MATCH(Bérköltség!H107,'Admin - FEOR'!$A$4:$A$465,0),
IF(J107="30 év alatt",3,
IF(J107="30–39 éves",4,
IF(J107="40–49 éves",5,
IF(J107="50 év és afelett",6
)))))*1.5,"NA")</f>
        <v>944097</v>
      </c>
      <c r="P107" s="270">
        <f t="shared" si="30"/>
        <v>173627.03448275861</v>
      </c>
      <c r="Q107" s="270">
        <f t="shared" si="31"/>
        <v>195954</v>
      </c>
      <c r="R107" s="275">
        <f t="shared" si="32"/>
        <v>0.18390804597701149</v>
      </c>
      <c r="S107" s="270">
        <f t="shared" si="33"/>
        <v>22326.965517241391</v>
      </c>
      <c r="T107" s="270">
        <f t="shared" si="34"/>
        <v>2902.5055172413809</v>
      </c>
      <c r="U107" s="271">
        <f t="shared" si="35"/>
        <v>25229.471034482773</v>
      </c>
      <c r="V107" s="272">
        <f t="shared" si="36"/>
        <v>196198.52896551724</v>
      </c>
      <c r="W107" s="273" t="str">
        <f t="shared" si="37"/>
        <v>Indoklás szükséges mivel a FEOR: 170%</v>
      </c>
      <c r="X107" s="372">
        <f t="shared" si="38"/>
        <v>25229.471034482773</v>
      </c>
      <c r="Y107" s="317">
        <f t="shared" si="39"/>
        <v>173627</v>
      </c>
      <c r="Z107" s="317">
        <f t="shared" si="40"/>
        <v>22572</v>
      </c>
      <c r="AA107" s="12">
        <v>2</v>
      </c>
      <c r="AB107" s="274">
        <v>8405671307</v>
      </c>
      <c r="AC107" s="40" t="s">
        <v>215</v>
      </c>
      <c r="AD107" s="82" t="s">
        <v>75</v>
      </c>
      <c r="AE107" s="41" t="s">
        <v>52</v>
      </c>
      <c r="AF107" s="11" t="s">
        <v>159</v>
      </c>
      <c r="AG107" s="11" t="s">
        <v>211</v>
      </c>
      <c r="AH107" s="14" t="s">
        <v>122</v>
      </c>
      <c r="AI107" s="86" t="s">
        <v>34</v>
      </c>
      <c r="AJ107" s="113" t="str">
        <f>IF(COUNTIFS(Admin!$A$29:$A$40,AI107)&gt;0,Admin!$A$28,IF(COUNTIFS(Admin!$B$29:$B$40,AI107)&gt;0,Admin!$B$28,IF(COUNTIFS(Admin!$C$29:$C$40,AI107)&gt;0,Admin!$C$28,IF(COUNTIFS(Admin!$D$29:$D$40,AI107)&gt;0,Admin!$D$28,"-"))))</f>
        <v>2. mérföldkő</v>
      </c>
      <c r="AK107" s="14" t="s">
        <v>7</v>
      </c>
      <c r="AL107" s="9" t="s">
        <v>56</v>
      </c>
      <c r="AM107" s="131">
        <v>1070000</v>
      </c>
      <c r="AN107" s="132">
        <f t="shared" si="115"/>
        <v>139100</v>
      </c>
      <c r="AO107" s="121">
        <v>174</v>
      </c>
      <c r="AP107" s="121">
        <v>32</v>
      </c>
      <c r="AQ107" s="354">
        <f t="shared" si="182"/>
        <v>0.18390804597701149</v>
      </c>
      <c r="AR107" s="133">
        <v>195954</v>
      </c>
      <c r="AS107" s="133">
        <f t="shared" si="184"/>
        <v>25474</v>
      </c>
      <c r="AT107" s="123">
        <f t="shared" si="185"/>
        <v>7.734665377591432E-4</v>
      </c>
      <c r="AU107" s="124">
        <v>0.13</v>
      </c>
      <c r="AV107" s="394" t="s">
        <v>2763</v>
      </c>
      <c r="AW107" s="15">
        <v>44936</v>
      </c>
      <c r="AX107" s="12" t="s">
        <v>206</v>
      </c>
      <c r="BC107" s="1" t="s">
        <v>2819</v>
      </c>
      <c r="BD107" s="1" t="str">
        <f t="shared" si="290"/>
        <v>Kutató_NK_5 - Kutató</v>
      </c>
    </row>
    <row r="108" spans="1:56" s="1" customFormat="1" x14ac:dyDescent="0.25">
      <c r="A108" s="264" t="str">
        <f>Bérköltség!$B108</f>
        <v>FEOR</v>
      </c>
      <c r="B108" s="264" t="str">
        <f>IFERROR(
IF(AND(Bérköltség!$F108="",H108="NA"),"HIÁNYOS ADATOK",
IF(Bérköltség!$F108&lt;Bérköltség!$U108,Admin!$B$18,Admin!$B$17)),
"")</f>
        <v>FEOR</v>
      </c>
      <c r="C108" s="265">
        <f>IFERROR(INDEX('Historikus berek_2021-2'!$A$1:$F$903,MATCH(AB108,'Historikus berek_2021-2'!$A$1:$A$903,0),4),"")</f>
        <v>786533.33333333337</v>
      </c>
      <c r="D108" s="279">
        <f t="shared" ref="D108:D110" si="291">IFERROR(C108*AQ108,"")</f>
        <v>144649.80842911877</v>
      </c>
      <c r="E108" s="265">
        <f t="shared" ref="E108:E110" si="292">AR108</f>
        <v>196782</v>
      </c>
      <c r="F108" s="266">
        <f t="shared" ref="F108:F110" si="293">IFERROR(IF((E108*(1+AU108)-D108*(1+AU108))&lt;0,0,(E108*(1+AU108)-D108*(1+AU108))),"")</f>
        <v>58909.376475095778</v>
      </c>
      <c r="G108" s="267">
        <f t="shared" ref="G108:G110" si="294">IFERROR((E108*(1+AU108)-F108),"")</f>
        <v>163454.2835249042</v>
      </c>
      <c r="H108" s="268">
        <f>IFERROR(INDEX('FEOR kodok'!$A$2:$J$1126,MATCH(Bérköltség!AB108,'FEOR kodok'!$B$2:$B$1126,0),8),"NA")</f>
        <v>2410</v>
      </c>
      <c r="I108" s="269">
        <f>IFERROR(INDEX('FEOR kodok'!$A$2:$J$1126,MATCH(Bérköltség!AB108,'FEOR kodok'!$B$2:$B$1126,0),10),"NA")</f>
        <v>45</v>
      </c>
      <c r="J108" s="276" t="str">
        <f t="shared" ref="J108:J110" si="295">IF(I108="NA","NA",
IF(I108&lt;30,"30 év alatt",
IF(AND(I108&gt;=30,I108&lt;=39),"30–39 éves",
IF(AND(I108&gt;=40,I108&lt;=49),"40–49 éves",
IF(I108&gt;=50,"50 év és afelett",
"")))))</f>
        <v>40–49 éves</v>
      </c>
      <c r="K108" s="269" t="str">
        <f>IFERROR(INDEX(admin_feor[#All],MATCH(Bérköltség!H108,admin_feor[[#All],[Foglalkozás]],0),2),"NA")</f>
        <v>Egyetemi, főiskolai oktató, tanár</v>
      </c>
      <c r="L108" s="270">
        <f>IFERROR(
INDEX('Admin - FEOR'!$A$4:$F$465,MATCH(Bérköltség!H108,'Admin - FEOR'!$A$4:$A$465,0),
IF(J108="30 év alatt",3,
IF(J108="30–39 éves",4,
IF(J108="40–49 éves",5,
IF(J108="50 év és afelett",6
)))))*1,"NA")</f>
        <v>629398</v>
      </c>
      <c r="M108" s="270">
        <f t="shared" ref="M108:M110" si="296">AM108</f>
        <v>1070000</v>
      </c>
      <c r="N108" s="318">
        <f t="shared" ref="N108:N110" si="297">IFERROR(
M108/L108,"NA")</f>
        <v>1.7000371783831534</v>
      </c>
      <c r="O108" s="270">
        <f>IFERROR(
INDEX('Admin - FEOR'!$A$4:$F$465,MATCH(Bérköltség!H108,'Admin - FEOR'!$A$4:$A$465,0),
IF(J108="30 év alatt",3,
IF(J108="30–39 éves",4,
IF(J108="40–49 éves",5,
IF(J108="50 év és afelett",6
)))))*1.5,"NA")</f>
        <v>944097</v>
      </c>
      <c r="P108" s="270">
        <f t="shared" ref="P108:P110" si="298">IFERROR(
AQ108*O108,"NA")</f>
        <v>173627.03448275861</v>
      </c>
      <c r="Q108" s="270">
        <f t="shared" ref="Q108:Q110" si="299">IFERROR(AR108,"")</f>
        <v>196782</v>
      </c>
      <c r="R108" s="275">
        <f t="shared" ref="R108:R110" si="300">IFERROR(AQ108,"")</f>
        <v>0.18390804597701149</v>
      </c>
      <c r="S108" s="270">
        <f t="shared" ref="S108:S110" si="301">IFERROR(
IF(AR108-P108&lt;0,0,AR108-P108),"NA")</f>
        <v>23154.965517241391</v>
      </c>
      <c r="T108" s="270">
        <f t="shared" ref="T108:T110" si="302">IFERROR(
S108*AU108,"NA")</f>
        <v>3010.1455172413812</v>
      </c>
      <c r="U108" s="271">
        <f t="shared" ref="U108:U110" si="303">IFERROR(
S108+T108,"NA")</f>
        <v>26165.111034482772</v>
      </c>
      <c r="V108" s="272">
        <f t="shared" ref="V108:V110" si="304">IFERROR(
IF(U108&gt;0,AR108+AS108-U108,AR108+AS108),"NA")</f>
        <v>196198.88896551722</v>
      </c>
      <c r="W108" s="273" t="str">
        <f t="shared" ref="W108:W110" si="305">IF(P108="NA","FEOR hiányzik",
IF(AND(N108&gt;1,A108="FEOR"),CONCATENATE("Indoklás szükséges mivel a FEOR: ",ROUND(N108*100,1),"%"),"Nem szükséges indoklás.")
)</f>
        <v>Indoklás szükséges mivel a FEOR: 170%</v>
      </c>
      <c r="X108" s="372">
        <f t="shared" ref="X108:X110" si="306">IF(A108="FEOR",U108,IF(A108="HIÁNYOS ADATOK","HIÁNYOS ADATOK",F108))</f>
        <v>26165.111034482772</v>
      </c>
      <c r="Y108" s="317">
        <f t="shared" ref="Y108:Y110" si="307">IF(A108="FEOR",ROUND((V108/(1+AU108)),0),IF(A108="HIÁNYOS ADATOK","HIÁNYOS ADATOK",ROUND(G108/(1+AU108),0)))</f>
        <v>173627</v>
      </c>
      <c r="Z108" s="317">
        <f t="shared" ref="Z108:Z110" si="308">IF(A108="FEOR",ROUND((V108-Y108),0),IF(A108="HIÁNYOS ADATOK","HIÁNYOS ADATOK",ROUND((G108-Y108),0)))</f>
        <v>22572</v>
      </c>
      <c r="AA108" s="36"/>
      <c r="AB108" s="274">
        <v>8405671307</v>
      </c>
      <c r="AC108" s="40" t="s">
        <v>215</v>
      </c>
      <c r="AD108" s="82" t="s">
        <v>75</v>
      </c>
      <c r="AE108" s="41" t="s">
        <v>52</v>
      </c>
      <c r="AF108" s="11" t="s">
        <v>159</v>
      </c>
      <c r="AG108" s="11" t="s">
        <v>211</v>
      </c>
      <c r="AH108" s="14" t="s">
        <v>122</v>
      </c>
      <c r="AI108" s="86" t="s">
        <v>35</v>
      </c>
      <c r="AJ108" s="113" t="str">
        <f>IF(COUNTIFS(Admin!$A$29:$A$40,AI108)&gt;0,Admin!$A$28,IF(COUNTIFS(Admin!$B$29:$B$40,AI108)&gt;0,Admin!$B$28,IF(COUNTIFS(Admin!$C$29:$C$40,AI108)&gt;0,Admin!$C$28,IF(COUNTIFS(Admin!$D$29:$D$40,AI108)&gt;0,Admin!$D$28,"-"))))</f>
        <v>3. mérföldkő</v>
      </c>
      <c r="AK108" s="14" t="s">
        <v>7</v>
      </c>
      <c r="AL108" s="9" t="s">
        <v>56</v>
      </c>
      <c r="AM108" s="131">
        <v>1070000</v>
      </c>
      <c r="AN108" s="132">
        <f t="shared" ref="AN108" si="309">IFERROR(ROUND(AM108*AU108,0),"")</f>
        <v>139100</v>
      </c>
      <c r="AO108" s="121">
        <v>174</v>
      </c>
      <c r="AP108" s="121">
        <v>32</v>
      </c>
      <c r="AQ108" s="354">
        <f t="shared" ref="AQ108" si="310">IFERROR(AP108/AO108,"")</f>
        <v>0.18390804597701149</v>
      </c>
      <c r="AR108" s="133">
        <f t="shared" ref="AR108" si="311">IFERROR(ROUND(AM108*AP108/AO108,0),"")</f>
        <v>196782</v>
      </c>
      <c r="AS108" s="133">
        <f t="shared" ref="AS108" si="312">IFERROR(ROUND(AR108*AU108,0),"")</f>
        <v>25582</v>
      </c>
      <c r="AT108" s="123">
        <f t="shared" ref="AT108" si="313">IFERROR(AP108/AO108-AR108/AM108,"")</f>
        <v>-3.6523794177956148E-7</v>
      </c>
      <c r="AU108" s="124">
        <v>0.13</v>
      </c>
      <c r="AV108" s="394" t="s">
        <v>2763</v>
      </c>
      <c r="AW108" s="15">
        <v>44995</v>
      </c>
      <c r="AX108" s="12" t="s">
        <v>206</v>
      </c>
      <c r="AZ108" s="1" t="str">
        <f>IF(VLOOKUP(LEFT($AB108,10),'Havi béradatok'!$B:$E,2,FALSE)=AG108,"EGYEZIK","HIBÁS")</f>
        <v>EGYEZIK</v>
      </c>
      <c r="BA108" s="1">
        <f>VLOOKUP(LEFT($AB108,10),'Havi béradatok'!$B:$E,3,FALSE)-AM108</f>
        <v>0</v>
      </c>
      <c r="BB108" s="391">
        <f>VLOOKUP(LEFT($AB108,10),'Havi béradatok'!$B:$E,4,FALSE)-AN108</f>
        <v>111280</v>
      </c>
      <c r="BC108" s="400" t="s">
        <v>2819</v>
      </c>
      <c r="BD108" s="400"/>
    </row>
    <row r="109" spans="1:56" s="1" customFormat="1" hidden="1" x14ac:dyDescent="0.25">
      <c r="A109" s="264" t="str">
        <f>Bérköltség!$B109</f>
        <v>FEOR</v>
      </c>
      <c r="B109" s="264" t="str">
        <f>IFERROR(
IF(AND(Bérköltség!$F109="",H109="NA"),"HIÁNYOS ADATOK",
IF(Bérköltség!$F109&lt;Bérköltség!$U109,Admin!$B$18,Admin!$B$17)),
"")</f>
        <v>FEOR</v>
      </c>
      <c r="C109" s="265">
        <f>IFERROR(INDEX('Historikus berek_2021-2'!$A$1:$F$903,MATCH(AB109,'Historikus berek_2021-2'!$A$1:$A$903,0),4),"")</f>
        <v>786533.33333333337</v>
      </c>
      <c r="D109" s="279">
        <f t="shared" si="291"/>
        <v>144649.80842911877</v>
      </c>
      <c r="E109" s="265">
        <f t="shared" si="292"/>
        <v>196782</v>
      </c>
      <c r="F109" s="266">
        <f t="shared" si="293"/>
        <v>58909.376475095778</v>
      </c>
      <c r="G109" s="267">
        <f t="shared" si="294"/>
        <v>163454.2835249042</v>
      </c>
      <c r="H109" s="268">
        <f>IFERROR(INDEX('FEOR kodok'!$A$2:$J$1126,MATCH(Bérköltség!AB109,'FEOR kodok'!$B$2:$B$1126,0),8),"NA")</f>
        <v>2410</v>
      </c>
      <c r="I109" s="269">
        <f>IFERROR(INDEX('FEOR kodok'!$A$2:$J$1126,MATCH(Bérköltség!AB109,'FEOR kodok'!$B$2:$B$1126,0),10),"NA")</f>
        <v>45</v>
      </c>
      <c r="J109" s="276" t="str">
        <f t="shared" si="295"/>
        <v>40–49 éves</v>
      </c>
      <c r="K109" s="269" t="str">
        <f>IFERROR(INDEX(admin_feor[#All],MATCH(Bérköltség!H109,admin_feor[[#All],[Foglalkozás]],0),2),"NA")</f>
        <v>Egyetemi, főiskolai oktató, tanár</v>
      </c>
      <c r="L109" s="270">
        <f>IFERROR(
INDEX('Admin - FEOR'!$A$4:$F$465,MATCH(Bérköltség!H109,'Admin - FEOR'!$A$4:$A$465,0),
IF(J109="30 év alatt",3,
IF(J109="30–39 éves",4,
IF(J109="40–49 éves",5,
IF(J109="50 év és afelett",6
)))))*1,"NA")</f>
        <v>629398</v>
      </c>
      <c r="M109" s="270">
        <f t="shared" si="296"/>
        <v>1070000</v>
      </c>
      <c r="N109" s="318">
        <f t="shared" si="297"/>
        <v>1.7000371783831534</v>
      </c>
      <c r="O109" s="270">
        <f>IFERROR(
INDEX('Admin - FEOR'!$A$4:$F$465,MATCH(Bérköltség!H109,'Admin - FEOR'!$A$4:$A$465,0),
IF(J109="30 év alatt",3,
IF(J109="30–39 éves",4,
IF(J109="40–49 éves",5,
IF(J109="50 év és afelett",6
)))))*1.5,"NA")</f>
        <v>944097</v>
      </c>
      <c r="P109" s="270">
        <f t="shared" si="298"/>
        <v>173627.03448275861</v>
      </c>
      <c r="Q109" s="270">
        <f t="shared" si="299"/>
        <v>196782</v>
      </c>
      <c r="R109" s="275">
        <f t="shared" si="300"/>
        <v>0.18390804597701149</v>
      </c>
      <c r="S109" s="270">
        <f t="shared" si="301"/>
        <v>23154.965517241391</v>
      </c>
      <c r="T109" s="270">
        <f t="shared" si="302"/>
        <v>3010.1455172413812</v>
      </c>
      <c r="U109" s="271">
        <f t="shared" si="303"/>
        <v>26165.111034482772</v>
      </c>
      <c r="V109" s="272">
        <f t="shared" si="304"/>
        <v>196198.88896551722</v>
      </c>
      <c r="W109" s="273" t="str">
        <f t="shared" si="305"/>
        <v>Indoklás szükséges mivel a FEOR: 170%</v>
      </c>
      <c r="X109" s="372">
        <f t="shared" si="306"/>
        <v>26165.111034482772</v>
      </c>
      <c r="Y109" s="317">
        <f t="shared" si="307"/>
        <v>173627</v>
      </c>
      <c r="Z109" s="317">
        <f t="shared" si="308"/>
        <v>22572</v>
      </c>
      <c r="AA109" s="36"/>
      <c r="AB109" s="274">
        <v>8405671307</v>
      </c>
      <c r="AC109" s="40" t="s">
        <v>215</v>
      </c>
      <c r="AD109" s="82" t="s">
        <v>75</v>
      </c>
      <c r="AE109" s="41" t="s">
        <v>52</v>
      </c>
      <c r="AF109" s="11" t="s">
        <v>159</v>
      </c>
      <c r="AG109" s="11" t="s">
        <v>211</v>
      </c>
      <c r="AH109" s="14" t="s">
        <v>122</v>
      </c>
      <c r="AI109" s="86" t="s">
        <v>36</v>
      </c>
      <c r="AJ109" s="113" t="str">
        <f>IF(COUNTIFS(Admin!$A$29:$A$40,AI109)&gt;0,Admin!$A$28,IF(COUNTIFS(Admin!$B$29:$B$40,AI109)&gt;0,Admin!$B$28,IF(COUNTIFS(Admin!$C$29:$C$40,AI109)&gt;0,Admin!$C$28,IF(COUNTIFS(Admin!$D$29:$D$40,AI109)&gt;0,Admin!$D$28,"-"))))</f>
        <v>3. mérföldkő</v>
      </c>
      <c r="AK109" s="14" t="s">
        <v>141</v>
      </c>
      <c r="AL109" s="9" t="s">
        <v>56</v>
      </c>
      <c r="AM109" s="131">
        <v>1070000</v>
      </c>
      <c r="AN109" s="132">
        <f t="shared" ref="AN109:AN110" si="314">IFERROR(ROUND(AM109*AU109,0),"")</f>
        <v>139100</v>
      </c>
      <c r="AO109" s="121">
        <v>174</v>
      </c>
      <c r="AP109" s="121">
        <v>32</v>
      </c>
      <c r="AQ109" s="354">
        <f t="shared" ref="AQ109:AQ110" si="315">IFERROR(AP109/AO109,"")</f>
        <v>0.18390804597701149</v>
      </c>
      <c r="AR109" s="133">
        <f t="shared" ref="AR109:AR110" si="316">IFERROR(ROUND(AM109*AP109/AO109,0),"")</f>
        <v>196782</v>
      </c>
      <c r="AS109" s="133">
        <f t="shared" ref="AS109:AS110" si="317">IFERROR(ROUND(AR109*AU109,0),"")</f>
        <v>25582</v>
      </c>
      <c r="AT109" s="123">
        <f t="shared" ref="AT109:AT110" si="318">IFERROR(AP109/AO109-AR109/AM109,"")</f>
        <v>-3.6523794177956148E-7</v>
      </c>
      <c r="AU109" s="124">
        <v>0.13</v>
      </c>
      <c r="AV109" s="394" t="s">
        <v>2763</v>
      </c>
      <c r="AW109" s="15">
        <v>44995</v>
      </c>
      <c r="AX109" s="12" t="s">
        <v>206</v>
      </c>
      <c r="BC109" s="1" t="s">
        <v>2819</v>
      </c>
    </row>
    <row r="110" spans="1:56" s="1" customFormat="1" hidden="1" x14ac:dyDescent="0.25">
      <c r="A110" s="264" t="str">
        <f>Bérköltség!$B110</f>
        <v>FEOR</v>
      </c>
      <c r="B110" s="264" t="str">
        <f>IFERROR(
IF(AND(Bérköltség!$F110="",H110="NA"),"HIÁNYOS ADATOK",
IF(Bérköltség!$F110&lt;Bérköltség!$U110,Admin!$B$18,Admin!$B$17)),
"")</f>
        <v>FEOR</v>
      </c>
      <c r="C110" s="265">
        <f>IFERROR(INDEX('Historikus berek_2021-2'!$A$1:$F$903,MATCH(AB110,'Historikus berek_2021-2'!$A$1:$A$903,0),4),"")</f>
        <v>786533.33333333337</v>
      </c>
      <c r="D110" s="279">
        <f t="shared" si="291"/>
        <v>144649.80842911877</v>
      </c>
      <c r="E110" s="265">
        <f t="shared" si="292"/>
        <v>196782</v>
      </c>
      <c r="F110" s="266">
        <f t="shared" si="293"/>
        <v>58909.376475095778</v>
      </c>
      <c r="G110" s="267">
        <f t="shared" si="294"/>
        <v>163454.2835249042</v>
      </c>
      <c r="H110" s="268">
        <f>IFERROR(INDEX('FEOR kodok'!$A$2:$J$1126,MATCH(Bérköltség!AB110,'FEOR kodok'!$B$2:$B$1126,0),8),"NA")</f>
        <v>2410</v>
      </c>
      <c r="I110" s="269">
        <f>IFERROR(INDEX('FEOR kodok'!$A$2:$J$1126,MATCH(Bérköltség!AB110,'FEOR kodok'!$B$2:$B$1126,0),10),"NA")</f>
        <v>45</v>
      </c>
      <c r="J110" s="276" t="str">
        <f t="shared" si="295"/>
        <v>40–49 éves</v>
      </c>
      <c r="K110" s="269" t="str">
        <f>IFERROR(INDEX(admin_feor[#All],MATCH(Bérköltség!H110,admin_feor[[#All],[Foglalkozás]],0),2),"NA")</f>
        <v>Egyetemi, főiskolai oktató, tanár</v>
      </c>
      <c r="L110" s="270">
        <f>IFERROR(
INDEX('Admin - FEOR'!$A$4:$F$465,MATCH(Bérköltség!H110,'Admin - FEOR'!$A$4:$A$465,0),
IF(J110="30 év alatt",3,
IF(J110="30–39 éves",4,
IF(J110="40–49 éves",5,
IF(J110="50 év és afelett",6
)))))*1,"NA")</f>
        <v>629398</v>
      </c>
      <c r="M110" s="270">
        <f t="shared" si="296"/>
        <v>1070000</v>
      </c>
      <c r="N110" s="318">
        <f t="shared" si="297"/>
        <v>1.7000371783831534</v>
      </c>
      <c r="O110" s="270">
        <f>IFERROR(
INDEX('Admin - FEOR'!$A$4:$F$465,MATCH(Bérköltség!H110,'Admin - FEOR'!$A$4:$A$465,0),
IF(J110="30 év alatt",3,
IF(J110="30–39 éves",4,
IF(J110="40–49 éves",5,
IF(J110="50 év és afelett",6
)))))*1.5,"NA")</f>
        <v>944097</v>
      </c>
      <c r="P110" s="270">
        <f t="shared" si="298"/>
        <v>173627.03448275861</v>
      </c>
      <c r="Q110" s="270">
        <f t="shared" si="299"/>
        <v>196782</v>
      </c>
      <c r="R110" s="275">
        <f t="shared" si="300"/>
        <v>0.18390804597701149</v>
      </c>
      <c r="S110" s="270">
        <f t="shared" si="301"/>
        <v>23154.965517241391</v>
      </c>
      <c r="T110" s="270">
        <f t="shared" si="302"/>
        <v>3010.1455172413812</v>
      </c>
      <c r="U110" s="271">
        <f t="shared" si="303"/>
        <v>26165.111034482772</v>
      </c>
      <c r="V110" s="272">
        <f t="shared" si="304"/>
        <v>196198.88896551722</v>
      </c>
      <c r="W110" s="273" t="str">
        <f t="shared" si="305"/>
        <v>Indoklás szükséges mivel a FEOR: 170%</v>
      </c>
      <c r="X110" s="372">
        <f t="shared" si="306"/>
        <v>26165.111034482772</v>
      </c>
      <c r="Y110" s="317">
        <f t="shared" si="307"/>
        <v>173627</v>
      </c>
      <c r="Z110" s="317">
        <f t="shared" si="308"/>
        <v>22572</v>
      </c>
      <c r="AA110" s="36"/>
      <c r="AB110" s="274">
        <v>8405671307</v>
      </c>
      <c r="AC110" s="40" t="s">
        <v>215</v>
      </c>
      <c r="AD110" s="82" t="s">
        <v>75</v>
      </c>
      <c r="AE110" s="41" t="s">
        <v>52</v>
      </c>
      <c r="AF110" s="11" t="s">
        <v>159</v>
      </c>
      <c r="AG110" s="11" t="s">
        <v>211</v>
      </c>
      <c r="AH110" s="14" t="s">
        <v>122</v>
      </c>
      <c r="AI110" s="86" t="s">
        <v>37</v>
      </c>
      <c r="AJ110" s="113" t="str">
        <f>IF(COUNTIFS(Admin!$A$29:$A$40,AI110)&gt;0,Admin!$A$28,IF(COUNTIFS(Admin!$B$29:$B$40,AI110)&gt;0,Admin!$B$28,IF(COUNTIFS(Admin!$C$29:$C$40,AI110)&gt;0,Admin!$C$28,IF(COUNTIFS(Admin!$D$29:$D$40,AI110)&gt;0,Admin!$D$28,"-"))))</f>
        <v>3. mérföldkő</v>
      </c>
      <c r="AK110" s="14" t="s">
        <v>141</v>
      </c>
      <c r="AL110" s="9" t="s">
        <v>56</v>
      </c>
      <c r="AM110" s="131">
        <v>1070000</v>
      </c>
      <c r="AN110" s="132">
        <f t="shared" si="314"/>
        <v>139100</v>
      </c>
      <c r="AO110" s="121">
        <v>174</v>
      </c>
      <c r="AP110" s="121">
        <v>32</v>
      </c>
      <c r="AQ110" s="354">
        <f t="shared" si="315"/>
        <v>0.18390804597701149</v>
      </c>
      <c r="AR110" s="133">
        <f t="shared" si="316"/>
        <v>196782</v>
      </c>
      <c r="AS110" s="133">
        <f t="shared" si="317"/>
        <v>25582</v>
      </c>
      <c r="AT110" s="123">
        <f t="shared" si="318"/>
        <v>-3.6523794177956148E-7</v>
      </c>
      <c r="AU110" s="124">
        <v>0.13</v>
      </c>
      <c r="AV110" s="394" t="s">
        <v>2763</v>
      </c>
      <c r="AW110" s="15">
        <v>44995</v>
      </c>
      <c r="AX110" s="12" t="s">
        <v>206</v>
      </c>
      <c r="BC110" s="1" t="s">
        <v>2819</v>
      </c>
    </row>
    <row r="111" spans="1:56" s="1" customFormat="1" hidden="1" x14ac:dyDescent="0.25">
      <c r="A111" s="264" t="str">
        <f>Bérköltség!$B111</f>
        <v>FEOR</v>
      </c>
      <c r="B111" s="264" t="str">
        <f>IFERROR(
IF(AND(Bérköltség!$F111="",H111="NA"),"HIÁNYOS ADATOK",
IF(Bérköltség!$F111&lt;Bérköltség!$U111,Admin!$B$18,Admin!$B$17)),
"")</f>
        <v>FEOR</v>
      </c>
      <c r="C111" s="265">
        <f>IFERROR(INDEX('Historikus berek_2021-2'!$A$1:$F$903,MATCH(AB111,'Historikus berek_2021-2'!$A$1:$A$903,0),4),"")</f>
        <v>867000</v>
      </c>
      <c r="D111" s="279">
        <f t="shared" si="23"/>
        <v>318896.55172413791</v>
      </c>
      <c r="E111" s="265">
        <f t="shared" si="24"/>
        <v>398197</v>
      </c>
      <c r="F111" s="266">
        <f t="shared" si="25"/>
        <v>89609.50655172416</v>
      </c>
      <c r="G111" s="267">
        <f t="shared" si="26"/>
        <v>360353.10344827583</v>
      </c>
      <c r="H111" s="268">
        <f>IFERROR(INDEX('FEOR kodok'!$A$2:$J$1126,MATCH(Bérköltség!AB111,'FEOR kodok'!$B$2:$B$1126,0),8),"NA")</f>
        <v>2142</v>
      </c>
      <c r="I111" s="269">
        <f>IFERROR(INDEX('FEOR kodok'!$A$2:$J$1126,MATCH(Bérköltség!AB111,'FEOR kodok'!$B$2:$B$1126,0),10),"NA")</f>
        <v>50</v>
      </c>
      <c r="J111" s="276" t="str">
        <f t="shared" si="27"/>
        <v>50 év és afelett</v>
      </c>
      <c r="K111" s="269" t="str">
        <f>IFERROR(INDEX(admin_feor[#All],MATCH(Bérköltség!H111,admin_feor[[#All],[Foglalkozás]],0),2),"NA")</f>
        <v>Szoftverfejlesztő</v>
      </c>
      <c r="L111" s="270">
        <f>IFERROR(
INDEX('Admin - FEOR'!$A$4:$F$465,MATCH(Bérköltség!H111,'Admin - FEOR'!$A$4:$A$465,0),
IF(J111="30 év alatt",3,
IF(J111="30–39 éves",4,
IF(J111="40–49 éves",5,
IF(J111="50 év és afelett",6
)))))*1,"NA")</f>
        <v>929299</v>
      </c>
      <c r="M111" s="270">
        <f t="shared" si="28"/>
        <v>1082599</v>
      </c>
      <c r="N111" s="318">
        <f t="shared" si="29"/>
        <v>1.1649630527957096</v>
      </c>
      <c r="O111" s="270">
        <f>IFERROR(
INDEX('Admin - FEOR'!$A$4:$F$465,MATCH(Bérköltség!H111,'Admin - FEOR'!$A$4:$A$465,0),
IF(J111="30 év alatt",3,
IF(J111="30–39 éves",4,
IF(J111="40–49 éves",5,
IF(J111="50 év és afelett",6
)))))*1.5,"NA")</f>
        <v>1393948.5</v>
      </c>
      <c r="P111" s="270">
        <f t="shared" si="30"/>
        <v>512716.68965517241</v>
      </c>
      <c r="Q111" s="270">
        <f t="shared" si="31"/>
        <v>398197</v>
      </c>
      <c r="R111" s="275">
        <f t="shared" si="32"/>
        <v>0.36781609195402298</v>
      </c>
      <c r="S111" s="270">
        <f t="shared" si="33"/>
        <v>0</v>
      </c>
      <c r="T111" s="270">
        <f t="shared" si="34"/>
        <v>0</v>
      </c>
      <c r="U111" s="271">
        <f t="shared" si="35"/>
        <v>0</v>
      </c>
      <c r="V111" s="272">
        <f t="shared" si="36"/>
        <v>449963</v>
      </c>
      <c r="W111" s="273" t="str">
        <f t="shared" si="37"/>
        <v>Indoklás szükséges mivel a FEOR: 116,5%</v>
      </c>
      <c r="X111" s="372">
        <f t="shared" si="38"/>
        <v>0</v>
      </c>
      <c r="Y111" s="317">
        <f t="shared" si="39"/>
        <v>398197</v>
      </c>
      <c r="Z111" s="317">
        <f t="shared" si="40"/>
        <v>51766</v>
      </c>
      <c r="AA111" s="12">
        <v>2</v>
      </c>
      <c r="AB111" s="274">
        <v>8388423770</v>
      </c>
      <c r="AC111" s="40" t="s">
        <v>966</v>
      </c>
      <c r="AD111" s="82" t="s">
        <v>75</v>
      </c>
      <c r="AE111" s="41" t="s">
        <v>52</v>
      </c>
      <c r="AF111" s="11" t="s">
        <v>159</v>
      </c>
      <c r="AG111" s="11" t="s">
        <v>2666</v>
      </c>
      <c r="AH111" s="14" t="s">
        <v>122</v>
      </c>
      <c r="AI111" s="86" t="s">
        <v>34</v>
      </c>
      <c r="AJ111" s="113" t="str">
        <f>IF(COUNTIFS(Admin!$A$29:$A$40,AI111)&gt;0,Admin!$A$28,IF(COUNTIFS(Admin!$B$29:$B$40,AI111)&gt;0,Admin!$B$28,IF(COUNTIFS(Admin!$C$29:$C$40,AI111)&gt;0,Admin!$C$28,IF(COUNTIFS(Admin!$D$29:$D$40,AI111)&gt;0,Admin!$D$28,"-"))))</f>
        <v>2. mérföldkő</v>
      </c>
      <c r="AK111" s="14" t="s">
        <v>7</v>
      </c>
      <c r="AL111" s="9" t="s">
        <v>56</v>
      </c>
      <c r="AM111" s="131">
        <v>1082599</v>
      </c>
      <c r="AN111" s="132">
        <f t="shared" si="115"/>
        <v>140738</v>
      </c>
      <c r="AO111" s="121">
        <v>174</v>
      </c>
      <c r="AP111" s="121">
        <v>64</v>
      </c>
      <c r="AQ111" s="354">
        <f t="shared" si="182"/>
        <v>0.36781609195402298</v>
      </c>
      <c r="AR111" s="133">
        <f t="shared" ref="AR111:AR114" si="319">IFERROR(ROUND(AM111*AP111/AO111,0),"")</f>
        <v>398197</v>
      </c>
      <c r="AS111" s="133">
        <f t="shared" si="184"/>
        <v>51766</v>
      </c>
      <c r="AT111" s="123">
        <f t="shared" si="185"/>
        <v>3.0790101718247698E-7</v>
      </c>
      <c r="AU111" s="124">
        <v>0.13</v>
      </c>
      <c r="AV111" s="394" t="s">
        <v>2764</v>
      </c>
      <c r="AW111" s="15">
        <v>44967</v>
      </c>
      <c r="AX111" s="12" t="s">
        <v>206</v>
      </c>
      <c r="BC111" s="1" t="s">
        <v>2820</v>
      </c>
      <c r="BD111" s="1" t="str">
        <f>CONCATENATE(BC111," - ",AE111)</f>
        <v>Kutató_NK_9 - Kutató</v>
      </c>
    </row>
    <row r="112" spans="1:56" s="1" customFormat="1" x14ac:dyDescent="0.25">
      <c r="A112" s="264" t="str">
        <f>Bérköltség!$B112</f>
        <v>HIÁNYOS ADATOK</v>
      </c>
      <c r="B112" s="264" t="str">
        <f>IFERROR(
IF(AND(Bérköltség!$F112="",H112="NA"),"HIÁNYOS ADATOK",
IF(Bérköltség!$F112&lt;Bérköltség!$U112,Admin!$B$18,Admin!$B$17)),
"")</f>
        <v>HIÁNYOS ADATOK</v>
      </c>
      <c r="C112" s="265" t="str">
        <f>IFERROR(INDEX('Historikus berek_2021-2'!$A$1:$F$903,MATCH(AB112,'Historikus berek_2021-2'!$A$1:$A$903,0),4),"")</f>
        <v/>
      </c>
      <c r="D112" s="279" t="str">
        <f t="shared" si="23"/>
        <v/>
      </c>
      <c r="E112" s="265">
        <f t="shared" si="24"/>
        <v>398198</v>
      </c>
      <c r="F112" s="266" t="str">
        <f t="shared" si="25"/>
        <v/>
      </c>
      <c r="G112" s="267" t="str">
        <f t="shared" si="26"/>
        <v/>
      </c>
      <c r="H112" s="268" t="str">
        <f>IFERROR(INDEX('FEOR kodok'!$A$2:$J$1126,MATCH(Bérköltség!AB112,'FEOR kodok'!$B$2:$B$1126,0),8),"NA")</f>
        <v>NA</v>
      </c>
      <c r="I112" s="269" t="str">
        <f>IFERROR(INDEX('FEOR kodok'!$A$2:$J$1126,MATCH(Bérköltség!AB112,'FEOR kodok'!$B$2:$B$1126,0),10),"NA")</f>
        <v>NA</v>
      </c>
      <c r="J112" s="276" t="str">
        <f t="shared" si="27"/>
        <v>NA</v>
      </c>
      <c r="K112" s="269" t="str">
        <f>IFERROR(INDEX(admin_feor[#All],MATCH(Bérköltség!H112,admin_feor[[#All],[Foglalkozás]],0),2),"NA")</f>
        <v>NA</v>
      </c>
      <c r="L112" s="270" t="str">
        <f>IFERROR(
INDEX('Admin - FEOR'!$A$4:$F$465,MATCH(Bérköltség!H112,'Admin - FEOR'!$A$4:$A$465,0),
IF(J112="30 év alatt",3,
IF(J112="30–39 éves",4,
IF(J112="40–49 éves",5,
IF(J112="50 év és afelett",6
)))))*1,"NA")</f>
        <v>NA</v>
      </c>
      <c r="M112" s="270">
        <f t="shared" si="28"/>
        <v>1082600</v>
      </c>
      <c r="N112" s="318" t="str">
        <f t="shared" si="29"/>
        <v>NA</v>
      </c>
      <c r="O112" s="270" t="str">
        <f>IFERROR(
INDEX('Admin - FEOR'!$A$4:$F$465,MATCH(Bérköltség!H112,'Admin - FEOR'!$A$4:$A$465,0),
IF(J112="30 év alatt",3,
IF(J112="30–39 éves",4,
IF(J112="40–49 éves",5,
IF(J112="50 év és afelett",6
)))))*1.5,"NA")</f>
        <v>NA</v>
      </c>
      <c r="P112" s="270" t="str">
        <f t="shared" si="30"/>
        <v>NA</v>
      </c>
      <c r="Q112" s="270">
        <f t="shared" si="31"/>
        <v>398198</v>
      </c>
      <c r="R112" s="275">
        <f t="shared" si="32"/>
        <v>0.36781609195402298</v>
      </c>
      <c r="S112" s="270" t="str">
        <f t="shared" si="33"/>
        <v>NA</v>
      </c>
      <c r="T112" s="270" t="str">
        <f t="shared" si="34"/>
        <v>NA</v>
      </c>
      <c r="U112" s="271" t="str">
        <f t="shared" si="35"/>
        <v>NA</v>
      </c>
      <c r="V112" s="272" t="str">
        <f t="shared" si="36"/>
        <v>NA</v>
      </c>
      <c r="W112" s="273" t="str">
        <f t="shared" si="37"/>
        <v>FEOR hiányzik</v>
      </c>
      <c r="X112" s="372" t="str">
        <f t="shared" si="38"/>
        <v>HIÁNYOS ADATOK</v>
      </c>
      <c r="Y112" s="317" t="str">
        <f t="shared" si="39"/>
        <v>HIÁNYOS ADATOK</v>
      </c>
      <c r="Z112" s="317" t="str">
        <f t="shared" si="40"/>
        <v>HIÁNYOS ADATOK</v>
      </c>
      <c r="AA112" s="36"/>
      <c r="AB112" s="274"/>
      <c r="AC112" s="40" t="s">
        <v>966</v>
      </c>
      <c r="AD112" s="82" t="s">
        <v>75</v>
      </c>
      <c r="AE112" s="41" t="s">
        <v>52</v>
      </c>
      <c r="AF112" s="11" t="s">
        <v>159</v>
      </c>
      <c r="AG112" s="11" t="s">
        <v>2666</v>
      </c>
      <c r="AH112" s="14" t="s">
        <v>122</v>
      </c>
      <c r="AI112" s="86" t="s">
        <v>35</v>
      </c>
      <c r="AJ112" s="113" t="str">
        <f>IF(COUNTIFS(Admin!$A$29:$A$40,AI112)&gt;0,Admin!$A$28,IF(COUNTIFS(Admin!$B$29:$B$40,AI112)&gt;0,Admin!$B$28,IF(COUNTIFS(Admin!$C$29:$C$40,AI112)&gt;0,Admin!$C$28,IF(COUNTIFS(Admin!$D$29:$D$40,AI112)&gt;0,Admin!$D$28,"-"))))</f>
        <v>3. mérföldkő</v>
      </c>
      <c r="AK112" s="14" t="s">
        <v>7</v>
      </c>
      <c r="AL112" s="9" t="s">
        <v>56</v>
      </c>
      <c r="AM112" s="131">
        <v>1082600</v>
      </c>
      <c r="AN112" s="132">
        <f t="shared" si="115"/>
        <v>140738</v>
      </c>
      <c r="AO112" s="121">
        <v>174</v>
      </c>
      <c r="AP112" s="121">
        <v>64</v>
      </c>
      <c r="AQ112" s="354">
        <f t="shared" si="182"/>
        <v>0.36781609195402298</v>
      </c>
      <c r="AR112" s="133">
        <f t="shared" si="319"/>
        <v>398198</v>
      </c>
      <c r="AS112" s="133">
        <f t="shared" si="184"/>
        <v>51766</v>
      </c>
      <c r="AT112" s="123">
        <f t="shared" si="185"/>
        <v>-2.7604893287902499E-7</v>
      </c>
      <c r="AU112" s="124">
        <v>0.13</v>
      </c>
      <c r="AV112" s="394" t="s">
        <v>2764</v>
      </c>
      <c r="AW112" s="15">
        <v>44967</v>
      </c>
      <c r="AX112" s="12" t="s">
        <v>206</v>
      </c>
      <c r="AZ112" s="1" t="e">
        <f>IF(VLOOKUP(LEFT($AB112,10),'Havi béradatok'!$B:$E,2,FALSE)=AG112,"EGYEZIK","HIBÁS")</f>
        <v>#N/A</v>
      </c>
      <c r="BA112" s="1" t="e">
        <f>VLOOKUP(LEFT($AB112,10),'Havi béradatok'!$B:$E,3,FALSE)-AM112</f>
        <v>#N/A</v>
      </c>
      <c r="BB112" s="391" t="e">
        <f>VLOOKUP(LEFT($AB112,10),'Havi béradatok'!$B:$E,4,FALSE)-AN112</f>
        <v>#N/A</v>
      </c>
      <c r="BC112" s="400" t="s">
        <v>2820</v>
      </c>
      <c r="BD112" s="400"/>
    </row>
    <row r="113" spans="1:56" s="1" customFormat="1" hidden="1" x14ac:dyDescent="0.25">
      <c r="A113" s="264" t="str">
        <f>Bérköltség!$B113</f>
        <v>FEOR</v>
      </c>
      <c r="B113" s="264" t="str">
        <f>IFERROR(
IF(AND(Bérköltség!$F113="",H113="NA"),"HIÁNYOS ADATOK",
IF(Bérköltség!$F113&lt;Bérköltség!$U113,Admin!$B$18,Admin!$B$17)),
"")</f>
        <v>FEOR</v>
      </c>
      <c r="C113" s="265">
        <f>IFERROR(INDEX('Historikus berek_2021-2'!$A$1:$F$903,MATCH(AB113,'Historikus berek_2021-2'!$A$1:$A$903,0),4),"")</f>
        <v>867000</v>
      </c>
      <c r="D113" s="279">
        <f t="shared" si="23"/>
        <v>318896.55172413791</v>
      </c>
      <c r="E113" s="265">
        <f t="shared" si="24"/>
        <v>398198</v>
      </c>
      <c r="F113" s="266">
        <f t="shared" si="25"/>
        <v>89610.636551724107</v>
      </c>
      <c r="G113" s="267">
        <f t="shared" si="26"/>
        <v>360353.10344827583</v>
      </c>
      <c r="H113" s="268">
        <f>IFERROR(INDEX('FEOR kodok'!$A$2:$J$1126,MATCH(Bérköltség!AB113,'FEOR kodok'!$B$2:$B$1126,0),8),"NA")</f>
        <v>2142</v>
      </c>
      <c r="I113" s="269">
        <f>IFERROR(INDEX('FEOR kodok'!$A$2:$J$1126,MATCH(Bérköltség!AB113,'FEOR kodok'!$B$2:$B$1126,0),10),"NA")</f>
        <v>50</v>
      </c>
      <c r="J113" s="276" t="str">
        <f t="shared" si="27"/>
        <v>50 év és afelett</v>
      </c>
      <c r="K113" s="269" t="str">
        <f>IFERROR(INDEX(admin_feor[#All],MATCH(Bérköltség!H113,admin_feor[[#All],[Foglalkozás]],0),2),"NA")</f>
        <v>Szoftverfejlesztő</v>
      </c>
      <c r="L113" s="270">
        <f>IFERROR(
INDEX('Admin - FEOR'!$A$4:$F$465,MATCH(Bérköltség!H113,'Admin - FEOR'!$A$4:$A$465,0),
IF(J113="30 év alatt",3,
IF(J113="30–39 éves",4,
IF(J113="40–49 éves",5,
IF(J113="50 év és afelett",6
)))))*1,"NA")</f>
        <v>929299</v>
      </c>
      <c r="M113" s="270">
        <f t="shared" si="28"/>
        <v>1082600</v>
      </c>
      <c r="N113" s="318">
        <f t="shared" si="29"/>
        <v>1.1649641288756363</v>
      </c>
      <c r="O113" s="270">
        <f>IFERROR(
INDEX('Admin - FEOR'!$A$4:$F$465,MATCH(Bérköltség!H113,'Admin - FEOR'!$A$4:$A$465,0),
IF(J113="30 év alatt",3,
IF(J113="30–39 éves",4,
IF(J113="40–49 éves",5,
IF(J113="50 év és afelett",6
)))))*1.5,"NA")</f>
        <v>1393948.5</v>
      </c>
      <c r="P113" s="270">
        <f t="shared" si="30"/>
        <v>512716.68965517241</v>
      </c>
      <c r="Q113" s="270">
        <f t="shared" si="31"/>
        <v>398198</v>
      </c>
      <c r="R113" s="275">
        <f t="shared" si="32"/>
        <v>0.36781609195402298</v>
      </c>
      <c r="S113" s="270">
        <f t="shared" si="33"/>
        <v>0</v>
      </c>
      <c r="T113" s="270">
        <f t="shared" si="34"/>
        <v>0</v>
      </c>
      <c r="U113" s="271">
        <f t="shared" si="35"/>
        <v>0</v>
      </c>
      <c r="V113" s="272">
        <f t="shared" si="36"/>
        <v>449964</v>
      </c>
      <c r="W113" s="273" t="str">
        <f t="shared" si="37"/>
        <v>Indoklás szükséges mivel a FEOR: 116,5%</v>
      </c>
      <c r="X113" s="372">
        <f t="shared" si="38"/>
        <v>0</v>
      </c>
      <c r="Y113" s="317">
        <f t="shared" si="39"/>
        <v>398198</v>
      </c>
      <c r="Z113" s="317">
        <f t="shared" si="40"/>
        <v>51766</v>
      </c>
      <c r="AA113" s="36"/>
      <c r="AB113" s="274">
        <v>8388423770</v>
      </c>
      <c r="AC113" s="40" t="s">
        <v>966</v>
      </c>
      <c r="AD113" s="82" t="s">
        <v>75</v>
      </c>
      <c r="AE113" s="41" t="s">
        <v>52</v>
      </c>
      <c r="AF113" s="11" t="s">
        <v>159</v>
      </c>
      <c r="AG113" s="11" t="s">
        <v>2666</v>
      </c>
      <c r="AH113" s="14" t="s">
        <v>122</v>
      </c>
      <c r="AI113" s="86" t="s">
        <v>36</v>
      </c>
      <c r="AJ113" s="113" t="str">
        <f>IF(COUNTIFS(Admin!$A$29:$A$40,AI113)&gt;0,Admin!$A$28,IF(COUNTIFS(Admin!$B$29:$B$40,AI113)&gt;0,Admin!$B$28,IF(COUNTIFS(Admin!$C$29:$C$40,AI113)&gt;0,Admin!$C$28,IF(COUNTIFS(Admin!$D$29:$D$40,AI113)&gt;0,Admin!$D$28,"-"))))</f>
        <v>3. mérföldkő</v>
      </c>
      <c r="AK113" s="14" t="s">
        <v>141</v>
      </c>
      <c r="AL113" s="9" t="s">
        <v>56</v>
      </c>
      <c r="AM113" s="131">
        <v>1082600</v>
      </c>
      <c r="AN113" s="132">
        <f t="shared" si="115"/>
        <v>140738</v>
      </c>
      <c r="AO113" s="121">
        <v>174</v>
      </c>
      <c r="AP113" s="121">
        <v>64</v>
      </c>
      <c r="AQ113" s="354">
        <f t="shared" si="182"/>
        <v>0.36781609195402298</v>
      </c>
      <c r="AR113" s="133">
        <f t="shared" si="319"/>
        <v>398198</v>
      </c>
      <c r="AS113" s="133">
        <f t="shared" si="184"/>
        <v>51766</v>
      </c>
      <c r="AT113" s="123">
        <f t="shared" si="185"/>
        <v>-2.7604893287902499E-7</v>
      </c>
      <c r="AU113" s="124">
        <v>0.13</v>
      </c>
      <c r="AV113" s="394" t="s">
        <v>2764</v>
      </c>
      <c r="AW113" s="15">
        <v>44967</v>
      </c>
      <c r="AX113" s="12" t="s">
        <v>206</v>
      </c>
      <c r="BC113" s="1" t="s">
        <v>2820</v>
      </c>
    </row>
    <row r="114" spans="1:56" s="1" customFormat="1" hidden="1" x14ac:dyDescent="0.25">
      <c r="A114" s="264" t="str">
        <f>Bérköltség!$B114</f>
        <v>FEOR</v>
      </c>
      <c r="B114" s="264" t="str">
        <f>IFERROR(
IF(AND(Bérköltség!$F114="",H114="NA"),"HIÁNYOS ADATOK",
IF(Bérköltség!$F114&lt;Bérköltség!$U114,Admin!$B$18,Admin!$B$17)),
"")</f>
        <v>FEOR</v>
      </c>
      <c r="C114" s="265">
        <f>IFERROR(INDEX('Historikus berek_2021-2'!$A$1:$F$903,MATCH(AB114,'Historikus berek_2021-2'!$A$1:$A$903,0),4),"")</f>
        <v>867000</v>
      </c>
      <c r="D114" s="279">
        <f t="shared" si="23"/>
        <v>318896.55172413791</v>
      </c>
      <c r="E114" s="265">
        <f t="shared" si="24"/>
        <v>398198</v>
      </c>
      <c r="F114" s="266">
        <f t="shared" si="25"/>
        <v>89610.636551724107</v>
      </c>
      <c r="G114" s="267">
        <f t="shared" si="26"/>
        <v>360353.10344827583</v>
      </c>
      <c r="H114" s="268">
        <f>IFERROR(INDEX('FEOR kodok'!$A$2:$J$1126,MATCH(Bérköltség!AB114,'FEOR kodok'!$B$2:$B$1126,0),8),"NA")</f>
        <v>2142</v>
      </c>
      <c r="I114" s="269">
        <f>IFERROR(INDEX('FEOR kodok'!$A$2:$J$1126,MATCH(Bérköltség!AB114,'FEOR kodok'!$B$2:$B$1126,0),10),"NA")</f>
        <v>50</v>
      </c>
      <c r="J114" s="276" t="str">
        <f t="shared" si="27"/>
        <v>50 év és afelett</v>
      </c>
      <c r="K114" s="269" t="str">
        <f>IFERROR(INDEX(admin_feor[#All],MATCH(Bérköltség!H114,admin_feor[[#All],[Foglalkozás]],0),2),"NA")</f>
        <v>Szoftverfejlesztő</v>
      </c>
      <c r="L114" s="270">
        <f>IFERROR(
INDEX('Admin - FEOR'!$A$4:$F$465,MATCH(Bérköltség!H114,'Admin - FEOR'!$A$4:$A$465,0),
IF(J114="30 év alatt",3,
IF(J114="30–39 éves",4,
IF(J114="40–49 éves",5,
IF(J114="50 év és afelett",6
)))))*1,"NA")</f>
        <v>929299</v>
      </c>
      <c r="M114" s="270">
        <f t="shared" si="28"/>
        <v>1082600</v>
      </c>
      <c r="N114" s="318">
        <f t="shared" si="29"/>
        <v>1.1649641288756363</v>
      </c>
      <c r="O114" s="270">
        <f>IFERROR(
INDEX('Admin - FEOR'!$A$4:$F$465,MATCH(Bérköltség!H114,'Admin - FEOR'!$A$4:$A$465,0),
IF(J114="30 év alatt",3,
IF(J114="30–39 éves",4,
IF(J114="40–49 éves",5,
IF(J114="50 év és afelett",6
)))))*1.5,"NA")</f>
        <v>1393948.5</v>
      </c>
      <c r="P114" s="270">
        <f t="shared" si="30"/>
        <v>512716.68965517241</v>
      </c>
      <c r="Q114" s="270">
        <f t="shared" si="31"/>
        <v>398198</v>
      </c>
      <c r="R114" s="275">
        <f t="shared" si="32"/>
        <v>0.36781609195402298</v>
      </c>
      <c r="S114" s="270">
        <f t="shared" si="33"/>
        <v>0</v>
      </c>
      <c r="T114" s="270">
        <f t="shared" si="34"/>
        <v>0</v>
      </c>
      <c r="U114" s="271">
        <f t="shared" si="35"/>
        <v>0</v>
      </c>
      <c r="V114" s="272">
        <f t="shared" si="36"/>
        <v>449964</v>
      </c>
      <c r="W114" s="273" t="str">
        <f t="shared" si="37"/>
        <v>Indoklás szükséges mivel a FEOR: 116,5%</v>
      </c>
      <c r="X114" s="372">
        <f t="shared" si="38"/>
        <v>0</v>
      </c>
      <c r="Y114" s="317">
        <f t="shared" si="39"/>
        <v>398198</v>
      </c>
      <c r="Z114" s="317">
        <f t="shared" si="40"/>
        <v>51766</v>
      </c>
      <c r="AA114" s="36"/>
      <c r="AB114" s="274">
        <v>8388423770</v>
      </c>
      <c r="AC114" s="40" t="s">
        <v>966</v>
      </c>
      <c r="AD114" s="82" t="s">
        <v>75</v>
      </c>
      <c r="AE114" s="41" t="s">
        <v>52</v>
      </c>
      <c r="AF114" s="11" t="s">
        <v>159</v>
      </c>
      <c r="AG114" s="11" t="s">
        <v>2666</v>
      </c>
      <c r="AH114" s="14" t="s">
        <v>122</v>
      </c>
      <c r="AI114" s="86" t="s">
        <v>37</v>
      </c>
      <c r="AJ114" s="113" t="str">
        <f>IF(COUNTIFS(Admin!$A$29:$A$40,AI114)&gt;0,Admin!$A$28,IF(COUNTIFS(Admin!$B$29:$B$40,AI114)&gt;0,Admin!$B$28,IF(COUNTIFS(Admin!$C$29:$C$40,AI114)&gt;0,Admin!$C$28,IF(COUNTIFS(Admin!$D$29:$D$40,AI114)&gt;0,Admin!$D$28,"-"))))</f>
        <v>3. mérföldkő</v>
      </c>
      <c r="AK114" s="14" t="s">
        <v>141</v>
      </c>
      <c r="AL114" s="9" t="s">
        <v>56</v>
      </c>
      <c r="AM114" s="131">
        <v>1082600</v>
      </c>
      <c r="AN114" s="132">
        <f t="shared" si="115"/>
        <v>140738</v>
      </c>
      <c r="AO114" s="121">
        <v>174</v>
      </c>
      <c r="AP114" s="121">
        <v>64</v>
      </c>
      <c r="AQ114" s="354">
        <f t="shared" si="182"/>
        <v>0.36781609195402298</v>
      </c>
      <c r="AR114" s="133">
        <f t="shared" si="319"/>
        <v>398198</v>
      </c>
      <c r="AS114" s="133">
        <f t="shared" si="184"/>
        <v>51766</v>
      </c>
      <c r="AT114" s="123">
        <f t="shared" si="185"/>
        <v>-2.7604893287902499E-7</v>
      </c>
      <c r="AU114" s="124">
        <v>0.13</v>
      </c>
      <c r="AV114" s="394" t="s">
        <v>2764</v>
      </c>
      <c r="AW114" s="15">
        <v>44967</v>
      </c>
      <c r="AX114" s="12" t="s">
        <v>206</v>
      </c>
      <c r="BC114" s="1" t="s">
        <v>2820</v>
      </c>
    </row>
    <row r="115" spans="1:56" s="1" customFormat="1" hidden="1" x14ac:dyDescent="0.25">
      <c r="A115" s="264" t="str">
        <f>Bérköltség!$B115</f>
        <v>FEOR</v>
      </c>
      <c r="B115" s="264" t="str">
        <f>IFERROR(
IF(AND(Bérköltség!$F115="",H115="NA"),"HIÁNYOS ADATOK",
IF(Bérköltség!$F115&lt;Bérköltség!$U115,Admin!$B$18,Admin!$B$17)),
"")</f>
        <v>FEOR</v>
      </c>
      <c r="C115" s="265">
        <f>IFERROR(INDEX('Historikus berek_2021-2'!$A$1:$F$903,MATCH(AB115,'Historikus berek_2021-2'!$A$1:$A$903,0),4),"")</f>
        <v>385000</v>
      </c>
      <c r="D115" s="279">
        <f t="shared" si="23"/>
        <v>385000</v>
      </c>
      <c r="E115" s="265">
        <f t="shared" si="24"/>
        <v>345500</v>
      </c>
      <c r="F115" s="266">
        <f t="shared" si="25"/>
        <v>0</v>
      </c>
      <c r="G115" s="267">
        <f t="shared" si="26"/>
        <v>390414.99999999994</v>
      </c>
      <c r="H115" s="268">
        <f>IFERROR(INDEX('FEOR kodok'!$A$2:$J$1126,MATCH(Bérköltség!AB115,'FEOR kodok'!$B$2:$B$1126,0),8),"NA")</f>
        <v>2117</v>
      </c>
      <c r="I115" s="269">
        <f>IFERROR(INDEX('FEOR kodok'!$A$2:$J$1126,MATCH(Bérköltség!AB115,'FEOR kodok'!$B$2:$B$1126,0),10),"NA")</f>
        <v>26</v>
      </c>
      <c r="J115" s="276" t="str">
        <f t="shared" si="27"/>
        <v>30 év alatt</v>
      </c>
      <c r="K115" s="269" t="str">
        <f>IFERROR(INDEX(admin_feor[#All],MATCH(Bérköltség!H115,admin_feor[[#All],[Foglalkozás]],0),2),"NA")</f>
        <v>Vegyészmérnök</v>
      </c>
      <c r="L115" s="270">
        <f>IFERROR(
INDEX('Admin - FEOR'!$A$4:$F$465,MATCH(Bérköltség!H115,'Admin - FEOR'!$A$4:$A$465,0),
IF(J115="30 év alatt",3,
IF(J115="30–39 éves",4,
IF(J115="40–49 éves",5,
IF(J115="50 év és afelett",6
)))))*1,"NA")</f>
        <v>538686</v>
      </c>
      <c r="M115" s="270">
        <f t="shared" si="28"/>
        <v>345500</v>
      </c>
      <c r="N115" s="318">
        <f t="shared" si="29"/>
        <v>0.64137549518643511</v>
      </c>
      <c r="O115" s="270">
        <f>IFERROR(
INDEX('Admin - FEOR'!$A$4:$F$465,MATCH(Bérköltség!H115,'Admin - FEOR'!$A$4:$A$465,0),
IF(J115="30 év alatt",3,
IF(J115="30–39 éves",4,
IF(J115="40–49 éves",5,
IF(J115="50 év és afelett",6
)))))*1.5,"NA")</f>
        <v>808029</v>
      </c>
      <c r="P115" s="270">
        <f t="shared" si="30"/>
        <v>808029</v>
      </c>
      <c r="Q115" s="270">
        <f t="shared" si="31"/>
        <v>345500</v>
      </c>
      <c r="R115" s="275">
        <f t="shared" si="32"/>
        <v>1</v>
      </c>
      <c r="S115" s="270">
        <f t="shared" si="33"/>
        <v>0</v>
      </c>
      <c r="T115" s="270">
        <f t="shared" si="34"/>
        <v>0</v>
      </c>
      <c r="U115" s="271">
        <f t="shared" si="35"/>
        <v>0</v>
      </c>
      <c r="V115" s="272">
        <f t="shared" si="36"/>
        <v>390415</v>
      </c>
      <c r="W115" s="273" t="str">
        <f t="shared" si="37"/>
        <v>Nem szükséges indoklás.</v>
      </c>
      <c r="X115" s="372">
        <f t="shared" si="38"/>
        <v>0</v>
      </c>
      <c r="Y115" s="317">
        <f t="shared" si="39"/>
        <v>345500</v>
      </c>
      <c r="Z115" s="317">
        <f t="shared" si="40"/>
        <v>44915</v>
      </c>
      <c r="AA115" s="12">
        <v>2</v>
      </c>
      <c r="AB115" s="274">
        <v>8476162324</v>
      </c>
      <c r="AC115" s="40" t="s">
        <v>219</v>
      </c>
      <c r="AD115" s="82" t="s">
        <v>75</v>
      </c>
      <c r="AE115" s="41" t="s">
        <v>52</v>
      </c>
      <c r="AF115" s="11" t="s">
        <v>152</v>
      </c>
      <c r="AG115" s="11" t="s">
        <v>200</v>
      </c>
      <c r="AH115" s="14" t="s">
        <v>122</v>
      </c>
      <c r="AI115" s="86" t="s">
        <v>23</v>
      </c>
      <c r="AJ115" s="113" t="str">
        <f>IF(COUNTIFS(Admin!$A$29:$A$40,AI115)&gt;0,Admin!$A$28,IF(COUNTIFS(Admin!$B$29:$B$40,AI115)&gt;0,Admin!$B$28,IF(COUNTIFS(Admin!$C$29:$C$40,AI115)&gt;0,Admin!$C$28,IF(COUNTIFS(Admin!$D$29:$D$40,AI115)&gt;0,Admin!$D$28,"-"))))</f>
        <v>2. mérföldkő</v>
      </c>
      <c r="AK115" s="14" t="s">
        <v>7</v>
      </c>
      <c r="AL115" s="9" t="s">
        <v>56</v>
      </c>
      <c r="AM115" s="131">
        <v>345500</v>
      </c>
      <c r="AN115" s="132">
        <f t="shared" si="115"/>
        <v>44915</v>
      </c>
      <c r="AO115" s="121">
        <v>130</v>
      </c>
      <c r="AP115" s="121">
        <v>130</v>
      </c>
      <c r="AQ115" s="354">
        <f t="shared" si="182"/>
        <v>1</v>
      </c>
      <c r="AR115" s="133">
        <f t="shared" si="214"/>
        <v>345500</v>
      </c>
      <c r="AS115" s="133">
        <f t="shared" si="184"/>
        <v>44915</v>
      </c>
      <c r="AT115" s="123">
        <f t="shared" si="185"/>
        <v>0</v>
      </c>
      <c r="AU115" s="124">
        <v>0.13</v>
      </c>
      <c r="AV115" s="394" t="s">
        <v>2765</v>
      </c>
      <c r="AW115" s="15">
        <v>44796</v>
      </c>
      <c r="AX115" s="12" t="s">
        <v>206</v>
      </c>
      <c r="BC115" s="1" t="s">
        <v>2821</v>
      </c>
      <c r="BD115" s="1" t="str">
        <f t="shared" ref="BD115:BD123" si="320">CONCATENATE(BC115," - ",AE115)</f>
        <v>Kutató_VM_4 - Kutató</v>
      </c>
    </row>
    <row r="116" spans="1:56" s="1" customFormat="1" hidden="1" x14ac:dyDescent="0.25">
      <c r="A116" s="264" t="str">
        <f>Bérköltség!$B116</f>
        <v>FEOR</v>
      </c>
      <c r="B116" s="264" t="str">
        <f>IFERROR(
IF(AND(Bérköltség!$F116="",H116="NA"),"HIÁNYOS ADATOK",
IF(Bérköltség!$F116&lt;Bérköltség!$U116,Admin!$B$18,Admin!$B$17)),
"")</f>
        <v>FEOR</v>
      </c>
      <c r="C116" s="265">
        <f>IFERROR(INDEX('Historikus berek_2021-2'!$A$1:$F$903,MATCH(AB116,'Historikus berek_2021-2'!$A$1:$A$903,0),4),"")</f>
        <v>385000</v>
      </c>
      <c r="D116" s="279">
        <f t="shared" si="23"/>
        <v>385000</v>
      </c>
      <c r="E116" s="265">
        <f t="shared" si="24"/>
        <v>345500</v>
      </c>
      <c r="F116" s="266">
        <f t="shared" si="25"/>
        <v>0</v>
      </c>
      <c r="G116" s="267">
        <f t="shared" si="26"/>
        <v>390414.99999999994</v>
      </c>
      <c r="H116" s="268">
        <f>IFERROR(INDEX('FEOR kodok'!$A$2:$J$1126,MATCH(Bérköltség!AB116,'FEOR kodok'!$B$2:$B$1126,0),8),"NA")</f>
        <v>2117</v>
      </c>
      <c r="I116" s="269">
        <f>IFERROR(INDEX('FEOR kodok'!$A$2:$J$1126,MATCH(Bérköltség!AB116,'FEOR kodok'!$B$2:$B$1126,0),10),"NA")</f>
        <v>26</v>
      </c>
      <c r="J116" s="276" t="str">
        <f t="shared" si="27"/>
        <v>30 év alatt</v>
      </c>
      <c r="K116" s="269" t="str">
        <f>IFERROR(INDEX(admin_feor[#All],MATCH(Bérköltség!H116,admin_feor[[#All],[Foglalkozás]],0),2),"NA")</f>
        <v>Vegyészmérnök</v>
      </c>
      <c r="L116" s="270">
        <f>IFERROR(
INDEX('Admin - FEOR'!$A$4:$F$465,MATCH(Bérköltség!H116,'Admin - FEOR'!$A$4:$A$465,0),
IF(J116="30 év alatt",3,
IF(J116="30–39 éves",4,
IF(J116="40–49 éves",5,
IF(J116="50 év és afelett",6
)))))*1,"NA")</f>
        <v>538686</v>
      </c>
      <c r="M116" s="270">
        <f t="shared" si="28"/>
        <v>345500</v>
      </c>
      <c r="N116" s="318">
        <f t="shared" si="29"/>
        <v>0.64137549518643511</v>
      </c>
      <c r="O116" s="270">
        <f>IFERROR(
INDEX('Admin - FEOR'!$A$4:$F$465,MATCH(Bérköltség!H116,'Admin - FEOR'!$A$4:$A$465,0),
IF(J116="30 év alatt",3,
IF(J116="30–39 éves",4,
IF(J116="40–49 éves",5,
IF(J116="50 év és afelett",6
)))))*1.5,"NA")</f>
        <v>808029</v>
      </c>
      <c r="P116" s="270">
        <f t="shared" si="30"/>
        <v>808029</v>
      </c>
      <c r="Q116" s="270">
        <f t="shared" si="31"/>
        <v>345500</v>
      </c>
      <c r="R116" s="275">
        <f t="shared" si="32"/>
        <v>1</v>
      </c>
      <c r="S116" s="270">
        <f t="shared" si="33"/>
        <v>0</v>
      </c>
      <c r="T116" s="270">
        <f t="shared" si="34"/>
        <v>0</v>
      </c>
      <c r="U116" s="271">
        <f t="shared" si="35"/>
        <v>0</v>
      </c>
      <c r="V116" s="272">
        <f t="shared" si="36"/>
        <v>390415</v>
      </c>
      <c r="W116" s="273" t="str">
        <f t="shared" si="37"/>
        <v>Nem szükséges indoklás.</v>
      </c>
      <c r="X116" s="372">
        <f t="shared" si="38"/>
        <v>0</v>
      </c>
      <c r="Y116" s="317">
        <f t="shared" si="39"/>
        <v>345500</v>
      </c>
      <c r="Z116" s="317">
        <f t="shared" si="40"/>
        <v>44915</v>
      </c>
      <c r="AA116" s="12">
        <v>2</v>
      </c>
      <c r="AB116" s="274">
        <v>8476162324</v>
      </c>
      <c r="AC116" s="40" t="s">
        <v>219</v>
      </c>
      <c r="AD116" s="82" t="s">
        <v>75</v>
      </c>
      <c r="AE116" s="41" t="s">
        <v>52</v>
      </c>
      <c r="AF116" s="11" t="s">
        <v>152</v>
      </c>
      <c r="AG116" s="11" t="s">
        <v>200</v>
      </c>
      <c r="AH116" s="14" t="s">
        <v>122</v>
      </c>
      <c r="AI116" s="86" t="s">
        <v>24</v>
      </c>
      <c r="AJ116" s="113" t="str">
        <f>IF(COUNTIFS(Admin!$A$29:$A$40,AI116)&gt;0,Admin!$A$28,IF(COUNTIFS(Admin!$B$29:$B$40,AI116)&gt;0,Admin!$B$28,IF(COUNTIFS(Admin!$C$29:$C$40,AI116)&gt;0,Admin!$C$28,IF(COUNTIFS(Admin!$D$29:$D$40,AI116)&gt;0,Admin!$D$28,"-"))))</f>
        <v>2. mérföldkő</v>
      </c>
      <c r="AK116" s="14" t="s">
        <v>7</v>
      </c>
      <c r="AL116" s="9" t="s">
        <v>56</v>
      </c>
      <c r="AM116" s="131">
        <v>345500</v>
      </c>
      <c r="AN116" s="132">
        <f t="shared" si="115"/>
        <v>44915</v>
      </c>
      <c r="AO116" s="121">
        <v>130</v>
      </c>
      <c r="AP116" s="121">
        <v>130</v>
      </c>
      <c r="AQ116" s="354">
        <f t="shared" si="182"/>
        <v>1</v>
      </c>
      <c r="AR116" s="133">
        <f t="shared" si="214"/>
        <v>345500</v>
      </c>
      <c r="AS116" s="133">
        <f t="shared" si="184"/>
        <v>44915</v>
      </c>
      <c r="AT116" s="123">
        <f t="shared" si="185"/>
        <v>0</v>
      </c>
      <c r="AU116" s="124">
        <v>0.13</v>
      </c>
      <c r="AV116" s="394" t="s">
        <v>2765</v>
      </c>
      <c r="AW116" s="15">
        <v>44796</v>
      </c>
      <c r="AX116" s="12" t="s">
        <v>206</v>
      </c>
      <c r="BC116" s="1" t="s">
        <v>2821</v>
      </c>
      <c r="BD116" s="1" t="str">
        <f t="shared" si="320"/>
        <v>Kutató_VM_4 - Kutató</v>
      </c>
    </row>
    <row r="117" spans="1:56" s="1" customFormat="1" hidden="1" x14ac:dyDescent="0.25">
      <c r="A117" s="264" t="str">
        <f>Bérköltség!$B117</f>
        <v>FEOR</v>
      </c>
      <c r="B117" s="264" t="str">
        <f>IFERROR(
IF(AND(Bérköltség!$F117="",H117="NA"),"HIÁNYOS ADATOK",
IF(Bérköltség!$F117&lt;Bérköltség!$U117,Admin!$B$18,Admin!$B$17)),
"")</f>
        <v>FEOR</v>
      </c>
      <c r="C117" s="265">
        <f>IFERROR(INDEX('Historikus berek_2021-2'!$A$1:$F$903,MATCH(AB117,'Historikus berek_2021-2'!$A$1:$A$903,0),4),"")</f>
        <v>385000</v>
      </c>
      <c r="D117" s="279">
        <f t="shared" si="23"/>
        <v>385000</v>
      </c>
      <c r="E117" s="265">
        <f t="shared" si="24"/>
        <v>345500</v>
      </c>
      <c r="F117" s="266">
        <f t="shared" si="25"/>
        <v>0</v>
      </c>
      <c r="G117" s="267">
        <f t="shared" si="26"/>
        <v>390414.99999999994</v>
      </c>
      <c r="H117" s="268">
        <f>IFERROR(INDEX('FEOR kodok'!$A$2:$J$1126,MATCH(Bérköltség!AB117,'FEOR kodok'!$B$2:$B$1126,0),8),"NA")</f>
        <v>2117</v>
      </c>
      <c r="I117" s="269">
        <f>IFERROR(INDEX('FEOR kodok'!$A$2:$J$1126,MATCH(Bérköltség!AB117,'FEOR kodok'!$B$2:$B$1126,0),10),"NA")</f>
        <v>26</v>
      </c>
      <c r="J117" s="276" t="str">
        <f t="shared" si="27"/>
        <v>30 év alatt</v>
      </c>
      <c r="K117" s="269" t="str">
        <f>IFERROR(INDEX(admin_feor[#All],MATCH(Bérköltség!H117,admin_feor[[#All],[Foglalkozás]],0),2),"NA")</f>
        <v>Vegyészmérnök</v>
      </c>
      <c r="L117" s="270">
        <f>IFERROR(
INDEX('Admin - FEOR'!$A$4:$F$465,MATCH(Bérköltség!H117,'Admin - FEOR'!$A$4:$A$465,0),
IF(J117="30 év alatt",3,
IF(J117="30–39 éves",4,
IF(J117="40–49 éves",5,
IF(J117="50 év és afelett",6
)))))*1,"NA")</f>
        <v>538686</v>
      </c>
      <c r="M117" s="270">
        <f t="shared" si="28"/>
        <v>345500</v>
      </c>
      <c r="N117" s="318">
        <f t="shared" si="29"/>
        <v>0.64137549518643511</v>
      </c>
      <c r="O117" s="270">
        <f>IFERROR(
INDEX('Admin - FEOR'!$A$4:$F$465,MATCH(Bérköltség!H117,'Admin - FEOR'!$A$4:$A$465,0),
IF(J117="30 év alatt",3,
IF(J117="30–39 éves",4,
IF(J117="40–49 éves",5,
IF(J117="50 év és afelett",6
)))))*1.5,"NA")</f>
        <v>808029</v>
      </c>
      <c r="P117" s="270">
        <f t="shared" si="30"/>
        <v>808029</v>
      </c>
      <c r="Q117" s="270">
        <f t="shared" si="31"/>
        <v>345500</v>
      </c>
      <c r="R117" s="275">
        <f t="shared" si="32"/>
        <v>1</v>
      </c>
      <c r="S117" s="270">
        <f t="shared" si="33"/>
        <v>0</v>
      </c>
      <c r="T117" s="270">
        <f t="shared" si="34"/>
        <v>0</v>
      </c>
      <c r="U117" s="271">
        <f t="shared" si="35"/>
        <v>0</v>
      </c>
      <c r="V117" s="272">
        <f t="shared" si="36"/>
        <v>390415</v>
      </c>
      <c r="W117" s="273" t="str">
        <f t="shared" si="37"/>
        <v>Nem szükséges indoklás.</v>
      </c>
      <c r="X117" s="372">
        <f t="shared" si="38"/>
        <v>0</v>
      </c>
      <c r="Y117" s="317">
        <f t="shared" si="39"/>
        <v>345500</v>
      </c>
      <c r="Z117" s="317">
        <f t="shared" si="40"/>
        <v>44915</v>
      </c>
      <c r="AA117" s="12">
        <v>2</v>
      </c>
      <c r="AB117" s="274">
        <v>8476162324</v>
      </c>
      <c r="AC117" s="40" t="s">
        <v>219</v>
      </c>
      <c r="AD117" s="82" t="s">
        <v>75</v>
      </c>
      <c r="AE117" s="41" t="s">
        <v>52</v>
      </c>
      <c r="AF117" s="11" t="s">
        <v>152</v>
      </c>
      <c r="AG117" s="11" t="s">
        <v>200</v>
      </c>
      <c r="AH117" s="14" t="s">
        <v>122</v>
      </c>
      <c r="AI117" s="86" t="s">
        <v>25</v>
      </c>
      <c r="AJ117" s="113" t="str">
        <f>IF(COUNTIFS(Admin!$A$29:$A$40,AI117)&gt;0,Admin!$A$28,IF(COUNTIFS(Admin!$B$29:$B$40,AI117)&gt;0,Admin!$B$28,IF(COUNTIFS(Admin!$C$29:$C$40,AI117)&gt;0,Admin!$C$28,IF(COUNTIFS(Admin!$D$29:$D$40,AI117)&gt;0,Admin!$D$28,"-"))))</f>
        <v>2. mérföldkő</v>
      </c>
      <c r="AK117" s="14" t="s">
        <v>7</v>
      </c>
      <c r="AL117" s="9" t="s">
        <v>56</v>
      </c>
      <c r="AM117" s="131">
        <v>345500</v>
      </c>
      <c r="AN117" s="132">
        <f t="shared" si="115"/>
        <v>44915</v>
      </c>
      <c r="AO117" s="121">
        <v>130</v>
      </c>
      <c r="AP117" s="121">
        <v>130</v>
      </c>
      <c r="AQ117" s="354">
        <f t="shared" si="182"/>
        <v>1</v>
      </c>
      <c r="AR117" s="133">
        <f t="shared" si="214"/>
        <v>345500</v>
      </c>
      <c r="AS117" s="133">
        <f t="shared" si="184"/>
        <v>44915</v>
      </c>
      <c r="AT117" s="123">
        <f t="shared" si="185"/>
        <v>0</v>
      </c>
      <c r="AU117" s="124">
        <v>0.13</v>
      </c>
      <c r="AV117" s="394" t="s">
        <v>2765</v>
      </c>
      <c r="AW117" s="15">
        <v>44796</v>
      </c>
      <c r="AX117" s="12" t="s">
        <v>206</v>
      </c>
      <c r="AZ117" s="1" t="s">
        <v>2667</v>
      </c>
      <c r="BA117" s="1" t="s">
        <v>2667</v>
      </c>
      <c r="BB117" s="1" t="s">
        <v>2667</v>
      </c>
      <c r="BC117" s="1" t="s">
        <v>2821</v>
      </c>
      <c r="BD117" s="1" t="str">
        <f t="shared" si="320"/>
        <v>Kutató_VM_4 - Kutató</v>
      </c>
    </row>
    <row r="118" spans="1:56" s="1" customFormat="1" hidden="1" x14ac:dyDescent="0.25">
      <c r="A118" s="264" t="str">
        <f>Bérköltség!$B118</f>
        <v>FEOR</v>
      </c>
      <c r="B118" s="264" t="str">
        <f>IFERROR(
IF(AND(Bérköltség!$F118="",H118="NA"),"HIÁNYOS ADATOK",
IF(Bérköltség!$F118&lt;Bérköltség!$U118,Admin!$B$18,Admin!$B$17)),
"")</f>
        <v>FEOR</v>
      </c>
      <c r="C118" s="265">
        <f>IFERROR(INDEX('Historikus berek_2021-2'!$A$1:$F$903,MATCH(AB118,'Historikus berek_2021-2'!$A$1:$A$903,0),4),"")</f>
        <v>385000</v>
      </c>
      <c r="D118" s="279">
        <f t="shared" si="23"/>
        <v>385000</v>
      </c>
      <c r="E118" s="265">
        <f t="shared" si="24"/>
        <v>345500</v>
      </c>
      <c r="F118" s="266">
        <f t="shared" si="25"/>
        <v>0</v>
      </c>
      <c r="G118" s="267">
        <f t="shared" si="26"/>
        <v>390414.99999999994</v>
      </c>
      <c r="H118" s="268">
        <f>IFERROR(INDEX('FEOR kodok'!$A$2:$J$1126,MATCH(Bérköltség!AB118,'FEOR kodok'!$B$2:$B$1126,0),8),"NA")</f>
        <v>2117</v>
      </c>
      <c r="I118" s="269">
        <f>IFERROR(INDEX('FEOR kodok'!$A$2:$J$1126,MATCH(Bérköltség!AB118,'FEOR kodok'!$B$2:$B$1126,0),10),"NA")</f>
        <v>26</v>
      </c>
      <c r="J118" s="276" t="str">
        <f t="shared" si="27"/>
        <v>30 év alatt</v>
      </c>
      <c r="K118" s="269" t="str">
        <f>IFERROR(INDEX(admin_feor[#All],MATCH(Bérköltség!H118,admin_feor[[#All],[Foglalkozás]],0),2),"NA")</f>
        <v>Vegyészmérnök</v>
      </c>
      <c r="L118" s="270">
        <f>IFERROR(
INDEX('Admin - FEOR'!$A$4:$F$465,MATCH(Bérköltség!H118,'Admin - FEOR'!$A$4:$A$465,0),
IF(J118="30 év alatt",3,
IF(J118="30–39 éves",4,
IF(J118="40–49 éves",5,
IF(J118="50 év és afelett",6
)))))*1,"NA")</f>
        <v>538686</v>
      </c>
      <c r="M118" s="270">
        <f t="shared" si="28"/>
        <v>345500</v>
      </c>
      <c r="N118" s="318">
        <f t="shared" si="29"/>
        <v>0.64137549518643511</v>
      </c>
      <c r="O118" s="270">
        <f>IFERROR(
INDEX('Admin - FEOR'!$A$4:$F$465,MATCH(Bérköltség!H118,'Admin - FEOR'!$A$4:$A$465,0),
IF(J118="30 év alatt",3,
IF(J118="30–39 éves",4,
IF(J118="40–49 éves",5,
IF(J118="50 év és afelett",6
)))))*1.5,"NA")</f>
        <v>808029</v>
      </c>
      <c r="P118" s="270">
        <f t="shared" si="30"/>
        <v>808029</v>
      </c>
      <c r="Q118" s="270">
        <f t="shared" si="31"/>
        <v>345500</v>
      </c>
      <c r="R118" s="275">
        <f t="shared" si="32"/>
        <v>1</v>
      </c>
      <c r="S118" s="270">
        <f t="shared" si="33"/>
        <v>0</v>
      </c>
      <c r="T118" s="270">
        <f t="shared" si="34"/>
        <v>0</v>
      </c>
      <c r="U118" s="271">
        <f t="shared" si="35"/>
        <v>0</v>
      </c>
      <c r="V118" s="272">
        <f t="shared" si="36"/>
        <v>390415</v>
      </c>
      <c r="W118" s="273" t="str">
        <f t="shared" si="37"/>
        <v>Nem szükséges indoklás.</v>
      </c>
      <c r="X118" s="372">
        <f t="shared" si="38"/>
        <v>0</v>
      </c>
      <c r="Y118" s="317">
        <f t="shared" si="39"/>
        <v>345500</v>
      </c>
      <c r="Z118" s="317">
        <f t="shared" si="40"/>
        <v>44915</v>
      </c>
      <c r="AA118" s="12">
        <v>2</v>
      </c>
      <c r="AB118" s="274">
        <v>8476162324</v>
      </c>
      <c r="AC118" s="40" t="s">
        <v>219</v>
      </c>
      <c r="AD118" s="82" t="s">
        <v>75</v>
      </c>
      <c r="AE118" s="41" t="s">
        <v>52</v>
      </c>
      <c r="AF118" s="11" t="s">
        <v>152</v>
      </c>
      <c r="AG118" s="11" t="s">
        <v>200</v>
      </c>
      <c r="AH118" s="14" t="s">
        <v>122</v>
      </c>
      <c r="AI118" s="86" t="s">
        <v>26</v>
      </c>
      <c r="AJ118" s="113" t="str">
        <f>IF(COUNTIFS(Admin!$A$29:$A$40,AI118)&gt;0,Admin!$A$28,IF(COUNTIFS(Admin!$B$29:$B$40,AI118)&gt;0,Admin!$B$28,IF(COUNTIFS(Admin!$C$29:$C$40,AI118)&gt;0,Admin!$C$28,IF(COUNTIFS(Admin!$D$29:$D$40,AI118)&gt;0,Admin!$D$28,"-"))))</f>
        <v>2. mérföldkő</v>
      </c>
      <c r="AK118" s="14" t="s">
        <v>7</v>
      </c>
      <c r="AL118" s="9" t="s">
        <v>56</v>
      </c>
      <c r="AM118" s="131">
        <v>345500</v>
      </c>
      <c r="AN118" s="132">
        <f t="shared" si="115"/>
        <v>44915</v>
      </c>
      <c r="AO118" s="121">
        <v>130</v>
      </c>
      <c r="AP118" s="121">
        <v>130</v>
      </c>
      <c r="AQ118" s="354">
        <f t="shared" si="182"/>
        <v>1</v>
      </c>
      <c r="AR118" s="133">
        <f t="shared" si="214"/>
        <v>345500</v>
      </c>
      <c r="AS118" s="133">
        <f t="shared" si="184"/>
        <v>44915</v>
      </c>
      <c r="AT118" s="123">
        <f t="shared" si="185"/>
        <v>0</v>
      </c>
      <c r="AU118" s="124">
        <v>0.13</v>
      </c>
      <c r="AV118" s="394" t="s">
        <v>2765</v>
      </c>
      <c r="AW118" s="15">
        <v>44796</v>
      </c>
      <c r="AX118" s="12" t="s">
        <v>206</v>
      </c>
      <c r="AZ118" s="1" t="s">
        <v>2667</v>
      </c>
      <c r="BA118" s="1" t="s">
        <v>2667</v>
      </c>
      <c r="BB118" s="1" t="s">
        <v>2667</v>
      </c>
      <c r="BC118" s="1" t="s">
        <v>2821</v>
      </c>
      <c r="BD118" s="1" t="str">
        <f t="shared" si="320"/>
        <v>Kutató_VM_4 - Kutató</v>
      </c>
    </row>
    <row r="119" spans="1:56" s="1" customFormat="1" hidden="1" x14ac:dyDescent="0.25">
      <c r="A119" s="264" t="str">
        <f>Bérköltség!$B119</f>
        <v>FEOR</v>
      </c>
      <c r="B119" s="264" t="str">
        <f>IFERROR(
IF(AND(Bérköltség!$F119="",H119="NA"),"HIÁNYOS ADATOK",
IF(Bérköltség!$F119&lt;Bérköltség!$U119,Admin!$B$18,Admin!$B$17)),
"")</f>
        <v>FEOR</v>
      </c>
      <c r="C119" s="265">
        <f>IFERROR(INDEX('Historikus berek_2021-2'!$A$1:$F$903,MATCH(AB119,'Historikus berek_2021-2'!$A$1:$A$903,0),4),"")</f>
        <v>385000</v>
      </c>
      <c r="D119" s="279">
        <f t="shared" si="23"/>
        <v>385000</v>
      </c>
      <c r="E119" s="265">
        <f t="shared" si="24"/>
        <v>345500</v>
      </c>
      <c r="F119" s="266">
        <f t="shared" si="25"/>
        <v>0</v>
      </c>
      <c r="G119" s="267">
        <f t="shared" si="26"/>
        <v>390414.99999999994</v>
      </c>
      <c r="H119" s="268">
        <f>IFERROR(INDEX('FEOR kodok'!$A$2:$J$1126,MATCH(Bérköltség!AB119,'FEOR kodok'!$B$2:$B$1126,0),8),"NA")</f>
        <v>2117</v>
      </c>
      <c r="I119" s="269">
        <f>IFERROR(INDEX('FEOR kodok'!$A$2:$J$1126,MATCH(Bérköltség!AB119,'FEOR kodok'!$B$2:$B$1126,0),10),"NA")</f>
        <v>26</v>
      </c>
      <c r="J119" s="276" t="str">
        <f t="shared" si="27"/>
        <v>30 év alatt</v>
      </c>
      <c r="K119" s="269" t="str">
        <f>IFERROR(INDEX(admin_feor[#All],MATCH(Bérköltség!H119,admin_feor[[#All],[Foglalkozás]],0),2),"NA")</f>
        <v>Vegyészmérnök</v>
      </c>
      <c r="L119" s="270">
        <f>IFERROR(
INDEX('Admin - FEOR'!$A$4:$F$465,MATCH(Bérköltség!H119,'Admin - FEOR'!$A$4:$A$465,0),
IF(J119="30 év alatt",3,
IF(J119="30–39 éves",4,
IF(J119="40–49 éves",5,
IF(J119="50 év és afelett",6
)))))*1,"NA")</f>
        <v>538686</v>
      </c>
      <c r="M119" s="270">
        <f t="shared" si="28"/>
        <v>345500</v>
      </c>
      <c r="N119" s="318">
        <f t="shared" si="29"/>
        <v>0.64137549518643511</v>
      </c>
      <c r="O119" s="270">
        <f>IFERROR(
INDEX('Admin - FEOR'!$A$4:$F$465,MATCH(Bérköltség!H119,'Admin - FEOR'!$A$4:$A$465,0),
IF(J119="30 év alatt",3,
IF(J119="30–39 éves",4,
IF(J119="40–49 éves",5,
IF(J119="50 év és afelett",6
)))))*1.5,"NA")</f>
        <v>808029</v>
      </c>
      <c r="P119" s="270">
        <f t="shared" si="30"/>
        <v>808029</v>
      </c>
      <c r="Q119" s="270">
        <f t="shared" si="31"/>
        <v>345500</v>
      </c>
      <c r="R119" s="275">
        <f t="shared" si="32"/>
        <v>1</v>
      </c>
      <c r="S119" s="270">
        <f t="shared" si="33"/>
        <v>0</v>
      </c>
      <c r="T119" s="270">
        <f t="shared" si="34"/>
        <v>0</v>
      </c>
      <c r="U119" s="271">
        <f t="shared" si="35"/>
        <v>0</v>
      </c>
      <c r="V119" s="272">
        <f t="shared" si="36"/>
        <v>390415</v>
      </c>
      <c r="W119" s="273" t="str">
        <f t="shared" si="37"/>
        <v>Nem szükséges indoklás.</v>
      </c>
      <c r="X119" s="372">
        <f t="shared" si="38"/>
        <v>0</v>
      </c>
      <c r="Y119" s="317">
        <f t="shared" si="39"/>
        <v>345500</v>
      </c>
      <c r="Z119" s="317">
        <f t="shared" si="40"/>
        <v>44915</v>
      </c>
      <c r="AA119" s="12">
        <v>2</v>
      </c>
      <c r="AB119" s="274">
        <v>8476162324</v>
      </c>
      <c r="AC119" s="40" t="s">
        <v>219</v>
      </c>
      <c r="AD119" s="82" t="s">
        <v>75</v>
      </c>
      <c r="AE119" s="41" t="s">
        <v>52</v>
      </c>
      <c r="AF119" s="11" t="s">
        <v>152</v>
      </c>
      <c r="AG119" s="11" t="s">
        <v>200</v>
      </c>
      <c r="AH119" s="14" t="s">
        <v>122</v>
      </c>
      <c r="AI119" s="86" t="s">
        <v>32</v>
      </c>
      <c r="AJ119" s="113" t="str">
        <f>IF(COUNTIFS(Admin!$A$29:$A$40,AI119)&gt;0,Admin!$A$28,IF(COUNTIFS(Admin!$B$29:$B$40,AI119)&gt;0,Admin!$B$28,IF(COUNTIFS(Admin!$C$29:$C$40,AI119)&gt;0,Admin!$C$28,IF(COUNTIFS(Admin!$D$29:$D$40,AI119)&gt;0,Admin!$D$28,"-"))))</f>
        <v>2. mérföldkő</v>
      </c>
      <c r="AK119" s="14" t="s">
        <v>7</v>
      </c>
      <c r="AL119" s="9" t="s">
        <v>56</v>
      </c>
      <c r="AM119" s="131">
        <v>345500</v>
      </c>
      <c r="AN119" s="132">
        <f t="shared" si="115"/>
        <v>44915</v>
      </c>
      <c r="AO119" s="121">
        <v>130</v>
      </c>
      <c r="AP119" s="121">
        <v>130</v>
      </c>
      <c r="AQ119" s="354">
        <f t="shared" si="182"/>
        <v>1</v>
      </c>
      <c r="AR119" s="133">
        <f t="shared" si="214"/>
        <v>345500</v>
      </c>
      <c r="AS119" s="133">
        <f t="shared" si="184"/>
        <v>44915</v>
      </c>
      <c r="AT119" s="123">
        <f t="shared" si="185"/>
        <v>0</v>
      </c>
      <c r="AU119" s="124">
        <v>0.13</v>
      </c>
      <c r="AV119" s="394" t="s">
        <v>2765</v>
      </c>
      <c r="AW119" s="15">
        <v>44796</v>
      </c>
      <c r="AX119" s="12" t="s">
        <v>206</v>
      </c>
      <c r="AZ119" s="1" t="s">
        <v>2667</v>
      </c>
      <c r="BA119" s="1">
        <v>0</v>
      </c>
      <c r="BB119" s="1">
        <v>0</v>
      </c>
      <c r="BC119" s="1" t="s">
        <v>2821</v>
      </c>
      <c r="BD119" s="1" t="str">
        <f t="shared" si="320"/>
        <v>Kutató_VM_4 - Kutató</v>
      </c>
    </row>
    <row r="120" spans="1:56" s="1" customFormat="1" hidden="1" x14ac:dyDescent="0.25">
      <c r="A120" s="264" t="str">
        <f>Bérköltség!$B120</f>
        <v>FEOR</v>
      </c>
      <c r="B120" s="264" t="str">
        <f>IFERROR(
IF(AND(Bérköltség!$F120="",H120="NA"),"HIÁNYOS ADATOK",
IF(Bérköltség!$F120&lt;Bérköltség!$U120,Admin!$B$18,Admin!$B$17)),
"")</f>
        <v>FEOR</v>
      </c>
      <c r="C120" s="265">
        <f>IFERROR(INDEX('Historikus berek_2021-2'!$A$1:$F$903,MATCH(AB120,'Historikus berek_2021-2'!$A$1:$A$903,0),4),"")</f>
        <v>385000</v>
      </c>
      <c r="D120" s="279">
        <f t="shared" si="23"/>
        <v>385000</v>
      </c>
      <c r="E120" s="265">
        <f t="shared" si="24"/>
        <v>345500</v>
      </c>
      <c r="F120" s="266">
        <f t="shared" si="25"/>
        <v>0</v>
      </c>
      <c r="G120" s="267">
        <f t="shared" si="26"/>
        <v>390414.99999999994</v>
      </c>
      <c r="H120" s="268">
        <f>IFERROR(INDEX('FEOR kodok'!$A$2:$J$1126,MATCH(Bérköltség!AB120,'FEOR kodok'!$B$2:$B$1126,0),8),"NA")</f>
        <v>2117</v>
      </c>
      <c r="I120" s="269">
        <f>IFERROR(INDEX('FEOR kodok'!$A$2:$J$1126,MATCH(Bérköltség!AB120,'FEOR kodok'!$B$2:$B$1126,0),10),"NA")</f>
        <v>26</v>
      </c>
      <c r="J120" s="276" t="str">
        <f t="shared" si="27"/>
        <v>30 év alatt</v>
      </c>
      <c r="K120" s="269" t="str">
        <f>IFERROR(INDEX(admin_feor[#All],MATCH(Bérköltség!H120,admin_feor[[#All],[Foglalkozás]],0),2),"NA")</f>
        <v>Vegyészmérnök</v>
      </c>
      <c r="L120" s="270">
        <f>IFERROR(
INDEX('Admin - FEOR'!$A$4:$F$465,MATCH(Bérköltség!H120,'Admin - FEOR'!$A$4:$A$465,0),
IF(J120="30 év alatt",3,
IF(J120="30–39 éves",4,
IF(J120="40–49 éves",5,
IF(J120="50 év és afelett",6
)))))*1,"NA")</f>
        <v>538686</v>
      </c>
      <c r="M120" s="270">
        <f t="shared" si="28"/>
        <v>345500</v>
      </c>
      <c r="N120" s="318">
        <f t="shared" si="29"/>
        <v>0.64137549518643511</v>
      </c>
      <c r="O120" s="270">
        <f>IFERROR(
INDEX('Admin - FEOR'!$A$4:$F$465,MATCH(Bérköltség!H120,'Admin - FEOR'!$A$4:$A$465,0),
IF(J120="30 év alatt",3,
IF(J120="30–39 éves",4,
IF(J120="40–49 éves",5,
IF(J120="50 év és afelett",6
)))))*1.5,"NA")</f>
        <v>808029</v>
      </c>
      <c r="P120" s="270">
        <f t="shared" si="30"/>
        <v>808029</v>
      </c>
      <c r="Q120" s="270">
        <f t="shared" si="31"/>
        <v>345500</v>
      </c>
      <c r="R120" s="275">
        <f t="shared" si="32"/>
        <v>1</v>
      </c>
      <c r="S120" s="270">
        <f t="shared" si="33"/>
        <v>0</v>
      </c>
      <c r="T120" s="270">
        <f t="shared" si="34"/>
        <v>0</v>
      </c>
      <c r="U120" s="271">
        <f t="shared" si="35"/>
        <v>0</v>
      </c>
      <c r="V120" s="272">
        <f t="shared" si="36"/>
        <v>390415</v>
      </c>
      <c r="W120" s="273" t="str">
        <f t="shared" si="37"/>
        <v>Nem szükséges indoklás.</v>
      </c>
      <c r="X120" s="372">
        <f t="shared" si="38"/>
        <v>0</v>
      </c>
      <c r="Y120" s="317">
        <f t="shared" si="39"/>
        <v>345500</v>
      </c>
      <c r="Z120" s="317">
        <f t="shared" si="40"/>
        <v>44915</v>
      </c>
      <c r="AA120" s="12">
        <v>2</v>
      </c>
      <c r="AB120" s="274">
        <v>8476162324</v>
      </c>
      <c r="AC120" s="40" t="s">
        <v>219</v>
      </c>
      <c r="AD120" s="82" t="s">
        <v>75</v>
      </c>
      <c r="AE120" s="41" t="s">
        <v>52</v>
      </c>
      <c r="AF120" s="11" t="s">
        <v>152</v>
      </c>
      <c r="AG120" s="11" t="s">
        <v>200</v>
      </c>
      <c r="AH120" s="14" t="s">
        <v>122</v>
      </c>
      <c r="AI120" s="86" t="s">
        <v>33</v>
      </c>
      <c r="AJ120" s="113" t="str">
        <f>IF(COUNTIFS(Admin!$A$29:$A$40,AI120)&gt;0,Admin!$A$28,IF(COUNTIFS(Admin!$B$29:$B$40,AI120)&gt;0,Admin!$B$28,IF(COUNTIFS(Admin!$C$29:$C$40,AI120)&gt;0,Admin!$C$28,IF(COUNTIFS(Admin!$D$29:$D$40,AI120)&gt;0,Admin!$D$28,"-"))))</f>
        <v>2. mérföldkő</v>
      </c>
      <c r="AK120" s="14" t="s">
        <v>7</v>
      </c>
      <c r="AL120" s="9" t="s">
        <v>56</v>
      </c>
      <c r="AM120" s="131">
        <v>345500</v>
      </c>
      <c r="AN120" s="132">
        <f t="shared" si="115"/>
        <v>44915</v>
      </c>
      <c r="AO120" s="121">
        <v>130</v>
      </c>
      <c r="AP120" s="121">
        <v>130</v>
      </c>
      <c r="AQ120" s="354">
        <f t="shared" si="182"/>
        <v>1</v>
      </c>
      <c r="AR120" s="133">
        <f t="shared" si="214"/>
        <v>345500</v>
      </c>
      <c r="AS120" s="133">
        <f t="shared" si="184"/>
        <v>44915</v>
      </c>
      <c r="AT120" s="123">
        <f t="shared" si="185"/>
        <v>0</v>
      </c>
      <c r="AU120" s="124">
        <v>0.13</v>
      </c>
      <c r="AV120" s="394" t="s">
        <v>2765</v>
      </c>
      <c r="AW120" s="15">
        <v>44796</v>
      </c>
      <c r="AX120" s="12" t="s">
        <v>206</v>
      </c>
      <c r="AZ120" s="8" t="e">
        <f>IF(VLOOKUP(LEFT($AB120,10),'Havi béradatok'!$B:$E,2,FALSE)=AG120,"EGYEZIK","HIBÁS")</f>
        <v>#N/A</v>
      </c>
      <c r="BA120" s="1" t="e">
        <f>VLOOKUP(LEFT($AB120,10),'Havi béradatok'!$B:$E,3,FALSE)-AM120</f>
        <v>#N/A</v>
      </c>
      <c r="BB120" s="1" t="e">
        <f>VLOOKUP(LEFT($AB120,10),'Havi béradatok'!$B:$E,4,FALSE)-AN120</f>
        <v>#N/A</v>
      </c>
      <c r="BC120" s="1" t="s">
        <v>2821</v>
      </c>
      <c r="BD120" s="1" t="str">
        <f t="shared" si="320"/>
        <v>Kutató_VM_4 - Kutató</v>
      </c>
    </row>
    <row r="121" spans="1:56" s="1" customFormat="1" hidden="1" x14ac:dyDescent="0.25">
      <c r="A121" s="264" t="str">
        <f>Bérköltség!$B121</f>
        <v>FEOR</v>
      </c>
      <c r="B121" s="264" t="str">
        <f>IFERROR(
IF(AND(Bérköltség!$F121="",H121="NA"),"HIÁNYOS ADATOK",
IF(Bérköltség!$F121&lt;Bérköltség!$U121,Admin!$B$18,Admin!$B$17)),
"")</f>
        <v>FEOR</v>
      </c>
      <c r="C121" s="265">
        <f>IFERROR(INDEX('Historikus berek_2021-2'!$A$1:$F$903,MATCH(AB121,'Historikus berek_2021-2'!$A$1:$A$903,0),4),"")</f>
        <v>1123333.3333333333</v>
      </c>
      <c r="D121" s="279">
        <f t="shared" si="23"/>
        <v>451915.70881226053</v>
      </c>
      <c r="E121" s="265">
        <f t="shared" si="24"/>
        <v>639655</v>
      </c>
      <c r="F121" s="266">
        <f t="shared" si="25"/>
        <v>212145.39904214552</v>
      </c>
      <c r="G121" s="267">
        <f t="shared" si="26"/>
        <v>510664.75095785438</v>
      </c>
      <c r="H121" s="268">
        <f>IFERROR(INDEX('FEOR kodok'!$A$2:$J$1126,MATCH(Bérköltség!AB121,'FEOR kodok'!$B$2:$B$1126,0),8),"NA")</f>
        <v>2117</v>
      </c>
      <c r="I121" s="269">
        <f>IFERROR(INDEX('FEOR kodok'!$A$2:$J$1126,MATCH(Bérköltség!AB121,'FEOR kodok'!$B$2:$B$1126,0),10),"NA")</f>
        <v>45</v>
      </c>
      <c r="J121" s="276" t="str">
        <f t="shared" si="27"/>
        <v>40–49 éves</v>
      </c>
      <c r="K121" s="269" t="str">
        <f>IFERROR(INDEX(admin_feor[#All],MATCH(Bérköltség!H121,admin_feor[[#All],[Foglalkozás]],0),2),"NA")</f>
        <v>Vegyészmérnök</v>
      </c>
      <c r="L121" s="270">
        <f>IFERROR(
INDEX('Admin - FEOR'!$A$4:$F$465,MATCH(Bérköltség!H121,'Admin - FEOR'!$A$4:$A$465,0),
IF(J121="30 év alatt",3,
IF(J121="30–39 éves",4,
IF(J121="40–49 éves",5,
IF(J121="50 év és afelett",6
)))))*1,"NA")</f>
        <v>824591</v>
      </c>
      <c r="M121" s="270">
        <f t="shared" si="28"/>
        <v>1590000</v>
      </c>
      <c r="N121" s="318">
        <f t="shared" si="29"/>
        <v>1.9282286612393296</v>
      </c>
      <c r="O121" s="270">
        <f>IFERROR(
INDEX('Admin - FEOR'!$A$4:$F$465,MATCH(Bérköltség!H121,'Admin - FEOR'!$A$4:$A$465,0),
IF(J121="30 év alatt",3,
IF(J121="30–39 éves",4,
IF(J121="40–49 éves",5,
IF(J121="50 év és afelett",6
)))))*1.5,"NA")</f>
        <v>1236886.5</v>
      </c>
      <c r="P121" s="270">
        <f t="shared" si="30"/>
        <v>497598.0172413793</v>
      </c>
      <c r="Q121" s="270">
        <f t="shared" si="31"/>
        <v>639655</v>
      </c>
      <c r="R121" s="275">
        <f t="shared" si="32"/>
        <v>0.40229885057471265</v>
      </c>
      <c r="S121" s="270">
        <f t="shared" si="33"/>
        <v>142056.9827586207</v>
      </c>
      <c r="T121" s="270">
        <f t="shared" si="34"/>
        <v>18467.407758620691</v>
      </c>
      <c r="U121" s="271">
        <f t="shared" si="35"/>
        <v>160524.39051724138</v>
      </c>
      <c r="V121" s="272">
        <f t="shared" si="36"/>
        <v>562285.60948275868</v>
      </c>
      <c r="W121" s="273" t="str">
        <f t="shared" si="37"/>
        <v>Indoklás szükséges mivel a FEOR: 192,8%</v>
      </c>
      <c r="X121" s="372">
        <f t="shared" si="38"/>
        <v>160524.39051724138</v>
      </c>
      <c r="Y121" s="317">
        <f t="shared" si="39"/>
        <v>497598</v>
      </c>
      <c r="Z121" s="317">
        <f t="shared" si="40"/>
        <v>64688</v>
      </c>
      <c r="AA121" s="12">
        <v>2</v>
      </c>
      <c r="AB121" s="274">
        <v>8407181587</v>
      </c>
      <c r="AC121" s="40" t="s">
        <v>354</v>
      </c>
      <c r="AD121" s="82" t="s">
        <v>75</v>
      </c>
      <c r="AE121" s="41" t="s">
        <v>52</v>
      </c>
      <c r="AF121" s="11" t="s">
        <v>153</v>
      </c>
      <c r="AG121" s="11" t="s">
        <v>168</v>
      </c>
      <c r="AH121" s="14" t="s">
        <v>122</v>
      </c>
      <c r="AI121" s="86" t="s">
        <v>32</v>
      </c>
      <c r="AJ121" s="113" t="str">
        <f>IF(COUNTIFS(Admin!$A$29:$A$40,AI121)&gt;0,Admin!$A$28,IF(COUNTIFS(Admin!$B$29:$B$40,AI121)&gt;0,Admin!$B$28,IF(COUNTIFS(Admin!$C$29:$C$40,AI121)&gt;0,Admin!$C$28,IF(COUNTIFS(Admin!$D$29:$D$40,AI121)&gt;0,Admin!$D$28,"-"))))</f>
        <v>2. mérföldkő</v>
      </c>
      <c r="AK121" s="14" t="s">
        <v>7</v>
      </c>
      <c r="AL121" s="9" t="s">
        <v>56</v>
      </c>
      <c r="AM121" s="131">
        <v>1590000</v>
      </c>
      <c r="AN121" s="132">
        <f t="shared" si="115"/>
        <v>206700</v>
      </c>
      <c r="AO121" s="121">
        <v>174</v>
      </c>
      <c r="AP121" s="121">
        <v>70</v>
      </c>
      <c r="AQ121" s="354">
        <f t="shared" si="182"/>
        <v>0.40229885057471265</v>
      </c>
      <c r="AR121" s="133">
        <f t="shared" si="214"/>
        <v>639655</v>
      </c>
      <c r="AS121" s="133">
        <f t="shared" si="184"/>
        <v>83155</v>
      </c>
      <c r="AT121" s="123">
        <f t="shared" si="185"/>
        <v>1.0843634784540868E-7</v>
      </c>
      <c r="AU121" s="124">
        <v>0.13</v>
      </c>
      <c r="AV121" s="394" t="s">
        <v>2766</v>
      </c>
      <c r="AW121" s="15">
        <v>44936</v>
      </c>
      <c r="AX121" s="12" t="s">
        <v>206</v>
      </c>
      <c r="AZ121" s="1" t="s">
        <v>2667</v>
      </c>
      <c r="BA121" s="1">
        <v>0</v>
      </c>
      <c r="BB121" s="1">
        <v>0</v>
      </c>
      <c r="BC121" s="1" t="s">
        <v>2822</v>
      </c>
      <c r="BD121" s="1" t="str">
        <f t="shared" si="320"/>
        <v>Kutató_MK_2 - Kutató</v>
      </c>
    </row>
    <row r="122" spans="1:56" s="1" customFormat="1" hidden="1" x14ac:dyDescent="0.25">
      <c r="A122" s="264" t="str">
        <f>Bérköltség!$B122</f>
        <v>FEOR</v>
      </c>
      <c r="B122" s="264" t="str">
        <f>IFERROR(
IF(AND(Bérköltség!$F122="",H122="NA"),"HIÁNYOS ADATOK",
IF(Bérköltség!$F122&lt;Bérköltség!$U122,Admin!$B$18,Admin!$B$17)),
"")</f>
        <v>FEOR</v>
      </c>
      <c r="C122" s="265">
        <f>IFERROR(INDEX('Historikus berek_2021-2'!$A$1:$F$903,MATCH(AB122,'Historikus berek_2021-2'!$A$1:$A$903,0),4),"")</f>
        <v>1123333.3333333333</v>
      </c>
      <c r="D122" s="279">
        <f t="shared" ref="D122:D203" si="321">IFERROR(C122*AQ122,"")</f>
        <v>451915.70881226053</v>
      </c>
      <c r="E122" s="265">
        <f t="shared" ref="E122:E203" si="322">AR122</f>
        <v>639655</v>
      </c>
      <c r="F122" s="266">
        <f t="shared" ref="F122:F203" si="323">IFERROR(IF((E122*(1+AU122)-D122*(1+AU122))&lt;0,0,(E122*(1+AU122)-D122*(1+AU122))),"")</f>
        <v>212145.39904214552</v>
      </c>
      <c r="G122" s="267">
        <f t="shared" ref="G122:G203" si="324">IFERROR((E122*(1+AU122)-F122),"")</f>
        <v>510664.75095785438</v>
      </c>
      <c r="H122" s="268">
        <f>IFERROR(INDEX('FEOR kodok'!$A$2:$J$1126,MATCH(Bérköltség!AB122,'FEOR kodok'!$B$2:$B$1126,0),8),"NA")</f>
        <v>2117</v>
      </c>
      <c r="I122" s="269">
        <f>IFERROR(INDEX('FEOR kodok'!$A$2:$J$1126,MATCH(Bérköltség!AB122,'FEOR kodok'!$B$2:$B$1126,0),10),"NA")</f>
        <v>45</v>
      </c>
      <c r="J122" s="276" t="str">
        <f t="shared" ref="J122:J203" si="325">IF(I122="NA","NA",
IF(I122&lt;30,"30 év alatt",
IF(AND(I122&gt;=30,I122&lt;=39),"30–39 éves",
IF(AND(I122&gt;=40,I122&lt;=49),"40–49 éves",
IF(I122&gt;=50,"50 év és afelett",
"")))))</f>
        <v>40–49 éves</v>
      </c>
      <c r="K122" s="269" t="str">
        <f>IFERROR(INDEX(admin_feor[#All],MATCH(Bérköltség!H122,admin_feor[[#All],[Foglalkozás]],0),2),"NA")</f>
        <v>Vegyészmérnök</v>
      </c>
      <c r="L122" s="270">
        <f>IFERROR(
INDEX('Admin - FEOR'!$A$4:$F$465,MATCH(Bérköltség!H122,'Admin - FEOR'!$A$4:$A$465,0),
IF(J122="30 év alatt",3,
IF(J122="30–39 éves",4,
IF(J122="40–49 éves",5,
IF(J122="50 év és afelett",6
)))))*1,"NA")</f>
        <v>824591</v>
      </c>
      <c r="M122" s="270">
        <f t="shared" ref="M122:M203" si="326">AM122</f>
        <v>1590000</v>
      </c>
      <c r="N122" s="318">
        <f t="shared" ref="N122:N203" si="327">IFERROR(
M122/L122,"NA")</f>
        <v>1.9282286612393296</v>
      </c>
      <c r="O122" s="270">
        <f>IFERROR(
INDEX('Admin - FEOR'!$A$4:$F$465,MATCH(Bérköltség!H122,'Admin - FEOR'!$A$4:$A$465,0),
IF(J122="30 év alatt",3,
IF(J122="30–39 éves",4,
IF(J122="40–49 éves",5,
IF(J122="50 év és afelett",6
)))))*1.5,"NA")</f>
        <v>1236886.5</v>
      </c>
      <c r="P122" s="270">
        <f t="shared" ref="P122:P203" si="328">IFERROR(
AQ122*O122,"NA")</f>
        <v>497598.0172413793</v>
      </c>
      <c r="Q122" s="270">
        <f t="shared" ref="Q122:Q203" si="329">IFERROR(AR122,"")</f>
        <v>639655</v>
      </c>
      <c r="R122" s="275">
        <f t="shared" ref="R122:R203" si="330">IFERROR(AQ122,"")</f>
        <v>0.40229885057471265</v>
      </c>
      <c r="S122" s="270">
        <f t="shared" ref="S122:S203" si="331">IFERROR(
IF(AR122-P122&lt;0,0,AR122-P122),"NA")</f>
        <v>142056.9827586207</v>
      </c>
      <c r="T122" s="270">
        <f t="shared" ref="T122:T203" si="332">IFERROR(
S122*AU122,"NA")</f>
        <v>18467.407758620691</v>
      </c>
      <c r="U122" s="271">
        <f t="shared" ref="U122:U203" si="333">IFERROR(
S122+T122,"NA")</f>
        <v>160524.39051724138</v>
      </c>
      <c r="V122" s="272">
        <f t="shared" ref="V122:V203" si="334">IFERROR(
IF(U122&gt;0,AR122+AS122-U122,AR122+AS122),"NA")</f>
        <v>562285.60948275868</v>
      </c>
      <c r="W122" s="273" t="str">
        <f t="shared" ref="W122:W203" si="335">IF(P122="NA","FEOR hiányzik",
IF(AND(N122&gt;1,A122="FEOR"),CONCATENATE("Indoklás szükséges mivel a FEOR: ",ROUND(N122*100,1),"%"),"Nem szükséges indoklás.")
)</f>
        <v>Indoklás szükséges mivel a FEOR: 192,8%</v>
      </c>
      <c r="X122" s="372">
        <f t="shared" ref="X122:X203" si="336">IF(A122="FEOR",U122,IF(A122="HIÁNYOS ADATOK","HIÁNYOS ADATOK",F122))</f>
        <v>160524.39051724138</v>
      </c>
      <c r="Y122" s="317">
        <f t="shared" ref="Y122:Y203" si="337">IF(A122="FEOR",ROUND((V122/(1+AU122)),0),IF(A122="HIÁNYOS ADATOK","HIÁNYOS ADATOK",ROUND(G122/(1+AU122),0)))</f>
        <v>497598</v>
      </c>
      <c r="Z122" s="317">
        <f t="shared" ref="Z122:Z203" si="338">IF(A122="FEOR",ROUND((V122-Y122),0),IF(A122="HIÁNYOS ADATOK","HIÁNYOS ADATOK",ROUND((G122-Y122),0)))</f>
        <v>64688</v>
      </c>
      <c r="AA122" s="12">
        <v>2</v>
      </c>
      <c r="AB122" s="274">
        <v>8407181587</v>
      </c>
      <c r="AC122" s="40" t="s">
        <v>354</v>
      </c>
      <c r="AD122" s="82" t="s">
        <v>75</v>
      </c>
      <c r="AE122" s="41" t="s">
        <v>52</v>
      </c>
      <c r="AF122" s="11" t="s">
        <v>153</v>
      </c>
      <c r="AG122" s="11" t="s">
        <v>168</v>
      </c>
      <c r="AH122" s="14" t="s">
        <v>122</v>
      </c>
      <c r="AI122" s="86" t="s">
        <v>33</v>
      </c>
      <c r="AJ122" s="113" t="str">
        <f>IF(COUNTIFS(Admin!$A$29:$A$40,AI122)&gt;0,Admin!$A$28,IF(COUNTIFS(Admin!$B$29:$B$40,AI122)&gt;0,Admin!$B$28,IF(COUNTIFS(Admin!$C$29:$C$40,AI122)&gt;0,Admin!$C$28,IF(COUNTIFS(Admin!$D$29:$D$40,AI122)&gt;0,Admin!$D$28,"-"))))</f>
        <v>2. mérföldkő</v>
      </c>
      <c r="AK122" s="14" t="s">
        <v>7</v>
      </c>
      <c r="AL122" s="9" t="s">
        <v>56</v>
      </c>
      <c r="AM122" s="131">
        <v>1590000</v>
      </c>
      <c r="AN122" s="132">
        <f t="shared" si="115"/>
        <v>206700</v>
      </c>
      <c r="AO122" s="121">
        <v>174</v>
      </c>
      <c r="AP122" s="121">
        <v>70</v>
      </c>
      <c r="AQ122" s="354">
        <f t="shared" si="182"/>
        <v>0.40229885057471265</v>
      </c>
      <c r="AR122" s="133">
        <f t="shared" si="214"/>
        <v>639655</v>
      </c>
      <c r="AS122" s="133">
        <f t="shared" si="184"/>
        <v>83155</v>
      </c>
      <c r="AT122" s="123">
        <f t="shared" si="185"/>
        <v>1.0843634784540868E-7</v>
      </c>
      <c r="AU122" s="124">
        <v>0.13</v>
      </c>
      <c r="AV122" s="394" t="s">
        <v>2766</v>
      </c>
      <c r="AW122" s="15">
        <v>44936</v>
      </c>
      <c r="AX122" s="12" t="s">
        <v>206</v>
      </c>
      <c r="AZ122" s="8" t="str">
        <f>IF(VLOOKUP(LEFT($AB122,10),'Havi béradatok'!$B:$E,2,FALSE)=AG122,"EGYEZIK","HIBÁS")</f>
        <v>EGYEZIK</v>
      </c>
      <c r="BA122" s="1">
        <f>VLOOKUP(LEFT($AB122,10),'Havi béradatok'!$B:$E,3,FALSE)-AM122</f>
        <v>0</v>
      </c>
      <c r="BB122" s="1">
        <f>VLOOKUP(LEFT($AB122,10),'Havi béradatok'!$B:$E,4,FALSE)-AN122</f>
        <v>109200</v>
      </c>
      <c r="BC122" s="1" t="s">
        <v>2822</v>
      </c>
      <c r="BD122" s="1" t="str">
        <f t="shared" si="320"/>
        <v>Kutató_MK_2 - Kutató</v>
      </c>
    </row>
    <row r="123" spans="1:56" s="1" customFormat="1" hidden="1" x14ac:dyDescent="0.25">
      <c r="A123" s="264" t="str">
        <f>Bérköltség!$B123</f>
        <v>FEOR</v>
      </c>
      <c r="B123" s="264" t="str">
        <f>IFERROR(
IF(AND(Bérköltség!$F123="",H123="NA"),"HIÁNYOS ADATOK",
IF(Bérköltség!$F123&lt;Bérköltség!$U123,Admin!$B$18,Admin!$B$17)),
"")</f>
        <v>FEOR</v>
      </c>
      <c r="C123" s="265">
        <f>IFERROR(INDEX('Historikus berek_2021-2'!$A$1:$F$903,MATCH(AB123,'Historikus berek_2021-2'!$A$1:$A$903,0),4),"")</f>
        <v>1123333.3333333333</v>
      </c>
      <c r="D123" s="279">
        <f t="shared" si="321"/>
        <v>451915.70881226053</v>
      </c>
      <c r="E123" s="265">
        <f t="shared" si="322"/>
        <v>639655</v>
      </c>
      <c r="F123" s="266">
        <f t="shared" si="323"/>
        <v>212145.39904214552</v>
      </c>
      <c r="G123" s="267">
        <f t="shared" si="324"/>
        <v>510664.75095785438</v>
      </c>
      <c r="H123" s="268">
        <f>IFERROR(INDEX('FEOR kodok'!$A$2:$J$1126,MATCH(Bérköltség!AB123,'FEOR kodok'!$B$2:$B$1126,0),8),"NA")</f>
        <v>2117</v>
      </c>
      <c r="I123" s="269">
        <f>IFERROR(INDEX('FEOR kodok'!$A$2:$J$1126,MATCH(Bérköltség!AB123,'FEOR kodok'!$B$2:$B$1126,0),10),"NA")</f>
        <v>45</v>
      </c>
      <c r="J123" s="276" t="str">
        <f t="shared" si="325"/>
        <v>40–49 éves</v>
      </c>
      <c r="K123" s="269" t="str">
        <f>IFERROR(INDEX(admin_feor[#All],MATCH(Bérköltség!H123,admin_feor[[#All],[Foglalkozás]],0),2),"NA")</f>
        <v>Vegyészmérnök</v>
      </c>
      <c r="L123" s="270">
        <f>IFERROR(
INDEX('Admin - FEOR'!$A$4:$F$465,MATCH(Bérköltség!H123,'Admin - FEOR'!$A$4:$A$465,0),
IF(J123="30 év alatt",3,
IF(J123="30–39 éves",4,
IF(J123="40–49 éves",5,
IF(J123="50 év és afelett",6
)))))*1,"NA")</f>
        <v>824591</v>
      </c>
      <c r="M123" s="270">
        <f t="shared" si="326"/>
        <v>1590000</v>
      </c>
      <c r="N123" s="318">
        <f t="shared" si="327"/>
        <v>1.9282286612393296</v>
      </c>
      <c r="O123" s="270">
        <f>IFERROR(
INDEX('Admin - FEOR'!$A$4:$F$465,MATCH(Bérköltség!H123,'Admin - FEOR'!$A$4:$A$465,0),
IF(J123="30 év alatt",3,
IF(J123="30–39 éves",4,
IF(J123="40–49 éves",5,
IF(J123="50 év és afelett",6
)))))*1.5,"NA")</f>
        <v>1236886.5</v>
      </c>
      <c r="P123" s="270">
        <f t="shared" si="328"/>
        <v>497598.0172413793</v>
      </c>
      <c r="Q123" s="270">
        <f t="shared" si="329"/>
        <v>639655</v>
      </c>
      <c r="R123" s="275">
        <f t="shared" si="330"/>
        <v>0.40229885057471265</v>
      </c>
      <c r="S123" s="270">
        <f t="shared" si="331"/>
        <v>142056.9827586207</v>
      </c>
      <c r="T123" s="270">
        <f t="shared" si="332"/>
        <v>18467.407758620691</v>
      </c>
      <c r="U123" s="271">
        <f t="shared" si="333"/>
        <v>160524.39051724138</v>
      </c>
      <c r="V123" s="272">
        <f t="shared" si="334"/>
        <v>562285.60948275868</v>
      </c>
      <c r="W123" s="273" t="str">
        <f t="shared" si="335"/>
        <v>Indoklás szükséges mivel a FEOR: 192,8%</v>
      </c>
      <c r="X123" s="372">
        <f t="shared" si="336"/>
        <v>160524.39051724138</v>
      </c>
      <c r="Y123" s="317">
        <f t="shared" si="337"/>
        <v>497598</v>
      </c>
      <c r="Z123" s="317">
        <f t="shared" si="338"/>
        <v>64688</v>
      </c>
      <c r="AA123" s="12">
        <v>2</v>
      </c>
      <c r="AB123" s="274">
        <v>8407181587</v>
      </c>
      <c r="AC123" s="40" t="s">
        <v>354</v>
      </c>
      <c r="AD123" s="82" t="s">
        <v>75</v>
      </c>
      <c r="AE123" s="41" t="s">
        <v>52</v>
      </c>
      <c r="AF123" s="11" t="s">
        <v>153</v>
      </c>
      <c r="AG123" s="11" t="s">
        <v>168</v>
      </c>
      <c r="AH123" s="14" t="s">
        <v>122</v>
      </c>
      <c r="AI123" s="86" t="s">
        <v>34</v>
      </c>
      <c r="AJ123" s="113" t="str">
        <f>IF(COUNTIFS(Admin!$A$29:$A$40,AI123)&gt;0,Admin!$A$28,IF(COUNTIFS(Admin!$B$29:$B$40,AI123)&gt;0,Admin!$B$28,IF(COUNTIFS(Admin!$C$29:$C$40,AI123)&gt;0,Admin!$C$28,IF(COUNTIFS(Admin!$D$29:$D$40,AI123)&gt;0,Admin!$D$28,"-"))))</f>
        <v>2. mérföldkő</v>
      </c>
      <c r="AK123" s="14" t="s">
        <v>7</v>
      </c>
      <c r="AL123" s="9" t="s">
        <v>56</v>
      </c>
      <c r="AM123" s="131">
        <v>1590000</v>
      </c>
      <c r="AN123" s="132">
        <f t="shared" si="115"/>
        <v>206700</v>
      </c>
      <c r="AO123" s="121">
        <v>174</v>
      </c>
      <c r="AP123" s="121">
        <v>70</v>
      </c>
      <c r="AQ123" s="354">
        <f t="shared" si="182"/>
        <v>0.40229885057471265</v>
      </c>
      <c r="AR123" s="133">
        <f t="shared" si="214"/>
        <v>639655</v>
      </c>
      <c r="AS123" s="133">
        <f t="shared" si="184"/>
        <v>83155</v>
      </c>
      <c r="AT123" s="123">
        <f t="shared" si="185"/>
        <v>1.0843634784540868E-7</v>
      </c>
      <c r="AU123" s="124">
        <v>0.13</v>
      </c>
      <c r="AV123" s="394" t="s">
        <v>2766</v>
      </c>
      <c r="AW123" s="15">
        <v>44936</v>
      </c>
      <c r="AX123" s="12" t="s">
        <v>206</v>
      </c>
      <c r="BC123" s="1" t="s">
        <v>2822</v>
      </c>
      <c r="BD123" s="1" t="str">
        <f t="shared" si="320"/>
        <v>Kutató_MK_2 - Kutató</v>
      </c>
    </row>
    <row r="124" spans="1:56" s="1" customFormat="1" x14ac:dyDescent="0.25">
      <c r="A124" s="264" t="str">
        <f>Bérköltség!$B124</f>
        <v>FEOR</v>
      </c>
      <c r="B124" s="264" t="str">
        <f>IFERROR(
IF(AND(Bérköltség!$F124="",H124="NA"),"HIÁNYOS ADATOK",
IF(Bérköltség!$F124&lt;Bérköltség!$U124,Admin!$B$18,Admin!$B$17)),
"")</f>
        <v>FEOR</v>
      </c>
      <c r="C124" s="265">
        <f>IFERROR(INDEX('Historikus berek_2021-2'!$A$1:$F$903,MATCH(AB124,'Historikus berek_2021-2'!$A$1:$A$903,0),4),"")</f>
        <v>1123333.3333333333</v>
      </c>
      <c r="D124" s="279">
        <f t="shared" ref="D124:D129" si="339">IFERROR(C124*AQ124,"")</f>
        <v>426091.95402298844</v>
      </c>
      <c r="E124" s="265">
        <f t="shared" ref="E124:E129" si="340">AR124</f>
        <v>603103</v>
      </c>
      <c r="F124" s="266">
        <f t="shared" ref="F124:F129" si="341">IFERROR(IF((E124*(1+AU124)-D124*(1+AU124))&lt;0,0,(E124*(1+AU124)-D124*(1+AU124))),"")</f>
        <v>200022.48195402301</v>
      </c>
      <c r="G124" s="267">
        <f t="shared" ref="G124:G129" si="342">IFERROR((E124*(1+AU124)-F124),"")</f>
        <v>481483.90804597689</v>
      </c>
      <c r="H124" s="268">
        <f>IFERROR(INDEX('FEOR kodok'!$A$2:$J$1126,MATCH(Bérköltség!AB124,'FEOR kodok'!$B$2:$B$1126,0),8),"NA")</f>
        <v>2117</v>
      </c>
      <c r="I124" s="269">
        <f>IFERROR(INDEX('FEOR kodok'!$A$2:$J$1126,MATCH(Bérköltség!AB124,'FEOR kodok'!$B$2:$B$1126,0),10),"NA")</f>
        <v>45</v>
      </c>
      <c r="J124" s="276" t="str">
        <f t="shared" ref="J124:J129" si="343">IF(I124="NA","NA",
IF(I124&lt;30,"30 év alatt",
IF(AND(I124&gt;=30,I124&lt;=39),"30–39 éves",
IF(AND(I124&gt;=40,I124&lt;=49),"40–49 éves",
IF(I124&gt;=50,"50 év és afelett",
"")))))</f>
        <v>40–49 éves</v>
      </c>
      <c r="K124" s="269" t="str">
        <f>IFERROR(INDEX(admin_feor[#All],MATCH(Bérköltség!H124,admin_feor[[#All],[Foglalkozás]],0),2),"NA")</f>
        <v>Vegyészmérnök</v>
      </c>
      <c r="L124" s="270">
        <f>IFERROR(
INDEX('Admin - FEOR'!$A$4:$F$465,MATCH(Bérköltség!H124,'Admin - FEOR'!$A$4:$A$465,0),
IF(J124="30 év alatt",3,
IF(J124="30–39 éves",4,
IF(J124="40–49 éves",5,
IF(J124="50 év és afelett",6
)))))*1,"NA")</f>
        <v>824591</v>
      </c>
      <c r="M124" s="270">
        <f t="shared" ref="M124:M129" si="344">AM124</f>
        <v>1590000</v>
      </c>
      <c r="N124" s="318">
        <f t="shared" ref="N124:N129" si="345">IFERROR(
M124/L124,"NA")</f>
        <v>1.9282286612393296</v>
      </c>
      <c r="O124" s="270">
        <f>IFERROR(
INDEX('Admin - FEOR'!$A$4:$F$465,MATCH(Bérköltség!H124,'Admin - FEOR'!$A$4:$A$465,0),
IF(J124="30 év alatt",3,
IF(J124="30–39 éves",4,
IF(J124="40–49 éves",5,
IF(J124="50 év és afelett",6
)))))*1.5,"NA")</f>
        <v>1236886.5</v>
      </c>
      <c r="P124" s="270">
        <f t="shared" ref="P124:P129" si="346">IFERROR(
AQ124*O124,"NA")</f>
        <v>469163.8448275862</v>
      </c>
      <c r="Q124" s="270">
        <f t="shared" ref="Q124:Q129" si="347">IFERROR(AR124,"")</f>
        <v>603103</v>
      </c>
      <c r="R124" s="275">
        <f t="shared" ref="R124:R129" si="348">IFERROR(AQ124,"")</f>
        <v>0.37931034482758619</v>
      </c>
      <c r="S124" s="270">
        <f t="shared" ref="S124:S129" si="349">IFERROR(
IF(AR124-P124&lt;0,0,AR124-P124),"NA")</f>
        <v>133939.1551724138</v>
      </c>
      <c r="T124" s="270">
        <f t="shared" ref="T124:T129" si="350">IFERROR(
S124*AU124,"NA")</f>
        <v>17412.090172413795</v>
      </c>
      <c r="U124" s="271">
        <f t="shared" ref="U124:U129" si="351">IFERROR(
S124+T124,"NA")</f>
        <v>151351.24534482759</v>
      </c>
      <c r="V124" s="272">
        <f t="shared" ref="V124:V129" si="352">IFERROR(
IF(U124&gt;0,AR124+AS124-U124,AR124+AS124),"NA")</f>
        <v>530154.75465517235</v>
      </c>
      <c r="W124" s="273" t="str">
        <f t="shared" ref="W124:W129" si="353">IF(P124="NA","FEOR hiányzik",
IF(AND(N124&gt;1,A124="FEOR"),CONCATENATE("Indoklás szükséges mivel a FEOR: ",ROUND(N124*100,1),"%"),"Nem szükséges indoklás.")
)</f>
        <v>Indoklás szükséges mivel a FEOR: 192,8%</v>
      </c>
      <c r="X124" s="372">
        <f t="shared" ref="X124:X129" si="354">IF(A124="FEOR",U124,IF(A124="HIÁNYOS ADATOK","HIÁNYOS ADATOK",F124))</f>
        <v>151351.24534482759</v>
      </c>
      <c r="Y124" s="317">
        <f t="shared" ref="Y124:Y129" si="355">IF(A124="FEOR",ROUND((V124/(1+AU124)),0),IF(A124="HIÁNYOS ADATOK","HIÁNYOS ADATOK",ROUND(G124/(1+AU124),0)))</f>
        <v>469163</v>
      </c>
      <c r="Z124" s="317">
        <f t="shared" ref="Z124:Z129" si="356">IF(A124="FEOR",ROUND((V124-Y124),0),IF(A124="HIÁNYOS ADATOK","HIÁNYOS ADATOK",ROUND((G124-Y124),0)))</f>
        <v>60992</v>
      </c>
      <c r="AA124" s="36"/>
      <c r="AB124" s="274">
        <v>8407181587</v>
      </c>
      <c r="AC124" s="40" t="s">
        <v>354</v>
      </c>
      <c r="AD124" s="82" t="s">
        <v>75</v>
      </c>
      <c r="AE124" s="41" t="s">
        <v>52</v>
      </c>
      <c r="AF124" s="11" t="s">
        <v>153</v>
      </c>
      <c r="AG124" s="11" t="s">
        <v>168</v>
      </c>
      <c r="AH124" s="14" t="s">
        <v>122</v>
      </c>
      <c r="AI124" s="86" t="s">
        <v>35</v>
      </c>
      <c r="AJ124" s="113" t="str">
        <f>IF(COUNTIFS(Admin!$A$29:$A$40,AI124)&gt;0,Admin!$A$28,IF(COUNTIFS(Admin!$B$29:$B$40,AI124)&gt;0,Admin!$B$28,IF(COUNTIFS(Admin!$C$29:$C$40,AI124)&gt;0,Admin!$C$28,IF(COUNTIFS(Admin!$D$29:$D$40,AI124)&gt;0,Admin!$D$28,"-"))))</f>
        <v>3. mérföldkő</v>
      </c>
      <c r="AK124" s="14" t="s">
        <v>7</v>
      </c>
      <c r="AL124" s="9" t="s">
        <v>56</v>
      </c>
      <c r="AM124" s="131">
        <v>1590000</v>
      </c>
      <c r="AN124" s="132">
        <f t="shared" ref="AN124" si="357">IFERROR(ROUND(AM124*AU124,0),"")</f>
        <v>206700</v>
      </c>
      <c r="AO124" s="121">
        <v>174</v>
      </c>
      <c r="AP124" s="121">
        <v>66</v>
      </c>
      <c r="AQ124" s="354">
        <f t="shared" ref="AQ124" si="358">IFERROR(AP124/AO124,"")</f>
        <v>0.37931034482758619</v>
      </c>
      <c r="AR124" s="133">
        <f t="shared" ref="AR124" si="359">IFERROR(ROUND(AM124*AP124/AO124,0),"")</f>
        <v>603103</v>
      </c>
      <c r="AS124" s="133">
        <f t="shared" ref="AS124" si="360">IFERROR(ROUND(AR124*AU124,0),"")</f>
        <v>78403</v>
      </c>
      <c r="AT124" s="123">
        <f t="shared" ref="AT124" si="361">IFERROR(AP124/AO124-AR124/AM124,"")</f>
        <v>2.8193450440916479E-7</v>
      </c>
      <c r="AU124" s="124">
        <v>0.13</v>
      </c>
      <c r="AV124" s="394" t="s">
        <v>2766</v>
      </c>
      <c r="AW124" s="15">
        <v>45002</v>
      </c>
      <c r="AX124" s="12" t="s">
        <v>206</v>
      </c>
      <c r="AZ124" s="1" t="str">
        <f>IF(VLOOKUP(LEFT($AB124,10),'Havi béradatok'!$B:$E,2,FALSE)=AG124,"EGYEZIK","HIBÁS")</f>
        <v>EGYEZIK</v>
      </c>
      <c r="BA124" s="1">
        <f>VLOOKUP(LEFT($AB124,10),'Havi béradatok'!$B:$E,3,FALSE)-AM124</f>
        <v>0</v>
      </c>
      <c r="BB124" s="391">
        <f>VLOOKUP(LEFT($AB124,10),'Havi béradatok'!$B:$E,4,FALSE)-AN124</f>
        <v>109200</v>
      </c>
      <c r="BC124" s="400" t="s">
        <v>2822</v>
      </c>
      <c r="BD124" s="400"/>
    </row>
    <row r="125" spans="1:56" s="1" customFormat="1" hidden="1" x14ac:dyDescent="0.25">
      <c r="A125" s="264" t="str">
        <f>Bérköltség!$B125</f>
        <v>FEOR</v>
      </c>
      <c r="B125" s="264" t="str">
        <f>IFERROR(
IF(AND(Bérköltség!$F125="",H125="NA"),"HIÁNYOS ADATOK",
IF(Bérköltség!$F125&lt;Bérköltség!$U125,Admin!$B$18,Admin!$B$17)),
"")</f>
        <v>FEOR</v>
      </c>
      <c r="C125" s="265">
        <f>IFERROR(INDEX('Historikus berek_2021-2'!$A$1:$F$903,MATCH(AB125,'Historikus berek_2021-2'!$A$1:$A$903,0),4),"")</f>
        <v>1123333.3333333333</v>
      </c>
      <c r="D125" s="279">
        <f t="shared" si="339"/>
        <v>426091.95402298844</v>
      </c>
      <c r="E125" s="265">
        <f t="shared" si="340"/>
        <v>603103</v>
      </c>
      <c r="F125" s="266">
        <f t="shared" si="341"/>
        <v>200022.48195402301</v>
      </c>
      <c r="G125" s="267">
        <f t="shared" si="342"/>
        <v>481483.90804597689</v>
      </c>
      <c r="H125" s="268">
        <f>IFERROR(INDEX('FEOR kodok'!$A$2:$J$1126,MATCH(Bérköltség!AB125,'FEOR kodok'!$B$2:$B$1126,0),8),"NA")</f>
        <v>2117</v>
      </c>
      <c r="I125" s="269">
        <f>IFERROR(INDEX('FEOR kodok'!$A$2:$J$1126,MATCH(Bérköltség!AB125,'FEOR kodok'!$B$2:$B$1126,0),10),"NA")</f>
        <v>45</v>
      </c>
      <c r="J125" s="276" t="str">
        <f t="shared" si="343"/>
        <v>40–49 éves</v>
      </c>
      <c r="K125" s="269" t="str">
        <f>IFERROR(INDEX(admin_feor[#All],MATCH(Bérköltség!H125,admin_feor[[#All],[Foglalkozás]],0),2),"NA")</f>
        <v>Vegyészmérnök</v>
      </c>
      <c r="L125" s="270">
        <f>IFERROR(
INDEX('Admin - FEOR'!$A$4:$F$465,MATCH(Bérköltség!H125,'Admin - FEOR'!$A$4:$A$465,0),
IF(J125="30 év alatt",3,
IF(J125="30–39 éves",4,
IF(J125="40–49 éves",5,
IF(J125="50 év és afelett",6
)))))*1,"NA")</f>
        <v>824591</v>
      </c>
      <c r="M125" s="270">
        <f t="shared" si="344"/>
        <v>1590000</v>
      </c>
      <c r="N125" s="318">
        <f t="shared" si="345"/>
        <v>1.9282286612393296</v>
      </c>
      <c r="O125" s="270">
        <f>IFERROR(
INDEX('Admin - FEOR'!$A$4:$F$465,MATCH(Bérköltség!H125,'Admin - FEOR'!$A$4:$A$465,0),
IF(J125="30 év alatt",3,
IF(J125="30–39 éves",4,
IF(J125="40–49 éves",5,
IF(J125="50 év és afelett",6
)))))*1.5,"NA")</f>
        <v>1236886.5</v>
      </c>
      <c r="P125" s="270">
        <f t="shared" si="346"/>
        <v>469163.8448275862</v>
      </c>
      <c r="Q125" s="270">
        <f t="shared" si="347"/>
        <v>603103</v>
      </c>
      <c r="R125" s="275">
        <f t="shared" si="348"/>
        <v>0.37931034482758619</v>
      </c>
      <c r="S125" s="270">
        <f t="shared" si="349"/>
        <v>133939.1551724138</v>
      </c>
      <c r="T125" s="270">
        <f t="shared" si="350"/>
        <v>17412.090172413795</v>
      </c>
      <c r="U125" s="271">
        <f t="shared" si="351"/>
        <v>151351.24534482759</v>
      </c>
      <c r="V125" s="272">
        <f t="shared" si="352"/>
        <v>530154.75465517235</v>
      </c>
      <c r="W125" s="273" t="str">
        <f t="shared" si="353"/>
        <v>Indoklás szükséges mivel a FEOR: 192,8%</v>
      </c>
      <c r="X125" s="372">
        <f t="shared" si="354"/>
        <v>151351.24534482759</v>
      </c>
      <c r="Y125" s="317">
        <f t="shared" si="355"/>
        <v>469163</v>
      </c>
      <c r="Z125" s="317">
        <f t="shared" si="356"/>
        <v>60992</v>
      </c>
      <c r="AA125" s="36"/>
      <c r="AB125" s="274">
        <v>8407181587</v>
      </c>
      <c r="AC125" s="40" t="s">
        <v>354</v>
      </c>
      <c r="AD125" s="82" t="s">
        <v>75</v>
      </c>
      <c r="AE125" s="41" t="s">
        <v>52</v>
      </c>
      <c r="AF125" s="11" t="s">
        <v>153</v>
      </c>
      <c r="AG125" s="11" t="s">
        <v>168</v>
      </c>
      <c r="AH125" s="14" t="s">
        <v>122</v>
      </c>
      <c r="AI125" s="86" t="s">
        <v>36</v>
      </c>
      <c r="AJ125" s="113" t="str">
        <f>IF(COUNTIFS(Admin!$A$29:$A$40,AI125)&gt;0,Admin!$A$28,IF(COUNTIFS(Admin!$B$29:$B$40,AI125)&gt;0,Admin!$B$28,IF(COUNTIFS(Admin!$C$29:$C$40,AI125)&gt;0,Admin!$C$28,IF(COUNTIFS(Admin!$D$29:$D$40,AI125)&gt;0,Admin!$D$28,"-"))))</f>
        <v>3. mérföldkő</v>
      </c>
      <c r="AK125" s="14" t="s">
        <v>141</v>
      </c>
      <c r="AL125" s="9" t="s">
        <v>56</v>
      </c>
      <c r="AM125" s="131">
        <v>1590000</v>
      </c>
      <c r="AN125" s="132">
        <f t="shared" ref="AN125:AN129" si="362">IFERROR(ROUND(AM125*AU125,0),"")</f>
        <v>206700</v>
      </c>
      <c r="AO125" s="121">
        <v>174</v>
      </c>
      <c r="AP125" s="121">
        <v>66</v>
      </c>
      <c r="AQ125" s="354">
        <f t="shared" ref="AQ125:AQ129" si="363">IFERROR(AP125/AO125,"")</f>
        <v>0.37931034482758619</v>
      </c>
      <c r="AR125" s="133">
        <f t="shared" ref="AR125:AR129" si="364">IFERROR(ROUND(AM125*AP125/AO125,0),"")</f>
        <v>603103</v>
      </c>
      <c r="AS125" s="133">
        <f t="shared" ref="AS125:AS129" si="365">IFERROR(ROUND(AR125*AU125,0),"")</f>
        <v>78403</v>
      </c>
      <c r="AT125" s="123">
        <f t="shared" ref="AT125:AT129" si="366">IFERROR(AP125/AO125-AR125/AM125,"")</f>
        <v>2.8193450440916479E-7</v>
      </c>
      <c r="AU125" s="124">
        <v>0.13</v>
      </c>
      <c r="AV125" s="394" t="s">
        <v>2766</v>
      </c>
      <c r="AW125" s="15">
        <v>45002</v>
      </c>
      <c r="AX125" s="12" t="s">
        <v>206</v>
      </c>
      <c r="BC125" s="1" t="s">
        <v>2822</v>
      </c>
    </row>
    <row r="126" spans="1:56" s="1" customFormat="1" hidden="1" x14ac:dyDescent="0.25">
      <c r="A126" s="264" t="str">
        <f>Bérköltség!$B126</f>
        <v>FEOR</v>
      </c>
      <c r="B126" s="264" t="str">
        <f>IFERROR(
IF(AND(Bérköltség!$F126="",H126="NA"),"HIÁNYOS ADATOK",
IF(Bérköltség!$F126&lt;Bérköltség!$U126,Admin!$B$18,Admin!$B$17)),
"")</f>
        <v>FEOR</v>
      </c>
      <c r="C126" s="265">
        <f>IFERROR(INDEX('Historikus berek_2021-2'!$A$1:$F$903,MATCH(AB126,'Historikus berek_2021-2'!$A$1:$A$903,0),4),"")</f>
        <v>1123333.3333333333</v>
      </c>
      <c r="D126" s="279">
        <f t="shared" si="339"/>
        <v>426091.95402298844</v>
      </c>
      <c r="E126" s="265">
        <f t="shared" si="340"/>
        <v>603103</v>
      </c>
      <c r="F126" s="266">
        <f t="shared" si="341"/>
        <v>200022.48195402301</v>
      </c>
      <c r="G126" s="267">
        <f t="shared" si="342"/>
        <v>481483.90804597689</v>
      </c>
      <c r="H126" s="268">
        <f>IFERROR(INDEX('FEOR kodok'!$A$2:$J$1126,MATCH(Bérköltség!AB126,'FEOR kodok'!$B$2:$B$1126,0),8),"NA")</f>
        <v>2117</v>
      </c>
      <c r="I126" s="269">
        <f>IFERROR(INDEX('FEOR kodok'!$A$2:$J$1126,MATCH(Bérköltség!AB126,'FEOR kodok'!$B$2:$B$1126,0),10),"NA")</f>
        <v>45</v>
      </c>
      <c r="J126" s="276" t="str">
        <f t="shared" si="343"/>
        <v>40–49 éves</v>
      </c>
      <c r="K126" s="269" t="str">
        <f>IFERROR(INDEX(admin_feor[#All],MATCH(Bérköltség!H126,admin_feor[[#All],[Foglalkozás]],0),2),"NA")</f>
        <v>Vegyészmérnök</v>
      </c>
      <c r="L126" s="270">
        <f>IFERROR(
INDEX('Admin - FEOR'!$A$4:$F$465,MATCH(Bérköltség!H126,'Admin - FEOR'!$A$4:$A$465,0),
IF(J126="30 év alatt",3,
IF(J126="30–39 éves",4,
IF(J126="40–49 éves",5,
IF(J126="50 év és afelett",6
)))))*1,"NA")</f>
        <v>824591</v>
      </c>
      <c r="M126" s="270">
        <f t="shared" si="344"/>
        <v>1590000</v>
      </c>
      <c r="N126" s="318">
        <f t="shared" si="345"/>
        <v>1.9282286612393296</v>
      </c>
      <c r="O126" s="270">
        <f>IFERROR(
INDEX('Admin - FEOR'!$A$4:$F$465,MATCH(Bérköltség!H126,'Admin - FEOR'!$A$4:$A$465,0),
IF(J126="30 év alatt",3,
IF(J126="30–39 éves",4,
IF(J126="40–49 éves",5,
IF(J126="50 év és afelett",6
)))))*1.5,"NA")</f>
        <v>1236886.5</v>
      </c>
      <c r="P126" s="270">
        <f t="shared" si="346"/>
        <v>469163.8448275862</v>
      </c>
      <c r="Q126" s="270">
        <f t="shared" si="347"/>
        <v>603103</v>
      </c>
      <c r="R126" s="275">
        <f t="shared" si="348"/>
        <v>0.37931034482758619</v>
      </c>
      <c r="S126" s="270">
        <f t="shared" si="349"/>
        <v>133939.1551724138</v>
      </c>
      <c r="T126" s="270">
        <f t="shared" si="350"/>
        <v>17412.090172413795</v>
      </c>
      <c r="U126" s="271">
        <f t="shared" si="351"/>
        <v>151351.24534482759</v>
      </c>
      <c r="V126" s="272">
        <f t="shared" si="352"/>
        <v>530154.75465517235</v>
      </c>
      <c r="W126" s="273" t="str">
        <f t="shared" si="353"/>
        <v>Indoklás szükséges mivel a FEOR: 192,8%</v>
      </c>
      <c r="X126" s="372">
        <f t="shared" si="354"/>
        <v>151351.24534482759</v>
      </c>
      <c r="Y126" s="317">
        <f t="shared" si="355"/>
        <v>469163</v>
      </c>
      <c r="Z126" s="317">
        <f t="shared" si="356"/>
        <v>60992</v>
      </c>
      <c r="AA126" s="36"/>
      <c r="AB126" s="274">
        <v>8407181587</v>
      </c>
      <c r="AC126" s="40" t="s">
        <v>354</v>
      </c>
      <c r="AD126" s="82" t="s">
        <v>75</v>
      </c>
      <c r="AE126" s="41" t="s">
        <v>52</v>
      </c>
      <c r="AF126" s="11" t="s">
        <v>153</v>
      </c>
      <c r="AG126" s="11" t="s">
        <v>168</v>
      </c>
      <c r="AH126" s="14" t="s">
        <v>122</v>
      </c>
      <c r="AI126" s="86" t="s">
        <v>37</v>
      </c>
      <c r="AJ126" s="113" t="str">
        <f>IF(COUNTIFS(Admin!$A$29:$A$40,AI126)&gt;0,Admin!$A$28,IF(COUNTIFS(Admin!$B$29:$B$40,AI126)&gt;0,Admin!$B$28,IF(COUNTIFS(Admin!$C$29:$C$40,AI126)&gt;0,Admin!$C$28,IF(COUNTIFS(Admin!$D$29:$D$40,AI126)&gt;0,Admin!$D$28,"-"))))</f>
        <v>3. mérföldkő</v>
      </c>
      <c r="AK126" s="14" t="s">
        <v>141</v>
      </c>
      <c r="AL126" s="9" t="s">
        <v>56</v>
      </c>
      <c r="AM126" s="131">
        <v>1590000</v>
      </c>
      <c r="AN126" s="132">
        <f t="shared" si="362"/>
        <v>206700</v>
      </c>
      <c r="AO126" s="121">
        <v>174</v>
      </c>
      <c r="AP126" s="121">
        <v>66</v>
      </c>
      <c r="AQ126" s="354">
        <f t="shared" si="363"/>
        <v>0.37931034482758619</v>
      </c>
      <c r="AR126" s="133">
        <f t="shared" si="364"/>
        <v>603103</v>
      </c>
      <c r="AS126" s="133">
        <f t="shared" si="365"/>
        <v>78403</v>
      </c>
      <c r="AT126" s="123">
        <f t="shared" si="366"/>
        <v>2.8193450440916479E-7</v>
      </c>
      <c r="AU126" s="124">
        <v>0.13</v>
      </c>
      <c r="AV126" s="394" t="s">
        <v>2766</v>
      </c>
      <c r="AW126" s="15">
        <v>45002</v>
      </c>
      <c r="AX126" s="12" t="s">
        <v>206</v>
      </c>
      <c r="BC126" s="1" t="s">
        <v>2822</v>
      </c>
    </row>
    <row r="127" spans="1:56" s="1" customFormat="1" hidden="1" x14ac:dyDescent="0.25">
      <c r="A127" s="264" t="str">
        <f>Bérköltség!$B127</f>
        <v>FEOR</v>
      </c>
      <c r="B127" s="264" t="str">
        <f>IFERROR(
IF(AND(Bérköltség!$F127="",H127="NA"),"HIÁNYOS ADATOK",
IF(Bérköltség!$F127&lt;Bérköltség!$U127,Admin!$B$18,Admin!$B$17)),
"")</f>
        <v>FEOR</v>
      </c>
      <c r="C127" s="265">
        <f>IFERROR(INDEX('Historikus berek_2021-2'!$A$1:$F$903,MATCH(AB127,'Historikus berek_2021-2'!$A$1:$A$903,0),4),"")</f>
        <v>1123333.3333333333</v>
      </c>
      <c r="D127" s="279">
        <f t="shared" si="339"/>
        <v>426091.95402298844</v>
      </c>
      <c r="E127" s="265">
        <f t="shared" si="340"/>
        <v>603103</v>
      </c>
      <c r="F127" s="266">
        <f t="shared" si="341"/>
        <v>200022.48195402301</v>
      </c>
      <c r="G127" s="267">
        <f t="shared" si="342"/>
        <v>481483.90804597689</v>
      </c>
      <c r="H127" s="268">
        <f>IFERROR(INDEX('FEOR kodok'!$A$2:$J$1126,MATCH(Bérköltség!AB127,'FEOR kodok'!$B$2:$B$1126,0),8),"NA")</f>
        <v>2117</v>
      </c>
      <c r="I127" s="269">
        <f>IFERROR(INDEX('FEOR kodok'!$A$2:$J$1126,MATCH(Bérköltség!AB127,'FEOR kodok'!$B$2:$B$1126,0),10),"NA")</f>
        <v>45</v>
      </c>
      <c r="J127" s="276" t="str">
        <f t="shared" si="343"/>
        <v>40–49 éves</v>
      </c>
      <c r="K127" s="269" t="str">
        <f>IFERROR(INDEX(admin_feor[#All],MATCH(Bérköltség!H127,admin_feor[[#All],[Foglalkozás]],0),2),"NA")</f>
        <v>Vegyészmérnök</v>
      </c>
      <c r="L127" s="270">
        <f>IFERROR(
INDEX('Admin - FEOR'!$A$4:$F$465,MATCH(Bérköltség!H127,'Admin - FEOR'!$A$4:$A$465,0),
IF(J127="30 év alatt",3,
IF(J127="30–39 éves",4,
IF(J127="40–49 éves",5,
IF(J127="50 év és afelett",6
)))))*1,"NA")</f>
        <v>824591</v>
      </c>
      <c r="M127" s="270">
        <f t="shared" si="344"/>
        <v>1590000</v>
      </c>
      <c r="N127" s="318">
        <f t="shared" si="345"/>
        <v>1.9282286612393296</v>
      </c>
      <c r="O127" s="270">
        <f>IFERROR(
INDEX('Admin - FEOR'!$A$4:$F$465,MATCH(Bérköltség!H127,'Admin - FEOR'!$A$4:$A$465,0),
IF(J127="30 év alatt",3,
IF(J127="30–39 éves",4,
IF(J127="40–49 éves",5,
IF(J127="50 év és afelett",6
)))))*1.5,"NA")</f>
        <v>1236886.5</v>
      </c>
      <c r="P127" s="270">
        <f t="shared" si="346"/>
        <v>469163.8448275862</v>
      </c>
      <c r="Q127" s="270">
        <f t="shared" si="347"/>
        <v>603103</v>
      </c>
      <c r="R127" s="275">
        <f t="shared" si="348"/>
        <v>0.37931034482758619</v>
      </c>
      <c r="S127" s="270">
        <f t="shared" si="349"/>
        <v>133939.1551724138</v>
      </c>
      <c r="T127" s="270">
        <f t="shared" si="350"/>
        <v>17412.090172413795</v>
      </c>
      <c r="U127" s="271">
        <f t="shared" si="351"/>
        <v>151351.24534482759</v>
      </c>
      <c r="V127" s="272">
        <f t="shared" si="352"/>
        <v>530154.75465517235</v>
      </c>
      <c r="W127" s="273" t="str">
        <f t="shared" si="353"/>
        <v>Indoklás szükséges mivel a FEOR: 192,8%</v>
      </c>
      <c r="X127" s="372">
        <f t="shared" si="354"/>
        <v>151351.24534482759</v>
      </c>
      <c r="Y127" s="317">
        <f t="shared" si="355"/>
        <v>469163</v>
      </c>
      <c r="Z127" s="317">
        <f t="shared" si="356"/>
        <v>60992</v>
      </c>
      <c r="AA127" s="36"/>
      <c r="AB127" s="274">
        <v>8407181587</v>
      </c>
      <c r="AC127" s="40" t="s">
        <v>354</v>
      </c>
      <c r="AD127" s="82" t="s">
        <v>75</v>
      </c>
      <c r="AE127" s="41" t="s">
        <v>52</v>
      </c>
      <c r="AF127" s="11" t="s">
        <v>153</v>
      </c>
      <c r="AG127" s="11" t="s">
        <v>168</v>
      </c>
      <c r="AH127" s="14" t="s">
        <v>122</v>
      </c>
      <c r="AI127" s="86" t="s">
        <v>38</v>
      </c>
      <c r="AJ127" s="113" t="str">
        <f>IF(COUNTIFS(Admin!$A$29:$A$40,AI127)&gt;0,Admin!$A$28,IF(COUNTIFS(Admin!$B$29:$B$40,AI127)&gt;0,Admin!$B$28,IF(COUNTIFS(Admin!$C$29:$C$40,AI127)&gt;0,Admin!$C$28,IF(COUNTIFS(Admin!$D$29:$D$40,AI127)&gt;0,Admin!$D$28,"-"))))</f>
        <v>3. mérföldkő</v>
      </c>
      <c r="AK127" s="14" t="s">
        <v>141</v>
      </c>
      <c r="AL127" s="9" t="s">
        <v>56</v>
      </c>
      <c r="AM127" s="131">
        <v>1590000</v>
      </c>
      <c r="AN127" s="132">
        <f t="shared" si="362"/>
        <v>206700</v>
      </c>
      <c r="AO127" s="121">
        <v>174</v>
      </c>
      <c r="AP127" s="121">
        <v>66</v>
      </c>
      <c r="AQ127" s="354">
        <f t="shared" si="363"/>
        <v>0.37931034482758619</v>
      </c>
      <c r="AR127" s="133">
        <f t="shared" si="364"/>
        <v>603103</v>
      </c>
      <c r="AS127" s="133">
        <f t="shared" si="365"/>
        <v>78403</v>
      </c>
      <c r="AT127" s="123">
        <f t="shared" si="366"/>
        <v>2.8193450440916479E-7</v>
      </c>
      <c r="AU127" s="124">
        <v>0.13</v>
      </c>
      <c r="AV127" s="394" t="s">
        <v>2766</v>
      </c>
      <c r="AW127" s="15">
        <v>45002</v>
      </c>
      <c r="AX127" s="12" t="s">
        <v>206</v>
      </c>
      <c r="BC127" s="1" t="s">
        <v>2822</v>
      </c>
    </row>
    <row r="128" spans="1:56" s="1" customFormat="1" hidden="1" x14ac:dyDescent="0.25">
      <c r="A128" s="264" t="str">
        <f>Bérköltség!$B128</f>
        <v>FEOR</v>
      </c>
      <c r="B128" s="264" t="str">
        <f>IFERROR(
IF(AND(Bérköltség!$F128="",H128="NA"),"HIÁNYOS ADATOK",
IF(Bérköltség!$F128&lt;Bérköltség!$U128,Admin!$B$18,Admin!$B$17)),
"")</f>
        <v>FEOR</v>
      </c>
      <c r="C128" s="265">
        <f>IFERROR(INDEX('Historikus berek_2021-2'!$A$1:$F$903,MATCH(AB128,'Historikus berek_2021-2'!$A$1:$A$903,0),4),"")</f>
        <v>1123333.3333333333</v>
      </c>
      <c r="D128" s="279">
        <f t="shared" si="339"/>
        <v>426091.95402298844</v>
      </c>
      <c r="E128" s="265">
        <f t="shared" si="340"/>
        <v>603103</v>
      </c>
      <c r="F128" s="266">
        <f t="shared" si="341"/>
        <v>200022.48195402301</v>
      </c>
      <c r="G128" s="267">
        <f t="shared" si="342"/>
        <v>481483.90804597689</v>
      </c>
      <c r="H128" s="268">
        <f>IFERROR(INDEX('FEOR kodok'!$A$2:$J$1126,MATCH(Bérköltség!AB128,'FEOR kodok'!$B$2:$B$1126,0),8),"NA")</f>
        <v>2117</v>
      </c>
      <c r="I128" s="269">
        <f>IFERROR(INDEX('FEOR kodok'!$A$2:$J$1126,MATCH(Bérköltség!AB128,'FEOR kodok'!$B$2:$B$1126,0),10),"NA")</f>
        <v>45</v>
      </c>
      <c r="J128" s="276" t="str">
        <f t="shared" si="343"/>
        <v>40–49 éves</v>
      </c>
      <c r="K128" s="269" t="str">
        <f>IFERROR(INDEX(admin_feor[#All],MATCH(Bérköltség!H128,admin_feor[[#All],[Foglalkozás]],0),2),"NA")</f>
        <v>Vegyészmérnök</v>
      </c>
      <c r="L128" s="270">
        <f>IFERROR(
INDEX('Admin - FEOR'!$A$4:$F$465,MATCH(Bérköltség!H128,'Admin - FEOR'!$A$4:$A$465,0),
IF(J128="30 év alatt",3,
IF(J128="30–39 éves",4,
IF(J128="40–49 éves",5,
IF(J128="50 év és afelett",6
)))))*1,"NA")</f>
        <v>824591</v>
      </c>
      <c r="M128" s="270">
        <f t="shared" si="344"/>
        <v>1590000</v>
      </c>
      <c r="N128" s="318">
        <f t="shared" si="345"/>
        <v>1.9282286612393296</v>
      </c>
      <c r="O128" s="270">
        <f>IFERROR(
INDEX('Admin - FEOR'!$A$4:$F$465,MATCH(Bérköltség!H128,'Admin - FEOR'!$A$4:$A$465,0),
IF(J128="30 év alatt",3,
IF(J128="30–39 éves",4,
IF(J128="40–49 éves",5,
IF(J128="50 év és afelett",6
)))))*1.5,"NA")</f>
        <v>1236886.5</v>
      </c>
      <c r="P128" s="270">
        <f t="shared" si="346"/>
        <v>469163.8448275862</v>
      </c>
      <c r="Q128" s="270">
        <f t="shared" si="347"/>
        <v>603103</v>
      </c>
      <c r="R128" s="275">
        <f t="shared" si="348"/>
        <v>0.37931034482758619</v>
      </c>
      <c r="S128" s="270">
        <f t="shared" si="349"/>
        <v>133939.1551724138</v>
      </c>
      <c r="T128" s="270">
        <f t="shared" si="350"/>
        <v>17412.090172413795</v>
      </c>
      <c r="U128" s="271">
        <f t="shared" si="351"/>
        <v>151351.24534482759</v>
      </c>
      <c r="V128" s="272">
        <f t="shared" si="352"/>
        <v>530154.75465517235</v>
      </c>
      <c r="W128" s="273" t="str">
        <f t="shared" si="353"/>
        <v>Indoklás szükséges mivel a FEOR: 192,8%</v>
      </c>
      <c r="X128" s="372">
        <f t="shared" si="354"/>
        <v>151351.24534482759</v>
      </c>
      <c r="Y128" s="317">
        <f t="shared" si="355"/>
        <v>469163</v>
      </c>
      <c r="Z128" s="317">
        <f t="shared" si="356"/>
        <v>60992</v>
      </c>
      <c r="AA128" s="36"/>
      <c r="AB128" s="274">
        <v>8407181587</v>
      </c>
      <c r="AC128" s="40" t="s">
        <v>354</v>
      </c>
      <c r="AD128" s="82" t="s">
        <v>75</v>
      </c>
      <c r="AE128" s="41" t="s">
        <v>52</v>
      </c>
      <c r="AF128" s="11" t="s">
        <v>153</v>
      </c>
      <c r="AG128" s="11" t="s">
        <v>168</v>
      </c>
      <c r="AH128" s="14" t="s">
        <v>122</v>
      </c>
      <c r="AI128" s="86" t="s">
        <v>39</v>
      </c>
      <c r="AJ128" s="113" t="str">
        <f>IF(COUNTIFS(Admin!$A$29:$A$40,AI128)&gt;0,Admin!$A$28,IF(COUNTIFS(Admin!$B$29:$B$40,AI128)&gt;0,Admin!$B$28,IF(COUNTIFS(Admin!$C$29:$C$40,AI128)&gt;0,Admin!$C$28,IF(COUNTIFS(Admin!$D$29:$D$40,AI128)&gt;0,Admin!$D$28,"-"))))</f>
        <v>3. mérföldkő</v>
      </c>
      <c r="AK128" s="14" t="s">
        <v>141</v>
      </c>
      <c r="AL128" s="9" t="s">
        <v>56</v>
      </c>
      <c r="AM128" s="131">
        <v>1590000</v>
      </c>
      <c r="AN128" s="132">
        <f t="shared" si="362"/>
        <v>206700</v>
      </c>
      <c r="AO128" s="121">
        <v>174</v>
      </c>
      <c r="AP128" s="121">
        <v>66</v>
      </c>
      <c r="AQ128" s="354">
        <f t="shared" si="363"/>
        <v>0.37931034482758619</v>
      </c>
      <c r="AR128" s="133">
        <f t="shared" si="364"/>
        <v>603103</v>
      </c>
      <c r="AS128" s="133">
        <f t="shared" si="365"/>
        <v>78403</v>
      </c>
      <c r="AT128" s="123">
        <f t="shared" si="366"/>
        <v>2.8193450440916479E-7</v>
      </c>
      <c r="AU128" s="124">
        <v>0.13</v>
      </c>
      <c r="AV128" s="394" t="s">
        <v>2766</v>
      </c>
      <c r="AW128" s="15">
        <v>45002</v>
      </c>
      <c r="AX128" s="12" t="s">
        <v>206</v>
      </c>
      <c r="BC128" s="1" t="s">
        <v>2822</v>
      </c>
    </row>
    <row r="129" spans="1:56" s="1" customFormat="1" hidden="1" x14ac:dyDescent="0.25">
      <c r="A129" s="264" t="str">
        <f>Bérköltség!$B129</f>
        <v>FEOR</v>
      </c>
      <c r="B129" s="264" t="str">
        <f>IFERROR(
IF(AND(Bérköltség!$F129="",H129="NA"),"HIÁNYOS ADATOK",
IF(Bérköltség!$F129&lt;Bérköltség!$U129,Admin!$B$18,Admin!$B$17)),
"")</f>
        <v>FEOR</v>
      </c>
      <c r="C129" s="265">
        <f>IFERROR(INDEX('Historikus berek_2021-2'!$A$1:$F$903,MATCH(AB129,'Historikus berek_2021-2'!$A$1:$A$903,0),4),"")</f>
        <v>1123333.3333333333</v>
      </c>
      <c r="D129" s="279">
        <f t="shared" si="339"/>
        <v>426091.95402298844</v>
      </c>
      <c r="E129" s="265">
        <f t="shared" si="340"/>
        <v>603103</v>
      </c>
      <c r="F129" s="266">
        <f t="shared" si="341"/>
        <v>200022.48195402301</v>
      </c>
      <c r="G129" s="267">
        <f t="shared" si="342"/>
        <v>481483.90804597689</v>
      </c>
      <c r="H129" s="268">
        <f>IFERROR(INDEX('FEOR kodok'!$A$2:$J$1126,MATCH(Bérköltség!AB129,'FEOR kodok'!$B$2:$B$1126,0),8),"NA")</f>
        <v>2117</v>
      </c>
      <c r="I129" s="269">
        <f>IFERROR(INDEX('FEOR kodok'!$A$2:$J$1126,MATCH(Bérköltség!AB129,'FEOR kodok'!$B$2:$B$1126,0),10),"NA")</f>
        <v>45</v>
      </c>
      <c r="J129" s="276" t="str">
        <f t="shared" si="343"/>
        <v>40–49 éves</v>
      </c>
      <c r="K129" s="269" t="str">
        <f>IFERROR(INDEX(admin_feor[#All],MATCH(Bérköltség!H129,admin_feor[[#All],[Foglalkozás]],0),2),"NA")</f>
        <v>Vegyészmérnök</v>
      </c>
      <c r="L129" s="270">
        <f>IFERROR(
INDEX('Admin - FEOR'!$A$4:$F$465,MATCH(Bérköltség!H129,'Admin - FEOR'!$A$4:$A$465,0),
IF(J129="30 év alatt",3,
IF(J129="30–39 éves",4,
IF(J129="40–49 éves",5,
IF(J129="50 év és afelett",6
)))))*1,"NA")</f>
        <v>824591</v>
      </c>
      <c r="M129" s="270">
        <f t="shared" si="344"/>
        <v>1590000</v>
      </c>
      <c r="N129" s="318">
        <f t="shared" si="345"/>
        <v>1.9282286612393296</v>
      </c>
      <c r="O129" s="270">
        <f>IFERROR(
INDEX('Admin - FEOR'!$A$4:$F$465,MATCH(Bérköltség!H129,'Admin - FEOR'!$A$4:$A$465,0),
IF(J129="30 év alatt",3,
IF(J129="30–39 éves",4,
IF(J129="40–49 éves",5,
IF(J129="50 év és afelett",6
)))))*1.5,"NA")</f>
        <v>1236886.5</v>
      </c>
      <c r="P129" s="270">
        <f t="shared" si="346"/>
        <v>469163.8448275862</v>
      </c>
      <c r="Q129" s="270">
        <f t="shared" si="347"/>
        <v>603103</v>
      </c>
      <c r="R129" s="275">
        <f t="shared" si="348"/>
        <v>0.37931034482758619</v>
      </c>
      <c r="S129" s="270">
        <f t="shared" si="349"/>
        <v>133939.1551724138</v>
      </c>
      <c r="T129" s="270">
        <f t="shared" si="350"/>
        <v>17412.090172413795</v>
      </c>
      <c r="U129" s="271">
        <f t="shared" si="351"/>
        <v>151351.24534482759</v>
      </c>
      <c r="V129" s="272">
        <f t="shared" si="352"/>
        <v>530154.75465517235</v>
      </c>
      <c r="W129" s="273" t="str">
        <f t="shared" si="353"/>
        <v>Indoklás szükséges mivel a FEOR: 192,8%</v>
      </c>
      <c r="X129" s="372">
        <f t="shared" si="354"/>
        <v>151351.24534482759</v>
      </c>
      <c r="Y129" s="317">
        <f t="shared" si="355"/>
        <v>469163</v>
      </c>
      <c r="Z129" s="317">
        <f t="shared" si="356"/>
        <v>60992</v>
      </c>
      <c r="AA129" s="36"/>
      <c r="AB129" s="274">
        <v>8407181587</v>
      </c>
      <c r="AC129" s="40" t="s">
        <v>354</v>
      </c>
      <c r="AD129" s="82" t="s">
        <v>75</v>
      </c>
      <c r="AE129" s="41" t="s">
        <v>52</v>
      </c>
      <c r="AF129" s="11" t="s">
        <v>153</v>
      </c>
      <c r="AG129" s="11" t="s">
        <v>168</v>
      </c>
      <c r="AH129" s="14" t="s">
        <v>122</v>
      </c>
      <c r="AI129" s="86" t="s">
        <v>40</v>
      </c>
      <c r="AJ129" s="113" t="str">
        <f>IF(COUNTIFS(Admin!$A$29:$A$40,AI129)&gt;0,Admin!$A$28,IF(COUNTIFS(Admin!$B$29:$B$40,AI129)&gt;0,Admin!$B$28,IF(COUNTIFS(Admin!$C$29:$C$40,AI129)&gt;0,Admin!$C$28,IF(COUNTIFS(Admin!$D$29:$D$40,AI129)&gt;0,Admin!$D$28,"-"))))</f>
        <v>3. mérföldkő</v>
      </c>
      <c r="AK129" s="14" t="s">
        <v>141</v>
      </c>
      <c r="AL129" s="9" t="s">
        <v>56</v>
      </c>
      <c r="AM129" s="131">
        <v>1590000</v>
      </c>
      <c r="AN129" s="132">
        <f t="shared" si="362"/>
        <v>206700</v>
      </c>
      <c r="AO129" s="121">
        <v>174</v>
      </c>
      <c r="AP129" s="121">
        <v>66</v>
      </c>
      <c r="AQ129" s="354">
        <f t="shared" si="363"/>
        <v>0.37931034482758619</v>
      </c>
      <c r="AR129" s="133">
        <f t="shared" si="364"/>
        <v>603103</v>
      </c>
      <c r="AS129" s="133">
        <f t="shared" si="365"/>
        <v>78403</v>
      </c>
      <c r="AT129" s="123">
        <f t="shared" si="366"/>
        <v>2.8193450440916479E-7</v>
      </c>
      <c r="AU129" s="124">
        <v>0.13</v>
      </c>
      <c r="AV129" s="394" t="s">
        <v>2766</v>
      </c>
      <c r="AW129" s="15">
        <v>45002</v>
      </c>
      <c r="AX129" s="12" t="s">
        <v>206</v>
      </c>
      <c r="BC129" s="1" t="s">
        <v>2822</v>
      </c>
    </row>
    <row r="130" spans="1:56" s="1" customFormat="1" hidden="1" x14ac:dyDescent="0.25">
      <c r="A130" s="264" t="str">
        <f>Bérköltség!$B130</f>
        <v>FEOR</v>
      </c>
      <c r="B130" s="264" t="str">
        <f>IFERROR(
IF(AND(Bérköltség!$F130="",H130="NA"),"HIÁNYOS ADATOK",
IF(Bérköltség!$F130&lt;Bérköltség!$U130,Admin!$B$18,Admin!$B$17)),
"")</f>
        <v>FEOR</v>
      </c>
      <c r="C130" s="265">
        <f>IFERROR(INDEX('Historikus berek_2021-2'!$A$1:$F$903,MATCH(AB130,'Historikus berek_2021-2'!$A$1:$A$903,0),4),"")</f>
        <v>395000</v>
      </c>
      <c r="D130" s="279">
        <f t="shared" si="321"/>
        <v>197500</v>
      </c>
      <c r="E130" s="265">
        <f t="shared" si="322"/>
        <v>250750</v>
      </c>
      <c r="F130" s="266">
        <f t="shared" si="323"/>
        <v>60172.500000000029</v>
      </c>
      <c r="G130" s="267">
        <f t="shared" si="324"/>
        <v>223174.99999999997</v>
      </c>
      <c r="H130" s="268">
        <f>IFERROR(INDEX('FEOR kodok'!$A$2:$J$1126,MATCH(Bérköltség!AB130,'FEOR kodok'!$B$2:$B$1126,0),8),"NA")</f>
        <v>2117</v>
      </c>
      <c r="I130" s="269">
        <f>IFERROR(INDEX('FEOR kodok'!$A$2:$J$1126,MATCH(Bérköltség!AB130,'FEOR kodok'!$B$2:$B$1126,0),10),"NA")</f>
        <v>31</v>
      </c>
      <c r="J130" s="276" t="str">
        <f t="shared" si="325"/>
        <v>30–39 éves</v>
      </c>
      <c r="K130" s="269" t="str">
        <f>IFERROR(INDEX(admin_feor[#All],MATCH(Bérköltség!H130,admin_feor[[#All],[Foglalkozás]],0),2),"NA")</f>
        <v>Vegyészmérnök</v>
      </c>
      <c r="L130" s="270">
        <f>IFERROR(
INDEX('Admin - FEOR'!$A$4:$F$465,MATCH(Bérköltség!H130,'Admin - FEOR'!$A$4:$A$465,0),
IF(J130="30 év alatt",3,
IF(J130="30–39 éves",4,
IF(J130="40–49 éves",5,
IF(J130="50 év és afelett",6
)))))*1,"NA")</f>
        <v>696588</v>
      </c>
      <c r="M130" s="270">
        <f t="shared" si="326"/>
        <v>501500</v>
      </c>
      <c r="N130" s="318">
        <f t="shared" si="327"/>
        <v>0.71993775373678559</v>
      </c>
      <c r="O130" s="270">
        <f>IFERROR(
INDEX('Admin - FEOR'!$A$4:$F$465,MATCH(Bérköltség!H130,'Admin - FEOR'!$A$4:$A$465,0),
IF(J130="30 év alatt",3,
IF(J130="30–39 éves",4,
IF(J130="40–49 éves",5,
IF(J130="50 év és afelett",6
)))))*1.5,"NA")</f>
        <v>1044882</v>
      </c>
      <c r="P130" s="270">
        <f t="shared" si="328"/>
        <v>522441</v>
      </c>
      <c r="Q130" s="270">
        <f t="shared" si="329"/>
        <v>250750</v>
      </c>
      <c r="R130" s="275">
        <f t="shared" si="330"/>
        <v>0.5</v>
      </c>
      <c r="S130" s="270">
        <f t="shared" si="331"/>
        <v>0</v>
      </c>
      <c r="T130" s="270">
        <f t="shared" si="332"/>
        <v>0</v>
      </c>
      <c r="U130" s="271">
        <f t="shared" si="333"/>
        <v>0</v>
      </c>
      <c r="V130" s="272">
        <f t="shared" si="334"/>
        <v>283348</v>
      </c>
      <c r="W130" s="273" t="str">
        <f t="shared" si="335"/>
        <v>Nem szükséges indoklás.</v>
      </c>
      <c r="X130" s="372">
        <f t="shared" si="336"/>
        <v>0</v>
      </c>
      <c r="Y130" s="317">
        <f t="shared" si="337"/>
        <v>250750</v>
      </c>
      <c r="Z130" s="317">
        <f t="shared" si="338"/>
        <v>32598</v>
      </c>
      <c r="AA130" s="12">
        <v>2</v>
      </c>
      <c r="AB130" s="274">
        <v>8459031489</v>
      </c>
      <c r="AC130" s="40" t="s">
        <v>220</v>
      </c>
      <c r="AD130" s="82" t="s">
        <v>75</v>
      </c>
      <c r="AE130" s="41" t="s">
        <v>52</v>
      </c>
      <c r="AF130" s="11" t="s">
        <v>152</v>
      </c>
      <c r="AG130" s="11" t="s">
        <v>200</v>
      </c>
      <c r="AH130" s="14" t="s">
        <v>122</v>
      </c>
      <c r="AI130" s="86" t="s">
        <v>23</v>
      </c>
      <c r="AJ130" s="113" t="str">
        <f>IF(COUNTIFS(Admin!$A$29:$A$40,AI130)&gt;0,Admin!$A$28,IF(COUNTIFS(Admin!$B$29:$B$40,AI130)&gt;0,Admin!$B$28,IF(COUNTIFS(Admin!$C$29:$C$40,AI130)&gt;0,Admin!$C$28,IF(COUNTIFS(Admin!$D$29:$D$40,AI130)&gt;0,Admin!$D$28,"-"))))</f>
        <v>2. mérföldkő</v>
      </c>
      <c r="AK130" s="14" t="s">
        <v>7</v>
      </c>
      <c r="AL130" s="9" t="s">
        <v>56</v>
      </c>
      <c r="AM130" s="131">
        <v>501500</v>
      </c>
      <c r="AN130" s="132">
        <f t="shared" si="115"/>
        <v>65195</v>
      </c>
      <c r="AO130" s="121">
        <v>174</v>
      </c>
      <c r="AP130" s="121">
        <v>87</v>
      </c>
      <c r="AQ130" s="354">
        <f t="shared" si="182"/>
        <v>0.5</v>
      </c>
      <c r="AR130" s="133">
        <f t="shared" si="214"/>
        <v>250750</v>
      </c>
      <c r="AS130" s="133">
        <f t="shared" si="184"/>
        <v>32598</v>
      </c>
      <c r="AT130" s="123">
        <f t="shared" si="185"/>
        <v>0</v>
      </c>
      <c r="AU130" s="124">
        <v>0.13</v>
      </c>
      <c r="AV130" s="394" t="s">
        <v>2767</v>
      </c>
      <c r="AW130" s="15">
        <v>44796</v>
      </c>
      <c r="AX130" s="12" t="s">
        <v>206</v>
      </c>
      <c r="BC130" s="1" t="s">
        <v>2823</v>
      </c>
      <c r="BD130" s="1" t="str">
        <f t="shared" ref="BD130:BD136" si="367">CONCATENATE(BC130," - ",AE130)</f>
        <v>Kutató_VM_5 - Kutató</v>
      </c>
    </row>
    <row r="131" spans="1:56" s="1" customFormat="1" hidden="1" x14ac:dyDescent="0.25">
      <c r="A131" s="264" t="str">
        <f>Bérköltség!$B131</f>
        <v>FEOR</v>
      </c>
      <c r="B131" s="264" t="str">
        <f>IFERROR(
IF(AND(Bérköltség!$F131="",H131="NA"),"HIÁNYOS ADATOK",
IF(Bérköltség!$F131&lt;Bérköltség!$U131,Admin!$B$18,Admin!$B$17)),
"")</f>
        <v>FEOR</v>
      </c>
      <c r="C131" s="265">
        <f>IFERROR(INDEX('Historikus berek_2021-2'!$A$1:$F$903,MATCH(AB131,'Historikus berek_2021-2'!$A$1:$A$903,0),4),"")</f>
        <v>395000</v>
      </c>
      <c r="D131" s="279">
        <f t="shared" si="321"/>
        <v>197500</v>
      </c>
      <c r="E131" s="265">
        <f t="shared" si="322"/>
        <v>250750</v>
      </c>
      <c r="F131" s="266">
        <f t="shared" si="323"/>
        <v>60172.500000000029</v>
      </c>
      <c r="G131" s="267">
        <f t="shared" si="324"/>
        <v>223174.99999999997</v>
      </c>
      <c r="H131" s="268">
        <f>IFERROR(INDEX('FEOR kodok'!$A$2:$J$1126,MATCH(Bérköltség!AB131,'FEOR kodok'!$B$2:$B$1126,0),8),"NA")</f>
        <v>2117</v>
      </c>
      <c r="I131" s="269">
        <f>IFERROR(INDEX('FEOR kodok'!$A$2:$J$1126,MATCH(Bérköltség!AB131,'FEOR kodok'!$B$2:$B$1126,0),10),"NA")</f>
        <v>31</v>
      </c>
      <c r="J131" s="276" t="str">
        <f t="shared" si="325"/>
        <v>30–39 éves</v>
      </c>
      <c r="K131" s="269" t="str">
        <f>IFERROR(INDEX(admin_feor[#All],MATCH(Bérköltség!H131,admin_feor[[#All],[Foglalkozás]],0),2),"NA")</f>
        <v>Vegyészmérnök</v>
      </c>
      <c r="L131" s="270">
        <f>IFERROR(
INDEX('Admin - FEOR'!$A$4:$F$465,MATCH(Bérköltség!H131,'Admin - FEOR'!$A$4:$A$465,0),
IF(J131="30 év alatt",3,
IF(J131="30–39 éves",4,
IF(J131="40–49 éves",5,
IF(J131="50 év és afelett",6
)))))*1,"NA")</f>
        <v>696588</v>
      </c>
      <c r="M131" s="270">
        <f t="shared" si="326"/>
        <v>501500</v>
      </c>
      <c r="N131" s="318">
        <f t="shared" si="327"/>
        <v>0.71993775373678559</v>
      </c>
      <c r="O131" s="270">
        <f>IFERROR(
INDEX('Admin - FEOR'!$A$4:$F$465,MATCH(Bérköltség!H131,'Admin - FEOR'!$A$4:$A$465,0),
IF(J131="30 év alatt",3,
IF(J131="30–39 éves",4,
IF(J131="40–49 éves",5,
IF(J131="50 év és afelett",6
)))))*1.5,"NA")</f>
        <v>1044882</v>
      </c>
      <c r="P131" s="270">
        <f t="shared" si="328"/>
        <v>522441</v>
      </c>
      <c r="Q131" s="270">
        <f t="shared" si="329"/>
        <v>250750</v>
      </c>
      <c r="R131" s="275">
        <f t="shared" si="330"/>
        <v>0.5</v>
      </c>
      <c r="S131" s="270">
        <f t="shared" si="331"/>
        <v>0</v>
      </c>
      <c r="T131" s="270">
        <f t="shared" si="332"/>
        <v>0</v>
      </c>
      <c r="U131" s="271">
        <f t="shared" si="333"/>
        <v>0</v>
      </c>
      <c r="V131" s="272">
        <f t="shared" si="334"/>
        <v>283348</v>
      </c>
      <c r="W131" s="273" t="str">
        <f t="shared" si="335"/>
        <v>Nem szükséges indoklás.</v>
      </c>
      <c r="X131" s="372">
        <f t="shared" si="336"/>
        <v>0</v>
      </c>
      <c r="Y131" s="317">
        <f t="shared" si="337"/>
        <v>250750</v>
      </c>
      <c r="Z131" s="317">
        <f t="shared" si="338"/>
        <v>32598</v>
      </c>
      <c r="AA131" s="12">
        <v>2</v>
      </c>
      <c r="AB131" s="274">
        <v>8459031489</v>
      </c>
      <c r="AC131" s="40" t="s">
        <v>220</v>
      </c>
      <c r="AD131" s="82" t="s">
        <v>75</v>
      </c>
      <c r="AE131" s="41" t="s">
        <v>52</v>
      </c>
      <c r="AF131" s="11" t="s">
        <v>152</v>
      </c>
      <c r="AG131" s="11" t="s">
        <v>200</v>
      </c>
      <c r="AH131" s="14" t="s">
        <v>122</v>
      </c>
      <c r="AI131" s="86" t="s">
        <v>24</v>
      </c>
      <c r="AJ131" s="113" t="str">
        <f>IF(COUNTIFS(Admin!$A$29:$A$40,AI131)&gt;0,Admin!$A$28,IF(COUNTIFS(Admin!$B$29:$B$40,AI131)&gt;0,Admin!$B$28,IF(COUNTIFS(Admin!$C$29:$C$40,AI131)&gt;0,Admin!$C$28,IF(COUNTIFS(Admin!$D$29:$D$40,AI131)&gt;0,Admin!$D$28,"-"))))</f>
        <v>2. mérföldkő</v>
      </c>
      <c r="AK131" s="14" t="s">
        <v>7</v>
      </c>
      <c r="AL131" s="9" t="s">
        <v>56</v>
      </c>
      <c r="AM131" s="131">
        <v>501500</v>
      </c>
      <c r="AN131" s="132">
        <f t="shared" ref="AN131:AN237" si="368">IFERROR(ROUND(AM131*AU131,0),"")</f>
        <v>65195</v>
      </c>
      <c r="AO131" s="121">
        <v>174</v>
      </c>
      <c r="AP131" s="121">
        <v>87</v>
      </c>
      <c r="AQ131" s="354">
        <f t="shared" si="182"/>
        <v>0.5</v>
      </c>
      <c r="AR131" s="133">
        <f t="shared" si="214"/>
        <v>250750</v>
      </c>
      <c r="AS131" s="133">
        <f t="shared" si="184"/>
        <v>32598</v>
      </c>
      <c r="AT131" s="123">
        <f t="shared" si="185"/>
        <v>0</v>
      </c>
      <c r="AU131" s="124">
        <v>0.13</v>
      </c>
      <c r="AV131" s="394" t="s">
        <v>2767</v>
      </c>
      <c r="AW131" s="15">
        <v>44796</v>
      </c>
      <c r="AX131" s="12" t="s">
        <v>206</v>
      </c>
      <c r="BC131" s="1" t="s">
        <v>2823</v>
      </c>
      <c r="BD131" s="1" t="str">
        <f t="shared" si="367"/>
        <v>Kutató_VM_5 - Kutató</v>
      </c>
    </row>
    <row r="132" spans="1:56" s="1" customFormat="1" hidden="1" x14ac:dyDescent="0.25">
      <c r="A132" s="264" t="str">
        <f>Bérköltség!$B132</f>
        <v>FEOR</v>
      </c>
      <c r="B132" s="264" t="str">
        <f>IFERROR(
IF(AND(Bérköltség!$F132="",H132="NA"),"HIÁNYOS ADATOK",
IF(Bérköltség!$F132&lt;Bérköltség!$U132,Admin!$B$18,Admin!$B$17)),
"")</f>
        <v>FEOR</v>
      </c>
      <c r="C132" s="265">
        <f>IFERROR(INDEX('Historikus berek_2021-2'!$A$1:$F$903,MATCH(AB132,'Historikus berek_2021-2'!$A$1:$A$903,0),4),"")</f>
        <v>395000</v>
      </c>
      <c r="D132" s="279">
        <f t="shared" si="321"/>
        <v>197500</v>
      </c>
      <c r="E132" s="265">
        <f t="shared" si="322"/>
        <v>250750</v>
      </c>
      <c r="F132" s="266">
        <f t="shared" si="323"/>
        <v>60172.500000000029</v>
      </c>
      <c r="G132" s="267">
        <f t="shared" si="324"/>
        <v>223174.99999999997</v>
      </c>
      <c r="H132" s="268">
        <f>IFERROR(INDEX('FEOR kodok'!$A$2:$J$1126,MATCH(Bérköltség!AB132,'FEOR kodok'!$B$2:$B$1126,0),8),"NA")</f>
        <v>2117</v>
      </c>
      <c r="I132" s="269">
        <f>IFERROR(INDEX('FEOR kodok'!$A$2:$J$1126,MATCH(Bérköltség!AB132,'FEOR kodok'!$B$2:$B$1126,0),10),"NA")</f>
        <v>31</v>
      </c>
      <c r="J132" s="276" t="str">
        <f t="shared" si="325"/>
        <v>30–39 éves</v>
      </c>
      <c r="K132" s="269" t="str">
        <f>IFERROR(INDEX(admin_feor[#All],MATCH(Bérköltség!H132,admin_feor[[#All],[Foglalkozás]],0),2),"NA")</f>
        <v>Vegyészmérnök</v>
      </c>
      <c r="L132" s="270">
        <f>IFERROR(
INDEX('Admin - FEOR'!$A$4:$F$465,MATCH(Bérköltség!H132,'Admin - FEOR'!$A$4:$A$465,0),
IF(J132="30 év alatt",3,
IF(J132="30–39 éves",4,
IF(J132="40–49 éves",5,
IF(J132="50 év és afelett",6
)))))*1,"NA")</f>
        <v>696588</v>
      </c>
      <c r="M132" s="270">
        <f t="shared" si="326"/>
        <v>501499</v>
      </c>
      <c r="N132" s="318">
        <f t="shared" si="327"/>
        <v>0.71993631816798453</v>
      </c>
      <c r="O132" s="270">
        <f>IFERROR(
INDEX('Admin - FEOR'!$A$4:$F$465,MATCH(Bérköltség!H132,'Admin - FEOR'!$A$4:$A$465,0),
IF(J132="30 év alatt",3,
IF(J132="30–39 éves",4,
IF(J132="40–49 éves",5,
IF(J132="50 év és afelett",6
)))))*1.5,"NA")</f>
        <v>1044882</v>
      </c>
      <c r="P132" s="270">
        <f t="shared" si="328"/>
        <v>522441</v>
      </c>
      <c r="Q132" s="270">
        <f t="shared" si="329"/>
        <v>250750</v>
      </c>
      <c r="R132" s="275">
        <f t="shared" si="330"/>
        <v>0.5</v>
      </c>
      <c r="S132" s="270">
        <f t="shared" si="331"/>
        <v>0</v>
      </c>
      <c r="T132" s="270">
        <f t="shared" si="332"/>
        <v>0</v>
      </c>
      <c r="U132" s="271">
        <f t="shared" si="333"/>
        <v>0</v>
      </c>
      <c r="V132" s="272">
        <f t="shared" si="334"/>
        <v>283348</v>
      </c>
      <c r="W132" s="273" t="str">
        <f t="shared" si="335"/>
        <v>Nem szükséges indoklás.</v>
      </c>
      <c r="X132" s="372">
        <f t="shared" si="336"/>
        <v>0</v>
      </c>
      <c r="Y132" s="317">
        <f t="shared" si="337"/>
        <v>250750</v>
      </c>
      <c r="Z132" s="317">
        <f t="shared" si="338"/>
        <v>32598</v>
      </c>
      <c r="AA132" s="12">
        <v>2</v>
      </c>
      <c r="AB132" s="274">
        <v>8459031489</v>
      </c>
      <c r="AC132" s="40" t="s">
        <v>220</v>
      </c>
      <c r="AD132" s="82" t="s">
        <v>75</v>
      </c>
      <c r="AE132" s="41" t="s">
        <v>52</v>
      </c>
      <c r="AF132" s="11" t="s">
        <v>152</v>
      </c>
      <c r="AG132" s="11" t="s">
        <v>200</v>
      </c>
      <c r="AH132" s="14" t="s">
        <v>122</v>
      </c>
      <c r="AI132" s="86" t="s">
        <v>25</v>
      </c>
      <c r="AJ132" s="113" t="str">
        <f>IF(COUNTIFS(Admin!$A$29:$A$40,AI132)&gt;0,Admin!$A$28,IF(COUNTIFS(Admin!$B$29:$B$40,AI132)&gt;0,Admin!$B$28,IF(COUNTIFS(Admin!$C$29:$C$40,AI132)&gt;0,Admin!$C$28,IF(COUNTIFS(Admin!$D$29:$D$40,AI132)&gt;0,Admin!$D$28,"-"))))</f>
        <v>2. mérföldkő</v>
      </c>
      <c r="AK132" s="14" t="s">
        <v>7</v>
      </c>
      <c r="AL132" s="9" t="s">
        <v>56</v>
      </c>
      <c r="AM132" s="131">
        <v>501499</v>
      </c>
      <c r="AN132" s="132">
        <f t="shared" si="368"/>
        <v>65195</v>
      </c>
      <c r="AO132" s="121">
        <v>174</v>
      </c>
      <c r="AP132" s="121">
        <v>87</v>
      </c>
      <c r="AQ132" s="354">
        <f t="shared" si="182"/>
        <v>0.5</v>
      </c>
      <c r="AR132" s="133">
        <f t="shared" si="214"/>
        <v>250750</v>
      </c>
      <c r="AS132" s="133">
        <f t="shared" si="184"/>
        <v>32598</v>
      </c>
      <c r="AT132" s="123">
        <f t="shared" si="185"/>
        <v>-9.9701096112347898E-7</v>
      </c>
      <c r="AU132" s="124">
        <v>0.13</v>
      </c>
      <c r="AV132" s="394" t="s">
        <v>2767</v>
      </c>
      <c r="AW132" s="15">
        <v>44796</v>
      </c>
      <c r="AX132" s="12" t="s">
        <v>206</v>
      </c>
      <c r="AZ132" s="1" t="s">
        <v>2667</v>
      </c>
      <c r="BA132" s="1" t="s">
        <v>2667</v>
      </c>
      <c r="BB132" s="1" t="s">
        <v>2667</v>
      </c>
      <c r="BC132" s="1" t="s">
        <v>2823</v>
      </c>
      <c r="BD132" s="1" t="str">
        <f t="shared" si="367"/>
        <v>Kutató_VM_5 - Kutató</v>
      </c>
    </row>
    <row r="133" spans="1:56" s="1" customFormat="1" hidden="1" x14ac:dyDescent="0.25">
      <c r="A133" s="264" t="str">
        <f>Bérköltség!$B133</f>
        <v>FEOR</v>
      </c>
      <c r="B133" s="264" t="str">
        <f>IFERROR(
IF(AND(Bérköltség!$F133="",H133="NA"),"HIÁNYOS ADATOK",
IF(Bérköltség!$F133&lt;Bérköltség!$U133,Admin!$B$18,Admin!$B$17)),
"")</f>
        <v>FEOR</v>
      </c>
      <c r="C133" s="265">
        <f>IFERROR(INDEX('Historikus berek_2021-2'!$A$1:$F$903,MATCH(AB133,'Historikus berek_2021-2'!$A$1:$A$903,0),4),"")</f>
        <v>395000</v>
      </c>
      <c r="D133" s="279">
        <f t="shared" si="321"/>
        <v>197500</v>
      </c>
      <c r="E133" s="265">
        <f t="shared" si="322"/>
        <v>250750</v>
      </c>
      <c r="F133" s="266">
        <f t="shared" si="323"/>
        <v>60172.500000000029</v>
      </c>
      <c r="G133" s="267">
        <f t="shared" si="324"/>
        <v>223174.99999999997</v>
      </c>
      <c r="H133" s="268">
        <f>IFERROR(INDEX('FEOR kodok'!$A$2:$J$1126,MATCH(Bérköltség!AB133,'FEOR kodok'!$B$2:$B$1126,0),8),"NA")</f>
        <v>2117</v>
      </c>
      <c r="I133" s="269">
        <f>IFERROR(INDEX('FEOR kodok'!$A$2:$J$1126,MATCH(Bérköltség!AB133,'FEOR kodok'!$B$2:$B$1126,0),10),"NA")</f>
        <v>31</v>
      </c>
      <c r="J133" s="276" t="str">
        <f t="shared" si="325"/>
        <v>30–39 éves</v>
      </c>
      <c r="K133" s="269" t="str">
        <f>IFERROR(INDEX(admin_feor[#All],MATCH(Bérköltség!H133,admin_feor[[#All],[Foglalkozás]],0),2),"NA")</f>
        <v>Vegyészmérnök</v>
      </c>
      <c r="L133" s="270">
        <f>IFERROR(
INDEX('Admin - FEOR'!$A$4:$F$465,MATCH(Bérköltség!H133,'Admin - FEOR'!$A$4:$A$465,0),
IF(J133="30 év alatt",3,
IF(J133="30–39 éves",4,
IF(J133="40–49 éves",5,
IF(J133="50 év és afelett",6
)))))*1,"NA")</f>
        <v>696588</v>
      </c>
      <c r="M133" s="270">
        <f t="shared" si="326"/>
        <v>501500</v>
      </c>
      <c r="N133" s="318">
        <f t="shared" si="327"/>
        <v>0.71993775373678559</v>
      </c>
      <c r="O133" s="270">
        <f>IFERROR(
INDEX('Admin - FEOR'!$A$4:$F$465,MATCH(Bérköltség!H133,'Admin - FEOR'!$A$4:$A$465,0),
IF(J133="30 év alatt",3,
IF(J133="30–39 éves",4,
IF(J133="40–49 éves",5,
IF(J133="50 év és afelett",6
)))))*1.5,"NA")</f>
        <v>1044882</v>
      </c>
      <c r="P133" s="270">
        <f t="shared" si="328"/>
        <v>522441</v>
      </c>
      <c r="Q133" s="270">
        <f t="shared" si="329"/>
        <v>250750</v>
      </c>
      <c r="R133" s="275">
        <f t="shared" si="330"/>
        <v>0.5</v>
      </c>
      <c r="S133" s="270">
        <f t="shared" si="331"/>
        <v>0</v>
      </c>
      <c r="T133" s="270">
        <f t="shared" si="332"/>
        <v>0</v>
      </c>
      <c r="U133" s="271">
        <f t="shared" si="333"/>
        <v>0</v>
      </c>
      <c r="V133" s="272">
        <f t="shared" si="334"/>
        <v>283348</v>
      </c>
      <c r="W133" s="273" t="str">
        <f t="shared" si="335"/>
        <v>Nem szükséges indoklás.</v>
      </c>
      <c r="X133" s="372">
        <f t="shared" si="336"/>
        <v>0</v>
      </c>
      <c r="Y133" s="317">
        <f t="shared" si="337"/>
        <v>250750</v>
      </c>
      <c r="Z133" s="317">
        <f t="shared" si="338"/>
        <v>32598</v>
      </c>
      <c r="AA133" s="12">
        <v>2</v>
      </c>
      <c r="AB133" s="274">
        <v>8459031489</v>
      </c>
      <c r="AC133" s="40" t="s">
        <v>220</v>
      </c>
      <c r="AD133" s="82" t="s">
        <v>75</v>
      </c>
      <c r="AE133" s="41" t="s">
        <v>52</v>
      </c>
      <c r="AF133" s="11" t="s">
        <v>152</v>
      </c>
      <c r="AG133" s="11" t="s">
        <v>200</v>
      </c>
      <c r="AH133" s="14" t="s">
        <v>122</v>
      </c>
      <c r="AI133" s="86" t="s">
        <v>26</v>
      </c>
      <c r="AJ133" s="113" t="str">
        <f>IF(COUNTIFS(Admin!$A$29:$A$40,AI133)&gt;0,Admin!$A$28,IF(COUNTIFS(Admin!$B$29:$B$40,AI133)&gt;0,Admin!$B$28,IF(COUNTIFS(Admin!$C$29:$C$40,AI133)&gt;0,Admin!$C$28,IF(COUNTIFS(Admin!$D$29:$D$40,AI133)&gt;0,Admin!$D$28,"-"))))</f>
        <v>2. mérföldkő</v>
      </c>
      <c r="AK133" s="14" t="s">
        <v>7</v>
      </c>
      <c r="AL133" s="9" t="s">
        <v>56</v>
      </c>
      <c r="AM133" s="131">
        <v>501500</v>
      </c>
      <c r="AN133" s="132">
        <f t="shared" si="368"/>
        <v>65195</v>
      </c>
      <c r="AO133" s="121">
        <v>174</v>
      </c>
      <c r="AP133" s="121">
        <v>87</v>
      </c>
      <c r="AQ133" s="354">
        <f t="shared" si="182"/>
        <v>0.5</v>
      </c>
      <c r="AR133" s="133">
        <f t="shared" si="214"/>
        <v>250750</v>
      </c>
      <c r="AS133" s="133">
        <f t="shared" si="184"/>
        <v>32598</v>
      </c>
      <c r="AT133" s="123">
        <f t="shared" si="185"/>
        <v>0</v>
      </c>
      <c r="AU133" s="124">
        <v>0.13</v>
      </c>
      <c r="AV133" s="394" t="s">
        <v>2767</v>
      </c>
      <c r="AW133" s="15">
        <v>44796</v>
      </c>
      <c r="AX133" s="12" t="s">
        <v>206</v>
      </c>
      <c r="AZ133" s="1" t="s">
        <v>2667</v>
      </c>
      <c r="BA133" s="1" t="s">
        <v>2667</v>
      </c>
      <c r="BB133" s="1" t="s">
        <v>2667</v>
      </c>
      <c r="BC133" s="1" t="s">
        <v>2823</v>
      </c>
      <c r="BD133" s="1" t="str">
        <f t="shared" si="367"/>
        <v>Kutató_VM_5 - Kutató</v>
      </c>
    </row>
    <row r="134" spans="1:56" s="1" customFormat="1" hidden="1" x14ac:dyDescent="0.25">
      <c r="A134" s="264" t="str">
        <f>Bérköltség!$B134</f>
        <v>FEOR</v>
      </c>
      <c r="B134" s="264" t="str">
        <f>IFERROR(
IF(AND(Bérköltség!$F134="",H134="NA"),"HIÁNYOS ADATOK",
IF(Bérköltség!$F134&lt;Bérköltség!$U134,Admin!$B$18,Admin!$B$17)),
"")</f>
        <v>FEOR</v>
      </c>
      <c r="C134" s="265">
        <f>IFERROR(INDEX('Historikus berek_2021-2'!$A$1:$F$903,MATCH(AB134,'Historikus berek_2021-2'!$A$1:$A$903,0),4),"")</f>
        <v>395000</v>
      </c>
      <c r="D134" s="279">
        <f t="shared" si="321"/>
        <v>167988.50574712642</v>
      </c>
      <c r="E134" s="265">
        <f t="shared" si="322"/>
        <v>213282</v>
      </c>
      <c r="F134" s="266">
        <f t="shared" si="323"/>
        <v>51181.648505747144</v>
      </c>
      <c r="G134" s="267">
        <f t="shared" si="324"/>
        <v>189827.01149425283</v>
      </c>
      <c r="H134" s="268">
        <f>IFERROR(INDEX('FEOR kodok'!$A$2:$J$1126,MATCH(Bérköltség!AB134,'FEOR kodok'!$B$2:$B$1126,0),8),"NA")</f>
        <v>2117</v>
      </c>
      <c r="I134" s="269">
        <f>IFERROR(INDEX('FEOR kodok'!$A$2:$J$1126,MATCH(Bérköltség!AB134,'FEOR kodok'!$B$2:$B$1126,0),10),"NA")</f>
        <v>31</v>
      </c>
      <c r="J134" s="276" t="str">
        <f t="shared" si="325"/>
        <v>30–39 éves</v>
      </c>
      <c r="K134" s="269" t="str">
        <f>IFERROR(INDEX(admin_feor[#All],MATCH(Bérköltség!H134,admin_feor[[#All],[Foglalkozás]],0),2),"NA")</f>
        <v>Vegyészmérnök</v>
      </c>
      <c r="L134" s="270">
        <f>IFERROR(
INDEX('Admin - FEOR'!$A$4:$F$465,MATCH(Bérköltség!H134,'Admin - FEOR'!$A$4:$A$465,0),
IF(J134="30 év alatt",3,
IF(J134="30–39 éves",4,
IF(J134="40–49 éves",5,
IF(J134="50 év és afelett",6
)))))*1,"NA")</f>
        <v>696588</v>
      </c>
      <c r="M134" s="270">
        <f t="shared" si="326"/>
        <v>501500</v>
      </c>
      <c r="N134" s="318">
        <f t="shared" si="327"/>
        <v>0.71993775373678559</v>
      </c>
      <c r="O134" s="270">
        <f>IFERROR(
INDEX('Admin - FEOR'!$A$4:$F$465,MATCH(Bérköltség!H134,'Admin - FEOR'!$A$4:$A$465,0),
IF(J134="30 év alatt",3,
IF(J134="30–39 éves",4,
IF(J134="40–49 éves",5,
IF(J134="50 év és afelett",6
)))))*1.5,"NA")</f>
        <v>1044882</v>
      </c>
      <c r="P134" s="270">
        <f t="shared" si="328"/>
        <v>444375.10344827583</v>
      </c>
      <c r="Q134" s="270">
        <f t="shared" si="329"/>
        <v>213282</v>
      </c>
      <c r="R134" s="275">
        <f t="shared" si="330"/>
        <v>0.42528735632183906</v>
      </c>
      <c r="S134" s="270">
        <f t="shared" si="331"/>
        <v>0</v>
      </c>
      <c r="T134" s="270">
        <f t="shared" si="332"/>
        <v>0</v>
      </c>
      <c r="U134" s="271">
        <f t="shared" si="333"/>
        <v>0</v>
      </c>
      <c r="V134" s="272">
        <f t="shared" si="334"/>
        <v>241009</v>
      </c>
      <c r="W134" s="273" t="str">
        <f t="shared" si="335"/>
        <v>Nem szükséges indoklás.</v>
      </c>
      <c r="X134" s="372">
        <f t="shared" si="336"/>
        <v>0</v>
      </c>
      <c r="Y134" s="317">
        <f t="shared" si="337"/>
        <v>213282</v>
      </c>
      <c r="Z134" s="317">
        <f t="shared" si="338"/>
        <v>27727</v>
      </c>
      <c r="AA134" s="12">
        <v>2</v>
      </c>
      <c r="AB134" s="274">
        <v>8459031489</v>
      </c>
      <c r="AC134" s="40" t="s">
        <v>220</v>
      </c>
      <c r="AD134" s="82" t="s">
        <v>75</v>
      </c>
      <c r="AE134" s="41" t="s">
        <v>52</v>
      </c>
      <c r="AF134" s="11" t="s">
        <v>152</v>
      </c>
      <c r="AG134" s="11" t="s">
        <v>200</v>
      </c>
      <c r="AH134" s="14" t="s">
        <v>122</v>
      </c>
      <c r="AI134" s="86" t="s">
        <v>32</v>
      </c>
      <c r="AJ134" s="113" t="str">
        <f>IF(COUNTIFS(Admin!$A$29:$A$40,AI134)&gt;0,Admin!$A$28,IF(COUNTIFS(Admin!$B$29:$B$40,AI134)&gt;0,Admin!$B$28,IF(COUNTIFS(Admin!$C$29:$C$40,AI134)&gt;0,Admin!$C$28,IF(COUNTIFS(Admin!$D$29:$D$40,AI134)&gt;0,Admin!$D$28,"-"))))</f>
        <v>2. mérföldkő</v>
      </c>
      <c r="AK134" s="14" t="s">
        <v>7</v>
      </c>
      <c r="AL134" s="9" t="s">
        <v>56</v>
      </c>
      <c r="AM134" s="131">
        <v>501500</v>
      </c>
      <c r="AN134" s="132">
        <f t="shared" si="368"/>
        <v>65195</v>
      </c>
      <c r="AO134" s="121">
        <v>174</v>
      </c>
      <c r="AP134" s="121">
        <v>74</v>
      </c>
      <c r="AQ134" s="354">
        <f t="shared" si="182"/>
        <v>0.42528735632183906</v>
      </c>
      <c r="AR134" s="133">
        <f t="shared" si="214"/>
        <v>213282</v>
      </c>
      <c r="AS134" s="133">
        <f t="shared" si="184"/>
        <v>27727</v>
      </c>
      <c r="AT134" s="123">
        <f t="shared" si="185"/>
        <v>-7.7927138125710727E-7</v>
      </c>
      <c r="AU134" s="124">
        <v>0.13</v>
      </c>
      <c r="AV134" s="394" t="s">
        <v>2767</v>
      </c>
      <c r="AW134" s="15">
        <v>44904</v>
      </c>
      <c r="AX134" s="12" t="s">
        <v>206</v>
      </c>
      <c r="AZ134" s="1" t="s">
        <v>2667</v>
      </c>
      <c r="BA134" s="1">
        <v>0</v>
      </c>
      <c r="BB134" s="1">
        <v>0</v>
      </c>
      <c r="BC134" s="1" t="s">
        <v>2823</v>
      </c>
      <c r="BD134" s="1" t="str">
        <f t="shared" si="367"/>
        <v>Kutató_VM_5 - Kutató</v>
      </c>
    </row>
    <row r="135" spans="1:56" s="1" customFormat="1" hidden="1" x14ac:dyDescent="0.25">
      <c r="A135" s="264" t="str">
        <f>Bérköltség!$B135</f>
        <v>FEOR</v>
      </c>
      <c r="B135" s="264" t="str">
        <f>IFERROR(
IF(AND(Bérköltség!$F135="",H135="NA"),"HIÁNYOS ADATOK",
IF(Bérköltség!$F135&lt;Bérköltség!$U135,Admin!$B$18,Admin!$B$17)),
"")</f>
        <v>FEOR</v>
      </c>
      <c r="C135" s="265">
        <f>IFERROR(INDEX('Historikus berek_2021-2'!$A$1:$F$903,MATCH(AB135,'Historikus berek_2021-2'!$A$1:$A$903,0),4),"")</f>
        <v>395000</v>
      </c>
      <c r="D135" s="279">
        <f t="shared" si="321"/>
        <v>167988.50574712642</v>
      </c>
      <c r="E135" s="265">
        <f t="shared" si="322"/>
        <v>213282</v>
      </c>
      <c r="F135" s="266">
        <f t="shared" si="323"/>
        <v>51181.648505747144</v>
      </c>
      <c r="G135" s="267">
        <f t="shared" si="324"/>
        <v>189827.01149425283</v>
      </c>
      <c r="H135" s="268">
        <f>IFERROR(INDEX('FEOR kodok'!$A$2:$J$1126,MATCH(Bérköltség!AB135,'FEOR kodok'!$B$2:$B$1126,0),8),"NA")</f>
        <v>2117</v>
      </c>
      <c r="I135" s="269">
        <f>IFERROR(INDEX('FEOR kodok'!$A$2:$J$1126,MATCH(Bérköltség!AB135,'FEOR kodok'!$B$2:$B$1126,0),10),"NA")</f>
        <v>31</v>
      </c>
      <c r="J135" s="276" t="str">
        <f t="shared" si="325"/>
        <v>30–39 éves</v>
      </c>
      <c r="K135" s="269" t="str">
        <f>IFERROR(INDEX(admin_feor[#All],MATCH(Bérköltség!H135,admin_feor[[#All],[Foglalkozás]],0),2),"NA")</f>
        <v>Vegyészmérnök</v>
      </c>
      <c r="L135" s="270">
        <f>IFERROR(
INDEX('Admin - FEOR'!$A$4:$F$465,MATCH(Bérköltség!H135,'Admin - FEOR'!$A$4:$A$465,0),
IF(J135="30 év alatt",3,
IF(J135="30–39 éves",4,
IF(J135="40–49 éves",5,
IF(J135="50 év és afelett",6
)))))*1,"NA")</f>
        <v>696588</v>
      </c>
      <c r="M135" s="270">
        <f t="shared" si="326"/>
        <v>501500</v>
      </c>
      <c r="N135" s="318">
        <f t="shared" si="327"/>
        <v>0.71993775373678559</v>
      </c>
      <c r="O135" s="270">
        <f>IFERROR(
INDEX('Admin - FEOR'!$A$4:$F$465,MATCH(Bérköltség!H135,'Admin - FEOR'!$A$4:$A$465,0),
IF(J135="30 év alatt",3,
IF(J135="30–39 éves",4,
IF(J135="40–49 éves",5,
IF(J135="50 év és afelett",6
)))))*1.5,"NA")</f>
        <v>1044882</v>
      </c>
      <c r="P135" s="270">
        <f t="shared" si="328"/>
        <v>444375.10344827583</v>
      </c>
      <c r="Q135" s="270">
        <f t="shared" si="329"/>
        <v>213282</v>
      </c>
      <c r="R135" s="275">
        <f t="shared" si="330"/>
        <v>0.42528735632183906</v>
      </c>
      <c r="S135" s="270">
        <f t="shared" si="331"/>
        <v>0</v>
      </c>
      <c r="T135" s="270">
        <f t="shared" si="332"/>
        <v>0</v>
      </c>
      <c r="U135" s="271">
        <f t="shared" si="333"/>
        <v>0</v>
      </c>
      <c r="V135" s="272">
        <f t="shared" si="334"/>
        <v>241009</v>
      </c>
      <c r="W135" s="273" t="str">
        <f t="shared" si="335"/>
        <v>Nem szükséges indoklás.</v>
      </c>
      <c r="X135" s="372">
        <f t="shared" si="336"/>
        <v>0</v>
      </c>
      <c r="Y135" s="317">
        <f t="shared" si="337"/>
        <v>213282</v>
      </c>
      <c r="Z135" s="317">
        <f t="shared" si="338"/>
        <v>27727</v>
      </c>
      <c r="AA135" s="12">
        <v>2</v>
      </c>
      <c r="AB135" s="274">
        <v>8459031489</v>
      </c>
      <c r="AC135" s="40" t="s">
        <v>220</v>
      </c>
      <c r="AD135" s="82" t="s">
        <v>75</v>
      </c>
      <c r="AE135" s="41" t="s">
        <v>52</v>
      </c>
      <c r="AF135" s="11" t="s">
        <v>152</v>
      </c>
      <c r="AG135" s="11" t="s">
        <v>200</v>
      </c>
      <c r="AH135" s="14" t="s">
        <v>122</v>
      </c>
      <c r="AI135" s="86" t="s">
        <v>33</v>
      </c>
      <c r="AJ135" s="113" t="str">
        <f>IF(COUNTIFS(Admin!$A$29:$A$40,AI135)&gt;0,Admin!$A$28,IF(COUNTIFS(Admin!$B$29:$B$40,AI135)&gt;0,Admin!$B$28,IF(COUNTIFS(Admin!$C$29:$C$40,AI135)&gt;0,Admin!$C$28,IF(COUNTIFS(Admin!$D$29:$D$40,AI135)&gt;0,Admin!$D$28,"-"))))</f>
        <v>2. mérföldkő</v>
      </c>
      <c r="AK135" s="14" t="s">
        <v>7</v>
      </c>
      <c r="AL135" s="9" t="s">
        <v>56</v>
      </c>
      <c r="AM135" s="131">
        <v>501500</v>
      </c>
      <c r="AN135" s="132">
        <f t="shared" si="368"/>
        <v>65195</v>
      </c>
      <c r="AO135" s="121">
        <v>174</v>
      </c>
      <c r="AP135" s="121">
        <v>74</v>
      </c>
      <c r="AQ135" s="354">
        <f t="shared" si="182"/>
        <v>0.42528735632183906</v>
      </c>
      <c r="AR135" s="133">
        <f t="shared" si="214"/>
        <v>213282</v>
      </c>
      <c r="AS135" s="133">
        <f t="shared" si="184"/>
        <v>27727</v>
      </c>
      <c r="AT135" s="123">
        <f t="shared" si="185"/>
        <v>-7.7927138125710727E-7</v>
      </c>
      <c r="AU135" s="124">
        <v>0.13</v>
      </c>
      <c r="AV135" s="394" t="s">
        <v>2767</v>
      </c>
      <c r="AW135" s="15">
        <v>44904</v>
      </c>
      <c r="AX135" s="12" t="s">
        <v>206</v>
      </c>
      <c r="AZ135" s="8" t="str">
        <f>IF(VLOOKUP(LEFT($AB135,10),'Havi béradatok'!$B:$E,2,FALSE)=AG135,"EGYEZIK","HIBÁS")</f>
        <v>EGYEZIK</v>
      </c>
      <c r="BA135" s="1">
        <f>VLOOKUP(LEFT($AB135,10),'Havi béradatok'!$B:$E,3,FALSE)-AM135</f>
        <v>38500</v>
      </c>
      <c r="BB135" s="1">
        <f>VLOOKUP(LEFT($AB135,10),'Havi béradatok'!$B:$E,4,FALSE)-AN135</f>
        <v>57161</v>
      </c>
      <c r="BC135" s="1" t="s">
        <v>2823</v>
      </c>
      <c r="BD135" s="1" t="str">
        <f t="shared" si="367"/>
        <v>Kutató_VM_5 - Kutató</v>
      </c>
    </row>
    <row r="136" spans="1:56" s="1" customFormat="1" hidden="1" x14ac:dyDescent="0.25">
      <c r="A136" s="264" t="str">
        <f>Bérköltség!$B136</f>
        <v>FEOR</v>
      </c>
      <c r="B136" s="264" t="str">
        <f>IFERROR(
IF(AND(Bérköltség!$F136="",H136="NA"),"HIÁNYOS ADATOK",
IF(Bérköltség!$F136&lt;Bérköltség!$U136,Admin!$B$18,Admin!$B$17)),
"")</f>
        <v>FEOR</v>
      </c>
      <c r="C136" s="265">
        <f>IFERROR(INDEX('Historikus berek_2021-2'!$A$1:$F$903,MATCH(AB136,'Historikus berek_2021-2'!$A$1:$A$903,0),4),"")</f>
        <v>395000</v>
      </c>
      <c r="D136" s="279">
        <f t="shared" si="321"/>
        <v>90804.597701149425</v>
      </c>
      <c r="E136" s="265">
        <f t="shared" si="322"/>
        <v>124138</v>
      </c>
      <c r="F136" s="266">
        <f t="shared" si="323"/>
        <v>37666.744597701138</v>
      </c>
      <c r="G136" s="267">
        <f t="shared" si="324"/>
        <v>102609.19540229884</v>
      </c>
      <c r="H136" s="268">
        <f>IFERROR(INDEX('FEOR kodok'!$A$2:$J$1126,MATCH(Bérköltség!AB136,'FEOR kodok'!$B$2:$B$1126,0),8),"NA")</f>
        <v>2117</v>
      </c>
      <c r="I136" s="269">
        <f>IFERROR(INDEX('FEOR kodok'!$A$2:$J$1126,MATCH(Bérköltség!AB136,'FEOR kodok'!$B$2:$B$1126,0),10),"NA")</f>
        <v>31</v>
      </c>
      <c r="J136" s="276" t="str">
        <f t="shared" si="325"/>
        <v>30–39 éves</v>
      </c>
      <c r="K136" s="269" t="str">
        <f>IFERROR(INDEX(admin_feor[#All],MATCH(Bérköltség!H136,admin_feor[[#All],[Foglalkozás]],0),2),"NA")</f>
        <v>Vegyészmérnök</v>
      </c>
      <c r="L136" s="270">
        <f>IFERROR(
INDEX('Admin - FEOR'!$A$4:$F$465,MATCH(Bérköltség!H136,'Admin - FEOR'!$A$4:$A$465,0),
IF(J136="30 év alatt",3,
IF(J136="30–39 éves",4,
IF(J136="40–49 éves",5,
IF(J136="50 év és afelett",6
)))))*1,"NA")</f>
        <v>696588</v>
      </c>
      <c r="M136" s="270">
        <f t="shared" si="326"/>
        <v>540000</v>
      </c>
      <c r="N136" s="318">
        <f t="shared" si="327"/>
        <v>0.77520715257799444</v>
      </c>
      <c r="O136" s="270">
        <f>IFERROR(
INDEX('Admin - FEOR'!$A$4:$F$465,MATCH(Bérköltség!H136,'Admin - FEOR'!$A$4:$A$465,0),
IF(J136="30 év alatt",3,
IF(J136="30–39 éves",4,
IF(J136="40–49 éves",5,
IF(J136="50 év és afelett",6
)))))*1.5,"NA")</f>
        <v>1044882</v>
      </c>
      <c r="P136" s="270">
        <f t="shared" si="328"/>
        <v>240202.75862068965</v>
      </c>
      <c r="Q136" s="270">
        <f t="shared" si="329"/>
        <v>124138</v>
      </c>
      <c r="R136" s="275">
        <f t="shared" si="330"/>
        <v>0.22988505747126436</v>
      </c>
      <c r="S136" s="270">
        <f t="shared" si="331"/>
        <v>0</v>
      </c>
      <c r="T136" s="270">
        <f t="shared" si="332"/>
        <v>0</v>
      </c>
      <c r="U136" s="271">
        <f t="shared" si="333"/>
        <v>0</v>
      </c>
      <c r="V136" s="272">
        <f t="shared" si="334"/>
        <v>140276</v>
      </c>
      <c r="W136" s="273" t="str">
        <f t="shared" si="335"/>
        <v>Nem szükséges indoklás.</v>
      </c>
      <c r="X136" s="372">
        <f t="shared" si="336"/>
        <v>0</v>
      </c>
      <c r="Y136" s="317">
        <f t="shared" si="337"/>
        <v>124138</v>
      </c>
      <c r="Z136" s="317">
        <f t="shared" si="338"/>
        <v>16138</v>
      </c>
      <c r="AA136" s="12">
        <v>2</v>
      </c>
      <c r="AB136" s="274">
        <v>8459031489</v>
      </c>
      <c r="AC136" s="40" t="s">
        <v>220</v>
      </c>
      <c r="AD136" s="82" t="s">
        <v>75</v>
      </c>
      <c r="AE136" s="41" t="s">
        <v>52</v>
      </c>
      <c r="AF136" s="11" t="s">
        <v>152</v>
      </c>
      <c r="AG136" s="11" t="s">
        <v>200</v>
      </c>
      <c r="AH136" s="14" t="s">
        <v>122</v>
      </c>
      <c r="AI136" s="86" t="s">
        <v>34</v>
      </c>
      <c r="AJ136" s="113" t="str">
        <f>IF(COUNTIFS(Admin!$A$29:$A$40,AI136)&gt;0,Admin!$A$28,IF(COUNTIFS(Admin!$B$29:$B$40,AI136)&gt;0,Admin!$B$28,IF(COUNTIFS(Admin!$C$29:$C$40,AI136)&gt;0,Admin!$C$28,IF(COUNTIFS(Admin!$D$29:$D$40,AI136)&gt;0,Admin!$D$28,"-"))))</f>
        <v>2. mérföldkő</v>
      </c>
      <c r="AK136" s="14" t="s">
        <v>7</v>
      </c>
      <c r="AL136" s="9" t="s">
        <v>56</v>
      </c>
      <c r="AM136" s="131">
        <v>540000</v>
      </c>
      <c r="AN136" s="132">
        <f t="shared" si="368"/>
        <v>70200</v>
      </c>
      <c r="AO136" s="121">
        <v>174</v>
      </c>
      <c r="AP136" s="121">
        <v>40</v>
      </c>
      <c r="AQ136" s="354">
        <f t="shared" si="182"/>
        <v>0.22988505747126436</v>
      </c>
      <c r="AR136" s="133">
        <f t="shared" si="214"/>
        <v>124138</v>
      </c>
      <c r="AS136" s="133">
        <f t="shared" si="184"/>
        <v>16138</v>
      </c>
      <c r="AT136" s="123">
        <f t="shared" si="185"/>
        <v>-1.2771392082777666E-7</v>
      </c>
      <c r="AU136" s="124">
        <v>0.13</v>
      </c>
      <c r="AV136" s="394" t="s">
        <v>2767</v>
      </c>
      <c r="AW136" s="15">
        <v>44972</v>
      </c>
      <c r="AX136" s="12" t="s">
        <v>206</v>
      </c>
      <c r="BC136" s="1" t="s">
        <v>2823</v>
      </c>
      <c r="BD136" s="1" t="str">
        <f t="shared" si="367"/>
        <v>Kutató_VM_5 - Kutató</v>
      </c>
    </row>
    <row r="137" spans="1:56" s="1" customFormat="1" x14ac:dyDescent="0.25">
      <c r="A137" s="264" t="str">
        <f>Bérköltség!$B137</f>
        <v>FEOR</v>
      </c>
      <c r="B137" s="264" t="str">
        <f>IFERROR(
IF(AND(Bérköltség!$F137="",H137="NA"),"HIÁNYOS ADATOK",
IF(Bérköltség!$F137&lt;Bérköltség!$U137,Admin!$B$18,Admin!$B$17)),
"")</f>
        <v>FEOR</v>
      </c>
      <c r="C137" s="265">
        <f>IFERROR(INDEX('Historikus berek_2021-2'!$A$1:$F$903,MATCH(AB137,'Historikus berek_2021-2'!$A$1:$A$903,0),4),"")</f>
        <v>395000</v>
      </c>
      <c r="D137" s="279">
        <f t="shared" si="321"/>
        <v>90804.597701149425</v>
      </c>
      <c r="E137" s="265">
        <f t="shared" si="322"/>
        <v>124138</v>
      </c>
      <c r="F137" s="266">
        <f t="shared" si="323"/>
        <v>37666.744597701138</v>
      </c>
      <c r="G137" s="267">
        <f t="shared" si="324"/>
        <v>102609.19540229884</v>
      </c>
      <c r="H137" s="268">
        <f>IFERROR(INDEX('FEOR kodok'!$A$2:$J$1126,MATCH(Bérköltség!AB137,'FEOR kodok'!$B$2:$B$1126,0),8),"NA")</f>
        <v>2117</v>
      </c>
      <c r="I137" s="269">
        <f>IFERROR(INDEX('FEOR kodok'!$A$2:$J$1126,MATCH(Bérköltség!AB137,'FEOR kodok'!$B$2:$B$1126,0),10),"NA")</f>
        <v>31</v>
      </c>
      <c r="J137" s="276" t="str">
        <f t="shared" si="325"/>
        <v>30–39 éves</v>
      </c>
      <c r="K137" s="269" t="str">
        <f>IFERROR(INDEX(admin_feor[#All],MATCH(Bérköltség!H137,admin_feor[[#All],[Foglalkozás]],0),2),"NA")</f>
        <v>Vegyészmérnök</v>
      </c>
      <c r="L137" s="270">
        <f>IFERROR(
INDEX('Admin - FEOR'!$A$4:$F$465,MATCH(Bérköltség!H137,'Admin - FEOR'!$A$4:$A$465,0),
IF(J137="30 év alatt",3,
IF(J137="30–39 éves",4,
IF(J137="40–49 éves",5,
IF(J137="50 év és afelett",6
)))))*1,"NA")</f>
        <v>696588</v>
      </c>
      <c r="M137" s="270">
        <f t="shared" si="326"/>
        <v>540000</v>
      </c>
      <c r="N137" s="318">
        <f t="shared" si="327"/>
        <v>0.77520715257799444</v>
      </c>
      <c r="O137" s="270">
        <f>IFERROR(
INDEX('Admin - FEOR'!$A$4:$F$465,MATCH(Bérköltség!H137,'Admin - FEOR'!$A$4:$A$465,0),
IF(J137="30 év alatt",3,
IF(J137="30–39 éves",4,
IF(J137="40–49 éves",5,
IF(J137="50 év és afelett",6
)))))*1.5,"NA")</f>
        <v>1044882</v>
      </c>
      <c r="P137" s="270">
        <f t="shared" si="328"/>
        <v>240202.75862068965</v>
      </c>
      <c r="Q137" s="270">
        <f t="shared" si="329"/>
        <v>124138</v>
      </c>
      <c r="R137" s="275">
        <f t="shared" si="330"/>
        <v>0.22988505747126436</v>
      </c>
      <c r="S137" s="270">
        <f t="shared" si="331"/>
        <v>0</v>
      </c>
      <c r="T137" s="270">
        <f t="shared" si="332"/>
        <v>0</v>
      </c>
      <c r="U137" s="271">
        <f t="shared" si="333"/>
        <v>0</v>
      </c>
      <c r="V137" s="272">
        <f t="shared" si="334"/>
        <v>140276</v>
      </c>
      <c r="W137" s="273" t="str">
        <f t="shared" si="335"/>
        <v>Nem szükséges indoklás.</v>
      </c>
      <c r="X137" s="372">
        <f t="shared" si="336"/>
        <v>0</v>
      </c>
      <c r="Y137" s="317">
        <f t="shared" si="337"/>
        <v>124138</v>
      </c>
      <c r="Z137" s="317">
        <f t="shared" si="338"/>
        <v>16138</v>
      </c>
      <c r="AA137" s="36"/>
      <c r="AB137" s="274">
        <v>8459031489</v>
      </c>
      <c r="AC137" s="40" t="s">
        <v>220</v>
      </c>
      <c r="AD137" s="82" t="s">
        <v>75</v>
      </c>
      <c r="AE137" s="41" t="s">
        <v>52</v>
      </c>
      <c r="AF137" s="11" t="s">
        <v>152</v>
      </c>
      <c r="AG137" s="11" t="s">
        <v>200</v>
      </c>
      <c r="AH137" s="14" t="s">
        <v>122</v>
      </c>
      <c r="AI137" s="86" t="s">
        <v>35</v>
      </c>
      <c r="AJ137" s="113" t="str">
        <f>IF(COUNTIFS(Admin!$A$29:$A$40,AI137)&gt;0,Admin!$A$28,IF(COUNTIFS(Admin!$B$29:$B$40,AI137)&gt;0,Admin!$B$28,IF(COUNTIFS(Admin!$C$29:$C$40,AI137)&gt;0,Admin!$C$28,IF(COUNTIFS(Admin!$D$29:$D$40,AI137)&gt;0,Admin!$D$28,"-"))))</f>
        <v>3. mérföldkő</v>
      </c>
      <c r="AK137" s="14" t="s">
        <v>7</v>
      </c>
      <c r="AL137" s="9" t="s">
        <v>56</v>
      </c>
      <c r="AM137" s="131">
        <v>540000</v>
      </c>
      <c r="AN137" s="132">
        <f t="shared" si="368"/>
        <v>70200</v>
      </c>
      <c r="AO137" s="121">
        <v>174</v>
      </c>
      <c r="AP137" s="121">
        <v>40</v>
      </c>
      <c r="AQ137" s="354">
        <f t="shared" si="182"/>
        <v>0.22988505747126436</v>
      </c>
      <c r="AR137" s="133">
        <f t="shared" si="214"/>
        <v>124138</v>
      </c>
      <c r="AS137" s="133">
        <f t="shared" si="184"/>
        <v>16138</v>
      </c>
      <c r="AT137" s="123">
        <f t="shared" si="185"/>
        <v>-1.2771392082777666E-7</v>
      </c>
      <c r="AU137" s="124">
        <v>0.13</v>
      </c>
      <c r="AV137" s="394" t="s">
        <v>2767</v>
      </c>
      <c r="AW137" s="15">
        <v>44972</v>
      </c>
      <c r="AX137" s="12" t="s">
        <v>206</v>
      </c>
      <c r="AZ137" s="1" t="str">
        <f>IF(VLOOKUP(LEFT($AB137,10),'Havi béradatok'!$B:$E,2,FALSE)=AG137,"EGYEZIK","HIBÁS")</f>
        <v>EGYEZIK</v>
      </c>
      <c r="BA137" s="1">
        <f>VLOOKUP(LEFT($AB137,10),'Havi béradatok'!$B:$E,3,FALSE)-AM137</f>
        <v>0</v>
      </c>
      <c r="BB137" s="391">
        <f>VLOOKUP(LEFT($AB137,10),'Havi béradatok'!$B:$E,4,FALSE)-AN137</f>
        <v>52156</v>
      </c>
      <c r="BC137" s="400" t="s">
        <v>2823</v>
      </c>
      <c r="BD137" s="400"/>
    </row>
    <row r="138" spans="1:56" s="1" customFormat="1" hidden="1" x14ac:dyDescent="0.25">
      <c r="A138" s="264" t="str">
        <f>Bérköltség!$B138</f>
        <v>FEOR</v>
      </c>
      <c r="B138" s="264" t="str">
        <f>IFERROR(
IF(AND(Bérköltség!$F138="",H138="NA"),"HIÁNYOS ADATOK",
IF(Bérköltség!$F138&lt;Bérköltség!$U138,Admin!$B$18,Admin!$B$17)),
"")</f>
        <v>FEOR</v>
      </c>
      <c r="C138" s="265">
        <f>IFERROR(INDEX('Historikus berek_2021-2'!$A$1:$F$903,MATCH(AB138,'Historikus berek_2021-2'!$A$1:$A$903,0),4),"")</f>
        <v>395000</v>
      </c>
      <c r="D138" s="279">
        <f t="shared" si="321"/>
        <v>90804.597701149425</v>
      </c>
      <c r="E138" s="265">
        <f t="shared" si="322"/>
        <v>124138</v>
      </c>
      <c r="F138" s="266">
        <f t="shared" si="323"/>
        <v>37666.744597701138</v>
      </c>
      <c r="G138" s="267">
        <f t="shared" si="324"/>
        <v>102609.19540229884</v>
      </c>
      <c r="H138" s="268">
        <f>IFERROR(INDEX('FEOR kodok'!$A$2:$J$1126,MATCH(Bérköltség!AB138,'FEOR kodok'!$B$2:$B$1126,0),8),"NA")</f>
        <v>2117</v>
      </c>
      <c r="I138" s="269">
        <f>IFERROR(INDEX('FEOR kodok'!$A$2:$J$1126,MATCH(Bérköltség!AB138,'FEOR kodok'!$B$2:$B$1126,0),10),"NA")</f>
        <v>31</v>
      </c>
      <c r="J138" s="276" t="str">
        <f t="shared" si="325"/>
        <v>30–39 éves</v>
      </c>
      <c r="K138" s="269" t="str">
        <f>IFERROR(INDEX(admin_feor[#All],MATCH(Bérköltség!H138,admin_feor[[#All],[Foglalkozás]],0),2),"NA")</f>
        <v>Vegyészmérnök</v>
      </c>
      <c r="L138" s="270">
        <f>IFERROR(
INDEX('Admin - FEOR'!$A$4:$F$465,MATCH(Bérköltség!H138,'Admin - FEOR'!$A$4:$A$465,0),
IF(J138="30 év alatt",3,
IF(J138="30–39 éves",4,
IF(J138="40–49 éves",5,
IF(J138="50 év és afelett",6
)))))*1,"NA")</f>
        <v>696588</v>
      </c>
      <c r="M138" s="270">
        <f t="shared" si="326"/>
        <v>540000</v>
      </c>
      <c r="N138" s="318">
        <f t="shared" si="327"/>
        <v>0.77520715257799444</v>
      </c>
      <c r="O138" s="270">
        <f>IFERROR(
INDEX('Admin - FEOR'!$A$4:$F$465,MATCH(Bérköltség!H138,'Admin - FEOR'!$A$4:$A$465,0),
IF(J138="30 év alatt",3,
IF(J138="30–39 éves",4,
IF(J138="40–49 éves",5,
IF(J138="50 év és afelett",6
)))))*1.5,"NA")</f>
        <v>1044882</v>
      </c>
      <c r="P138" s="270">
        <f t="shared" si="328"/>
        <v>240202.75862068965</v>
      </c>
      <c r="Q138" s="270">
        <f t="shared" si="329"/>
        <v>124138</v>
      </c>
      <c r="R138" s="275">
        <f t="shared" si="330"/>
        <v>0.22988505747126436</v>
      </c>
      <c r="S138" s="270">
        <f t="shared" si="331"/>
        <v>0</v>
      </c>
      <c r="T138" s="270">
        <f t="shared" si="332"/>
        <v>0</v>
      </c>
      <c r="U138" s="271">
        <f t="shared" si="333"/>
        <v>0</v>
      </c>
      <c r="V138" s="272">
        <f t="shared" si="334"/>
        <v>140276</v>
      </c>
      <c r="W138" s="273" t="str">
        <f t="shared" si="335"/>
        <v>Nem szükséges indoklás.</v>
      </c>
      <c r="X138" s="372">
        <f t="shared" si="336"/>
        <v>0</v>
      </c>
      <c r="Y138" s="317">
        <f t="shared" si="337"/>
        <v>124138</v>
      </c>
      <c r="Z138" s="317">
        <f t="shared" si="338"/>
        <v>16138</v>
      </c>
      <c r="AA138" s="36"/>
      <c r="AB138" s="274">
        <v>8459031489</v>
      </c>
      <c r="AC138" s="40" t="s">
        <v>220</v>
      </c>
      <c r="AD138" s="82" t="s">
        <v>75</v>
      </c>
      <c r="AE138" s="41" t="s">
        <v>52</v>
      </c>
      <c r="AF138" s="11" t="s">
        <v>152</v>
      </c>
      <c r="AG138" s="11" t="s">
        <v>200</v>
      </c>
      <c r="AH138" s="14" t="s">
        <v>122</v>
      </c>
      <c r="AI138" s="86" t="s">
        <v>36</v>
      </c>
      <c r="AJ138" s="113" t="str">
        <f>IF(COUNTIFS(Admin!$A$29:$A$40,AI138)&gt;0,Admin!$A$28,IF(COUNTIFS(Admin!$B$29:$B$40,AI138)&gt;0,Admin!$B$28,IF(COUNTIFS(Admin!$C$29:$C$40,AI138)&gt;0,Admin!$C$28,IF(COUNTIFS(Admin!$D$29:$D$40,AI138)&gt;0,Admin!$D$28,"-"))))</f>
        <v>3. mérföldkő</v>
      </c>
      <c r="AK138" s="14" t="s">
        <v>141</v>
      </c>
      <c r="AL138" s="9" t="s">
        <v>56</v>
      </c>
      <c r="AM138" s="131">
        <v>540000</v>
      </c>
      <c r="AN138" s="132">
        <f t="shared" si="368"/>
        <v>70200</v>
      </c>
      <c r="AO138" s="121">
        <v>174</v>
      </c>
      <c r="AP138" s="121">
        <v>40</v>
      </c>
      <c r="AQ138" s="354">
        <f t="shared" si="182"/>
        <v>0.22988505747126436</v>
      </c>
      <c r="AR138" s="133">
        <f t="shared" si="214"/>
        <v>124138</v>
      </c>
      <c r="AS138" s="133">
        <f t="shared" si="184"/>
        <v>16138</v>
      </c>
      <c r="AT138" s="123">
        <f t="shared" si="185"/>
        <v>-1.2771392082777666E-7</v>
      </c>
      <c r="AU138" s="124">
        <v>0.13</v>
      </c>
      <c r="AV138" s="394" t="s">
        <v>2767</v>
      </c>
      <c r="AW138" s="15">
        <v>44972</v>
      </c>
      <c r="AX138" s="12" t="s">
        <v>206</v>
      </c>
      <c r="BC138" s="1" t="s">
        <v>2823</v>
      </c>
    </row>
    <row r="139" spans="1:56" s="1" customFormat="1" hidden="1" x14ac:dyDescent="0.25">
      <c r="A139" s="264" t="str">
        <f>Bérköltség!$B139</f>
        <v>FEOR</v>
      </c>
      <c r="B139" s="264" t="str">
        <f>IFERROR(
IF(AND(Bérköltség!$F139="",H139="NA"),"HIÁNYOS ADATOK",
IF(Bérköltség!$F139&lt;Bérköltség!$U139,Admin!$B$18,Admin!$B$17)),
"")</f>
        <v>FEOR</v>
      </c>
      <c r="C139" s="265">
        <f>IFERROR(INDEX('Historikus berek_2021-2'!$A$1:$F$903,MATCH(AB139,'Historikus berek_2021-2'!$A$1:$A$903,0),4),"")</f>
        <v>395000</v>
      </c>
      <c r="D139" s="279">
        <f t="shared" si="321"/>
        <v>90804.597701149425</v>
      </c>
      <c r="E139" s="265">
        <f t="shared" si="322"/>
        <v>124138</v>
      </c>
      <c r="F139" s="266">
        <f t="shared" si="323"/>
        <v>37666.744597701138</v>
      </c>
      <c r="G139" s="267">
        <f t="shared" si="324"/>
        <v>102609.19540229884</v>
      </c>
      <c r="H139" s="268">
        <f>IFERROR(INDEX('FEOR kodok'!$A$2:$J$1126,MATCH(Bérköltség!AB139,'FEOR kodok'!$B$2:$B$1126,0),8),"NA")</f>
        <v>2117</v>
      </c>
      <c r="I139" s="269">
        <f>IFERROR(INDEX('FEOR kodok'!$A$2:$J$1126,MATCH(Bérköltség!AB139,'FEOR kodok'!$B$2:$B$1126,0),10),"NA")</f>
        <v>31</v>
      </c>
      <c r="J139" s="276" t="str">
        <f t="shared" si="325"/>
        <v>30–39 éves</v>
      </c>
      <c r="K139" s="269" t="str">
        <f>IFERROR(INDEX(admin_feor[#All],MATCH(Bérköltség!H139,admin_feor[[#All],[Foglalkozás]],0),2),"NA")</f>
        <v>Vegyészmérnök</v>
      </c>
      <c r="L139" s="270">
        <f>IFERROR(
INDEX('Admin - FEOR'!$A$4:$F$465,MATCH(Bérköltség!H139,'Admin - FEOR'!$A$4:$A$465,0),
IF(J139="30 év alatt",3,
IF(J139="30–39 éves",4,
IF(J139="40–49 éves",5,
IF(J139="50 év és afelett",6
)))))*1,"NA")</f>
        <v>696588</v>
      </c>
      <c r="M139" s="270">
        <f t="shared" si="326"/>
        <v>540000</v>
      </c>
      <c r="N139" s="318">
        <f t="shared" si="327"/>
        <v>0.77520715257799444</v>
      </c>
      <c r="O139" s="270">
        <f>IFERROR(
INDEX('Admin - FEOR'!$A$4:$F$465,MATCH(Bérköltség!H139,'Admin - FEOR'!$A$4:$A$465,0),
IF(J139="30 év alatt",3,
IF(J139="30–39 éves",4,
IF(J139="40–49 éves",5,
IF(J139="50 év és afelett",6
)))))*1.5,"NA")</f>
        <v>1044882</v>
      </c>
      <c r="P139" s="270">
        <f t="shared" si="328"/>
        <v>240202.75862068965</v>
      </c>
      <c r="Q139" s="270">
        <f t="shared" si="329"/>
        <v>124138</v>
      </c>
      <c r="R139" s="275">
        <f t="shared" si="330"/>
        <v>0.22988505747126436</v>
      </c>
      <c r="S139" s="270">
        <f t="shared" si="331"/>
        <v>0</v>
      </c>
      <c r="T139" s="270">
        <f t="shared" si="332"/>
        <v>0</v>
      </c>
      <c r="U139" s="271">
        <f t="shared" si="333"/>
        <v>0</v>
      </c>
      <c r="V139" s="272">
        <f t="shared" si="334"/>
        <v>140276</v>
      </c>
      <c r="W139" s="273" t="str">
        <f t="shared" si="335"/>
        <v>Nem szükséges indoklás.</v>
      </c>
      <c r="X139" s="372">
        <f t="shared" si="336"/>
        <v>0</v>
      </c>
      <c r="Y139" s="317">
        <f t="shared" si="337"/>
        <v>124138</v>
      </c>
      <c r="Z139" s="317">
        <f t="shared" si="338"/>
        <v>16138</v>
      </c>
      <c r="AA139" s="36"/>
      <c r="AB139" s="274">
        <v>8459031489</v>
      </c>
      <c r="AC139" s="40" t="s">
        <v>220</v>
      </c>
      <c r="AD139" s="82" t="s">
        <v>75</v>
      </c>
      <c r="AE139" s="41" t="s">
        <v>52</v>
      </c>
      <c r="AF139" s="11" t="s">
        <v>152</v>
      </c>
      <c r="AG139" s="11" t="s">
        <v>200</v>
      </c>
      <c r="AH139" s="14" t="s">
        <v>122</v>
      </c>
      <c r="AI139" s="86" t="s">
        <v>37</v>
      </c>
      <c r="AJ139" s="113" t="str">
        <f>IF(COUNTIFS(Admin!$A$29:$A$40,AI139)&gt;0,Admin!$A$28,IF(COUNTIFS(Admin!$B$29:$B$40,AI139)&gt;0,Admin!$B$28,IF(COUNTIFS(Admin!$C$29:$C$40,AI139)&gt;0,Admin!$C$28,IF(COUNTIFS(Admin!$D$29:$D$40,AI139)&gt;0,Admin!$D$28,"-"))))</f>
        <v>3. mérföldkő</v>
      </c>
      <c r="AK139" s="14" t="s">
        <v>141</v>
      </c>
      <c r="AL139" s="9" t="s">
        <v>56</v>
      </c>
      <c r="AM139" s="131">
        <v>540000</v>
      </c>
      <c r="AN139" s="132">
        <f t="shared" si="368"/>
        <v>70200</v>
      </c>
      <c r="AO139" s="121">
        <v>174</v>
      </c>
      <c r="AP139" s="121">
        <v>40</v>
      </c>
      <c r="AQ139" s="354">
        <f t="shared" si="182"/>
        <v>0.22988505747126436</v>
      </c>
      <c r="AR139" s="133">
        <f t="shared" si="214"/>
        <v>124138</v>
      </c>
      <c r="AS139" s="133">
        <f t="shared" si="184"/>
        <v>16138</v>
      </c>
      <c r="AT139" s="123">
        <f t="shared" si="185"/>
        <v>-1.2771392082777666E-7</v>
      </c>
      <c r="AU139" s="124">
        <v>0.13</v>
      </c>
      <c r="AV139" s="394" t="s">
        <v>2767</v>
      </c>
      <c r="AW139" s="15">
        <v>44972</v>
      </c>
      <c r="AX139" s="12" t="s">
        <v>206</v>
      </c>
      <c r="BC139" s="1" t="s">
        <v>2823</v>
      </c>
    </row>
    <row r="140" spans="1:56" s="1" customFormat="1" hidden="1" x14ac:dyDescent="0.25">
      <c r="A140" s="264" t="str">
        <f>Bérköltség!$B140</f>
        <v>FEOR</v>
      </c>
      <c r="B140" s="264" t="str">
        <f>IFERROR(
IF(AND(Bérköltség!$F140="",H140="NA"),"HIÁNYOS ADATOK",
IF(Bérköltség!$F140&lt;Bérköltség!$U140,Admin!$B$18,Admin!$B$17)),
"")</f>
        <v>FEOR</v>
      </c>
      <c r="C140" s="265">
        <f>IFERROR(INDEX('Historikus berek_2021-2'!$A$1:$F$903,MATCH(AB140,'Historikus berek_2021-2'!$A$1:$A$903,0),4),"")</f>
        <v>395000</v>
      </c>
      <c r="D140" s="279">
        <f t="shared" si="321"/>
        <v>90804.597701149425</v>
      </c>
      <c r="E140" s="265">
        <f t="shared" si="322"/>
        <v>124138</v>
      </c>
      <c r="F140" s="266">
        <f t="shared" si="323"/>
        <v>37666.744597701138</v>
      </c>
      <c r="G140" s="267">
        <f t="shared" si="324"/>
        <v>102609.19540229884</v>
      </c>
      <c r="H140" s="268">
        <f>IFERROR(INDEX('FEOR kodok'!$A$2:$J$1126,MATCH(Bérköltség!AB140,'FEOR kodok'!$B$2:$B$1126,0),8),"NA")</f>
        <v>2117</v>
      </c>
      <c r="I140" s="269">
        <f>IFERROR(INDEX('FEOR kodok'!$A$2:$J$1126,MATCH(Bérköltség!AB140,'FEOR kodok'!$B$2:$B$1126,0),10),"NA")</f>
        <v>31</v>
      </c>
      <c r="J140" s="276" t="str">
        <f t="shared" si="325"/>
        <v>30–39 éves</v>
      </c>
      <c r="K140" s="269" t="str">
        <f>IFERROR(INDEX(admin_feor[#All],MATCH(Bérköltség!H140,admin_feor[[#All],[Foglalkozás]],0),2),"NA")</f>
        <v>Vegyészmérnök</v>
      </c>
      <c r="L140" s="270">
        <f>IFERROR(
INDEX('Admin - FEOR'!$A$4:$F$465,MATCH(Bérköltség!H140,'Admin - FEOR'!$A$4:$A$465,0),
IF(J140="30 év alatt",3,
IF(J140="30–39 éves",4,
IF(J140="40–49 éves",5,
IF(J140="50 év és afelett",6
)))))*1,"NA")</f>
        <v>696588</v>
      </c>
      <c r="M140" s="270">
        <f t="shared" si="326"/>
        <v>540000</v>
      </c>
      <c r="N140" s="318">
        <f t="shared" si="327"/>
        <v>0.77520715257799444</v>
      </c>
      <c r="O140" s="270">
        <f>IFERROR(
INDEX('Admin - FEOR'!$A$4:$F$465,MATCH(Bérköltség!H140,'Admin - FEOR'!$A$4:$A$465,0),
IF(J140="30 év alatt",3,
IF(J140="30–39 éves",4,
IF(J140="40–49 éves",5,
IF(J140="50 év és afelett",6
)))))*1.5,"NA")</f>
        <v>1044882</v>
      </c>
      <c r="P140" s="270">
        <f t="shared" si="328"/>
        <v>240202.75862068965</v>
      </c>
      <c r="Q140" s="270">
        <f t="shared" si="329"/>
        <v>124138</v>
      </c>
      <c r="R140" s="275">
        <f t="shared" si="330"/>
        <v>0.22988505747126436</v>
      </c>
      <c r="S140" s="270">
        <f t="shared" si="331"/>
        <v>0</v>
      </c>
      <c r="T140" s="270">
        <f t="shared" si="332"/>
        <v>0</v>
      </c>
      <c r="U140" s="271">
        <f t="shared" si="333"/>
        <v>0</v>
      </c>
      <c r="V140" s="272">
        <f t="shared" si="334"/>
        <v>140276</v>
      </c>
      <c r="W140" s="273" t="str">
        <f t="shared" si="335"/>
        <v>Nem szükséges indoklás.</v>
      </c>
      <c r="X140" s="372">
        <f t="shared" si="336"/>
        <v>0</v>
      </c>
      <c r="Y140" s="317">
        <f t="shared" si="337"/>
        <v>124138</v>
      </c>
      <c r="Z140" s="317">
        <f t="shared" si="338"/>
        <v>16138</v>
      </c>
      <c r="AA140" s="36"/>
      <c r="AB140" s="274">
        <v>8459031489</v>
      </c>
      <c r="AC140" s="40" t="s">
        <v>220</v>
      </c>
      <c r="AD140" s="82" t="s">
        <v>75</v>
      </c>
      <c r="AE140" s="41" t="s">
        <v>52</v>
      </c>
      <c r="AF140" s="11" t="s">
        <v>152</v>
      </c>
      <c r="AG140" s="11" t="s">
        <v>200</v>
      </c>
      <c r="AH140" s="14" t="s">
        <v>122</v>
      </c>
      <c r="AI140" s="86" t="s">
        <v>38</v>
      </c>
      <c r="AJ140" s="113" t="str">
        <f>IF(COUNTIFS(Admin!$A$29:$A$40,AI140)&gt;0,Admin!$A$28,IF(COUNTIFS(Admin!$B$29:$B$40,AI140)&gt;0,Admin!$B$28,IF(COUNTIFS(Admin!$C$29:$C$40,AI140)&gt;0,Admin!$C$28,IF(COUNTIFS(Admin!$D$29:$D$40,AI140)&gt;0,Admin!$D$28,"-"))))</f>
        <v>3. mérföldkő</v>
      </c>
      <c r="AK140" s="14" t="s">
        <v>141</v>
      </c>
      <c r="AL140" s="9" t="s">
        <v>56</v>
      </c>
      <c r="AM140" s="131">
        <v>540000</v>
      </c>
      <c r="AN140" s="132">
        <f t="shared" si="368"/>
        <v>70200</v>
      </c>
      <c r="AO140" s="121">
        <v>174</v>
      </c>
      <c r="AP140" s="121">
        <v>40</v>
      </c>
      <c r="AQ140" s="354">
        <f t="shared" si="182"/>
        <v>0.22988505747126436</v>
      </c>
      <c r="AR140" s="133">
        <f t="shared" si="214"/>
        <v>124138</v>
      </c>
      <c r="AS140" s="133">
        <f t="shared" si="184"/>
        <v>16138</v>
      </c>
      <c r="AT140" s="123">
        <f t="shared" si="185"/>
        <v>-1.2771392082777666E-7</v>
      </c>
      <c r="AU140" s="124">
        <v>0.13</v>
      </c>
      <c r="AV140" s="394" t="s">
        <v>2767</v>
      </c>
      <c r="AW140" s="15">
        <v>44972</v>
      </c>
      <c r="AX140" s="12" t="s">
        <v>206</v>
      </c>
      <c r="BC140" s="1" t="s">
        <v>2823</v>
      </c>
    </row>
    <row r="141" spans="1:56" s="1" customFormat="1" hidden="1" x14ac:dyDescent="0.25">
      <c r="A141" s="264" t="str">
        <f>Bérköltség!$B141</f>
        <v>FEOR</v>
      </c>
      <c r="B141" s="264" t="str">
        <f>IFERROR(
IF(AND(Bérköltség!$F141="",H141="NA"),"HIÁNYOS ADATOK",
IF(Bérköltség!$F141&lt;Bérköltség!$U141,Admin!$B$18,Admin!$B$17)),
"")</f>
        <v>FEOR</v>
      </c>
      <c r="C141" s="265">
        <f>IFERROR(INDEX('Historikus berek_2021-2'!$A$1:$F$903,MATCH(AB141,'Historikus berek_2021-2'!$A$1:$A$903,0),4),"")</f>
        <v>395000</v>
      </c>
      <c r="D141" s="279">
        <f t="shared" si="321"/>
        <v>90804.597701149425</v>
      </c>
      <c r="E141" s="265">
        <f t="shared" si="322"/>
        <v>124138</v>
      </c>
      <c r="F141" s="266">
        <f t="shared" si="323"/>
        <v>37666.744597701138</v>
      </c>
      <c r="G141" s="267">
        <f t="shared" si="324"/>
        <v>102609.19540229884</v>
      </c>
      <c r="H141" s="268">
        <f>IFERROR(INDEX('FEOR kodok'!$A$2:$J$1126,MATCH(Bérköltség!AB141,'FEOR kodok'!$B$2:$B$1126,0),8),"NA")</f>
        <v>2117</v>
      </c>
      <c r="I141" s="269">
        <f>IFERROR(INDEX('FEOR kodok'!$A$2:$J$1126,MATCH(Bérköltség!AB141,'FEOR kodok'!$B$2:$B$1126,0),10),"NA")</f>
        <v>31</v>
      </c>
      <c r="J141" s="276" t="str">
        <f t="shared" si="325"/>
        <v>30–39 éves</v>
      </c>
      <c r="K141" s="269" t="str">
        <f>IFERROR(INDEX(admin_feor[#All],MATCH(Bérköltség!H141,admin_feor[[#All],[Foglalkozás]],0),2),"NA")</f>
        <v>Vegyészmérnök</v>
      </c>
      <c r="L141" s="270">
        <f>IFERROR(
INDEX('Admin - FEOR'!$A$4:$F$465,MATCH(Bérköltség!H141,'Admin - FEOR'!$A$4:$A$465,0),
IF(J141="30 év alatt",3,
IF(J141="30–39 éves",4,
IF(J141="40–49 éves",5,
IF(J141="50 év és afelett",6
)))))*1,"NA")</f>
        <v>696588</v>
      </c>
      <c r="M141" s="270">
        <f t="shared" si="326"/>
        <v>540000</v>
      </c>
      <c r="N141" s="318">
        <f t="shared" si="327"/>
        <v>0.77520715257799444</v>
      </c>
      <c r="O141" s="270">
        <f>IFERROR(
INDEX('Admin - FEOR'!$A$4:$F$465,MATCH(Bérköltség!H141,'Admin - FEOR'!$A$4:$A$465,0),
IF(J141="30 év alatt",3,
IF(J141="30–39 éves",4,
IF(J141="40–49 éves",5,
IF(J141="50 év és afelett",6
)))))*1.5,"NA")</f>
        <v>1044882</v>
      </c>
      <c r="P141" s="270">
        <f t="shared" si="328"/>
        <v>240202.75862068965</v>
      </c>
      <c r="Q141" s="270">
        <f t="shared" si="329"/>
        <v>124138</v>
      </c>
      <c r="R141" s="275">
        <f t="shared" si="330"/>
        <v>0.22988505747126436</v>
      </c>
      <c r="S141" s="270">
        <f t="shared" si="331"/>
        <v>0</v>
      </c>
      <c r="T141" s="270">
        <f t="shared" si="332"/>
        <v>0</v>
      </c>
      <c r="U141" s="271">
        <f t="shared" si="333"/>
        <v>0</v>
      </c>
      <c r="V141" s="272">
        <f t="shared" si="334"/>
        <v>140276</v>
      </c>
      <c r="W141" s="273" t="str">
        <f t="shared" si="335"/>
        <v>Nem szükséges indoklás.</v>
      </c>
      <c r="X141" s="372">
        <f t="shared" si="336"/>
        <v>0</v>
      </c>
      <c r="Y141" s="317">
        <f t="shared" si="337"/>
        <v>124138</v>
      </c>
      <c r="Z141" s="317">
        <f t="shared" si="338"/>
        <v>16138</v>
      </c>
      <c r="AA141" s="36"/>
      <c r="AB141" s="274">
        <v>8459031489</v>
      </c>
      <c r="AC141" s="40" t="s">
        <v>220</v>
      </c>
      <c r="AD141" s="82" t="s">
        <v>75</v>
      </c>
      <c r="AE141" s="41" t="s">
        <v>52</v>
      </c>
      <c r="AF141" s="11" t="s">
        <v>152</v>
      </c>
      <c r="AG141" s="11" t="s">
        <v>200</v>
      </c>
      <c r="AH141" s="14" t="s">
        <v>122</v>
      </c>
      <c r="AI141" s="86" t="s">
        <v>39</v>
      </c>
      <c r="AJ141" s="113" t="str">
        <f>IF(COUNTIFS(Admin!$A$29:$A$40,AI141)&gt;0,Admin!$A$28,IF(COUNTIFS(Admin!$B$29:$B$40,AI141)&gt;0,Admin!$B$28,IF(COUNTIFS(Admin!$C$29:$C$40,AI141)&gt;0,Admin!$C$28,IF(COUNTIFS(Admin!$D$29:$D$40,AI141)&gt;0,Admin!$D$28,"-"))))</f>
        <v>3. mérföldkő</v>
      </c>
      <c r="AK141" s="14" t="s">
        <v>141</v>
      </c>
      <c r="AL141" s="9" t="s">
        <v>56</v>
      </c>
      <c r="AM141" s="131">
        <v>540000</v>
      </c>
      <c r="AN141" s="132">
        <f t="shared" si="368"/>
        <v>70200</v>
      </c>
      <c r="AO141" s="121">
        <v>174</v>
      </c>
      <c r="AP141" s="121">
        <v>40</v>
      </c>
      <c r="AQ141" s="354">
        <f t="shared" si="182"/>
        <v>0.22988505747126436</v>
      </c>
      <c r="AR141" s="133">
        <f t="shared" si="214"/>
        <v>124138</v>
      </c>
      <c r="AS141" s="133">
        <f t="shared" si="184"/>
        <v>16138</v>
      </c>
      <c r="AT141" s="123">
        <f t="shared" si="185"/>
        <v>-1.2771392082777666E-7</v>
      </c>
      <c r="AU141" s="124">
        <v>0.13</v>
      </c>
      <c r="AV141" s="394" t="s">
        <v>2767</v>
      </c>
      <c r="AW141" s="15">
        <v>44972</v>
      </c>
      <c r="AX141" s="12" t="s">
        <v>206</v>
      </c>
      <c r="BC141" s="1" t="s">
        <v>2823</v>
      </c>
    </row>
    <row r="142" spans="1:56" s="1" customFormat="1" hidden="1" x14ac:dyDescent="0.25">
      <c r="A142" s="264" t="str">
        <f>Bérköltség!$B142</f>
        <v>FEOR</v>
      </c>
      <c r="B142" s="264" t="str">
        <f>IFERROR(
IF(AND(Bérköltség!$F142="",H142="NA"),"HIÁNYOS ADATOK",
IF(Bérköltség!$F142&lt;Bérköltség!$U142,Admin!$B$18,Admin!$B$17)),
"")</f>
        <v>FEOR</v>
      </c>
      <c r="C142" s="265" t="str">
        <f>IFERROR(INDEX('Historikus berek_2021-2'!$A$1:$F$903,MATCH(AB142,'Historikus berek_2021-2'!$A$1:$A$903,0),4),"")</f>
        <v/>
      </c>
      <c r="D142" s="279" t="str">
        <f t="shared" si="321"/>
        <v/>
      </c>
      <c r="E142" s="265">
        <f t="shared" si="322"/>
        <v>336207</v>
      </c>
      <c r="F142" s="266" t="str">
        <f t="shared" si="323"/>
        <v/>
      </c>
      <c r="G142" s="267" t="str">
        <f t="shared" si="324"/>
        <v/>
      </c>
      <c r="H142" s="268">
        <f>IFERROR(INDEX('FEOR kodok'!$A$2:$J$1126,MATCH(Bérköltség!AB142,'FEOR kodok'!$B$2:$B$1126,0),8),"NA")</f>
        <v>2117</v>
      </c>
      <c r="I142" s="269">
        <f>IFERROR(INDEX('FEOR kodok'!$A$2:$J$1126,MATCH(Bérköltség!AB142,'FEOR kodok'!$B$2:$B$1126,0),10),"NA")</f>
        <v>57</v>
      </c>
      <c r="J142" s="276" t="str">
        <f t="shared" si="325"/>
        <v>50 év és afelett</v>
      </c>
      <c r="K142" s="269" t="str">
        <f>IFERROR(INDEX(admin_feor[#All],MATCH(Bérköltség!H142,admin_feor[[#All],[Foglalkozás]],0),2),"NA")</f>
        <v>Vegyészmérnök</v>
      </c>
      <c r="L142" s="270">
        <f>IFERROR(
INDEX('Admin - FEOR'!$A$4:$F$465,MATCH(Bérköltség!H142,'Admin - FEOR'!$A$4:$A$465,0),
IF(J142="30 év alatt",3,
IF(J142="30–39 éves",4,
IF(J142="40–49 éves",5,
IF(J142="50 év és afelett",6
)))))*1,"NA")</f>
        <v>826737</v>
      </c>
      <c r="M142" s="270">
        <f t="shared" si="326"/>
        <v>450000</v>
      </c>
      <c r="N142" s="318">
        <f t="shared" si="327"/>
        <v>0.54430852858889833</v>
      </c>
      <c r="O142" s="270">
        <f>IFERROR(
INDEX('Admin - FEOR'!$A$4:$F$465,MATCH(Bérköltség!H142,'Admin - FEOR'!$A$4:$A$465,0),
IF(J142="30 év alatt",3,
IF(J142="30–39 éves",4,
IF(J142="40–49 éves",5,
IF(J142="50 év és afelett",6
)))))*1.5,"NA")</f>
        <v>1240105.5</v>
      </c>
      <c r="P142" s="270">
        <f t="shared" si="328"/>
        <v>926515.60344827583</v>
      </c>
      <c r="Q142" s="270">
        <f t="shared" si="329"/>
        <v>336207</v>
      </c>
      <c r="R142" s="275">
        <f t="shared" si="330"/>
        <v>0.74712643678160917</v>
      </c>
      <c r="S142" s="270">
        <f t="shared" si="331"/>
        <v>0</v>
      </c>
      <c r="T142" s="270">
        <f t="shared" si="332"/>
        <v>0</v>
      </c>
      <c r="U142" s="271">
        <f t="shared" si="333"/>
        <v>0</v>
      </c>
      <c r="V142" s="272">
        <f t="shared" si="334"/>
        <v>379914</v>
      </c>
      <c r="W142" s="273" t="str">
        <f t="shared" si="335"/>
        <v>Nem szükséges indoklás.</v>
      </c>
      <c r="X142" s="372">
        <f t="shared" si="336"/>
        <v>0</v>
      </c>
      <c r="Y142" s="317">
        <f t="shared" si="337"/>
        <v>336207</v>
      </c>
      <c r="Z142" s="317">
        <f t="shared" si="338"/>
        <v>43707</v>
      </c>
      <c r="AA142" s="12">
        <v>2</v>
      </c>
      <c r="AB142" s="274">
        <v>8364962566</v>
      </c>
      <c r="AC142" s="40" t="s">
        <v>239</v>
      </c>
      <c r="AD142" s="82" t="s">
        <v>75</v>
      </c>
      <c r="AE142" s="41" t="s">
        <v>52</v>
      </c>
      <c r="AF142" s="11" t="s">
        <v>159</v>
      </c>
      <c r="AG142" s="11" t="s">
        <v>211</v>
      </c>
      <c r="AH142" s="14" t="s">
        <v>122</v>
      </c>
      <c r="AI142" s="86" t="s">
        <v>25</v>
      </c>
      <c r="AJ142" s="113" t="str">
        <f>IF(COUNTIFS(Admin!$A$29:$A$40,AI142)&gt;0,Admin!$A$28,IF(COUNTIFS(Admin!$B$29:$B$40,AI142)&gt;0,Admin!$B$28,IF(COUNTIFS(Admin!$C$29:$C$40,AI142)&gt;0,Admin!$C$28,IF(COUNTIFS(Admin!$D$29:$D$40,AI142)&gt;0,Admin!$D$28,"-"))))</f>
        <v>2. mérföldkő</v>
      </c>
      <c r="AK142" s="14" t="s">
        <v>7</v>
      </c>
      <c r="AL142" s="9" t="s">
        <v>56</v>
      </c>
      <c r="AM142" s="131">
        <v>450000</v>
      </c>
      <c r="AN142" s="132">
        <f t="shared" si="368"/>
        <v>58500</v>
      </c>
      <c r="AO142" s="121">
        <v>87</v>
      </c>
      <c r="AP142" s="121">
        <v>65</v>
      </c>
      <c r="AQ142" s="354">
        <f t="shared" si="182"/>
        <v>0.74712643678160917</v>
      </c>
      <c r="AR142" s="133">
        <f t="shared" si="214"/>
        <v>336207</v>
      </c>
      <c r="AS142" s="133">
        <f t="shared" si="184"/>
        <v>43707</v>
      </c>
      <c r="AT142" s="123">
        <f t="shared" si="185"/>
        <v>-2.2988505754550914E-7</v>
      </c>
      <c r="AU142" s="124">
        <v>0.13</v>
      </c>
      <c r="AV142" s="394" t="s">
        <v>2768</v>
      </c>
      <c r="AW142" s="15">
        <v>44847</v>
      </c>
      <c r="AX142" s="12" t="s">
        <v>206</v>
      </c>
      <c r="AZ142" s="1" t="s">
        <v>2667</v>
      </c>
      <c r="BA142" s="1" t="s">
        <v>2667</v>
      </c>
      <c r="BB142" s="1" t="s">
        <v>2667</v>
      </c>
      <c r="BC142" s="1" t="s">
        <v>2824</v>
      </c>
      <c r="BD142" s="1" t="str">
        <f>CONCATENATE(BC142," - ",AE142)</f>
        <v>Kutató_NK_2 - Kutató</v>
      </c>
    </row>
    <row r="143" spans="1:56" s="1" customFormat="1" hidden="1" x14ac:dyDescent="0.25">
      <c r="A143" s="264" t="str">
        <f>Bérköltség!$B143</f>
        <v>FEOR</v>
      </c>
      <c r="B143" s="264" t="str">
        <f>IFERROR(
IF(AND(Bérköltség!$F143="",H143="NA"),"HIÁNYOS ADATOK",
IF(Bérköltség!$F143&lt;Bérköltség!$U143,Admin!$B$18,Admin!$B$17)),
"")</f>
        <v>FEOR</v>
      </c>
      <c r="C143" s="265" t="str">
        <f>IFERROR(INDEX('Historikus berek_2021-2'!$A$1:$F$903,MATCH(AB143,'Historikus berek_2021-2'!$A$1:$A$903,0),4),"")</f>
        <v/>
      </c>
      <c r="D143" s="279" t="str">
        <f t="shared" ref="D143:D147" si="369">IFERROR(C143*AQ143,"")</f>
        <v/>
      </c>
      <c r="E143" s="265">
        <f t="shared" ref="E143:E147" si="370">AR143</f>
        <v>336207</v>
      </c>
      <c r="F143" s="266" t="str">
        <f t="shared" ref="F143:F147" si="371">IFERROR(IF((E143*(1+AU143)-D143*(1+AU143))&lt;0,0,(E143*(1+AU143)-D143*(1+AU143))),"")</f>
        <v/>
      </c>
      <c r="G143" s="267" t="str">
        <f t="shared" ref="G143:G147" si="372">IFERROR((E143*(1+AU143)-F143),"")</f>
        <v/>
      </c>
      <c r="H143" s="268">
        <f>IFERROR(INDEX('FEOR kodok'!$A$2:$J$1126,MATCH(Bérköltség!AB143,'FEOR kodok'!$B$2:$B$1126,0),8),"NA")</f>
        <v>2117</v>
      </c>
      <c r="I143" s="269">
        <f>IFERROR(INDEX('FEOR kodok'!$A$2:$J$1126,MATCH(Bérköltség!AB143,'FEOR kodok'!$B$2:$B$1126,0),10),"NA")</f>
        <v>57</v>
      </c>
      <c r="J143" s="276" t="str">
        <f t="shared" ref="J143:J147" si="373">IF(I143="NA","NA",
IF(I143&lt;30,"30 év alatt",
IF(AND(I143&gt;=30,I143&lt;=39),"30–39 éves",
IF(AND(I143&gt;=40,I143&lt;=49),"40–49 éves",
IF(I143&gt;=50,"50 év és afelett",
"")))))</f>
        <v>50 év és afelett</v>
      </c>
      <c r="K143" s="269" t="str">
        <f>IFERROR(INDEX(admin_feor[#All],MATCH(Bérköltség!H143,admin_feor[[#All],[Foglalkozás]],0),2),"NA")</f>
        <v>Vegyészmérnök</v>
      </c>
      <c r="L143" s="270">
        <f>IFERROR(
INDEX('Admin - FEOR'!$A$4:$F$465,MATCH(Bérköltség!H143,'Admin - FEOR'!$A$4:$A$465,0),
IF(J143="30 év alatt",3,
IF(J143="30–39 éves",4,
IF(J143="40–49 éves",5,
IF(J143="50 év és afelett",6
)))))*1,"NA")</f>
        <v>826737</v>
      </c>
      <c r="M143" s="270">
        <f t="shared" ref="M143:M147" si="374">AM143</f>
        <v>450000</v>
      </c>
      <c r="N143" s="318">
        <f t="shared" ref="N143:N147" si="375">IFERROR(
M143/L143,"NA")</f>
        <v>0.54430852858889833</v>
      </c>
      <c r="O143" s="270">
        <f>IFERROR(
INDEX('Admin - FEOR'!$A$4:$F$465,MATCH(Bérköltség!H143,'Admin - FEOR'!$A$4:$A$465,0),
IF(J143="30 év alatt",3,
IF(J143="30–39 éves",4,
IF(J143="40–49 éves",5,
IF(J143="50 év és afelett",6
)))))*1.5,"NA")</f>
        <v>1240105.5</v>
      </c>
      <c r="P143" s="270">
        <f t="shared" ref="P143:P147" si="376">IFERROR(
AQ143*O143,"NA")</f>
        <v>926515.60344827583</v>
      </c>
      <c r="Q143" s="270">
        <f t="shared" ref="Q143:Q147" si="377">IFERROR(AR143,"")</f>
        <v>336207</v>
      </c>
      <c r="R143" s="275">
        <f t="shared" ref="R143:R147" si="378">IFERROR(AQ143,"")</f>
        <v>0.74712643678160917</v>
      </c>
      <c r="S143" s="270">
        <f t="shared" ref="S143:S147" si="379">IFERROR(
IF(AR143-P143&lt;0,0,AR143-P143),"NA")</f>
        <v>0</v>
      </c>
      <c r="T143" s="270">
        <f t="shared" ref="T143:T147" si="380">IFERROR(
S143*AU143,"NA")</f>
        <v>0</v>
      </c>
      <c r="U143" s="271">
        <f t="shared" ref="U143:U147" si="381">IFERROR(
S143+T143,"NA")</f>
        <v>0</v>
      </c>
      <c r="V143" s="272">
        <f t="shared" ref="V143:V147" si="382">IFERROR(
IF(U143&gt;0,AR143+AS143-U143,AR143+AS143),"NA")</f>
        <v>379914</v>
      </c>
      <c r="W143" s="273" t="str">
        <f t="shared" ref="W143:W147" si="383">IF(P143="NA","FEOR hiányzik",
IF(AND(N143&gt;1,A143="FEOR"),CONCATENATE("Indoklás szükséges mivel a FEOR: ",ROUND(N143*100,1),"%"),"Nem szükséges indoklás.")
)</f>
        <v>Nem szükséges indoklás.</v>
      </c>
      <c r="X143" s="372">
        <f t="shared" ref="X143:X147" si="384">IF(A143="FEOR",U143,IF(A143="HIÁNYOS ADATOK","HIÁNYOS ADATOK",F143))</f>
        <v>0</v>
      </c>
      <c r="Y143" s="317">
        <f t="shared" ref="Y143:Y147" si="385">IF(A143="FEOR",ROUND((V143/(1+AU143)),0),IF(A143="HIÁNYOS ADATOK","HIÁNYOS ADATOK",ROUND(G143/(1+AU143),0)))</f>
        <v>336207</v>
      </c>
      <c r="Z143" s="317">
        <f t="shared" ref="Z143:Z147" si="386">IF(A143="FEOR",ROUND((V143-Y143),0),IF(A143="HIÁNYOS ADATOK","HIÁNYOS ADATOK",ROUND((G143-Y143),0)))</f>
        <v>43707</v>
      </c>
      <c r="AA143" s="12"/>
      <c r="AB143" s="274">
        <v>8364962566</v>
      </c>
      <c r="AC143" s="40" t="s">
        <v>239</v>
      </c>
      <c r="AD143" s="82" t="s">
        <v>75</v>
      </c>
      <c r="AE143" s="41" t="s">
        <v>52</v>
      </c>
      <c r="AF143" s="11" t="s">
        <v>159</v>
      </c>
      <c r="AG143" s="11" t="s">
        <v>211</v>
      </c>
      <c r="AH143" s="14" t="s">
        <v>122</v>
      </c>
      <c r="AI143" s="86" t="s">
        <v>36</v>
      </c>
      <c r="AJ143" s="113" t="str">
        <f>IF(COUNTIFS(Admin!$A$29:$A$40,AI143)&gt;0,Admin!$A$28,IF(COUNTIFS(Admin!$B$29:$B$40,AI143)&gt;0,Admin!$B$28,IF(COUNTIFS(Admin!$C$29:$C$40,AI143)&gt;0,Admin!$C$28,IF(COUNTIFS(Admin!$D$29:$D$40,AI143)&gt;0,Admin!$D$28,"-"))))</f>
        <v>3. mérföldkő</v>
      </c>
      <c r="AK143" s="14" t="s">
        <v>141</v>
      </c>
      <c r="AL143" s="9" t="s">
        <v>56</v>
      </c>
      <c r="AM143" s="131">
        <v>450000</v>
      </c>
      <c r="AN143" s="132">
        <f t="shared" ref="AN143" si="387">IFERROR(ROUND(AM143*AU143,0),"")</f>
        <v>58500</v>
      </c>
      <c r="AO143" s="121">
        <v>87</v>
      </c>
      <c r="AP143" s="121">
        <v>65</v>
      </c>
      <c r="AQ143" s="354">
        <f t="shared" ref="AQ143" si="388">IFERROR(AP143/AO143,"")</f>
        <v>0.74712643678160917</v>
      </c>
      <c r="AR143" s="133">
        <f t="shared" ref="AR143" si="389">IFERROR(ROUND(AM143*AP143/AO143,0),"")</f>
        <v>336207</v>
      </c>
      <c r="AS143" s="133">
        <f t="shared" ref="AS143" si="390">IFERROR(ROUND(AR143*AU143,0),"")</f>
        <v>43707</v>
      </c>
      <c r="AT143" s="123">
        <f t="shared" ref="AT143" si="391">IFERROR(AP143/AO143-AR143/AM143,"")</f>
        <v>-2.2988505754550914E-7</v>
      </c>
      <c r="AU143" s="124">
        <v>0.13</v>
      </c>
      <c r="AV143" s="394" t="s">
        <v>2768</v>
      </c>
      <c r="AW143" s="15">
        <v>45028</v>
      </c>
      <c r="AX143" s="12"/>
      <c r="BC143" s="1" t="s">
        <v>2824</v>
      </c>
    </row>
    <row r="144" spans="1:56" s="1" customFormat="1" hidden="1" x14ac:dyDescent="0.25">
      <c r="A144" s="264" t="str">
        <f>Bérköltség!$B144</f>
        <v>FEOR</v>
      </c>
      <c r="B144" s="264" t="str">
        <f>IFERROR(
IF(AND(Bérköltség!$F144="",H144="NA"),"HIÁNYOS ADATOK",
IF(Bérköltség!$F144&lt;Bérköltség!$U144,Admin!$B$18,Admin!$B$17)),
"")</f>
        <v>FEOR</v>
      </c>
      <c r="C144" s="265" t="str">
        <f>IFERROR(INDEX('Historikus berek_2021-2'!$A$1:$F$903,MATCH(AB144,'Historikus berek_2021-2'!$A$1:$A$903,0),4),"")</f>
        <v/>
      </c>
      <c r="D144" s="279" t="str">
        <f t="shared" si="369"/>
        <v/>
      </c>
      <c r="E144" s="265">
        <f t="shared" si="370"/>
        <v>336207</v>
      </c>
      <c r="F144" s="266" t="str">
        <f t="shared" si="371"/>
        <v/>
      </c>
      <c r="G144" s="267" t="str">
        <f t="shared" si="372"/>
        <v/>
      </c>
      <c r="H144" s="268">
        <f>IFERROR(INDEX('FEOR kodok'!$A$2:$J$1126,MATCH(Bérköltség!AB144,'FEOR kodok'!$B$2:$B$1126,0),8),"NA")</f>
        <v>2117</v>
      </c>
      <c r="I144" s="269">
        <f>IFERROR(INDEX('FEOR kodok'!$A$2:$J$1126,MATCH(Bérköltség!AB144,'FEOR kodok'!$B$2:$B$1126,0),10),"NA")</f>
        <v>57</v>
      </c>
      <c r="J144" s="276" t="str">
        <f t="shared" si="373"/>
        <v>50 év és afelett</v>
      </c>
      <c r="K144" s="269" t="str">
        <f>IFERROR(INDEX(admin_feor[#All],MATCH(Bérköltség!H144,admin_feor[[#All],[Foglalkozás]],0),2),"NA")</f>
        <v>Vegyészmérnök</v>
      </c>
      <c r="L144" s="270">
        <f>IFERROR(
INDEX('Admin - FEOR'!$A$4:$F$465,MATCH(Bérköltség!H144,'Admin - FEOR'!$A$4:$A$465,0),
IF(J144="30 év alatt",3,
IF(J144="30–39 éves",4,
IF(J144="40–49 éves",5,
IF(J144="50 év és afelett",6
)))))*1,"NA")</f>
        <v>826737</v>
      </c>
      <c r="M144" s="270">
        <f t="shared" si="374"/>
        <v>450000</v>
      </c>
      <c r="N144" s="318">
        <f t="shared" si="375"/>
        <v>0.54430852858889833</v>
      </c>
      <c r="O144" s="270">
        <f>IFERROR(
INDEX('Admin - FEOR'!$A$4:$F$465,MATCH(Bérköltség!H144,'Admin - FEOR'!$A$4:$A$465,0),
IF(J144="30 év alatt",3,
IF(J144="30–39 éves",4,
IF(J144="40–49 éves",5,
IF(J144="50 év és afelett",6
)))))*1.5,"NA")</f>
        <v>1240105.5</v>
      </c>
      <c r="P144" s="270">
        <f t="shared" si="376"/>
        <v>926515.60344827583</v>
      </c>
      <c r="Q144" s="270">
        <f t="shared" si="377"/>
        <v>336207</v>
      </c>
      <c r="R144" s="275">
        <f t="shared" si="378"/>
        <v>0.74712643678160917</v>
      </c>
      <c r="S144" s="270">
        <f t="shared" si="379"/>
        <v>0</v>
      </c>
      <c r="T144" s="270">
        <f t="shared" si="380"/>
        <v>0</v>
      </c>
      <c r="U144" s="271">
        <f t="shared" si="381"/>
        <v>0</v>
      </c>
      <c r="V144" s="272">
        <f t="shared" si="382"/>
        <v>379914</v>
      </c>
      <c r="W144" s="273" t="str">
        <f t="shared" si="383"/>
        <v>Nem szükséges indoklás.</v>
      </c>
      <c r="X144" s="372">
        <f t="shared" si="384"/>
        <v>0</v>
      </c>
      <c r="Y144" s="317">
        <f t="shared" si="385"/>
        <v>336207</v>
      </c>
      <c r="Z144" s="317">
        <f t="shared" si="386"/>
        <v>43707</v>
      </c>
      <c r="AA144" s="12"/>
      <c r="AB144" s="274">
        <v>8364962566</v>
      </c>
      <c r="AC144" s="40" t="s">
        <v>239</v>
      </c>
      <c r="AD144" s="82" t="s">
        <v>75</v>
      </c>
      <c r="AE144" s="41" t="s">
        <v>52</v>
      </c>
      <c r="AF144" s="11" t="s">
        <v>159</v>
      </c>
      <c r="AG144" s="11" t="s">
        <v>211</v>
      </c>
      <c r="AH144" s="14" t="s">
        <v>122</v>
      </c>
      <c r="AI144" s="86" t="s">
        <v>37</v>
      </c>
      <c r="AJ144" s="113" t="str">
        <f>IF(COUNTIFS(Admin!$A$29:$A$40,AI144)&gt;0,Admin!$A$28,IF(COUNTIFS(Admin!$B$29:$B$40,AI144)&gt;0,Admin!$B$28,IF(COUNTIFS(Admin!$C$29:$C$40,AI144)&gt;0,Admin!$C$28,IF(COUNTIFS(Admin!$D$29:$D$40,AI144)&gt;0,Admin!$D$28,"-"))))</f>
        <v>3. mérföldkő</v>
      </c>
      <c r="AK144" s="14" t="s">
        <v>141</v>
      </c>
      <c r="AL144" s="9" t="s">
        <v>56</v>
      </c>
      <c r="AM144" s="131">
        <v>450000</v>
      </c>
      <c r="AN144" s="132">
        <f t="shared" ref="AN144:AN147" si="392">IFERROR(ROUND(AM144*AU144,0),"")</f>
        <v>58500</v>
      </c>
      <c r="AO144" s="121">
        <v>87</v>
      </c>
      <c r="AP144" s="121">
        <v>65</v>
      </c>
      <c r="AQ144" s="354">
        <f t="shared" ref="AQ144:AQ147" si="393">IFERROR(AP144/AO144,"")</f>
        <v>0.74712643678160917</v>
      </c>
      <c r="AR144" s="133">
        <f t="shared" ref="AR144:AR147" si="394">IFERROR(ROUND(AM144*AP144/AO144,0),"")</f>
        <v>336207</v>
      </c>
      <c r="AS144" s="133">
        <f t="shared" ref="AS144:AS147" si="395">IFERROR(ROUND(AR144*AU144,0),"")</f>
        <v>43707</v>
      </c>
      <c r="AT144" s="123">
        <f t="shared" ref="AT144:AT147" si="396">IFERROR(AP144/AO144-AR144/AM144,"")</f>
        <v>-2.2988505754550914E-7</v>
      </c>
      <c r="AU144" s="124">
        <v>0.13</v>
      </c>
      <c r="AV144" s="394" t="s">
        <v>2768</v>
      </c>
      <c r="AW144" s="15">
        <v>45028</v>
      </c>
      <c r="AX144" s="12"/>
      <c r="BC144" s="1" t="s">
        <v>2824</v>
      </c>
    </row>
    <row r="145" spans="1:56" s="1" customFormat="1" hidden="1" x14ac:dyDescent="0.25">
      <c r="A145" s="264" t="str">
        <f>Bérköltség!$B145</f>
        <v>FEOR</v>
      </c>
      <c r="B145" s="264" t="str">
        <f>IFERROR(
IF(AND(Bérköltség!$F145="",H145="NA"),"HIÁNYOS ADATOK",
IF(Bérköltség!$F145&lt;Bérköltség!$U145,Admin!$B$18,Admin!$B$17)),
"")</f>
        <v>FEOR</v>
      </c>
      <c r="C145" s="265" t="str">
        <f>IFERROR(INDEX('Historikus berek_2021-2'!$A$1:$F$903,MATCH(AB145,'Historikus berek_2021-2'!$A$1:$A$903,0),4),"")</f>
        <v/>
      </c>
      <c r="D145" s="279" t="str">
        <f t="shared" si="369"/>
        <v/>
      </c>
      <c r="E145" s="265">
        <f t="shared" si="370"/>
        <v>336207</v>
      </c>
      <c r="F145" s="266" t="str">
        <f t="shared" si="371"/>
        <v/>
      </c>
      <c r="G145" s="267" t="str">
        <f t="shared" si="372"/>
        <v/>
      </c>
      <c r="H145" s="268">
        <f>IFERROR(INDEX('FEOR kodok'!$A$2:$J$1126,MATCH(Bérköltség!AB145,'FEOR kodok'!$B$2:$B$1126,0),8),"NA")</f>
        <v>2117</v>
      </c>
      <c r="I145" s="269">
        <f>IFERROR(INDEX('FEOR kodok'!$A$2:$J$1126,MATCH(Bérköltség!AB145,'FEOR kodok'!$B$2:$B$1126,0),10),"NA")</f>
        <v>57</v>
      </c>
      <c r="J145" s="276" t="str">
        <f t="shared" si="373"/>
        <v>50 év és afelett</v>
      </c>
      <c r="K145" s="269" t="str">
        <f>IFERROR(INDEX(admin_feor[#All],MATCH(Bérköltség!H145,admin_feor[[#All],[Foglalkozás]],0),2),"NA")</f>
        <v>Vegyészmérnök</v>
      </c>
      <c r="L145" s="270">
        <f>IFERROR(
INDEX('Admin - FEOR'!$A$4:$F$465,MATCH(Bérköltség!H145,'Admin - FEOR'!$A$4:$A$465,0),
IF(J145="30 év alatt",3,
IF(J145="30–39 éves",4,
IF(J145="40–49 éves",5,
IF(J145="50 év és afelett",6
)))))*1,"NA")</f>
        <v>826737</v>
      </c>
      <c r="M145" s="270">
        <f t="shared" si="374"/>
        <v>450000</v>
      </c>
      <c r="N145" s="318">
        <f t="shared" si="375"/>
        <v>0.54430852858889833</v>
      </c>
      <c r="O145" s="270">
        <f>IFERROR(
INDEX('Admin - FEOR'!$A$4:$F$465,MATCH(Bérköltség!H145,'Admin - FEOR'!$A$4:$A$465,0),
IF(J145="30 év alatt",3,
IF(J145="30–39 éves",4,
IF(J145="40–49 éves",5,
IF(J145="50 év és afelett",6
)))))*1.5,"NA")</f>
        <v>1240105.5</v>
      </c>
      <c r="P145" s="270">
        <f t="shared" si="376"/>
        <v>926515.60344827583</v>
      </c>
      <c r="Q145" s="270">
        <f t="shared" si="377"/>
        <v>336207</v>
      </c>
      <c r="R145" s="275">
        <f t="shared" si="378"/>
        <v>0.74712643678160917</v>
      </c>
      <c r="S145" s="270">
        <f t="shared" si="379"/>
        <v>0</v>
      </c>
      <c r="T145" s="270">
        <f t="shared" si="380"/>
        <v>0</v>
      </c>
      <c r="U145" s="271">
        <f t="shared" si="381"/>
        <v>0</v>
      </c>
      <c r="V145" s="272">
        <f t="shared" si="382"/>
        <v>379914</v>
      </c>
      <c r="W145" s="273" t="str">
        <f t="shared" si="383"/>
        <v>Nem szükséges indoklás.</v>
      </c>
      <c r="X145" s="372">
        <f t="shared" si="384"/>
        <v>0</v>
      </c>
      <c r="Y145" s="317">
        <f t="shared" si="385"/>
        <v>336207</v>
      </c>
      <c r="Z145" s="317">
        <f t="shared" si="386"/>
        <v>43707</v>
      </c>
      <c r="AA145" s="12"/>
      <c r="AB145" s="274">
        <v>8364962566</v>
      </c>
      <c r="AC145" s="40" t="s">
        <v>239</v>
      </c>
      <c r="AD145" s="82" t="s">
        <v>75</v>
      </c>
      <c r="AE145" s="41" t="s">
        <v>52</v>
      </c>
      <c r="AF145" s="11" t="s">
        <v>159</v>
      </c>
      <c r="AG145" s="11" t="s">
        <v>211</v>
      </c>
      <c r="AH145" s="14" t="s">
        <v>122</v>
      </c>
      <c r="AI145" s="86" t="s">
        <v>38</v>
      </c>
      <c r="AJ145" s="113" t="str">
        <f>IF(COUNTIFS(Admin!$A$29:$A$40,AI145)&gt;0,Admin!$A$28,IF(COUNTIFS(Admin!$B$29:$B$40,AI145)&gt;0,Admin!$B$28,IF(COUNTIFS(Admin!$C$29:$C$40,AI145)&gt;0,Admin!$C$28,IF(COUNTIFS(Admin!$D$29:$D$40,AI145)&gt;0,Admin!$D$28,"-"))))</f>
        <v>3. mérföldkő</v>
      </c>
      <c r="AK145" s="14" t="s">
        <v>141</v>
      </c>
      <c r="AL145" s="9" t="s">
        <v>56</v>
      </c>
      <c r="AM145" s="131">
        <v>450000</v>
      </c>
      <c r="AN145" s="132">
        <f t="shared" si="392"/>
        <v>58500</v>
      </c>
      <c r="AO145" s="121">
        <v>87</v>
      </c>
      <c r="AP145" s="121">
        <v>65</v>
      </c>
      <c r="AQ145" s="354">
        <f t="shared" si="393"/>
        <v>0.74712643678160917</v>
      </c>
      <c r="AR145" s="133">
        <f t="shared" si="394"/>
        <v>336207</v>
      </c>
      <c r="AS145" s="133">
        <f t="shared" si="395"/>
        <v>43707</v>
      </c>
      <c r="AT145" s="123">
        <f t="shared" si="396"/>
        <v>-2.2988505754550914E-7</v>
      </c>
      <c r="AU145" s="124">
        <v>0.13</v>
      </c>
      <c r="AV145" s="394" t="s">
        <v>2768</v>
      </c>
      <c r="AW145" s="15">
        <v>45028</v>
      </c>
      <c r="AX145" s="12"/>
      <c r="BC145" s="1" t="s">
        <v>2824</v>
      </c>
    </row>
    <row r="146" spans="1:56" s="1" customFormat="1" hidden="1" x14ac:dyDescent="0.25">
      <c r="A146" s="264" t="str">
        <f>Bérköltség!$B146</f>
        <v>FEOR</v>
      </c>
      <c r="B146" s="264" t="str">
        <f>IFERROR(
IF(AND(Bérköltség!$F146="",H146="NA"),"HIÁNYOS ADATOK",
IF(Bérköltség!$F146&lt;Bérköltség!$U146,Admin!$B$18,Admin!$B$17)),
"")</f>
        <v>FEOR</v>
      </c>
      <c r="C146" s="265" t="str">
        <f>IFERROR(INDEX('Historikus berek_2021-2'!$A$1:$F$903,MATCH(AB146,'Historikus berek_2021-2'!$A$1:$A$903,0),4),"")</f>
        <v/>
      </c>
      <c r="D146" s="279" t="str">
        <f t="shared" si="369"/>
        <v/>
      </c>
      <c r="E146" s="265">
        <f t="shared" si="370"/>
        <v>336207</v>
      </c>
      <c r="F146" s="266" t="str">
        <f t="shared" si="371"/>
        <v/>
      </c>
      <c r="G146" s="267" t="str">
        <f t="shared" si="372"/>
        <v/>
      </c>
      <c r="H146" s="268">
        <f>IFERROR(INDEX('FEOR kodok'!$A$2:$J$1126,MATCH(Bérköltség!AB146,'FEOR kodok'!$B$2:$B$1126,0),8),"NA")</f>
        <v>2117</v>
      </c>
      <c r="I146" s="269">
        <f>IFERROR(INDEX('FEOR kodok'!$A$2:$J$1126,MATCH(Bérköltség!AB146,'FEOR kodok'!$B$2:$B$1126,0),10),"NA")</f>
        <v>57</v>
      </c>
      <c r="J146" s="276" t="str">
        <f t="shared" si="373"/>
        <v>50 év és afelett</v>
      </c>
      <c r="K146" s="269" t="str">
        <f>IFERROR(INDEX(admin_feor[#All],MATCH(Bérköltség!H146,admin_feor[[#All],[Foglalkozás]],0),2),"NA")</f>
        <v>Vegyészmérnök</v>
      </c>
      <c r="L146" s="270">
        <f>IFERROR(
INDEX('Admin - FEOR'!$A$4:$F$465,MATCH(Bérköltség!H146,'Admin - FEOR'!$A$4:$A$465,0),
IF(J146="30 év alatt",3,
IF(J146="30–39 éves",4,
IF(J146="40–49 éves",5,
IF(J146="50 év és afelett",6
)))))*1,"NA")</f>
        <v>826737</v>
      </c>
      <c r="M146" s="270">
        <f t="shared" si="374"/>
        <v>450000</v>
      </c>
      <c r="N146" s="318">
        <f t="shared" si="375"/>
        <v>0.54430852858889833</v>
      </c>
      <c r="O146" s="270">
        <f>IFERROR(
INDEX('Admin - FEOR'!$A$4:$F$465,MATCH(Bérköltség!H146,'Admin - FEOR'!$A$4:$A$465,0),
IF(J146="30 év alatt",3,
IF(J146="30–39 éves",4,
IF(J146="40–49 éves",5,
IF(J146="50 év és afelett",6
)))))*1.5,"NA")</f>
        <v>1240105.5</v>
      </c>
      <c r="P146" s="270">
        <f t="shared" si="376"/>
        <v>926515.60344827583</v>
      </c>
      <c r="Q146" s="270">
        <f t="shared" si="377"/>
        <v>336207</v>
      </c>
      <c r="R146" s="275">
        <f t="shared" si="378"/>
        <v>0.74712643678160917</v>
      </c>
      <c r="S146" s="270">
        <f t="shared" si="379"/>
        <v>0</v>
      </c>
      <c r="T146" s="270">
        <f t="shared" si="380"/>
        <v>0</v>
      </c>
      <c r="U146" s="271">
        <f t="shared" si="381"/>
        <v>0</v>
      </c>
      <c r="V146" s="272">
        <f t="shared" si="382"/>
        <v>379914</v>
      </c>
      <c r="W146" s="273" t="str">
        <f t="shared" si="383"/>
        <v>Nem szükséges indoklás.</v>
      </c>
      <c r="X146" s="372">
        <f t="shared" si="384"/>
        <v>0</v>
      </c>
      <c r="Y146" s="317">
        <f t="shared" si="385"/>
        <v>336207</v>
      </c>
      <c r="Z146" s="317">
        <f t="shared" si="386"/>
        <v>43707</v>
      </c>
      <c r="AA146" s="12"/>
      <c r="AB146" s="274">
        <v>8364962566</v>
      </c>
      <c r="AC146" s="40" t="s">
        <v>239</v>
      </c>
      <c r="AD146" s="82" t="s">
        <v>75</v>
      </c>
      <c r="AE146" s="41" t="s">
        <v>52</v>
      </c>
      <c r="AF146" s="11" t="s">
        <v>159</v>
      </c>
      <c r="AG146" s="11" t="s">
        <v>211</v>
      </c>
      <c r="AH146" s="14" t="s">
        <v>122</v>
      </c>
      <c r="AI146" s="86" t="s">
        <v>39</v>
      </c>
      <c r="AJ146" s="113" t="str">
        <f>IF(COUNTIFS(Admin!$A$29:$A$40,AI146)&gt;0,Admin!$A$28,IF(COUNTIFS(Admin!$B$29:$B$40,AI146)&gt;0,Admin!$B$28,IF(COUNTIFS(Admin!$C$29:$C$40,AI146)&gt;0,Admin!$C$28,IF(COUNTIFS(Admin!$D$29:$D$40,AI146)&gt;0,Admin!$D$28,"-"))))</f>
        <v>3. mérföldkő</v>
      </c>
      <c r="AK146" s="14" t="s">
        <v>141</v>
      </c>
      <c r="AL146" s="9" t="s">
        <v>56</v>
      </c>
      <c r="AM146" s="131">
        <v>450000</v>
      </c>
      <c r="AN146" s="132">
        <f t="shared" si="392"/>
        <v>58500</v>
      </c>
      <c r="AO146" s="121">
        <v>87</v>
      </c>
      <c r="AP146" s="121">
        <v>65</v>
      </c>
      <c r="AQ146" s="354">
        <f t="shared" si="393"/>
        <v>0.74712643678160917</v>
      </c>
      <c r="AR146" s="133">
        <f t="shared" si="394"/>
        <v>336207</v>
      </c>
      <c r="AS146" s="133">
        <f t="shared" si="395"/>
        <v>43707</v>
      </c>
      <c r="AT146" s="123">
        <f t="shared" si="396"/>
        <v>-2.2988505754550914E-7</v>
      </c>
      <c r="AU146" s="124">
        <v>0.13</v>
      </c>
      <c r="AV146" s="394" t="s">
        <v>2768</v>
      </c>
      <c r="AW146" s="15">
        <v>45028</v>
      </c>
      <c r="AX146" s="12"/>
      <c r="BC146" s="1" t="s">
        <v>2824</v>
      </c>
    </row>
    <row r="147" spans="1:56" s="1" customFormat="1" hidden="1" x14ac:dyDescent="0.25">
      <c r="A147" s="264" t="str">
        <f>Bérköltség!$B147</f>
        <v>FEOR</v>
      </c>
      <c r="B147" s="264" t="str">
        <f>IFERROR(
IF(AND(Bérköltség!$F147="",H147="NA"),"HIÁNYOS ADATOK",
IF(Bérköltség!$F147&lt;Bérköltség!$U147,Admin!$B$18,Admin!$B$17)),
"")</f>
        <v>FEOR</v>
      </c>
      <c r="C147" s="265" t="str">
        <f>IFERROR(INDEX('Historikus berek_2021-2'!$A$1:$F$903,MATCH(AB147,'Historikus berek_2021-2'!$A$1:$A$903,0),4),"")</f>
        <v/>
      </c>
      <c r="D147" s="279" t="str">
        <f t="shared" si="369"/>
        <v/>
      </c>
      <c r="E147" s="265">
        <f t="shared" si="370"/>
        <v>336207</v>
      </c>
      <c r="F147" s="266" t="str">
        <f t="shared" si="371"/>
        <v/>
      </c>
      <c r="G147" s="267" t="str">
        <f t="shared" si="372"/>
        <v/>
      </c>
      <c r="H147" s="268">
        <f>IFERROR(INDEX('FEOR kodok'!$A$2:$J$1126,MATCH(Bérköltség!AB147,'FEOR kodok'!$B$2:$B$1126,0),8),"NA")</f>
        <v>2117</v>
      </c>
      <c r="I147" s="269">
        <f>IFERROR(INDEX('FEOR kodok'!$A$2:$J$1126,MATCH(Bérköltség!AB147,'FEOR kodok'!$B$2:$B$1126,0),10),"NA")</f>
        <v>57</v>
      </c>
      <c r="J147" s="276" t="str">
        <f t="shared" si="373"/>
        <v>50 év és afelett</v>
      </c>
      <c r="K147" s="269" t="str">
        <f>IFERROR(INDEX(admin_feor[#All],MATCH(Bérköltség!H147,admin_feor[[#All],[Foglalkozás]],0),2),"NA")</f>
        <v>Vegyészmérnök</v>
      </c>
      <c r="L147" s="270">
        <f>IFERROR(
INDEX('Admin - FEOR'!$A$4:$F$465,MATCH(Bérköltség!H147,'Admin - FEOR'!$A$4:$A$465,0),
IF(J147="30 év alatt",3,
IF(J147="30–39 éves",4,
IF(J147="40–49 éves",5,
IF(J147="50 év és afelett",6
)))))*1,"NA")</f>
        <v>826737</v>
      </c>
      <c r="M147" s="270">
        <f t="shared" si="374"/>
        <v>450000</v>
      </c>
      <c r="N147" s="318">
        <f t="shared" si="375"/>
        <v>0.54430852858889833</v>
      </c>
      <c r="O147" s="270">
        <f>IFERROR(
INDEX('Admin - FEOR'!$A$4:$F$465,MATCH(Bérköltség!H147,'Admin - FEOR'!$A$4:$A$465,0),
IF(J147="30 év alatt",3,
IF(J147="30–39 éves",4,
IF(J147="40–49 éves",5,
IF(J147="50 év és afelett",6
)))))*1.5,"NA")</f>
        <v>1240105.5</v>
      </c>
      <c r="P147" s="270">
        <f t="shared" si="376"/>
        <v>926515.60344827583</v>
      </c>
      <c r="Q147" s="270">
        <f t="shared" si="377"/>
        <v>336207</v>
      </c>
      <c r="R147" s="275">
        <f t="shared" si="378"/>
        <v>0.74712643678160917</v>
      </c>
      <c r="S147" s="270">
        <f t="shared" si="379"/>
        <v>0</v>
      </c>
      <c r="T147" s="270">
        <f t="shared" si="380"/>
        <v>0</v>
      </c>
      <c r="U147" s="271">
        <f t="shared" si="381"/>
        <v>0</v>
      </c>
      <c r="V147" s="272">
        <f t="shared" si="382"/>
        <v>379914</v>
      </c>
      <c r="W147" s="273" t="str">
        <f t="shared" si="383"/>
        <v>Nem szükséges indoklás.</v>
      </c>
      <c r="X147" s="372">
        <f t="shared" si="384"/>
        <v>0</v>
      </c>
      <c r="Y147" s="317">
        <f t="shared" si="385"/>
        <v>336207</v>
      </c>
      <c r="Z147" s="317">
        <f t="shared" si="386"/>
        <v>43707</v>
      </c>
      <c r="AA147" s="12"/>
      <c r="AB147" s="274">
        <v>8364962566</v>
      </c>
      <c r="AC147" s="40" t="s">
        <v>239</v>
      </c>
      <c r="AD147" s="82" t="s">
        <v>75</v>
      </c>
      <c r="AE147" s="41" t="s">
        <v>52</v>
      </c>
      <c r="AF147" s="11" t="s">
        <v>159</v>
      </c>
      <c r="AG147" s="11" t="s">
        <v>211</v>
      </c>
      <c r="AH147" s="14" t="s">
        <v>122</v>
      </c>
      <c r="AI147" s="86" t="s">
        <v>40</v>
      </c>
      <c r="AJ147" s="113" t="str">
        <f>IF(COUNTIFS(Admin!$A$29:$A$40,AI147)&gt;0,Admin!$A$28,IF(COUNTIFS(Admin!$B$29:$B$40,AI147)&gt;0,Admin!$B$28,IF(COUNTIFS(Admin!$C$29:$C$40,AI147)&gt;0,Admin!$C$28,IF(COUNTIFS(Admin!$D$29:$D$40,AI147)&gt;0,Admin!$D$28,"-"))))</f>
        <v>3. mérföldkő</v>
      </c>
      <c r="AK147" s="14" t="s">
        <v>141</v>
      </c>
      <c r="AL147" s="9" t="s">
        <v>56</v>
      </c>
      <c r="AM147" s="131">
        <v>450000</v>
      </c>
      <c r="AN147" s="132">
        <f t="shared" si="392"/>
        <v>58500</v>
      </c>
      <c r="AO147" s="121">
        <v>87</v>
      </c>
      <c r="AP147" s="121">
        <v>65</v>
      </c>
      <c r="AQ147" s="354">
        <f t="shared" si="393"/>
        <v>0.74712643678160917</v>
      </c>
      <c r="AR147" s="133">
        <f t="shared" si="394"/>
        <v>336207</v>
      </c>
      <c r="AS147" s="133">
        <f t="shared" si="395"/>
        <v>43707</v>
      </c>
      <c r="AT147" s="123">
        <f t="shared" si="396"/>
        <v>-2.2988505754550914E-7</v>
      </c>
      <c r="AU147" s="124">
        <v>0.13</v>
      </c>
      <c r="AV147" s="394" t="s">
        <v>2768</v>
      </c>
      <c r="AW147" s="15">
        <v>45028</v>
      </c>
      <c r="AX147" s="12"/>
      <c r="BC147" s="1" t="s">
        <v>2824</v>
      </c>
    </row>
    <row r="148" spans="1:56" s="1" customFormat="1" hidden="1" x14ac:dyDescent="0.25">
      <c r="A148" s="264" t="str">
        <f>Bérköltség!$B148</f>
        <v>FEOR</v>
      </c>
      <c r="B148" s="264" t="str">
        <f>IFERROR(
IF(AND(Bérköltség!$F148="",H148="NA"),"HIÁNYOS ADATOK",
IF(Bérköltség!$F148&lt;Bérköltség!$U148,Admin!$B$18,Admin!$B$17)),
"")</f>
        <v>FEOR</v>
      </c>
      <c r="C148" s="265">
        <f>IFERROR(INDEX('Historikus berek_2021-2'!$A$1:$F$903,MATCH(AB148,'Historikus berek_2021-2'!$A$1:$A$903,0),4),"")</f>
        <v>660000</v>
      </c>
      <c r="D148" s="279">
        <f t="shared" si="321"/>
        <v>83448.275862068971</v>
      </c>
      <c r="E148" s="265">
        <f t="shared" si="322"/>
        <v>105208</v>
      </c>
      <c r="F148" s="266">
        <f t="shared" si="323"/>
        <v>24588.488275862066</v>
      </c>
      <c r="G148" s="267">
        <f t="shared" si="324"/>
        <v>94296.551724137928</v>
      </c>
      <c r="H148" s="268">
        <f>IFERROR(INDEX('FEOR kodok'!$A$2:$J$1126,MATCH(Bérköltség!AB148,'FEOR kodok'!$B$2:$B$1126,0),8),"NA")</f>
        <v>2142</v>
      </c>
      <c r="I148" s="269">
        <f>IFERROR(INDEX('FEOR kodok'!$A$2:$J$1126,MATCH(Bérköltség!AB148,'FEOR kodok'!$B$2:$B$1126,0),10),"NA")</f>
        <v>44</v>
      </c>
      <c r="J148" s="276" t="str">
        <f t="shared" si="325"/>
        <v>40–49 éves</v>
      </c>
      <c r="K148" s="269" t="str">
        <f>IFERROR(INDEX(admin_feor[#All],MATCH(Bérköltség!H148,admin_feor[[#All],[Foglalkozás]],0),2),"NA")</f>
        <v>Szoftverfejlesztő</v>
      </c>
      <c r="L148" s="270">
        <f>IFERROR(
INDEX('Admin - FEOR'!$A$4:$F$465,MATCH(Bérköltség!H148,'Admin - FEOR'!$A$4:$A$465,0),
IF(J148="30 év alatt",3,
IF(J148="30–39 éves",4,
IF(J148="40–49 éves",5,
IF(J148="50 év és afelett",6
)))))*1,"NA")</f>
        <v>1013093</v>
      </c>
      <c r="M148" s="270">
        <f t="shared" si="326"/>
        <v>832100</v>
      </c>
      <c r="N148" s="318">
        <f t="shared" si="327"/>
        <v>0.82134611531221713</v>
      </c>
      <c r="O148" s="270">
        <f>IFERROR(
INDEX('Admin - FEOR'!$A$4:$F$465,MATCH(Bérköltség!H148,'Admin - FEOR'!$A$4:$A$465,0),
IF(J148="30 év alatt",3,
IF(J148="30–39 éves",4,
IF(J148="40–49 éves",5,
IF(J148="50 év és afelett",6
)))))*1.5,"NA")</f>
        <v>1519639.5</v>
      </c>
      <c r="P148" s="270">
        <f t="shared" si="328"/>
        <v>192138.32758620693</v>
      </c>
      <c r="Q148" s="270">
        <f t="shared" si="329"/>
        <v>105208</v>
      </c>
      <c r="R148" s="275">
        <f t="shared" si="330"/>
        <v>0.12643678160919541</v>
      </c>
      <c r="S148" s="270">
        <f t="shared" si="331"/>
        <v>0</v>
      </c>
      <c r="T148" s="270">
        <f t="shared" si="332"/>
        <v>0</v>
      </c>
      <c r="U148" s="271">
        <f t="shared" si="333"/>
        <v>0</v>
      </c>
      <c r="V148" s="272">
        <f t="shared" si="334"/>
        <v>118885</v>
      </c>
      <c r="W148" s="273" t="str">
        <f t="shared" si="335"/>
        <v>Nem szükséges indoklás.</v>
      </c>
      <c r="X148" s="372">
        <f t="shared" si="336"/>
        <v>0</v>
      </c>
      <c r="Y148" s="317">
        <f t="shared" si="337"/>
        <v>105208</v>
      </c>
      <c r="Z148" s="317">
        <f t="shared" si="338"/>
        <v>13677</v>
      </c>
      <c r="AA148" s="12">
        <v>2</v>
      </c>
      <c r="AB148" s="274">
        <v>8411063054</v>
      </c>
      <c r="AC148" s="40" t="s">
        <v>2664</v>
      </c>
      <c r="AD148" s="82" t="s">
        <v>75</v>
      </c>
      <c r="AE148" s="41" t="s">
        <v>52</v>
      </c>
      <c r="AF148" s="11" t="s">
        <v>159</v>
      </c>
      <c r="AG148" s="11" t="s">
        <v>2666</v>
      </c>
      <c r="AH148" s="14" t="s">
        <v>122</v>
      </c>
      <c r="AI148" s="86" t="s">
        <v>34</v>
      </c>
      <c r="AJ148" s="113" t="str">
        <f>IF(COUNTIFS(Admin!$A$29:$A$40,AI148)&gt;0,Admin!$A$28,IF(COUNTIFS(Admin!$B$29:$B$40,AI148)&gt;0,Admin!$B$28,IF(COUNTIFS(Admin!$C$29:$C$40,AI148)&gt;0,Admin!$C$28,IF(COUNTIFS(Admin!$D$29:$D$40,AI148)&gt;0,Admin!$D$28,"-"))))</f>
        <v>2. mérföldkő</v>
      </c>
      <c r="AK148" s="14" t="s">
        <v>7</v>
      </c>
      <c r="AL148" s="9" t="s">
        <v>56</v>
      </c>
      <c r="AM148" s="131">
        <v>832100</v>
      </c>
      <c r="AN148" s="132">
        <f t="shared" si="368"/>
        <v>108173</v>
      </c>
      <c r="AO148" s="121">
        <v>174</v>
      </c>
      <c r="AP148" s="121">
        <v>22</v>
      </c>
      <c r="AQ148" s="354">
        <f t="shared" si="182"/>
        <v>0.12643678160919541</v>
      </c>
      <c r="AR148" s="133">
        <f t="shared" si="214"/>
        <v>105208</v>
      </c>
      <c r="AS148" s="133">
        <f t="shared" si="184"/>
        <v>13677</v>
      </c>
      <c r="AT148" s="123">
        <f t="shared" si="185"/>
        <v>5.5254190001186032E-8</v>
      </c>
      <c r="AU148" s="124">
        <v>0.13</v>
      </c>
      <c r="AV148" s="394" t="s">
        <v>2769</v>
      </c>
      <c r="AW148" s="15">
        <v>44965</v>
      </c>
      <c r="AX148" s="12" t="s">
        <v>206</v>
      </c>
      <c r="BC148" s="1" t="s">
        <v>2825</v>
      </c>
      <c r="BD148" s="1" t="str">
        <f>CONCATENATE(BC148," - ",AE148)</f>
        <v>Kutató_NK_7 - Kutató</v>
      </c>
    </row>
    <row r="149" spans="1:56" s="1" customFormat="1" x14ac:dyDescent="0.25">
      <c r="A149" s="264" t="str">
        <f>Bérköltség!$B149</f>
        <v>FEOR</v>
      </c>
      <c r="B149" s="264" t="str">
        <f>IFERROR(
IF(AND(Bérköltség!$F149="",H149="NA"),"HIÁNYOS ADATOK",
IF(Bérköltség!$F149&lt;Bérköltség!$U149,Admin!$B$18,Admin!$B$17)),
"")</f>
        <v>FEOR</v>
      </c>
      <c r="C149" s="265">
        <f>IFERROR(INDEX('Historikus berek_2021-2'!$A$1:$F$903,MATCH(AB149,'Historikus berek_2021-2'!$A$1:$A$903,0),4),"")</f>
        <v>660000</v>
      </c>
      <c r="D149" s="279">
        <f t="shared" si="321"/>
        <v>83448.275862068971</v>
      </c>
      <c r="E149" s="265">
        <f t="shared" si="322"/>
        <v>105208</v>
      </c>
      <c r="F149" s="266">
        <f t="shared" si="323"/>
        <v>24588.488275862066</v>
      </c>
      <c r="G149" s="267">
        <f t="shared" si="324"/>
        <v>94296.551724137928</v>
      </c>
      <c r="H149" s="268">
        <f>IFERROR(INDEX('FEOR kodok'!$A$2:$J$1126,MATCH(Bérköltség!AB149,'FEOR kodok'!$B$2:$B$1126,0),8),"NA")</f>
        <v>2142</v>
      </c>
      <c r="I149" s="269">
        <f>IFERROR(INDEX('FEOR kodok'!$A$2:$J$1126,MATCH(Bérköltség!AB149,'FEOR kodok'!$B$2:$B$1126,0),10),"NA")</f>
        <v>44</v>
      </c>
      <c r="J149" s="276" t="str">
        <f t="shared" si="325"/>
        <v>40–49 éves</v>
      </c>
      <c r="K149" s="269" t="str">
        <f>IFERROR(INDEX(admin_feor[#All],MATCH(Bérköltség!H149,admin_feor[[#All],[Foglalkozás]],0),2),"NA")</f>
        <v>Szoftverfejlesztő</v>
      </c>
      <c r="L149" s="270">
        <f>IFERROR(
INDEX('Admin - FEOR'!$A$4:$F$465,MATCH(Bérköltség!H149,'Admin - FEOR'!$A$4:$A$465,0),
IF(J149="30 év alatt",3,
IF(J149="30–39 éves",4,
IF(J149="40–49 éves",5,
IF(J149="50 év és afelett",6
)))))*1,"NA")</f>
        <v>1013093</v>
      </c>
      <c r="M149" s="270">
        <f t="shared" si="326"/>
        <v>832100</v>
      </c>
      <c r="N149" s="318">
        <f t="shared" si="327"/>
        <v>0.82134611531221713</v>
      </c>
      <c r="O149" s="270">
        <f>IFERROR(
INDEX('Admin - FEOR'!$A$4:$F$465,MATCH(Bérköltség!H149,'Admin - FEOR'!$A$4:$A$465,0),
IF(J149="30 év alatt",3,
IF(J149="30–39 éves",4,
IF(J149="40–49 éves",5,
IF(J149="50 év és afelett",6
)))))*1.5,"NA")</f>
        <v>1519639.5</v>
      </c>
      <c r="P149" s="270">
        <f t="shared" si="328"/>
        <v>192138.32758620693</v>
      </c>
      <c r="Q149" s="270">
        <f t="shared" si="329"/>
        <v>105208</v>
      </c>
      <c r="R149" s="275">
        <f t="shared" si="330"/>
        <v>0.12643678160919541</v>
      </c>
      <c r="S149" s="270">
        <f t="shared" si="331"/>
        <v>0</v>
      </c>
      <c r="T149" s="270">
        <f t="shared" si="332"/>
        <v>0</v>
      </c>
      <c r="U149" s="271">
        <f t="shared" si="333"/>
        <v>0</v>
      </c>
      <c r="V149" s="272">
        <f t="shared" si="334"/>
        <v>118885</v>
      </c>
      <c r="W149" s="273" t="str">
        <f t="shared" si="335"/>
        <v>Nem szükséges indoklás.</v>
      </c>
      <c r="X149" s="372">
        <f t="shared" si="336"/>
        <v>0</v>
      </c>
      <c r="Y149" s="317">
        <f t="shared" si="337"/>
        <v>105208</v>
      </c>
      <c r="Z149" s="317">
        <f t="shared" si="338"/>
        <v>13677</v>
      </c>
      <c r="AA149" s="36"/>
      <c r="AB149" s="274">
        <v>8411063054</v>
      </c>
      <c r="AC149" s="40" t="s">
        <v>2664</v>
      </c>
      <c r="AD149" s="82" t="s">
        <v>75</v>
      </c>
      <c r="AE149" s="41" t="s">
        <v>52</v>
      </c>
      <c r="AF149" s="11" t="s">
        <v>159</v>
      </c>
      <c r="AG149" s="11" t="s">
        <v>2666</v>
      </c>
      <c r="AH149" s="14" t="s">
        <v>122</v>
      </c>
      <c r="AI149" s="86" t="s">
        <v>35</v>
      </c>
      <c r="AJ149" s="113" t="str">
        <f>IF(COUNTIFS(Admin!$A$29:$A$40,AI149)&gt;0,Admin!$A$28,IF(COUNTIFS(Admin!$B$29:$B$40,AI149)&gt;0,Admin!$B$28,IF(COUNTIFS(Admin!$C$29:$C$40,AI149)&gt;0,Admin!$C$28,IF(COUNTIFS(Admin!$D$29:$D$40,AI149)&gt;0,Admin!$D$28,"-"))))</f>
        <v>3. mérföldkő</v>
      </c>
      <c r="AK149" s="14" t="s">
        <v>7</v>
      </c>
      <c r="AL149" s="9" t="s">
        <v>56</v>
      </c>
      <c r="AM149" s="131">
        <v>832100</v>
      </c>
      <c r="AN149" s="132">
        <f t="shared" si="368"/>
        <v>108173</v>
      </c>
      <c r="AO149" s="121">
        <v>174</v>
      </c>
      <c r="AP149" s="121">
        <v>22</v>
      </c>
      <c r="AQ149" s="354">
        <f t="shared" si="182"/>
        <v>0.12643678160919541</v>
      </c>
      <c r="AR149" s="133">
        <f t="shared" si="214"/>
        <v>105208</v>
      </c>
      <c r="AS149" s="133">
        <f t="shared" si="184"/>
        <v>13677</v>
      </c>
      <c r="AT149" s="123">
        <f t="shared" si="185"/>
        <v>5.5254190001186032E-8</v>
      </c>
      <c r="AU149" s="124">
        <v>0.13</v>
      </c>
      <c r="AV149" s="394" t="s">
        <v>2769</v>
      </c>
      <c r="AW149" s="15">
        <v>44995</v>
      </c>
      <c r="AX149" s="12" t="s">
        <v>206</v>
      </c>
      <c r="AZ149" s="1" t="str">
        <f>IF(VLOOKUP(LEFT($AB149,10),'Havi béradatok'!$B:$E,2,FALSE)=AG149,"EGYEZIK","HIBÁS")</f>
        <v>EGYEZIK</v>
      </c>
      <c r="BA149" s="1">
        <f>VLOOKUP(LEFT($AB149,10),'Havi béradatok'!$B:$E,3,FALSE)-AM149</f>
        <v>0</v>
      </c>
      <c r="BB149" s="391">
        <f>VLOOKUP(LEFT($AB149,10),'Havi béradatok'!$B:$E,4,FALSE)-AN149</f>
        <v>40820</v>
      </c>
      <c r="BC149" s="400" t="s">
        <v>2825</v>
      </c>
      <c r="BD149" s="400"/>
    </row>
    <row r="150" spans="1:56" s="1" customFormat="1" hidden="1" x14ac:dyDescent="0.25">
      <c r="A150" s="264" t="str">
        <f>Bérköltség!$B150</f>
        <v>FEOR</v>
      </c>
      <c r="B150" s="264" t="str">
        <f>IFERROR(
IF(AND(Bérköltség!$F150="",H150="NA"),"HIÁNYOS ADATOK",
IF(Bérköltség!$F150&lt;Bérköltség!$U150,Admin!$B$18,Admin!$B$17)),
"")</f>
        <v>FEOR</v>
      </c>
      <c r="C150" s="265">
        <f>IFERROR(INDEX('Historikus berek_2021-2'!$A$1:$F$903,MATCH(AB150,'Historikus berek_2021-2'!$A$1:$A$903,0),4),"")</f>
        <v>660000</v>
      </c>
      <c r="D150" s="279">
        <f t="shared" si="321"/>
        <v>83448.275862068971</v>
      </c>
      <c r="E150" s="265">
        <f t="shared" si="322"/>
        <v>105208</v>
      </c>
      <c r="F150" s="266">
        <f t="shared" si="323"/>
        <v>24588.488275862066</v>
      </c>
      <c r="G150" s="267">
        <f t="shared" si="324"/>
        <v>94296.551724137928</v>
      </c>
      <c r="H150" s="268">
        <f>IFERROR(INDEX('FEOR kodok'!$A$2:$J$1126,MATCH(Bérköltség!AB150,'FEOR kodok'!$B$2:$B$1126,0),8),"NA")</f>
        <v>2142</v>
      </c>
      <c r="I150" s="269">
        <f>IFERROR(INDEX('FEOR kodok'!$A$2:$J$1126,MATCH(Bérköltség!AB150,'FEOR kodok'!$B$2:$B$1126,0),10),"NA")</f>
        <v>44</v>
      </c>
      <c r="J150" s="276" t="str">
        <f t="shared" si="325"/>
        <v>40–49 éves</v>
      </c>
      <c r="K150" s="269" t="str">
        <f>IFERROR(INDEX(admin_feor[#All],MATCH(Bérköltség!H150,admin_feor[[#All],[Foglalkozás]],0),2),"NA")</f>
        <v>Szoftverfejlesztő</v>
      </c>
      <c r="L150" s="270">
        <f>IFERROR(
INDEX('Admin - FEOR'!$A$4:$F$465,MATCH(Bérköltség!H150,'Admin - FEOR'!$A$4:$A$465,0),
IF(J150="30 év alatt",3,
IF(J150="30–39 éves",4,
IF(J150="40–49 éves",5,
IF(J150="50 év és afelett",6
)))))*1,"NA")</f>
        <v>1013093</v>
      </c>
      <c r="M150" s="270">
        <f t="shared" si="326"/>
        <v>832100</v>
      </c>
      <c r="N150" s="318">
        <f t="shared" si="327"/>
        <v>0.82134611531221713</v>
      </c>
      <c r="O150" s="270">
        <f>IFERROR(
INDEX('Admin - FEOR'!$A$4:$F$465,MATCH(Bérköltség!H150,'Admin - FEOR'!$A$4:$A$465,0),
IF(J150="30 év alatt",3,
IF(J150="30–39 éves",4,
IF(J150="40–49 éves",5,
IF(J150="50 év és afelett",6
)))))*1.5,"NA")</f>
        <v>1519639.5</v>
      </c>
      <c r="P150" s="270">
        <f t="shared" si="328"/>
        <v>192138.32758620693</v>
      </c>
      <c r="Q150" s="270">
        <f t="shared" si="329"/>
        <v>105208</v>
      </c>
      <c r="R150" s="275">
        <f t="shared" si="330"/>
        <v>0.12643678160919541</v>
      </c>
      <c r="S150" s="270">
        <f t="shared" si="331"/>
        <v>0</v>
      </c>
      <c r="T150" s="270">
        <f t="shared" si="332"/>
        <v>0</v>
      </c>
      <c r="U150" s="271">
        <f t="shared" si="333"/>
        <v>0</v>
      </c>
      <c r="V150" s="272">
        <f t="shared" si="334"/>
        <v>118885</v>
      </c>
      <c r="W150" s="273" t="str">
        <f t="shared" si="335"/>
        <v>Nem szükséges indoklás.</v>
      </c>
      <c r="X150" s="372">
        <f t="shared" si="336"/>
        <v>0</v>
      </c>
      <c r="Y150" s="317">
        <f t="shared" si="337"/>
        <v>105208</v>
      </c>
      <c r="Z150" s="317">
        <f t="shared" si="338"/>
        <v>13677</v>
      </c>
      <c r="AA150" s="36"/>
      <c r="AB150" s="274">
        <v>8411063054</v>
      </c>
      <c r="AC150" s="40" t="s">
        <v>2664</v>
      </c>
      <c r="AD150" s="82" t="s">
        <v>75</v>
      </c>
      <c r="AE150" s="41" t="s">
        <v>52</v>
      </c>
      <c r="AF150" s="11" t="s">
        <v>159</v>
      </c>
      <c r="AG150" s="11" t="s">
        <v>2666</v>
      </c>
      <c r="AH150" s="14" t="s">
        <v>122</v>
      </c>
      <c r="AI150" s="86" t="s">
        <v>36</v>
      </c>
      <c r="AJ150" s="113" t="str">
        <f>IF(COUNTIFS(Admin!$A$29:$A$40,AI150)&gt;0,Admin!$A$28,IF(COUNTIFS(Admin!$B$29:$B$40,AI150)&gt;0,Admin!$B$28,IF(COUNTIFS(Admin!$C$29:$C$40,AI150)&gt;0,Admin!$C$28,IF(COUNTIFS(Admin!$D$29:$D$40,AI150)&gt;0,Admin!$D$28,"-"))))</f>
        <v>3. mérföldkő</v>
      </c>
      <c r="AK150" s="14" t="s">
        <v>141</v>
      </c>
      <c r="AL150" s="9" t="s">
        <v>56</v>
      </c>
      <c r="AM150" s="131">
        <v>832100</v>
      </c>
      <c r="AN150" s="132">
        <f t="shared" ref="AN150:AN151" si="397">IFERROR(ROUND(AM150*AU150,0),"")</f>
        <v>108173</v>
      </c>
      <c r="AO150" s="121">
        <v>174</v>
      </c>
      <c r="AP150" s="121">
        <v>22</v>
      </c>
      <c r="AQ150" s="354">
        <f t="shared" ref="AQ150:AQ151" si="398">IFERROR(AP150/AO150,"")</f>
        <v>0.12643678160919541</v>
      </c>
      <c r="AR150" s="133">
        <f t="shared" ref="AR150:AR151" si="399">IFERROR(ROUND(AM150*AP150/AO150,0),"")</f>
        <v>105208</v>
      </c>
      <c r="AS150" s="133">
        <f t="shared" ref="AS150:AS151" si="400">IFERROR(ROUND(AR150*AU150,0),"")</f>
        <v>13677</v>
      </c>
      <c r="AT150" s="123">
        <f t="shared" ref="AT150:AT151" si="401">IFERROR(AP150/AO150-AR150/AM150,"")</f>
        <v>5.5254190001186032E-8</v>
      </c>
      <c r="AU150" s="124">
        <v>0.13</v>
      </c>
      <c r="AV150" s="394" t="s">
        <v>2769</v>
      </c>
      <c r="AW150" s="15">
        <v>44995</v>
      </c>
      <c r="AX150" s="12" t="s">
        <v>206</v>
      </c>
      <c r="BC150" s="1" t="s">
        <v>2825</v>
      </c>
    </row>
    <row r="151" spans="1:56" s="1" customFormat="1" hidden="1" x14ac:dyDescent="0.25">
      <c r="A151" s="264" t="str">
        <f>Bérköltség!$B151</f>
        <v>FEOR</v>
      </c>
      <c r="B151" s="264" t="str">
        <f>IFERROR(
IF(AND(Bérköltség!$F151="",H151="NA"),"HIÁNYOS ADATOK",
IF(Bérköltség!$F151&lt;Bérköltség!$U151,Admin!$B$18,Admin!$B$17)),
"")</f>
        <v>FEOR</v>
      </c>
      <c r="C151" s="265">
        <f>IFERROR(INDEX('Historikus berek_2021-2'!$A$1:$F$903,MATCH(AB151,'Historikus berek_2021-2'!$A$1:$A$903,0),4),"")</f>
        <v>660000</v>
      </c>
      <c r="D151" s="279">
        <f t="shared" si="321"/>
        <v>83448.275862068971</v>
      </c>
      <c r="E151" s="265">
        <f t="shared" si="322"/>
        <v>105208</v>
      </c>
      <c r="F151" s="266">
        <f t="shared" si="323"/>
        <v>24588.488275862066</v>
      </c>
      <c r="G151" s="267">
        <f t="shared" si="324"/>
        <v>94296.551724137928</v>
      </c>
      <c r="H151" s="268">
        <f>IFERROR(INDEX('FEOR kodok'!$A$2:$J$1126,MATCH(Bérköltség!AB151,'FEOR kodok'!$B$2:$B$1126,0),8),"NA")</f>
        <v>2142</v>
      </c>
      <c r="I151" s="269">
        <f>IFERROR(INDEX('FEOR kodok'!$A$2:$J$1126,MATCH(Bérköltség!AB151,'FEOR kodok'!$B$2:$B$1126,0),10),"NA")</f>
        <v>44</v>
      </c>
      <c r="J151" s="276" t="str">
        <f t="shared" si="325"/>
        <v>40–49 éves</v>
      </c>
      <c r="K151" s="269" t="str">
        <f>IFERROR(INDEX(admin_feor[#All],MATCH(Bérköltség!H151,admin_feor[[#All],[Foglalkozás]],0),2),"NA")</f>
        <v>Szoftverfejlesztő</v>
      </c>
      <c r="L151" s="270">
        <f>IFERROR(
INDEX('Admin - FEOR'!$A$4:$F$465,MATCH(Bérköltség!H151,'Admin - FEOR'!$A$4:$A$465,0),
IF(J151="30 év alatt",3,
IF(J151="30–39 éves",4,
IF(J151="40–49 éves",5,
IF(J151="50 év és afelett",6
)))))*1,"NA")</f>
        <v>1013093</v>
      </c>
      <c r="M151" s="270">
        <f t="shared" si="326"/>
        <v>832100</v>
      </c>
      <c r="N151" s="318">
        <f t="shared" si="327"/>
        <v>0.82134611531221713</v>
      </c>
      <c r="O151" s="270">
        <f>IFERROR(
INDEX('Admin - FEOR'!$A$4:$F$465,MATCH(Bérköltség!H151,'Admin - FEOR'!$A$4:$A$465,0),
IF(J151="30 év alatt",3,
IF(J151="30–39 éves",4,
IF(J151="40–49 éves",5,
IF(J151="50 év és afelett",6
)))))*1.5,"NA")</f>
        <v>1519639.5</v>
      </c>
      <c r="P151" s="270">
        <f t="shared" si="328"/>
        <v>192138.32758620693</v>
      </c>
      <c r="Q151" s="270">
        <f t="shared" si="329"/>
        <v>105208</v>
      </c>
      <c r="R151" s="275">
        <f t="shared" si="330"/>
        <v>0.12643678160919541</v>
      </c>
      <c r="S151" s="270">
        <f t="shared" si="331"/>
        <v>0</v>
      </c>
      <c r="T151" s="270">
        <f t="shared" si="332"/>
        <v>0</v>
      </c>
      <c r="U151" s="271">
        <f t="shared" si="333"/>
        <v>0</v>
      </c>
      <c r="V151" s="272">
        <f t="shared" si="334"/>
        <v>118885</v>
      </c>
      <c r="W151" s="273" t="str">
        <f t="shared" si="335"/>
        <v>Nem szükséges indoklás.</v>
      </c>
      <c r="X151" s="372">
        <f t="shared" si="336"/>
        <v>0</v>
      </c>
      <c r="Y151" s="317">
        <f t="shared" si="337"/>
        <v>105208</v>
      </c>
      <c r="Z151" s="317">
        <f t="shared" si="338"/>
        <v>13677</v>
      </c>
      <c r="AA151" s="36"/>
      <c r="AB151" s="274">
        <v>8411063054</v>
      </c>
      <c r="AC151" s="40" t="s">
        <v>2664</v>
      </c>
      <c r="AD151" s="82" t="s">
        <v>75</v>
      </c>
      <c r="AE151" s="41" t="s">
        <v>52</v>
      </c>
      <c r="AF151" s="11" t="s">
        <v>159</v>
      </c>
      <c r="AG151" s="11" t="s">
        <v>2666</v>
      </c>
      <c r="AH151" s="14" t="s">
        <v>122</v>
      </c>
      <c r="AI151" s="86" t="s">
        <v>37</v>
      </c>
      <c r="AJ151" s="113" t="str">
        <f>IF(COUNTIFS(Admin!$A$29:$A$40,AI151)&gt;0,Admin!$A$28,IF(COUNTIFS(Admin!$B$29:$B$40,AI151)&gt;0,Admin!$B$28,IF(COUNTIFS(Admin!$C$29:$C$40,AI151)&gt;0,Admin!$C$28,IF(COUNTIFS(Admin!$D$29:$D$40,AI151)&gt;0,Admin!$D$28,"-"))))</f>
        <v>3. mérföldkő</v>
      </c>
      <c r="AK151" s="14" t="s">
        <v>141</v>
      </c>
      <c r="AL151" s="9" t="s">
        <v>56</v>
      </c>
      <c r="AM151" s="131">
        <v>832100</v>
      </c>
      <c r="AN151" s="132">
        <f t="shared" si="397"/>
        <v>108173</v>
      </c>
      <c r="AO151" s="121">
        <v>174</v>
      </c>
      <c r="AP151" s="121">
        <v>22</v>
      </c>
      <c r="AQ151" s="354">
        <f t="shared" si="398"/>
        <v>0.12643678160919541</v>
      </c>
      <c r="AR151" s="133">
        <f t="shared" si="399"/>
        <v>105208</v>
      </c>
      <c r="AS151" s="133">
        <f t="shared" si="400"/>
        <v>13677</v>
      </c>
      <c r="AT151" s="123">
        <f t="shared" si="401"/>
        <v>5.5254190001186032E-8</v>
      </c>
      <c r="AU151" s="124">
        <v>0.13</v>
      </c>
      <c r="AV151" s="394" t="s">
        <v>2769</v>
      </c>
      <c r="AW151" s="15">
        <v>44995</v>
      </c>
      <c r="AX151" s="12" t="s">
        <v>206</v>
      </c>
      <c r="BC151" s="1" t="s">
        <v>2825</v>
      </c>
    </row>
    <row r="152" spans="1:56" s="1" customFormat="1" hidden="1" x14ac:dyDescent="0.25">
      <c r="A152" s="264" t="str">
        <f>Bérköltség!$B152</f>
        <v>FEOR</v>
      </c>
      <c r="B152" s="264" t="str">
        <f>IFERROR(
IF(AND(Bérköltség!$F152="",H152="NA"),"HIÁNYOS ADATOK",
IF(Bérköltség!$F152&lt;Bérköltség!$U152,Admin!$B$18,Admin!$B$17)),
"")</f>
        <v>FEOR</v>
      </c>
      <c r="C152" s="265" t="str">
        <f>IFERROR(INDEX('Historikus berek_2021-2'!$A$1:$F$903,MATCH(AB152,'Historikus berek_2021-2'!$A$1:$A$903,0),4),"")</f>
        <v/>
      </c>
      <c r="D152" s="279" t="str">
        <f t="shared" si="321"/>
        <v/>
      </c>
      <c r="E152" s="265">
        <f t="shared" si="322"/>
        <v>49091</v>
      </c>
      <c r="F152" s="266" t="str">
        <f t="shared" si="323"/>
        <v/>
      </c>
      <c r="G152" s="267" t="str">
        <f t="shared" si="324"/>
        <v/>
      </c>
      <c r="H152" s="268">
        <f>IFERROR(INDEX('FEOR kodok'!$A$2:$J$1126,MATCH(Bérköltség!AB152,'FEOR kodok'!$B$2:$B$1126,0),8),"NA")</f>
        <v>2121</v>
      </c>
      <c r="I152" s="269">
        <f>IFERROR(INDEX('FEOR kodok'!$A$2:$J$1126,MATCH(Bérköltség!AB152,'FEOR kodok'!$B$2:$B$1126,0),10),"NA")</f>
        <v>31</v>
      </c>
      <c r="J152" s="276" t="str">
        <f t="shared" si="325"/>
        <v>30–39 éves</v>
      </c>
      <c r="K152" s="269" t="str">
        <f>IFERROR(INDEX(admin_feor[#All],MATCH(Bérköltség!H152,admin_feor[[#All],[Foglalkozás]],0),2),"NA")</f>
        <v>Villamosmérnök (energetikai mérnök)</v>
      </c>
      <c r="L152" s="270">
        <f>IFERROR(
INDEX('Admin - FEOR'!$A$4:$F$465,MATCH(Bérköltség!H152,'Admin - FEOR'!$A$4:$A$465,0),
IF(J152="30 év alatt",3,
IF(J152="30–39 éves",4,
IF(J152="40–49 éves",5,
IF(J152="50 év és afelett",6
)))))*1,"NA")</f>
        <v>833475</v>
      </c>
      <c r="M152" s="270">
        <f t="shared" si="326"/>
        <v>49091</v>
      </c>
      <c r="N152" s="318">
        <f t="shared" si="327"/>
        <v>5.889918713818651E-2</v>
      </c>
      <c r="O152" s="270">
        <f>IFERROR(
INDEX('Admin - FEOR'!$A$4:$F$465,MATCH(Bérköltség!H152,'Admin - FEOR'!$A$4:$A$465,0),
IF(J152="30 év alatt",3,
IF(J152="30–39 éves",4,
IF(J152="40–49 éves",5,
IF(J152="50 év és afelett",6
)))))*1.5,"NA")</f>
        <v>1250212.5</v>
      </c>
      <c r="P152" s="270">
        <f t="shared" si="328"/>
        <v>1250212.5</v>
      </c>
      <c r="Q152" s="270">
        <f t="shared" si="329"/>
        <v>49091</v>
      </c>
      <c r="R152" s="275">
        <f t="shared" si="330"/>
        <v>1</v>
      </c>
      <c r="S152" s="270">
        <f t="shared" si="331"/>
        <v>0</v>
      </c>
      <c r="T152" s="270">
        <f t="shared" si="332"/>
        <v>0</v>
      </c>
      <c r="U152" s="271">
        <f t="shared" si="333"/>
        <v>0</v>
      </c>
      <c r="V152" s="272">
        <f t="shared" si="334"/>
        <v>55473</v>
      </c>
      <c r="W152" s="273" t="str">
        <f t="shared" si="335"/>
        <v>Nem szükséges indoklás.</v>
      </c>
      <c r="X152" s="372">
        <f t="shared" si="336"/>
        <v>0</v>
      </c>
      <c r="Y152" s="317">
        <f t="shared" si="337"/>
        <v>49091</v>
      </c>
      <c r="Z152" s="317">
        <f t="shared" si="338"/>
        <v>6382</v>
      </c>
      <c r="AA152" s="12">
        <v>2</v>
      </c>
      <c r="AB152" s="274">
        <v>8457141279</v>
      </c>
      <c r="AC152" s="40" t="s">
        <v>2665</v>
      </c>
      <c r="AD152" s="82" t="s">
        <v>75</v>
      </c>
      <c r="AE152" s="41" t="s">
        <v>52</v>
      </c>
      <c r="AF152" s="11" t="s">
        <v>159</v>
      </c>
      <c r="AG152" s="11" t="s">
        <v>166</v>
      </c>
      <c r="AH152" s="14" t="s">
        <v>122</v>
      </c>
      <c r="AI152" s="398" t="s">
        <v>34</v>
      </c>
      <c r="AJ152" s="113" t="str">
        <f>IF(COUNTIFS(Admin!$A$29:$A$40,AI152)&gt;0,Admin!$A$28,IF(COUNTIFS(Admin!$B$29:$B$40,AI152)&gt;0,Admin!$B$28,IF(COUNTIFS(Admin!$C$29:$C$40,AI152)&gt;0,Admin!$C$28,IF(COUNTIFS(Admin!$D$29:$D$40,AI152)&gt;0,Admin!$D$28,"-"))))</f>
        <v>2. mérföldkő</v>
      </c>
      <c r="AK152" s="14" t="s">
        <v>7</v>
      </c>
      <c r="AL152" s="9" t="s">
        <v>56</v>
      </c>
      <c r="AM152" s="131">
        <v>49091</v>
      </c>
      <c r="AN152" s="132">
        <f t="shared" si="368"/>
        <v>6382</v>
      </c>
      <c r="AO152" s="121">
        <v>44</v>
      </c>
      <c r="AP152" s="121">
        <v>44</v>
      </c>
      <c r="AQ152" s="354">
        <f t="shared" si="182"/>
        <v>1</v>
      </c>
      <c r="AR152" s="133">
        <f t="shared" si="214"/>
        <v>49091</v>
      </c>
      <c r="AS152" s="133">
        <f t="shared" si="184"/>
        <v>6382</v>
      </c>
      <c r="AT152" s="123">
        <f t="shared" si="185"/>
        <v>0</v>
      </c>
      <c r="AU152" s="124">
        <v>0.13</v>
      </c>
      <c r="AV152" s="394">
        <v>10002284</v>
      </c>
      <c r="AW152" s="15">
        <v>44967</v>
      </c>
      <c r="AX152" s="12" t="s">
        <v>206</v>
      </c>
      <c r="BC152" s="1" t="s">
        <v>2826</v>
      </c>
      <c r="BD152" s="1" t="str">
        <f>CONCATENATE(BC152," - ",AE152)</f>
        <v>Kutató_NK_10 - Kutató</v>
      </c>
    </row>
    <row r="153" spans="1:56" s="1" customFormat="1" hidden="1" x14ac:dyDescent="0.25">
      <c r="A153" s="264" t="str">
        <f>Bérköltség!$B153</f>
        <v>FEOR</v>
      </c>
      <c r="B153" s="264" t="str">
        <f>IFERROR(
IF(AND(Bérköltség!$F153="",H153="NA"),"HIÁNYOS ADATOK",
IF(Bérköltség!$F153&lt;Bérköltség!$U153,Admin!$B$18,Admin!$B$17)),
"")</f>
        <v>FEOR</v>
      </c>
      <c r="C153" s="265" t="str">
        <f>IFERROR(INDEX('Historikus berek_2021-2'!$A$1:$F$903,MATCH(AB153,'Historikus berek_2021-2'!$A$1:$A$903,0),4),"")</f>
        <v/>
      </c>
      <c r="D153" s="279" t="str">
        <f t="shared" si="321"/>
        <v/>
      </c>
      <c r="E153" s="265">
        <f t="shared" si="322"/>
        <v>336207</v>
      </c>
      <c r="F153" s="266" t="str">
        <f t="shared" si="323"/>
        <v/>
      </c>
      <c r="G153" s="267" t="str">
        <f t="shared" si="324"/>
        <v/>
      </c>
      <c r="H153" s="268">
        <f>IFERROR(INDEX('FEOR kodok'!$A$2:$J$1126,MATCH(Bérköltség!AB153,'FEOR kodok'!$B$2:$B$1126,0),8),"NA")</f>
        <v>2117</v>
      </c>
      <c r="I153" s="269">
        <f>IFERROR(INDEX('FEOR kodok'!$A$2:$J$1126,MATCH(Bérköltség!AB153,'FEOR kodok'!$B$2:$B$1126,0),10),"NA")</f>
        <v>57</v>
      </c>
      <c r="J153" s="276" t="str">
        <f t="shared" si="325"/>
        <v>50 év és afelett</v>
      </c>
      <c r="K153" s="269" t="str">
        <f>IFERROR(INDEX(admin_feor[#All],MATCH(Bérköltség!H153,admin_feor[[#All],[Foglalkozás]],0),2),"NA")</f>
        <v>Vegyészmérnök</v>
      </c>
      <c r="L153" s="270">
        <f>IFERROR(
INDEX('Admin - FEOR'!$A$4:$F$465,MATCH(Bérköltség!H153,'Admin - FEOR'!$A$4:$A$465,0),
IF(J153="30 év alatt",3,
IF(J153="30–39 éves",4,
IF(J153="40–49 éves",5,
IF(J153="50 év és afelett",6
)))))*1,"NA")</f>
        <v>826737</v>
      </c>
      <c r="M153" s="270">
        <f t="shared" si="326"/>
        <v>450000</v>
      </c>
      <c r="N153" s="318">
        <f t="shared" si="327"/>
        <v>0.54430852858889833</v>
      </c>
      <c r="O153" s="270">
        <f>IFERROR(
INDEX('Admin - FEOR'!$A$4:$F$465,MATCH(Bérköltség!H153,'Admin - FEOR'!$A$4:$A$465,0),
IF(J153="30 év alatt",3,
IF(J153="30–39 éves",4,
IF(J153="40–49 éves",5,
IF(J153="50 év és afelett",6
)))))*1.5,"NA")</f>
        <v>1240105.5</v>
      </c>
      <c r="P153" s="270">
        <f t="shared" si="328"/>
        <v>926515.60344827583</v>
      </c>
      <c r="Q153" s="270">
        <f t="shared" si="329"/>
        <v>336207</v>
      </c>
      <c r="R153" s="275">
        <f t="shared" si="330"/>
        <v>0.74712643678160917</v>
      </c>
      <c r="S153" s="270">
        <f t="shared" si="331"/>
        <v>0</v>
      </c>
      <c r="T153" s="270">
        <f t="shared" si="332"/>
        <v>0</v>
      </c>
      <c r="U153" s="271">
        <f t="shared" si="333"/>
        <v>0</v>
      </c>
      <c r="V153" s="272">
        <f t="shared" si="334"/>
        <v>379914</v>
      </c>
      <c r="W153" s="273" t="str">
        <f t="shared" si="335"/>
        <v>Nem szükséges indoklás.</v>
      </c>
      <c r="X153" s="372">
        <f t="shared" si="336"/>
        <v>0</v>
      </c>
      <c r="Y153" s="317">
        <f t="shared" si="337"/>
        <v>336207</v>
      </c>
      <c r="Z153" s="317">
        <f t="shared" si="338"/>
        <v>43707</v>
      </c>
      <c r="AA153" s="12">
        <v>2</v>
      </c>
      <c r="AB153" s="274">
        <v>8364962566</v>
      </c>
      <c r="AC153" s="40" t="s">
        <v>239</v>
      </c>
      <c r="AD153" s="82" t="s">
        <v>75</v>
      </c>
      <c r="AE153" s="41" t="s">
        <v>52</v>
      </c>
      <c r="AF153" s="11" t="s">
        <v>159</v>
      </c>
      <c r="AG153" s="11" t="s">
        <v>211</v>
      </c>
      <c r="AH153" s="14" t="s">
        <v>122</v>
      </c>
      <c r="AI153" s="86" t="s">
        <v>26</v>
      </c>
      <c r="AJ153" s="113" t="str">
        <f>IF(COUNTIFS(Admin!$A$29:$A$40,AI153)&gt;0,Admin!$A$28,IF(COUNTIFS(Admin!$B$29:$B$40,AI153)&gt;0,Admin!$B$28,IF(COUNTIFS(Admin!$C$29:$C$40,AI153)&gt;0,Admin!$C$28,IF(COUNTIFS(Admin!$D$29:$D$40,AI153)&gt;0,Admin!$D$28,"-"))))</f>
        <v>2. mérföldkő</v>
      </c>
      <c r="AK153" s="14" t="s">
        <v>7</v>
      </c>
      <c r="AL153" s="9" t="s">
        <v>56</v>
      </c>
      <c r="AM153" s="131">
        <v>450000</v>
      </c>
      <c r="AN153" s="132">
        <f t="shared" si="368"/>
        <v>58500</v>
      </c>
      <c r="AO153" s="121">
        <v>87</v>
      </c>
      <c r="AP153" s="121">
        <v>65</v>
      </c>
      <c r="AQ153" s="354">
        <f t="shared" ref="AQ153:AQ239" si="402">IFERROR(AP153/AO153,"")</f>
        <v>0.74712643678160917</v>
      </c>
      <c r="AR153" s="133">
        <f t="shared" si="214"/>
        <v>336207</v>
      </c>
      <c r="AS153" s="133">
        <f t="shared" ref="AS153:AS171" si="403">IFERROR(ROUND(AR153*AU153,0),"")</f>
        <v>43707</v>
      </c>
      <c r="AT153" s="123">
        <f t="shared" ref="AT153:AT239" si="404">IFERROR(AP153/AO153-AR153/AM153,"")</f>
        <v>-2.2988505754550914E-7</v>
      </c>
      <c r="AU153" s="124">
        <v>0.13</v>
      </c>
      <c r="AV153" s="394" t="s">
        <v>2768</v>
      </c>
      <c r="AW153" s="15">
        <v>44847</v>
      </c>
      <c r="AX153" s="12" t="s">
        <v>206</v>
      </c>
      <c r="AZ153" s="1" t="s">
        <v>2667</v>
      </c>
      <c r="BA153" s="1" t="s">
        <v>2667</v>
      </c>
      <c r="BB153" s="1" t="s">
        <v>2667</v>
      </c>
      <c r="BC153" s="1" t="s">
        <v>2824</v>
      </c>
      <c r="BD153" s="1" t="str">
        <f>CONCATENATE(BC153," - ",AE153)</f>
        <v>Kutató_NK_2 - Kutató</v>
      </c>
    </row>
    <row r="154" spans="1:56" s="1" customFormat="1" hidden="1" x14ac:dyDescent="0.25">
      <c r="A154" s="264" t="str">
        <f>Bérköltség!$B154</f>
        <v>FEOR</v>
      </c>
      <c r="B154" s="264" t="str">
        <f>IFERROR(
IF(AND(Bérköltség!$F154="",H154="NA"),"HIÁNYOS ADATOK",
IF(Bérköltség!$F154&lt;Bérköltség!$U154,Admin!$B$18,Admin!$B$17)),
"")</f>
        <v>FEOR</v>
      </c>
      <c r="C154" s="265" t="str">
        <f>IFERROR(INDEX('Historikus berek_2021-2'!$A$1:$F$903,MATCH(AB154,'Historikus berek_2021-2'!$A$1:$A$903,0),4),"")</f>
        <v/>
      </c>
      <c r="D154" s="279" t="str">
        <f t="shared" si="321"/>
        <v/>
      </c>
      <c r="E154" s="265">
        <f t="shared" si="322"/>
        <v>336207</v>
      </c>
      <c r="F154" s="266" t="str">
        <f t="shared" si="323"/>
        <v/>
      </c>
      <c r="G154" s="267" t="str">
        <f t="shared" si="324"/>
        <v/>
      </c>
      <c r="H154" s="268">
        <f>IFERROR(INDEX('FEOR kodok'!$A$2:$J$1126,MATCH(Bérköltség!AB154,'FEOR kodok'!$B$2:$B$1126,0),8),"NA")</f>
        <v>2117</v>
      </c>
      <c r="I154" s="269">
        <f>IFERROR(INDEX('FEOR kodok'!$A$2:$J$1126,MATCH(Bérköltség!AB154,'FEOR kodok'!$B$2:$B$1126,0),10),"NA")</f>
        <v>57</v>
      </c>
      <c r="J154" s="276" t="str">
        <f t="shared" si="325"/>
        <v>50 év és afelett</v>
      </c>
      <c r="K154" s="269" t="str">
        <f>IFERROR(INDEX(admin_feor[#All],MATCH(Bérköltség!H154,admin_feor[[#All],[Foglalkozás]],0),2),"NA")</f>
        <v>Vegyészmérnök</v>
      </c>
      <c r="L154" s="270">
        <f>IFERROR(
INDEX('Admin - FEOR'!$A$4:$F$465,MATCH(Bérköltség!H154,'Admin - FEOR'!$A$4:$A$465,0),
IF(J154="30 év alatt",3,
IF(J154="30–39 éves",4,
IF(J154="40–49 éves",5,
IF(J154="50 év és afelett",6
)))))*1,"NA")</f>
        <v>826737</v>
      </c>
      <c r="M154" s="270">
        <f t="shared" si="326"/>
        <v>450000</v>
      </c>
      <c r="N154" s="318">
        <f t="shared" si="327"/>
        <v>0.54430852858889833</v>
      </c>
      <c r="O154" s="270">
        <f>IFERROR(
INDEX('Admin - FEOR'!$A$4:$F$465,MATCH(Bérköltség!H154,'Admin - FEOR'!$A$4:$A$465,0),
IF(J154="30 év alatt",3,
IF(J154="30–39 éves",4,
IF(J154="40–49 éves",5,
IF(J154="50 év és afelett",6
)))))*1.5,"NA")</f>
        <v>1240105.5</v>
      </c>
      <c r="P154" s="270">
        <f t="shared" si="328"/>
        <v>926515.60344827583</v>
      </c>
      <c r="Q154" s="270">
        <f t="shared" si="329"/>
        <v>336207</v>
      </c>
      <c r="R154" s="275">
        <f t="shared" si="330"/>
        <v>0.74712643678160917</v>
      </c>
      <c r="S154" s="270">
        <f t="shared" si="331"/>
        <v>0</v>
      </c>
      <c r="T154" s="270">
        <f t="shared" si="332"/>
        <v>0</v>
      </c>
      <c r="U154" s="271">
        <f t="shared" si="333"/>
        <v>0</v>
      </c>
      <c r="V154" s="272">
        <f t="shared" si="334"/>
        <v>379914</v>
      </c>
      <c r="W154" s="273" t="str">
        <f t="shared" si="335"/>
        <v>Nem szükséges indoklás.</v>
      </c>
      <c r="X154" s="372">
        <f t="shared" si="336"/>
        <v>0</v>
      </c>
      <c r="Y154" s="317">
        <f t="shared" si="337"/>
        <v>336207</v>
      </c>
      <c r="Z154" s="317">
        <f t="shared" si="338"/>
        <v>43707</v>
      </c>
      <c r="AA154" s="12">
        <v>2</v>
      </c>
      <c r="AB154" s="274">
        <v>8364962566</v>
      </c>
      <c r="AC154" s="40" t="s">
        <v>239</v>
      </c>
      <c r="AD154" s="82" t="s">
        <v>75</v>
      </c>
      <c r="AE154" s="41" t="s">
        <v>52</v>
      </c>
      <c r="AF154" s="11" t="s">
        <v>159</v>
      </c>
      <c r="AG154" s="11" t="s">
        <v>211</v>
      </c>
      <c r="AH154" s="14" t="s">
        <v>122</v>
      </c>
      <c r="AI154" s="86" t="s">
        <v>32</v>
      </c>
      <c r="AJ154" s="113" t="str">
        <f>IF(COUNTIFS(Admin!$A$29:$A$40,AI154)&gt;0,Admin!$A$28,IF(COUNTIFS(Admin!$B$29:$B$40,AI154)&gt;0,Admin!$B$28,IF(COUNTIFS(Admin!$C$29:$C$40,AI154)&gt;0,Admin!$C$28,IF(COUNTIFS(Admin!$D$29:$D$40,AI154)&gt;0,Admin!$D$28,"-"))))</f>
        <v>2. mérföldkő</v>
      </c>
      <c r="AK154" s="14" t="s">
        <v>7</v>
      </c>
      <c r="AL154" s="9" t="s">
        <v>56</v>
      </c>
      <c r="AM154" s="131">
        <v>450000</v>
      </c>
      <c r="AN154" s="132">
        <f t="shared" si="368"/>
        <v>58500</v>
      </c>
      <c r="AO154" s="121">
        <v>87</v>
      </c>
      <c r="AP154" s="121">
        <v>65</v>
      </c>
      <c r="AQ154" s="354">
        <f t="shared" si="402"/>
        <v>0.74712643678160917</v>
      </c>
      <c r="AR154" s="133">
        <f t="shared" si="214"/>
        <v>336207</v>
      </c>
      <c r="AS154" s="133">
        <f t="shared" si="403"/>
        <v>43707</v>
      </c>
      <c r="AT154" s="123">
        <f t="shared" si="404"/>
        <v>-2.2988505754550914E-7</v>
      </c>
      <c r="AU154" s="124">
        <v>0.13</v>
      </c>
      <c r="AV154" s="394" t="s">
        <v>2768</v>
      </c>
      <c r="AW154" s="15">
        <v>44847</v>
      </c>
      <c r="AX154" s="12" t="s">
        <v>206</v>
      </c>
      <c r="AZ154" s="1" t="s">
        <v>2667</v>
      </c>
      <c r="BA154" s="1">
        <v>0</v>
      </c>
      <c r="BB154" s="1">
        <v>0</v>
      </c>
      <c r="BC154" s="1" t="s">
        <v>2824</v>
      </c>
      <c r="BD154" s="1" t="str">
        <f>CONCATENATE(BC154," - ",AE154)</f>
        <v>Kutató_NK_2 - Kutató</v>
      </c>
    </row>
    <row r="155" spans="1:56" s="1" customFormat="1" hidden="1" x14ac:dyDescent="0.25">
      <c r="A155" s="264" t="str">
        <f>Bérköltség!$B155</f>
        <v>FEOR</v>
      </c>
      <c r="B155" s="264" t="str">
        <f>IFERROR(
IF(AND(Bérköltség!$F155="",H155="NA"),"HIÁNYOS ADATOK",
IF(Bérköltség!$F155&lt;Bérköltség!$U155,Admin!$B$18,Admin!$B$17)),
"")</f>
        <v>FEOR</v>
      </c>
      <c r="C155" s="265" t="str">
        <f>IFERROR(INDEX('Historikus berek_2021-2'!$A$1:$F$903,MATCH(AB155,'Historikus berek_2021-2'!$A$1:$A$903,0),4),"")</f>
        <v/>
      </c>
      <c r="D155" s="279" t="str">
        <f t="shared" si="321"/>
        <v/>
      </c>
      <c r="E155" s="265">
        <f t="shared" si="322"/>
        <v>336207</v>
      </c>
      <c r="F155" s="266" t="str">
        <f t="shared" si="323"/>
        <v/>
      </c>
      <c r="G155" s="267" t="str">
        <f t="shared" si="324"/>
        <v/>
      </c>
      <c r="H155" s="268">
        <f>IFERROR(INDEX('FEOR kodok'!$A$2:$J$1126,MATCH(Bérköltség!AB155,'FEOR kodok'!$B$2:$B$1126,0),8),"NA")</f>
        <v>2117</v>
      </c>
      <c r="I155" s="269">
        <f>IFERROR(INDEX('FEOR kodok'!$A$2:$J$1126,MATCH(Bérköltség!AB155,'FEOR kodok'!$B$2:$B$1126,0),10),"NA")</f>
        <v>57</v>
      </c>
      <c r="J155" s="276" t="str">
        <f t="shared" si="325"/>
        <v>50 év és afelett</v>
      </c>
      <c r="K155" s="269" t="str">
        <f>IFERROR(INDEX(admin_feor[#All],MATCH(Bérköltség!H155,admin_feor[[#All],[Foglalkozás]],0),2),"NA")</f>
        <v>Vegyészmérnök</v>
      </c>
      <c r="L155" s="270">
        <f>IFERROR(
INDEX('Admin - FEOR'!$A$4:$F$465,MATCH(Bérköltség!H155,'Admin - FEOR'!$A$4:$A$465,0),
IF(J155="30 év alatt",3,
IF(J155="30–39 éves",4,
IF(J155="40–49 éves",5,
IF(J155="50 év és afelett",6
)))))*1,"NA")</f>
        <v>826737</v>
      </c>
      <c r="M155" s="270">
        <f t="shared" si="326"/>
        <v>450000</v>
      </c>
      <c r="N155" s="318">
        <f t="shared" si="327"/>
        <v>0.54430852858889833</v>
      </c>
      <c r="O155" s="270">
        <f>IFERROR(
INDEX('Admin - FEOR'!$A$4:$F$465,MATCH(Bérköltség!H155,'Admin - FEOR'!$A$4:$A$465,0),
IF(J155="30 év alatt",3,
IF(J155="30–39 éves",4,
IF(J155="40–49 éves",5,
IF(J155="50 év és afelett",6
)))))*1.5,"NA")</f>
        <v>1240105.5</v>
      </c>
      <c r="P155" s="270">
        <f t="shared" si="328"/>
        <v>926515.60344827583</v>
      </c>
      <c r="Q155" s="270">
        <f t="shared" si="329"/>
        <v>336207</v>
      </c>
      <c r="R155" s="275">
        <f t="shared" si="330"/>
        <v>0.74712643678160917</v>
      </c>
      <c r="S155" s="270">
        <f t="shared" si="331"/>
        <v>0</v>
      </c>
      <c r="T155" s="270">
        <f t="shared" si="332"/>
        <v>0</v>
      </c>
      <c r="U155" s="271">
        <f t="shared" si="333"/>
        <v>0</v>
      </c>
      <c r="V155" s="272">
        <f t="shared" si="334"/>
        <v>379914</v>
      </c>
      <c r="W155" s="273" t="str">
        <f t="shared" si="335"/>
        <v>Nem szükséges indoklás.</v>
      </c>
      <c r="X155" s="372">
        <f t="shared" si="336"/>
        <v>0</v>
      </c>
      <c r="Y155" s="317">
        <f t="shared" si="337"/>
        <v>336207</v>
      </c>
      <c r="Z155" s="317">
        <f t="shared" si="338"/>
        <v>43707</v>
      </c>
      <c r="AA155" s="12">
        <v>2</v>
      </c>
      <c r="AB155" s="274">
        <v>8364962566</v>
      </c>
      <c r="AC155" s="40" t="s">
        <v>239</v>
      </c>
      <c r="AD155" s="82" t="s">
        <v>75</v>
      </c>
      <c r="AE155" s="41" t="s">
        <v>52</v>
      </c>
      <c r="AF155" s="11" t="s">
        <v>159</v>
      </c>
      <c r="AG155" s="11" t="s">
        <v>211</v>
      </c>
      <c r="AH155" s="14" t="s">
        <v>122</v>
      </c>
      <c r="AI155" s="86" t="s">
        <v>33</v>
      </c>
      <c r="AJ155" s="113" t="str">
        <f>IF(COUNTIFS(Admin!$A$29:$A$40,AI155)&gt;0,Admin!$A$28,IF(COUNTIFS(Admin!$B$29:$B$40,AI155)&gt;0,Admin!$B$28,IF(COUNTIFS(Admin!$C$29:$C$40,AI155)&gt;0,Admin!$C$28,IF(COUNTIFS(Admin!$D$29:$D$40,AI155)&gt;0,Admin!$D$28,"-"))))</f>
        <v>2. mérföldkő</v>
      </c>
      <c r="AK155" s="14" t="s">
        <v>7</v>
      </c>
      <c r="AL155" s="9" t="s">
        <v>56</v>
      </c>
      <c r="AM155" s="131">
        <v>450000</v>
      </c>
      <c r="AN155" s="132">
        <f t="shared" si="368"/>
        <v>58500</v>
      </c>
      <c r="AO155" s="121">
        <v>87</v>
      </c>
      <c r="AP155" s="121">
        <v>65</v>
      </c>
      <c r="AQ155" s="354">
        <f t="shared" si="402"/>
        <v>0.74712643678160917</v>
      </c>
      <c r="AR155" s="133">
        <f t="shared" si="214"/>
        <v>336207</v>
      </c>
      <c r="AS155" s="133">
        <f t="shared" si="403"/>
        <v>43707</v>
      </c>
      <c r="AT155" s="123">
        <f t="shared" si="404"/>
        <v>-2.2988505754550914E-7</v>
      </c>
      <c r="AU155" s="124">
        <v>0.13</v>
      </c>
      <c r="AV155" s="394" t="s">
        <v>2768</v>
      </c>
      <c r="AW155" s="15">
        <v>44847</v>
      </c>
      <c r="AX155" s="12" t="s">
        <v>206</v>
      </c>
      <c r="AZ155" s="8" t="str">
        <f>IF(VLOOKUP(LEFT($AB155,10),'Havi béradatok'!$B:$E,2,FALSE)=AG155,"EGYEZIK","HIBÁS")</f>
        <v>EGYEZIK</v>
      </c>
      <c r="BA155" s="1">
        <f>VLOOKUP(LEFT($AB155,10),'Havi béradatok'!$B:$E,3,FALSE)-AM155</f>
        <v>0</v>
      </c>
      <c r="BB155" s="1">
        <f>VLOOKUP(LEFT($AB155,10),'Havi béradatok'!$B:$E,4,FALSE)-AN155</f>
        <v>0</v>
      </c>
      <c r="BC155" s="1" t="s">
        <v>2824</v>
      </c>
      <c r="BD155" s="1" t="str">
        <f>CONCATENATE(BC155," - ",AE155)</f>
        <v>Kutató_NK_2 - Kutató</v>
      </c>
    </row>
    <row r="156" spans="1:56" s="1" customFormat="1" hidden="1" x14ac:dyDescent="0.25">
      <c r="A156" s="264" t="str">
        <f>Bérköltség!$B156</f>
        <v>FEOR</v>
      </c>
      <c r="B156" s="264" t="str">
        <f>IFERROR(
IF(AND(Bérköltség!$F156="",H156="NA"),"HIÁNYOS ADATOK",
IF(Bérköltség!$F156&lt;Bérköltség!$U156,Admin!$B$18,Admin!$B$17)),
"")</f>
        <v>FEOR</v>
      </c>
      <c r="C156" s="265" t="str">
        <f>IFERROR(INDEX('Historikus berek_2021-2'!$A$1:$F$903,MATCH(AB156,'Historikus berek_2021-2'!$A$1:$A$903,0),4),"")</f>
        <v/>
      </c>
      <c r="D156" s="279" t="str">
        <f t="shared" si="321"/>
        <v/>
      </c>
      <c r="E156" s="265">
        <f t="shared" si="322"/>
        <v>336207</v>
      </c>
      <c r="F156" s="266" t="str">
        <f t="shared" si="323"/>
        <v/>
      </c>
      <c r="G156" s="267" t="str">
        <f t="shared" si="324"/>
        <v/>
      </c>
      <c r="H156" s="268">
        <f>IFERROR(INDEX('FEOR kodok'!$A$2:$J$1126,MATCH(Bérköltség!AB156,'FEOR kodok'!$B$2:$B$1126,0),8),"NA")</f>
        <v>2117</v>
      </c>
      <c r="I156" s="269">
        <f>IFERROR(INDEX('FEOR kodok'!$A$2:$J$1126,MATCH(Bérköltség!AB156,'FEOR kodok'!$B$2:$B$1126,0),10),"NA")</f>
        <v>57</v>
      </c>
      <c r="J156" s="276" t="str">
        <f t="shared" si="325"/>
        <v>50 év és afelett</v>
      </c>
      <c r="K156" s="269" t="str">
        <f>IFERROR(INDEX(admin_feor[#All],MATCH(Bérköltség!H156,admin_feor[[#All],[Foglalkozás]],0),2),"NA")</f>
        <v>Vegyészmérnök</v>
      </c>
      <c r="L156" s="270">
        <f>IFERROR(
INDEX('Admin - FEOR'!$A$4:$F$465,MATCH(Bérköltség!H156,'Admin - FEOR'!$A$4:$A$465,0),
IF(J156="30 év alatt",3,
IF(J156="30–39 éves",4,
IF(J156="40–49 éves",5,
IF(J156="50 év és afelett",6
)))))*1,"NA")</f>
        <v>826737</v>
      </c>
      <c r="M156" s="270">
        <f t="shared" si="326"/>
        <v>450000</v>
      </c>
      <c r="N156" s="318">
        <f t="shared" si="327"/>
        <v>0.54430852858889833</v>
      </c>
      <c r="O156" s="270">
        <f>IFERROR(
INDEX('Admin - FEOR'!$A$4:$F$465,MATCH(Bérköltség!H156,'Admin - FEOR'!$A$4:$A$465,0),
IF(J156="30 év alatt",3,
IF(J156="30–39 éves",4,
IF(J156="40–49 éves",5,
IF(J156="50 év és afelett",6
)))))*1.5,"NA")</f>
        <v>1240105.5</v>
      </c>
      <c r="P156" s="270">
        <f t="shared" si="328"/>
        <v>926515.60344827583</v>
      </c>
      <c r="Q156" s="270">
        <f t="shared" si="329"/>
        <v>336207</v>
      </c>
      <c r="R156" s="275">
        <f t="shared" si="330"/>
        <v>0.74712643678160917</v>
      </c>
      <c r="S156" s="270">
        <f t="shared" si="331"/>
        <v>0</v>
      </c>
      <c r="T156" s="270">
        <f t="shared" si="332"/>
        <v>0</v>
      </c>
      <c r="U156" s="271">
        <f t="shared" si="333"/>
        <v>0</v>
      </c>
      <c r="V156" s="272">
        <f t="shared" si="334"/>
        <v>379914</v>
      </c>
      <c r="W156" s="273" t="str">
        <f t="shared" si="335"/>
        <v>Nem szükséges indoklás.</v>
      </c>
      <c r="X156" s="372">
        <f t="shared" si="336"/>
        <v>0</v>
      </c>
      <c r="Y156" s="317">
        <f t="shared" si="337"/>
        <v>336207</v>
      </c>
      <c r="Z156" s="317">
        <f t="shared" si="338"/>
        <v>43707</v>
      </c>
      <c r="AA156" s="12">
        <v>2</v>
      </c>
      <c r="AB156" s="274">
        <v>8364962566</v>
      </c>
      <c r="AC156" s="40" t="s">
        <v>239</v>
      </c>
      <c r="AD156" s="82" t="s">
        <v>75</v>
      </c>
      <c r="AE156" s="41" t="s">
        <v>52</v>
      </c>
      <c r="AF156" s="11" t="s">
        <v>159</v>
      </c>
      <c r="AG156" s="11" t="s">
        <v>211</v>
      </c>
      <c r="AH156" s="14" t="s">
        <v>122</v>
      </c>
      <c r="AI156" s="86" t="s">
        <v>34</v>
      </c>
      <c r="AJ156" s="113" t="str">
        <f>IF(COUNTIFS(Admin!$A$29:$A$40,AI156)&gt;0,Admin!$A$28,IF(COUNTIFS(Admin!$B$29:$B$40,AI156)&gt;0,Admin!$B$28,IF(COUNTIFS(Admin!$C$29:$C$40,AI156)&gt;0,Admin!$C$28,IF(COUNTIFS(Admin!$D$29:$D$40,AI156)&gt;0,Admin!$D$28,"-"))))</f>
        <v>2. mérföldkő</v>
      </c>
      <c r="AK156" s="14" t="s">
        <v>7</v>
      </c>
      <c r="AL156" s="9" t="s">
        <v>56</v>
      </c>
      <c r="AM156" s="131">
        <v>450000</v>
      </c>
      <c r="AN156" s="132">
        <f t="shared" si="368"/>
        <v>58500</v>
      </c>
      <c r="AO156" s="121">
        <v>87</v>
      </c>
      <c r="AP156" s="121">
        <v>65</v>
      </c>
      <c r="AQ156" s="354">
        <f t="shared" si="402"/>
        <v>0.74712643678160917</v>
      </c>
      <c r="AR156" s="133">
        <f t="shared" si="214"/>
        <v>336207</v>
      </c>
      <c r="AS156" s="133">
        <f t="shared" si="403"/>
        <v>43707</v>
      </c>
      <c r="AT156" s="123">
        <f t="shared" si="404"/>
        <v>-2.2988505754550914E-7</v>
      </c>
      <c r="AU156" s="124">
        <v>0.13</v>
      </c>
      <c r="AV156" s="394" t="s">
        <v>2768</v>
      </c>
      <c r="AW156" s="15">
        <v>44847</v>
      </c>
      <c r="AX156" s="12" t="s">
        <v>206</v>
      </c>
      <c r="BC156" s="1" t="s">
        <v>2824</v>
      </c>
      <c r="BD156" s="1" t="str">
        <f>CONCATENATE(BC156," - ",AE156)</f>
        <v>Kutató_NK_2 - Kutató</v>
      </c>
    </row>
    <row r="157" spans="1:56" s="1" customFormat="1" x14ac:dyDescent="0.25">
      <c r="A157" s="264" t="str">
        <f>Bérköltség!$B157</f>
        <v>FEOR</v>
      </c>
      <c r="B157" s="264" t="str">
        <f>IFERROR(
IF(AND(Bérköltség!$F157="",H157="NA"),"HIÁNYOS ADATOK",
IF(Bérköltség!$F157&lt;Bérköltség!$U157,Admin!$B$18,Admin!$B$17)),
"")</f>
        <v>FEOR</v>
      </c>
      <c r="C157" s="265" t="str">
        <f>IFERROR(INDEX('Historikus berek_2021-2'!$A$1:$F$903,MATCH(AB157,'Historikus berek_2021-2'!$A$1:$A$903,0),4),"")</f>
        <v/>
      </c>
      <c r="D157" s="279" t="str">
        <f t="shared" si="321"/>
        <v/>
      </c>
      <c r="E157" s="265">
        <f t="shared" si="322"/>
        <v>336207</v>
      </c>
      <c r="F157" s="266" t="str">
        <f t="shared" si="323"/>
        <v/>
      </c>
      <c r="G157" s="267" t="str">
        <f t="shared" si="324"/>
        <v/>
      </c>
      <c r="H157" s="268">
        <f>IFERROR(INDEX('FEOR kodok'!$A$2:$J$1126,MATCH(Bérköltség!AB157,'FEOR kodok'!$B$2:$B$1126,0),8),"NA")</f>
        <v>2117</v>
      </c>
      <c r="I157" s="269">
        <f>IFERROR(INDEX('FEOR kodok'!$A$2:$J$1126,MATCH(Bérköltség!AB157,'FEOR kodok'!$B$2:$B$1126,0),10),"NA")</f>
        <v>57</v>
      </c>
      <c r="J157" s="276" t="str">
        <f t="shared" si="325"/>
        <v>50 év és afelett</v>
      </c>
      <c r="K157" s="269" t="str">
        <f>IFERROR(INDEX(admin_feor[#All],MATCH(Bérköltség!H157,admin_feor[[#All],[Foglalkozás]],0),2),"NA")</f>
        <v>Vegyészmérnök</v>
      </c>
      <c r="L157" s="270">
        <f>IFERROR(
INDEX('Admin - FEOR'!$A$4:$F$465,MATCH(Bérköltség!H157,'Admin - FEOR'!$A$4:$A$465,0),
IF(J157="30 év alatt",3,
IF(J157="30–39 éves",4,
IF(J157="40–49 éves",5,
IF(J157="50 év és afelett",6
)))))*1,"NA")</f>
        <v>826737</v>
      </c>
      <c r="M157" s="270">
        <f t="shared" si="326"/>
        <v>450000</v>
      </c>
      <c r="N157" s="318">
        <f t="shared" si="327"/>
        <v>0.54430852858889833</v>
      </c>
      <c r="O157" s="270">
        <f>IFERROR(
INDEX('Admin - FEOR'!$A$4:$F$465,MATCH(Bérköltség!H157,'Admin - FEOR'!$A$4:$A$465,0),
IF(J157="30 év alatt",3,
IF(J157="30–39 éves",4,
IF(J157="40–49 éves",5,
IF(J157="50 év és afelett",6
)))))*1.5,"NA")</f>
        <v>1240105.5</v>
      </c>
      <c r="P157" s="270">
        <f t="shared" si="328"/>
        <v>926515.60344827583</v>
      </c>
      <c r="Q157" s="270">
        <f t="shared" si="329"/>
        <v>336207</v>
      </c>
      <c r="R157" s="275">
        <f t="shared" si="330"/>
        <v>0.74712643678160917</v>
      </c>
      <c r="S157" s="270">
        <f t="shared" si="331"/>
        <v>0</v>
      </c>
      <c r="T157" s="270">
        <f t="shared" si="332"/>
        <v>0</v>
      </c>
      <c r="U157" s="271">
        <f t="shared" si="333"/>
        <v>0</v>
      </c>
      <c r="V157" s="272">
        <f t="shared" si="334"/>
        <v>379914</v>
      </c>
      <c r="W157" s="273" t="str">
        <f t="shared" si="335"/>
        <v>Nem szükséges indoklás.</v>
      </c>
      <c r="X157" s="372">
        <f t="shared" si="336"/>
        <v>0</v>
      </c>
      <c r="Y157" s="317">
        <f t="shared" si="337"/>
        <v>336207</v>
      </c>
      <c r="Z157" s="317">
        <f t="shared" si="338"/>
        <v>43707</v>
      </c>
      <c r="AA157" s="36"/>
      <c r="AB157" s="274">
        <v>8364962566</v>
      </c>
      <c r="AC157" s="40" t="s">
        <v>239</v>
      </c>
      <c r="AD157" s="82" t="s">
        <v>75</v>
      </c>
      <c r="AE157" s="41" t="s">
        <v>52</v>
      </c>
      <c r="AF157" s="11" t="s">
        <v>159</v>
      </c>
      <c r="AG157" s="11" t="s">
        <v>211</v>
      </c>
      <c r="AH157" s="14" t="s">
        <v>122</v>
      </c>
      <c r="AI157" s="86" t="s">
        <v>35</v>
      </c>
      <c r="AJ157" s="113" t="str">
        <f>IF(COUNTIFS(Admin!$A$29:$A$40,AI157)&gt;0,Admin!$A$28,IF(COUNTIFS(Admin!$B$29:$B$40,AI157)&gt;0,Admin!$B$28,IF(COUNTIFS(Admin!$C$29:$C$40,AI157)&gt;0,Admin!$C$28,IF(COUNTIFS(Admin!$D$29:$D$40,AI157)&gt;0,Admin!$D$28,"-"))))</f>
        <v>3. mérföldkő</v>
      </c>
      <c r="AK157" s="14" t="s">
        <v>7</v>
      </c>
      <c r="AL157" s="9" t="s">
        <v>56</v>
      </c>
      <c r="AM157" s="131">
        <v>450000</v>
      </c>
      <c r="AN157" s="132">
        <f t="shared" si="368"/>
        <v>58500</v>
      </c>
      <c r="AO157" s="121">
        <v>87</v>
      </c>
      <c r="AP157" s="121">
        <v>65</v>
      </c>
      <c r="AQ157" s="354">
        <f t="shared" si="402"/>
        <v>0.74712643678160917</v>
      </c>
      <c r="AR157" s="133">
        <f t="shared" si="214"/>
        <v>336207</v>
      </c>
      <c r="AS157" s="133">
        <f t="shared" si="403"/>
        <v>43707</v>
      </c>
      <c r="AT157" s="123">
        <f t="shared" si="404"/>
        <v>-2.2988505754550914E-7</v>
      </c>
      <c r="AU157" s="124">
        <v>0.13</v>
      </c>
      <c r="AV157" s="394" t="s">
        <v>2768</v>
      </c>
      <c r="AW157" s="15">
        <v>44847</v>
      </c>
      <c r="AX157" s="12" t="s">
        <v>206</v>
      </c>
      <c r="AZ157" s="1" t="str">
        <f>IF(VLOOKUP(LEFT($AB157,10),'Havi béradatok'!$B:$E,2,FALSE)=AG157,"EGYEZIK","HIBÁS")</f>
        <v>EGYEZIK</v>
      </c>
      <c r="BA157" s="1">
        <f>VLOOKUP(LEFT($AB157,10),'Havi béradatok'!$B:$E,3,FALSE)-AM157</f>
        <v>0</v>
      </c>
      <c r="BB157" s="1">
        <f>VLOOKUP(LEFT($AB157,10),'Havi béradatok'!$B:$E,4,FALSE)-AN157</f>
        <v>0</v>
      </c>
      <c r="BC157" s="400" t="s">
        <v>2824</v>
      </c>
      <c r="BD157" s="400"/>
    </row>
    <row r="158" spans="1:56" s="1" customFormat="1" hidden="1" x14ac:dyDescent="0.25">
      <c r="A158" s="264" t="str">
        <f>Bérköltség!$B158</f>
        <v>FEOR</v>
      </c>
      <c r="B158" s="264" t="str">
        <f>IFERROR(
IF(AND(Bérköltség!$F158="",H158="NA"),"HIÁNYOS ADATOK",
IF(Bérköltség!$F158&lt;Bérköltség!$U158,Admin!$B$18,Admin!$B$17)),
"")</f>
        <v>FEOR</v>
      </c>
      <c r="C158" s="265">
        <f>IFERROR(INDEX('Historikus berek_2021-2'!$A$1:$F$903,MATCH(AB158,'Historikus berek_2021-2'!$A$1:$A$903,0),4),"")</f>
        <v>126533.33333333333</v>
      </c>
      <c r="D158" s="279">
        <f t="shared" si="321"/>
        <v>18907.279693486591</v>
      </c>
      <c r="E158" s="265">
        <f t="shared" si="322"/>
        <v>79943</v>
      </c>
      <c r="F158" s="266">
        <f t="shared" si="323"/>
        <v>68970.363946360158</v>
      </c>
      <c r="G158" s="267">
        <f t="shared" si="324"/>
        <v>21365.226053639839</v>
      </c>
      <c r="H158" s="268">
        <f>IFERROR(INDEX('FEOR kodok'!$A$2:$J$1126,MATCH(Bérköltség!AB158,'FEOR kodok'!$B$2:$B$1126,0),8),"NA")</f>
        <v>2910</v>
      </c>
      <c r="I158" s="269">
        <f>IFERROR(INDEX('FEOR kodok'!$A$2:$J$1126,MATCH(Bérköltség!AB158,'FEOR kodok'!$B$2:$B$1126,0),10),"NA")</f>
        <v>39</v>
      </c>
      <c r="J158" s="276" t="str">
        <f t="shared" si="325"/>
        <v>30–39 éves</v>
      </c>
      <c r="K158" s="269" t="str">
        <f>IFERROR(INDEX(admin_feor[#All],MATCH(Bérköltség!H158,admin_feor[[#All],[Foglalkozás]],0),2),"NA")</f>
        <v>Egyéb magasan képzett ügyintéző</v>
      </c>
      <c r="L158" s="270">
        <f>IFERROR(
INDEX('Admin - FEOR'!$A$4:$F$465,MATCH(Bérköltség!H158,'Admin - FEOR'!$A$4:$A$465,0),
IF(J158="30 év alatt",3,
IF(J158="30–39 éves",4,
IF(J158="40–49 éves",5,
IF(J158="50 év és afelett",6
)))))*1,"NA")</f>
        <v>652117</v>
      </c>
      <c r="M158" s="270">
        <f t="shared" si="326"/>
        <v>535000</v>
      </c>
      <c r="N158" s="318">
        <f t="shared" si="327"/>
        <v>0.82040492733665893</v>
      </c>
      <c r="O158" s="270">
        <f>IFERROR(
INDEX('Admin - FEOR'!$A$4:$F$465,MATCH(Bérköltség!H158,'Admin - FEOR'!$A$4:$A$465,0),
IF(J158="30 év alatt",3,
IF(J158="30–39 éves",4,
IF(J158="40–49 éves",5,
IF(J158="50 év és afelett",6
)))))*1.5,"NA")</f>
        <v>978175.5</v>
      </c>
      <c r="P158" s="270">
        <f t="shared" si="328"/>
        <v>146164.1551724138</v>
      </c>
      <c r="Q158" s="270">
        <f t="shared" si="329"/>
        <v>79943</v>
      </c>
      <c r="R158" s="275">
        <f t="shared" si="330"/>
        <v>0.14942528735632185</v>
      </c>
      <c r="S158" s="270">
        <f t="shared" si="331"/>
        <v>0</v>
      </c>
      <c r="T158" s="270">
        <f t="shared" si="332"/>
        <v>0</v>
      </c>
      <c r="U158" s="271">
        <f t="shared" si="333"/>
        <v>0</v>
      </c>
      <c r="V158" s="272">
        <f t="shared" si="334"/>
        <v>90336</v>
      </c>
      <c r="W158" s="273" t="str">
        <f t="shared" si="335"/>
        <v>Nem szükséges indoklás.</v>
      </c>
      <c r="X158" s="372">
        <f t="shared" si="336"/>
        <v>0</v>
      </c>
      <c r="Y158" s="317">
        <f t="shared" si="337"/>
        <v>79943</v>
      </c>
      <c r="Z158" s="317">
        <f t="shared" si="338"/>
        <v>10393</v>
      </c>
      <c r="AA158" s="12">
        <v>2</v>
      </c>
      <c r="AB158" s="274">
        <v>8430140549</v>
      </c>
      <c r="AC158" s="40" t="s">
        <v>212</v>
      </c>
      <c r="AD158" s="82" t="s">
        <v>75</v>
      </c>
      <c r="AE158" s="41" t="s">
        <v>54</v>
      </c>
      <c r="AF158" s="11" t="s">
        <v>159</v>
      </c>
      <c r="AG158" s="11" t="s">
        <v>166</v>
      </c>
      <c r="AH158" s="14" t="s">
        <v>122</v>
      </c>
      <c r="AI158" s="86" t="s">
        <v>23</v>
      </c>
      <c r="AJ158" s="113" t="str">
        <f>IF(COUNTIFS(Admin!$A$29:$A$40,AI158)&gt;0,Admin!$A$28,IF(COUNTIFS(Admin!$B$29:$B$40,AI158)&gt;0,Admin!$B$28,IF(COUNTIFS(Admin!$C$29:$C$40,AI158)&gt;0,Admin!$C$28,IF(COUNTIFS(Admin!$D$29:$D$40,AI158)&gt;0,Admin!$D$28,"-"))))</f>
        <v>2. mérföldkő</v>
      </c>
      <c r="AK158" s="14" t="s">
        <v>7</v>
      </c>
      <c r="AL158" s="9" t="s">
        <v>56</v>
      </c>
      <c r="AM158" s="131">
        <v>535000</v>
      </c>
      <c r="AN158" s="132">
        <f t="shared" si="368"/>
        <v>69550</v>
      </c>
      <c r="AO158" s="121">
        <v>174</v>
      </c>
      <c r="AP158" s="121">
        <v>26</v>
      </c>
      <c r="AQ158" s="354">
        <f t="shared" si="402"/>
        <v>0.14942528735632185</v>
      </c>
      <c r="AR158" s="133">
        <f t="shared" si="214"/>
        <v>79943</v>
      </c>
      <c r="AS158" s="133">
        <f t="shared" si="403"/>
        <v>10393</v>
      </c>
      <c r="AT158" s="123">
        <f t="shared" si="404"/>
        <v>-8.8086797722652932E-7</v>
      </c>
      <c r="AU158" s="124">
        <v>0.13</v>
      </c>
      <c r="AV158" s="394" t="s">
        <v>2770</v>
      </c>
      <c r="AW158" s="15">
        <v>44762</v>
      </c>
      <c r="AX158" s="12" t="s">
        <v>206</v>
      </c>
      <c r="BC158" s="1" t="s">
        <v>2827</v>
      </c>
      <c r="BD158" s="1" t="str">
        <f t="shared" ref="BD158:BD164" si="405">CONCATENATE(BC158," - ",AE158)</f>
        <v>Segédszemélyzet_NK_2 - Segédszemélyzet</v>
      </c>
    </row>
    <row r="159" spans="1:56" s="1" customFormat="1" hidden="1" x14ac:dyDescent="0.25">
      <c r="A159" s="264" t="str">
        <f>Bérköltség!$B159</f>
        <v>FEOR</v>
      </c>
      <c r="B159" s="264" t="str">
        <f>IFERROR(
IF(AND(Bérköltség!$F159="",H159="NA"),"HIÁNYOS ADATOK",
IF(Bérköltség!$F159&lt;Bérköltség!$U159,Admin!$B$18,Admin!$B$17)),
"")</f>
        <v>FEOR</v>
      </c>
      <c r="C159" s="265">
        <f>IFERROR(INDEX('Historikus berek_2021-2'!$A$1:$F$903,MATCH(AB159,'Historikus berek_2021-2'!$A$1:$A$903,0),4),"")</f>
        <v>126533.33333333333</v>
      </c>
      <c r="D159" s="279">
        <f t="shared" si="321"/>
        <v>11635.249042145593</v>
      </c>
      <c r="E159" s="265">
        <f t="shared" si="322"/>
        <v>49195</v>
      </c>
      <c r="F159" s="266">
        <f t="shared" si="323"/>
        <v>42442.518582375473</v>
      </c>
      <c r="G159" s="267">
        <f t="shared" si="324"/>
        <v>13147.831417624519</v>
      </c>
      <c r="H159" s="268">
        <f>IFERROR(INDEX('FEOR kodok'!$A$2:$J$1126,MATCH(Bérköltség!AB159,'FEOR kodok'!$B$2:$B$1126,0),8),"NA")</f>
        <v>2910</v>
      </c>
      <c r="I159" s="269">
        <f>IFERROR(INDEX('FEOR kodok'!$A$2:$J$1126,MATCH(Bérköltség!AB159,'FEOR kodok'!$B$2:$B$1126,0),10),"NA")</f>
        <v>39</v>
      </c>
      <c r="J159" s="276" t="str">
        <f t="shared" si="325"/>
        <v>30–39 éves</v>
      </c>
      <c r="K159" s="269" t="str">
        <f>IFERROR(INDEX(admin_feor[#All],MATCH(Bérköltség!H159,admin_feor[[#All],[Foglalkozás]],0),2),"NA")</f>
        <v>Egyéb magasan képzett ügyintéző</v>
      </c>
      <c r="L159" s="270">
        <f>IFERROR(
INDEX('Admin - FEOR'!$A$4:$F$465,MATCH(Bérköltség!H159,'Admin - FEOR'!$A$4:$A$465,0),
IF(J159="30 év alatt",3,
IF(J159="30–39 éves",4,
IF(J159="40–49 éves",5,
IF(J159="50 év és afelett",6
)))))*1,"NA")</f>
        <v>652117</v>
      </c>
      <c r="M159" s="270">
        <f t="shared" si="326"/>
        <v>535000</v>
      </c>
      <c r="N159" s="318">
        <f t="shared" si="327"/>
        <v>0.82040492733665893</v>
      </c>
      <c r="O159" s="270">
        <f>IFERROR(
INDEX('Admin - FEOR'!$A$4:$F$465,MATCH(Bérköltség!H159,'Admin - FEOR'!$A$4:$A$465,0),
IF(J159="30 év alatt",3,
IF(J159="30–39 éves",4,
IF(J159="40–49 éves",5,
IF(J159="50 év és afelett",6
)))))*1.5,"NA")</f>
        <v>978175.5</v>
      </c>
      <c r="P159" s="270">
        <f t="shared" si="328"/>
        <v>89947.172413793101</v>
      </c>
      <c r="Q159" s="270">
        <f t="shared" si="329"/>
        <v>49195</v>
      </c>
      <c r="R159" s="275">
        <f t="shared" si="330"/>
        <v>9.1954022988505746E-2</v>
      </c>
      <c r="S159" s="270">
        <f t="shared" si="331"/>
        <v>0</v>
      </c>
      <c r="T159" s="270">
        <f t="shared" si="332"/>
        <v>0</v>
      </c>
      <c r="U159" s="271">
        <f t="shared" si="333"/>
        <v>0</v>
      </c>
      <c r="V159" s="272">
        <f t="shared" si="334"/>
        <v>55590</v>
      </c>
      <c r="W159" s="273" t="str">
        <f t="shared" si="335"/>
        <v>Nem szükséges indoklás.</v>
      </c>
      <c r="X159" s="372">
        <f t="shared" si="336"/>
        <v>0</v>
      </c>
      <c r="Y159" s="317">
        <f t="shared" si="337"/>
        <v>49195</v>
      </c>
      <c r="Z159" s="317">
        <f t="shared" si="338"/>
        <v>6395</v>
      </c>
      <c r="AA159" s="12">
        <v>2</v>
      </c>
      <c r="AB159" s="274">
        <v>8430140549</v>
      </c>
      <c r="AC159" s="40" t="s">
        <v>212</v>
      </c>
      <c r="AD159" s="82" t="s">
        <v>75</v>
      </c>
      <c r="AE159" s="41" t="s">
        <v>54</v>
      </c>
      <c r="AF159" s="11" t="s">
        <v>159</v>
      </c>
      <c r="AG159" s="11" t="s">
        <v>166</v>
      </c>
      <c r="AH159" s="14" t="s">
        <v>122</v>
      </c>
      <c r="AI159" s="86" t="s">
        <v>24</v>
      </c>
      <c r="AJ159" s="113" t="str">
        <f>IF(COUNTIFS(Admin!$A$29:$A$40,AI159)&gt;0,Admin!$A$28,IF(COUNTIFS(Admin!$B$29:$B$40,AI159)&gt;0,Admin!$B$28,IF(COUNTIFS(Admin!$C$29:$C$40,AI159)&gt;0,Admin!$C$28,IF(COUNTIFS(Admin!$D$29:$D$40,AI159)&gt;0,Admin!$D$28,"-"))))</f>
        <v>2. mérföldkő</v>
      </c>
      <c r="AK159" s="14" t="s">
        <v>7</v>
      </c>
      <c r="AL159" s="9" t="s">
        <v>56</v>
      </c>
      <c r="AM159" s="131">
        <v>535000</v>
      </c>
      <c r="AN159" s="132">
        <f t="shared" si="368"/>
        <v>69550</v>
      </c>
      <c r="AO159" s="121">
        <v>174</v>
      </c>
      <c r="AP159" s="121">
        <v>16</v>
      </c>
      <c r="AQ159" s="354">
        <f t="shared" si="402"/>
        <v>9.1954022988505746E-2</v>
      </c>
      <c r="AR159" s="133">
        <f t="shared" si="214"/>
        <v>49195</v>
      </c>
      <c r="AS159" s="133">
        <f t="shared" si="403"/>
        <v>6395</v>
      </c>
      <c r="AT159" s="123">
        <f t="shared" si="404"/>
        <v>7.5196046836478736E-7</v>
      </c>
      <c r="AU159" s="124">
        <v>0.13</v>
      </c>
      <c r="AV159" s="394" t="s">
        <v>2770</v>
      </c>
      <c r="AW159" s="15">
        <v>44825</v>
      </c>
      <c r="AX159" s="12" t="s">
        <v>206</v>
      </c>
      <c r="BC159" s="1" t="s">
        <v>2827</v>
      </c>
      <c r="BD159" s="1" t="str">
        <f t="shared" si="405"/>
        <v>Segédszemélyzet_NK_2 - Segédszemélyzet</v>
      </c>
    </row>
    <row r="160" spans="1:56" s="1" customFormat="1" hidden="1" x14ac:dyDescent="0.25">
      <c r="A160" s="264" t="str">
        <f>Bérköltség!$B160</f>
        <v>FEOR</v>
      </c>
      <c r="B160" s="264" t="str">
        <f>IFERROR(
IF(AND(Bérköltség!$F160="",H160="NA"),"HIÁNYOS ADATOK",
IF(Bérköltség!$F160&lt;Bérköltség!$U160,Admin!$B$18,Admin!$B$17)),
"")</f>
        <v>FEOR</v>
      </c>
      <c r="C160" s="265">
        <f>IFERROR(INDEX('Historikus berek_2021-2'!$A$1:$F$903,MATCH(AB160,'Historikus berek_2021-2'!$A$1:$A$903,0),4),"")</f>
        <v>126533.33333333333</v>
      </c>
      <c r="D160" s="279">
        <f t="shared" si="321"/>
        <v>18907.279693486591</v>
      </c>
      <c r="E160" s="265">
        <f t="shared" si="322"/>
        <v>79943</v>
      </c>
      <c r="F160" s="266">
        <f t="shared" si="323"/>
        <v>68970.363946360158</v>
      </c>
      <c r="G160" s="267">
        <f t="shared" si="324"/>
        <v>21365.226053639839</v>
      </c>
      <c r="H160" s="268">
        <f>IFERROR(INDEX('FEOR kodok'!$A$2:$J$1126,MATCH(Bérköltség!AB160,'FEOR kodok'!$B$2:$B$1126,0),8),"NA")</f>
        <v>2910</v>
      </c>
      <c r="I160" s="269">
        <f>IFERROR(INDEX('FEOR kodok'!$A$2:$J$1126,MATCH(Bérköltség!AB160,'FEOR kodok'!$B$2:$B$1126,0),10),"NA")</f>
        <v>39</v>
      </c>
      <c r="J160" s="276" t="str">
        <f t="shared" si="325"/>
        <v>30–39 éves</v>
      </c>
      <c r="K160" s="269" t="str">
        <f>IFERROR(INDEX(admin_feor[#All],MATCH(Bérköltség!H160,admin_feor[[#All],[Foglalkozás]],0),2),"NA")</f>
        <v>Egyéb magasan képzett ügyintéző</v>
      </c>
      <c r="L160" s="270">
        <f>IFERROR(
INDEX('Admin - FEOR'!$A$4:$F$465,MATCH(Bérköltség!H160,'Admin - FEOR'!$A$4:$A$465,0),
IF(J160="30 év alatt",3,
IF(J160="30–39 éves",4,
IF(J160="40–49 éves",5,
IF(J160="50 év és afelett",6
)))))*1,"NA")</f>
        <v>652117</v>
      </c>
      <c r="M160" s="270">
        <f t="shared" si="326"/>
        <v>535000</v>
      </c>
      <c r="N160" s="318">
        <f t="shared" si="327"/>
        <v>0.82040492733665893</v>
      </c>
      <c r="O160" s="270">
        <f>IFERROR(
INDEX('Admin - FEOR'!$A$4:$F$465,MATCH(Bérköltség!H160,'Admin - FEOR'!$A$4:$A$465,0),
IF(J160="30 év alatt",3,
IF(J160="30–39 éves",4,
IF(J160="40–49 éves",5,
IF(J160="50 év és afelett",6
)))))*1.5,"NA")</f>
        <v>978175.5</v>
      </c>
      <c r="P160" s="270">
        <f t="shared" si="328"/>
        <v>146164.1551724138</v>
      </c>
      <c r="Q160" s="270">
        <f t="shared" si="329"/>
        <v>79943</v>
      </c>
      <c r="R160" s="275">
        <f t="shared" si="330"/>
        <v>0.14942528735632185</v>
      </c>
      <c r="S160" s="270">
        <f t="shared" si="331"/>
        <v>0</v>
      </c>
      <c r="T160" s="270">
        <f t="shared" si="332"/>
        <v>0</v>
      </c>
      <c r="U160" s="271">
        <f t="shared" si="333"/>
        <v>0</v>
      </c>
      <c r="V160" s="272">
        <f t="shared" si="334"/>
        <v>90336</v>
      </c>
      <c r="W160" s="273" t="str">
        <f t="shared" si="335"/>
        <v>Nem szükséges indoklás.</v>
      </c>
      <c r="X160" s="372">
        <f t="shared" si="336"/>
        <v>0</v>
      </c>
      <c r="Y160" s="317">
        <f t="shared" si="337"/>
        <v>79943</v>
      </c>
      <c r="Z160" s="317">
        <f t="shared" si="338"/>
        <v>10393</v>
      </c>
      <c r="AA160" s="12">
        <v>2</v>
      </c>
      <c r="AB160" s="274">
        <v>8430140549</v>
      </c>
      <c r="AC160" s="40" t="s">
        <v>212</v>
      </c>
      <c r="AD160" s="82" t="s">
        <v>75</v>
      </c>
      <c r="AE160" s="41" t="s">
        <v>54</v>
      </c>
      <c r="AF160" s="11" t="s">
        <v>159</v>
      </c>
      <c r="AG160" s="11" t="s">
        <v>166</v>
      </c>
      <c r="AH160" s="14" t="s">
        <v>122</v>
      </c>
      <c r="AI160" s="86" t="s">
        <v>25</v>
      </c>
      <c r="AJ160" s="113" t="str">
        <f>IF(COUNTIFS(Admin!$A$29:$A$40,AI160)&gt;0,Admin!$A$28,IF(COUNTIFS(Admin!$B$29:$B$40,AI160)&gt;0,Admin!$B$28,IF(COUNTIFS(Admin!$C$29:$C$40,AI160)&gt;0,Admin!$C$28,IF(COUNTIFS(Admin!$D$29:$D$40,AI160)&gt;0,Admin!$D$28,"-"))))</f>
        <v>2. mérföldkő</v>
      </c>
      <c r="AK160" s="14" t="s">
        <v>7</v>
      </c>
      <c r="AL160" s="9" t="s">
        <v>56</v>
      </c>
      <c r="AM160" s="131">
        <v>535000</v>
      </c>
      <c r="AN160" s="132">
        <f t="shared" si="368"/>
        <v>69550</v>
      </c>
      <c r="AO160" s="121">
        <v>174</v>
      </c>
      <c r="AP160" s="121">
        <v>26</v>
      </c>
      <c r="AQ160" s="354">
        <f t="shared" si="402"/>
        <v>0.14942528735632185</v>
      </c>
      <c r="AR160" s="133">
        <f t="shared" si="214"/>
        <v>79943</v>
      </c>
      <c r="AS160" s="133">
        <f t="shared" si="403"/>
        <v>10393</v>
      </c>
      <c r="AT160" s="123">
        <f t="shared" si="404"/>
        <v>-8.8086797722652932E-7</v>
      </c>
      <c r="AU160" s="124">
        <v>0.13</v>
      </c>
      <c r="AV160" s="394" t="s">
        <v>2770</v>
      </c>
      <c r="AW160" s="15">
        <v>44858</v>
      </c>
      <c r="AX160" s="12" t="s">
        <v>206</v>
      </c>
      <c r="AZ160" s="1" t="s">
        <v>2667</v>
      </c>
      <c r="BA160" s="1" t="s">
        <v>2667</v>
      </c>
      <c r="BB160" s="1" t="s">
        <v>2667</v>
      </c>
      <c r="BC160" s="1" t="s">
        <v>2827</v>
      </c>
      <c r="BD160" s="1" t="str">
        <f t="shared" si="405"/>
        <v>Segédszemélyzet_NK_2 - Segédszemélyzet</v>
      </c>
    </row>
    <row r="161" spans="1:56" s="1" customFormat="1" hidden="1" x14ac:dyDescent="0.25">
      <c r="A161" s="264" t="str">
        <f>Bérköltség!$B161</f>
        <v>FEOR</v>
      </c>
      <c r="B161" s="264" t="str">
        <f>IFERROR(
IF(AND(Bérköltség!$F161="",H161="NA"),"HIÁNYOS ADATOK",
IF(Bérköltség!$F161&lt;Bérköltség!$U161,Admin!$B$18,Admin!$B$17)),
"")</f>
        <v>FEOR</v>
      </c>
      <c r="C161" s="265">
        <f>IFERROR(INDEX('Historikus berek_2021-2'!$A$1:$F$903,MATCH(AB161,'Historikus berek_2021-2'!$A$1:$A$903,0),4),"")</f>
        <v>126533.33333333333</v>
      </c>
      <c r="D161" s="279">
        <f t="shared" si="321"/>
        <v>18907.279693486591</v>
      </c>
      <c r="E161" s="265">
        <f t="shared" si="322"/>
        <v>79943</v>
      </c>
      <c r="F161" s="266">
        <f t="shared" si="323"/>
        <v>68970.363946360158</v>
      </c>
      <c r="G161" s="267">
        <f t="shared" si="324"/>
        <v>21365.226053639839</v>
      </c>
      <c r="H161" s="268">
        <f>IFERROR(INDEX('FEOR kodok'!$A$2:$J$1126,MATCH(Bérköltség!AB161,'FEOR kodok'!$B$2:$B$1126,0),8),"NA")</f>
        <v>2910</v>
      </c>
      <c r="I161" s="269">
        <f>IFERROR(INDEX('FEOR kodok'!$A$2:$J$1126,MATCH(Bérköltség!AB161,'FEOR kodok'!$B$2:$B$1126,0),10),"NA")</f>
        <v>39</v>
      </c>
      <c r="J161" s="276" t="str">
        <f t="shared" si="325"/>
        <v>30–39 éves</v>
      </c>
      <c r="K161" s="269" t="str">
        <f>IFERROR(INDEX(admin_feor[#All],MATCH(Bérköltség!H161,admin_feor[[#All],[Foglalkozás]],0),2),"NA")</f>
        <v>Egyéb magasan képzett ügyintéző</v>
      </c>
      <c r="L161" s="270">
        <f>IFERROR(
INDEX('Admin - FEOR'!$A$4:$F$465,MATCH(Bérköltség!H161,'Admin - FEOR'!$A$4:$A$465,0),
IF(J161="30 év alatt",3,
IF(J161="30–39 éves",4,
IF(J161="40–49 éves",5,
IF(J161="50 év és afelett",6
)))))*1,"NA")</f>
        <v>652117</v>
      </c>
      <c r="M161" s="270">
        <f t="shared" si="326"/>
        <v>535000</v>
      </c>
      <c r="N161" s="318">
        <f t="shared" si="327"/>
        <v>0.82040492733665893</v>
      </c>
      <c r="O161" s="270">
        <f>IFERROR(
INDEX('Admin - FEOR'!$A$4:$F$465,MATCH(Bérköltség!H161,'Admin - FEOR'!$A$4:$A$465,0),
IF(J161="30 év alatt",3,
IF(J161="30–39 éves",4,
IF(J161="40–49 éves",5,
IF(J161="50 év és afelett",6
)))))*1.5,"NA")</f>
        <v>978175.5</v>
      </c>
      <c r="P161" s="270">
        <f t="shared" si="328"/>
        <v>146164.1551724138</v>
      </c>
      <c r="Q161" s="270">
        <f t="shared" si="329"/>
        <v>79943</v>
      </c>
      <c r="R161" s="275">
        <f t="shared" si="330"/>
        <v>0.14942528735632185</v>
      </c>
      <c r="S161" s="270">
        <f t="shared" si="331"/>
        <v>0</v>
      </c>
      <c r="T161" s="270">
        <f t="shared" si="332"/>
        <v>0</v>
      </c>
      <c r="U161" s="271">
        <f t="shared" si="333"/>
        <v>0</v>
      </c>
      <c r="V161" s="272">
        <f t="shared" si="334"/>
        <v>90336</v>
      </c>
      <c r="W161" s="273" t="str">
        <f t="shared" si="335"/>
        <v>Nem szükséges indoklás.</v>
      </c>
      <c r="X161" s="372">
        <f t="shared" si="336"/>
        <v>0</v>
      </c>
      <c r="Y161" s="317">
        <f t="shared" si="337"/>
        <v>79943</v>
      </c>
      <c r="Z161" s="317">
        <f t="shared" si="338"/>
        <v>10393</v>
      </c>
      <c r="AA161" s="12">
        <v>2</v>
      </c>
      <c r="AB161" s="274">
        <v>8430140549</v>
      </c>
      <c r="AC161" s="40" t="s">
        <v>212</v>
      </c>
      <c r="AD161" s="82" t="s">
        <v>75</v>
      </c>
      <c r="AE161" s="41" t="s">
        <v>54</v>
      </c>
      <c r="AF161" s="11" t="s">
        <v>159</v>
      </c>
      <c r="AG161" s="11" t="s">
        <v>166</v>
      </c>
      <c r="AH161" s="14" t="s">
        <v>122</v>
      </c>
      <c r="AI161" s="86" t="s">
        <v>26</v>
      </c>
      <c r="AJ161" s="113" t="str">
        <f>IF(COUNTIFS(Admin!$A$29:$A$40,AI161)&gt;0,Admin!$A$28,IF(COUNTIFS(Admin!$B$29:$B$40,AI161)&gt;0,Admin!$B$28,IF(COUNTIFS(Admin!$C$29:$C$40,AI161)&gt;0,Admin!$C$28,IF(COUNTIFS(Admin!$D$29:$D$40,AI161)&gt;0,Admin!$D$28,"-"))))</f>
        <v>2. mérföldkő</v>
      </c>
      <c r="AK161" s="14" t="s">
        <v>7</v>
      </c>
      <c r="AL161" s="9" t="s">
        <v>56</v>
      </c>
      <c r="AM161" s="131">
        <v>535000</v>
      </c>
      <c r="AN161" s="132">
        <f t="shared" si="368"/>
        <v>69550</v>
      </c>
      <c r="AO161" s="121">
        <v>174</v>
      </c>
      <c r="AP161" s="121">
        <v>26</v>
      </c>
      <c r="AQ161" s="354">
        <f t="shared" si="402"/>
        <v>0.14942528735632185</v>
      </c>
      <c r="AR161" s="133">
        <f t="shared" si="214"/>
        <v>79943</v>
      </c>
      <c r="AS161" s="133">
        <f t="shared" si="403"/>
        <v>10393</v>
      </c>
      <c r="AT161" s="123">
        <f t="shared" si="404"/>
        <v>-8.8086797722652932E-7</v>
      </c>
      <c r="AU161" s="124">
        <v>0.13</v>
      </c>
      <c r="AV161" s="394" t="s">
        <v>2770</v>
      </c>
      <c r="AW161" s="15">
        <v>44858</v>
      </c>
      <c r="AX161" s="12" t="s">
        <v>206</v>
      </c>
      <c r="AZ161" s="1" t="s">
        <v>2667</v>
      </c>
      <c r="BA161" s="1" t="s">
        <v>2667</v>
      </c>
      <c r="BB161" s="1" t="s">
        <v>2667</v>
      </c>
      <c r="BC161" s="1" t="s">
        <v>2827</v>
      </c>
      <c r="BD161" s="1" t="str">
        <f t="shared" si="405"/>
        <v>Segédszemélyzet_NK_2 - Segédszemélyzet</v>
      </c>
    </row>
    <row r="162" spans="1:56" s="1" customFormat="1" hidden="1" x14ac:dyDescent="0.25">
      <c r="A162" s="264" t="str">
        <f>Bérköltség!$B162</f>
        <v>FEOR</v>
      </c>
      <c r="B162" s="264" t="str">
        <f>IFERROR(
IF(AND(Bérköltség!$F162="",H162="NA"),"HIÁNYOS ADATOK",
IF(Bérköltség!$F162&lt;Bérköltség!$U162,Admin!$B$18,Admin!$B$17)),
"")</f>
        <v>FEOR</v>
      </c>
      <c r="C162" s="265">
        <f>IFERROR(INDEX('Historikus berek_2021-2'!$A$1:$F$903,MATCH(AB162,'Historikus berek_2021-2'!$A$1:$A$903,0),4),"")</f>
        <v>126533.33333333333</v>
      </c>
      <c r="D162" s="279">
        <f t="shared" si="321"/>
        <v>18907.279693486591</v>
      </c>
      <c r="E162" s="265">
        <f t="shared" si="322"/>
        <v>75833</v>
      </c>
      <c r="F162" s="266">
        <f t="shared" si="323"/>
        <v>64326.063946360147</v>
      </c>
      <c r="G162" s="267">
        <f t="shared" si="324"/>
        <v>21365.226053639846</v>
      </c>
      <c r="H162" s="268">
        <f>IFERROR(INDEX('FEOR kodok'!$A$2:$J$1126,MATCH(Bérköltség!AB162,'FEOR kodok'!$B$2:$B$1126,0),8),"NA")</f>
        <v>2910</v>
      </c>
      <c r="I162" s="269">
        <f>IFERROR(INDEX('FEOR kodok'!$A$2:$J$1126,MATCH(Bérköltség!AB162,'FEOR kodok'!$B$2:$B$1126,0),10),"NA")</f>
        <v>39</v>
      </c>
      <c r="J162" s="276" t="str">
        <f t="shared" si="325"/>
        <v>30–39 éves</v>
      </c>
      <c r="K162" s="269" t="str">
        <f>IFERROR(INDEX(admin_feor[#All],MATCH(Bérköltség!H162,admin_feor[[#All],[Foglalkozás]],0),2),"NA")</f>
        <v>Egyéb magasan képzett ügyintéző</v>
      </c>
      <c r="L162" s="270">
        <f>IFERROR(
INDEX('Admin - FEOR'!$A$4:$F$465,MATCH(Bérköltség!H162,'Admin - FEOR'!$A$4:$A$465,0),
IF(J162="30 év alatt",3,
IF(J162="30–39 éves",4,
IF(J162="40–49 éves",5,
IF(J162="50 év és afelett",6
)))))*1,"NA")</f>
        <v>652117</v>
      </c>
      <c r="M162" s="270">
        <f t="shared" si="326"/>
        <v>535000</v>
      </c>
      <c r="N162" s="318">
        <f t="shared" si="327"/>
        <v>0.82040492733665893</v>
      </c>
      <c r="O162" s="270">
        <f>IFERROR(
INDEX('Admin - FEOR'!$A$4:$F$465,MATCH(Bérköltség!H162,'Admin - FEOR'!$A$4:$A$465,0),
IF(J162="30 év alatt",3,
IF(J162="30–39 éves",4,
IF(J162="40–49 éves",5,
IF(J162="50 év és afelett",6
)))))*1.5,"NA")</f>
        <v>978175.5</v>
      </c>
      <c r="P162" s="270">
        <f t="shared" si="328"/>
        <v>146164.1551724138</v>
      </c>
      <c r="Q162" s="270">
        <f t="shared" si="329"/>
        <v>75833</v>
      </c>
      <c r="R162" s="275">
        <f t="shared" si="330"/>
        <v>0.14942528735632185</v>
      </c>
      <c r="S162" s="270">
        <f t="shared" si="331"/>
        <v>0</v>
      </c>
      <c r="T162" s="270">
        <f t="shared" si="332"/>
        <v>0</v>
      </c>
      <c r="U162" s="271">
        <f t="shared" si="333"/>
        <v>0</v>
      </c>
      <c r="V162" s="272">
        <f t="shared" si="334"/>
        <v>85691</v>
      </c>
      <c r="W162" s="273" t="str">
        <f t="shared" si="335"/>
        <v>Nem szükséges indoklás.</v>
      </c>
      <c r="X162" s="372">
        <f t="shared" si="336"/>
        <v>0</v>
      </c>
      <c r="Y162" s="317">
        <f t="shared" si="337"/>
        <v>75833</v>
      </c>
      <c r="Z162" s="317">
        <f t="shared" si="338"/>
        <v>9858</v>
      </c>
      <c r="AA162" s="12">
        <v>2</v>
      </c>
      <c r="AB162" s="274">
        <v>8430140549</v>
      </c>
      <c r="AC162" s="40" t="s">
        <v>212</v>
      </c>
      <c r="AD162" s="82" t="s">
        <v>75</v>
      </c>
      <c r="AE162" s="41" t="s">
        <v>54</v>
      </c>
      <c r="AF162" s="11" t="s">
        <v>159</v>
      </c>
      <c r="AG162" s="11" t="s">
        <v>166</v>
      </c>
      <c r="AH162" s="14" t="s">
        <v>122</v>
      </c>
      <c r="AI162" s="86" t="s">
        <v>32</v>
      </c>
      <c r="AJ162" s="113" t="str">
        <f>IF(COUNTIFS(Admin!$A$29:$A$40,AI162)&gt;0,Admin!$A$28,IF(COUNTIFS(Admin!$B$29:$B$40,AI162)&gt;0,Admin!$B$28,IF(COUNTIFS(Admin!$C$29:$C$40,AI162)&gt;0,Admin!$C$28,IF(COUNTIFS(Admin!$D$29:$D$40,AI162)&gt;0,Admin!$D$28,"-"))))</f>
        <v>2. mérföldkő</v>
      </c>
      <c r="AK162" s="14" t="s">
        <v>7</v>
      </c>
      <c r="AL162" s="9" t="s">
        <v>56</v>
      </c>
      <c r="AM162" s="131">
        <v>535000</v>
      </c>
      <c r="AN162" s="132">
        <f t="shared" si="368"/>
        <v>69550</v>
      </c>
      <c r="AO162" s="121">
        <v>174</v>
      </c>
      <c r="AP162" s="121">
        <v>26</v>
      </c>
      <c r="AQ162" s="354">
        <f t="shared" si="402"/>
        <v>0.14942528735632185</v>
      </c>
      <c r="AR162" s="133">
        <v>75833</v>
      </c>
      <c r="AS162" s="133">
        <f t="shared" si="403"/>
        <v>9858</v>
      </c>
      <c r="AT162" s="123">
        <f t="shared" si="404"/>
        <v>7.6813621226770046E-3</v>
      </c>
      <c r="AU162" s="124">
        <v>0.13</v>
      </c>
      <c r="AV162" s="394" t="s">
        <v>2770</v>
      </c>
      <c r="AW162" s="15">
        <v>44936</v>
      </c>
      <c r="AX162" s="12" t="s">
        <v>206</v>
      </c>
      <c r="AZ162" s="1" t="s">
        <v>2667</v>
      </c>
      <c r="BA162" s="1">
        <v>0</v>
      </c>
      <c r="BB162" s="1">
        <v>0</v>
      </c>
      <c r="BC162" s="1" t="s">
        <v>2827</v>
      </c>
      <c r="BD162" s="1" t="str">
        <f t="shared" si="405"/>
        <v>Segédszemélyzet_NK_2 - Segédszemélyzet</v>
      </c>
    </row>
    <row r="163" spans="1:56" s="1" customFormat="1" hidden="1" x14ac:dyDescent="0.25">
      <c r="A163" s="264" t="str">
        <f>Bérköltség!$B163</f>
        <v>FEOR</v>
      </c>
      <c r="B163" s="264" t="str">
        <f>IFERROR(
IF(AND(Bérköltség!$F163="",H163="NA"),"HIÁNYOS ADATOK",
IF(Bérköltség!$F163&lt;Bérköltség!$U163,Admin!$B$18,Admin!$B$17)),
"")</f>
        <v>FEOR</v>
      </c>
      <c r="C163" s="265">
        <f>IFERROR(INDEX('Historikus berek_2021-2'!$A$1:$F$903,MATCH(AB163,'Historikus berek_2021-2'!$A$1:$A$903,0),4),"")</f>
        <v>126533.33333333333</v>
      </c>
      <c r="D163" s="279">
        <f t="shared" si="321"/>
        <v>18907.279693486591</v>
      </c>
      <c r="E163" s="265">
        <f t="shared" si="322"/>
        <v>75833</v>
      </c>
      <c r="F163" s="266">
        <f t="shared" si="323"/>
        <v>64326.063946360147</v>
      </c>
      <c r="G163" s="267">
        <f t="shared" si="324"/>
        <v>21365.226053639846</v>
      </c>
      <c r="H163" s="268">
        <f>IFERROR(INDEX('FEOR kodok'!$A$2:$J$1126,MATCH(Bérköltség!AB163,'FEOR kodok'!$B$2:$B$1126,0),8),"NA")</f>
        <v>2910</v>
      </c>
      <c r="I163" s="269">
        <f>IFERROR(INDEX('FEOR kodok'!$A$2:$J$1126,MATCH(Bérköltség!AB163,'FEOR kodok'!$B$2:$B$1126,0),10),"NA")</f>
        <v>39</v>
      </c>
      <c r="J163" s="276" t="str">
        <f t="shared" si="325"/>
        <v>30–39 éves</v>
      </c>
      <c r="K163" s="269" t="str">
        <f>IFERROR(INDEX(admin_feor[#All],MATCH(Bérköltség!H163,admin_feor[[#All],[Foglalkozás]],0),2),"NA")</f>
        <v>Egyéb magasan képzett ügyintéző</v>
      </c>
      <c r="L163" s="270">
        <f>IFERROR(
INDEX('Admin - FEOR'!$A$4:$F$465,MATCH(Bérköltség!H163,'Admin - FEOR'!$A$4:$A$465,0),
IF(J163="30 év alatt",3,
IF(J163="30–39 éves",4,
IF(J163="40–49 éves",5,
IF(J163="50 év és afelett",6
)))))*1,"NA")</f>
        <v>652117</v>
      </c>
      <c r="M163" s="270">
        <f t="shared" si="326"/>
        <v>535000</v>
      </c>
      <c r="N163" s="318">
        <f t="shared" si="327"/>
        <v>0.82040492733665893</v>
      </c>
      <c r="O163" s="270">
        <f>IFERROR(
INDEX('Admin - FEOR'!$A$4:$F$465,MATCH(Bérköltség!H163,'Admin - FEOR'!$A$4:$A$465,0),
IF(J163="30 év alatt",3,
IF(J163="30–39 éves",4,
IF(J163="40–49 éves",5,
IF(J163="50 év és afelett",6
)))))*1.5,"NA")</f>
        <v>978175.5</v>
      </c>
      <c r="P163" s="270">
        <f t="shared" si="328"/>
        <v>146164.1551724138</v>
      </c>
      <c r="Q163" s="270">
        <f t="shared" si="329"/>
        <v>75833</v>
      </c>
      <c r="R163" s="275">
        <f t="shared" si="330"/>
        <v>0.14942528735632185</v>
      </c>
      <c r="S163" s="270">
        <f t="shared" si="331"/>
        <v>0</v>
      </c>
      <c r="T163" s="270">
        <f t="shared" si="332"/>
        <v>0</v>
      </c>
      <c r="U163" s="271">
        <f t="shared" si="333"/>
        <v>0</v>
      </c>
      <c r="V163" s="272">
        <f t="shared" si="334"/>
        <v>85691</v>
      </c>
      <c r="W163" s="273" t="str">
        <f t="shared" si="335"/>
        <v>Nem szükséges indoklás.</v>
      </c>
      <c r="X163" s="372">
        <f t="shared" si="336"/>
        <v>0</v>
      </c>
      <c r="Y163" s="317">
        <f t="shared" si="337"/>
        <v>75833</v>
      </c>
      <c r="Z163" s="317">
        <f t="shared" si="338"/>
        <v>9858</v>
      </c>
      <c r="AA163" s="12">
        <v>2</v>
      </c>
      <c r="AB163" s="274">
        <v>8430140549</v>
      </c>
      <c r="AC163" s="40" t="s">
        <v>212</v>
      </c>
      <c r="AD163" s="82" t="s">
        <v>75</v>
      </c>
      <c r="AE163" s="41" t="s">
        <v>54</v>
      </c>
      <c r="AF163" s="11" t="s">
        <v>159</v>
      </c>
      <c r="AG163" s="11" t="s">
        <v>166</v>
      </c>
      <c r="AH163" s="14" t="s">
        <v>122</v>
      </c>
      <c r="AI163" s="86" t="s">
        <v>33</v>
      </c>
      <c r="AJ163" s="113" t="str">
        <f>IF(COUNTIFS(Admin!$A$29:$A$40,AI163)&gt;0,Admin!$A$28,IF(COUNTIFS(Admin!$B$29:$B$40,AI163)&gt;0,Admin!$B$28,IF(COUNTIFS(Admin!$C$29:$C$40,AI163)&gt;0,Admin!$C$28,IF(COUNTIFS(Admin!$D$29:$D$40,AI163)&gt;0,Admin!$D$28,"-"))))</f>
        <v>2. mérföldkő</v>
      </c>
      <c r="AK163" s="14" t="s">
        <v>7</v>
      </c>
      <c r="AL163" s="9" t="s">
        <v>56</v>
      </c>
      <c r="AM163" s="131">
        <v>535000</v>
      </c>
      <c r="AN163" s="132">
        <f t="shared" si="368"/>
        <v>69550</v>
      </c>
      <c r="AO163" s="121">
        <v>174</v>
      </c>
      <c r="AP163" s="121">
        <v>26</v>
      </c>
      <c r="AQ163" s="354">
        <f t="shared" si="402"/>
        <v>0.14942528735632185</v>
      </c>
      <c r="AR163" s="133">
        <v>75833</v>
      </c>
      <c r="AS163" s="133">
        <f t="shared" si="403"/>
        <v>9858</v>
      </c>
      <c r="AT163" s="123">
        <f t="shared" si="404"/>
        <v>7.6813621226770046E-3</v>
      </c>
      <c r="AU163" s="124">
        <v>0.13</v>
      </c>
      <c r="AV163" s="394" t="s">
        <v>2770</v>
      </c>
      <c r="AW163" s="15">
        <v>44936</v>
      </c>
      <c r="AX163" s="12" t="s">
        <v>206</v>
      </c>
      <c r="AZ163" s="8" t="str">
        <f>IF(VLOOKUP(LEFT($AB163,10),'Havi béradatok'!$B:$E,2,FALSE)=AG163,"EGYEZIK","HIBÁS")</f>
        <v>EGYEZIK</v>
      </c>
      <c r="BA163" s="1">
        <f>VLOOKUP(LEFT($AB163,10),'Havi béradatok'!$B:$E,3,FALSE)-AM163</f>
        <v>0</v>
      </c>
      <c r="BB163" s="1">
        <f>VLOOKUP(LEFT($AB163,10),'Havi béradatok'!$B:$E,4,FALSE)-AN163</f>
        <v>55640</v>
      </c>
      <c r="BC163" s="1" t="s">
        <v>2827</v>
      </c>
      <c r="BD163" s="1" t="str">
        <f t="shared" si="405"/>
        <v>Segédszemélyzet_NK_2 - Segédszemélyzet</v>
      </c>
    </row>
    <row r="164" spans="1:56" s="1" customFormat="1" hidden="1" x14ac:dyDescent="0.25">
      <c r="A164" s="264" t="str">
        <f>Bérköltség!$B164</f>
        <v>FEOR</v>
      </c>
      <c r="B164" s="264" t="str">
        <f>IFERROR(
IF(AND(Bérköltség!$F164="",H164="NA"),"HIÁNYOS ADATOK",
IF(Bérköltség!$F164&lt;Bérköltség!$U164,Admin!$B$18,Admin!$B$17)),
"")</f>
        <v>FEOR</v>
      </c>
      <c r="C164" s="265">
        <f>IFERROR(INDEX('Historikus berek_2021-2'!$A$1:$F$903,MATCH(AB164,'Historikus berek_2021-2'!$A$1:$A$903,0),4),"")</f>
        <v>126533.33333333333</v>
      </c>
      <c r="D164" s="279">
        <f t="shared" si="321"/>
        <v>18907.279693486591</v>
      </c>
      <c r="E164" s="265">
        <f t="shared" si="322"/>
        <v>75833</v>
      </c>
      <c r="F164" s="266">
        <f t="shared" si="323"/>
        <v>64326.063946360147</v>
      </c>
      <c r="G164" s="267">
        <f t="shared" si="324"/>
        <v>21365.226053639846</v>
      </c>
      <c r="H164" s="268">
        <f>IFERROR(INDEX('FEOR kodok'!$A$2:$J$1126,MATCH(Bérköltség!AB164,'FEOR kodok'!$B$2:$B$1126,0),8),"NA")</f>
        <v>2910</v>
      </c>
      <c r="I164" s="269">
        <f>IFERROR(INDEX('FEOR kodok'!$A$2:$J$1126,MATCH(Bérköltség!AB164,'FEOR kodok'!$B$2:$B$1126,0),10),"NA")</f>
        <v>39</v>
      </c>
      <c r="J164" s="276" t="str">
        <f t="shared" si="325"/>
        <v>30–39 éves</v>
      </c>
      <c r="K164" s="269" t="str">
        <f>IFERROR(INDEX(admin_feor[#All],MATCH(Bérköltség!H164,admin_feor[[#All],[Foglalkozás]],0),2),"NA")</f>
        <v>Egyéb magasan képzett ügyintéző</v>
      </c>
      <c r="L164" s="270">
        <f>IFERROR(
INDEX('Admin - FEOR'!$A$4:$F$465,MATCH(Bérköltség!H164,'Admin - FEOR'!$A$4:$A$465,0),
IF(J164="30 év alatt",3,
IF(J164="30–39 éves",4,
IF(J164="40–49 éves",5,
IF(J164="50 év és afelett",6
)))))*1,"NA")</f>
        <v>652117</v>
      </c>
      <c r="M164" s="270">
        <f t="shared" si="326"/>
        <v>535000</v>
      </c>
      <c r="N164" s="318">
        <f t="shared" si="327"/>
        <v>0.82040492733665893</v>
      </c>
      <c r="O164" s="270">
        <f>IFERROR(
INDEX('Admin - FEOR'!$A$4:$F$465,MATCH(Bérköltség!H164,'Admin - FEOR'!$A$4:$A$465,0),
IF(J164="30 év alatt",3,
IF(J164="30–39 éves",4,
IF(J164="40–49 éves",5,
IF(J164="50 év és afelett",6
)))))*1.5,"NA")</f>
        <v>978175.5</v>
      </c>
      <c r="P164" s="270">
        <f t="shared" si="328"/>
        <v>146164.1551724138</v>
      </c>
      <c r="Q164" s="270">
        <f t="shared" si="329"/>
        <v>75833</v>
      </c>
      <c r="R164" s="275">
        <f t="shared" si="330"/>
        <v>0.14942528735632185</v>
      </c>
      <c r="S164" s="270">
        <f t="shared" si="331"/>
        <v>0</v>
      </c>
      <c r="T164" s="270">
        <f t="shared" si="332"/>
        <v>0</v>
      </c>
      <c r="U164" s="271">
        <f t="shared" si="333"/>
        <v>0</v>
      </c>
      <c r="V164" s="272">
        <f t="shared" si="334"/>
        <v>85691</v>
      </c>
      <c r="W164" s="273" t="str">
        <f t="shared" si="335"/>
        <v>Nem szükséges indoklás.</v>
      </c>
      <c r="X164" s="372">
        <f t="shared" si="336"/>
        <v>0</v>
      </c>
      <c r="Y164" s="317">
        <f t="shared" si="337"/>
        <v>75833</v>
      </c>
      <c r="Z164" s="317">
        <f t="shared" si="338"/>
        <v>9858</v>
      </c>
      <c r="AA164" s="12">
        <v>2</v>
      </c>
      <c r="AB164" s="274">
        <v>8430140549</v>
      </c>
      <c r="AC164" s="40" t="s">
        <v>212</v>
      </c>
      <c r="AD164" s="82" t="s">
        <v>75</v>
      </c>
      <c r="AE164" s="41" t="s">
        <v>54</v>
      </c>
      <c r="AF164" s="11" t="s">
        <v>159</v>
      </c>
      <c r="AG164" s="11" t="s">
        <v>166</v>
      </c>
      <c r="AH164" s="14" t="s">
        <v>122</v>
      </c>
      <c r="AI164" s="86" t="s">
        <v>34</v>
      </c>
      <c r="AJ164" s="113" t="str">
        <f>IF(COUNTIFS(Admin!$A$29:$A$40,AI164)&gt;0,Admin!$A$28,IF(COUNTIFS(Admin!$B$29:$B$40,AI164)&gt;0,Admin!$B$28,IF(COUNTIFS(Admin!$C$29:$C$40,AI164)&gt;0,Admin!$C$28,IF(COUNTIFS(Admin!$D$29:$D$40,AI164)&gt;0,Admin!$D$28,"-"))))</f>
        <v>2. mérföldkő</v>
      </c>
      <c r="AK164" s="14" t="s">
        <v>7</v>
      </c>
      <c r="AL164" s="9" t="s">
        <v>56</v>
      </c>
      <c r="AM164" s="131">
        <v>535000</v>
      </c>
      <c r="AN164" s="132">
        <f t="shared" si="368"/>
        <v>69550</v>
      </c>
      <c r="AO164" s="121">
        <v>174</v>
      </c>
      <c r="AP164" s="121">
        <v>26</v>
      </c>
      <c r="AQ164" s="354">
        <f t="shared" si="402"/>
        <v>0.14942528735632185</v>
      </c>
      <c r="AR164" s="133">
        <v>75833</v>
      </c>
      <c r="AS164" s="133">
        <f t="shared" si="403"/>
        <v>9858</v>
      </c>
      <c r="AT164" s="123">
        <f t="shared" si="404"/>
        <v>7.6813621226770046E-3</v>
      </c>
      <c r="AU164" s="124">
        <v>0.13</v>
      </c>
      <c r="AV164" s="394" t="s">
        <v>2770</v>
      </c>
      <c r="AW164" s="15">
        <v>44936</v>
      </c>
      <c r="AX164" s="12" t="s">
        <v>206</v>
      </c>
      <c r="BC164" s="1" t="s">
        <v>2827</v>
      </c>
      <c r="BD164" s="1" t="str">
        <f t="shared" si="405"/>
        <v>Segédszemélyzet_NK_2 - Segédszemélyzet</v>
      </c>
    </row>
    <row r="165" spans="1:56" s="1" customFormat="1" x14ac:dyDescent="0.25">
      <c r="A165" s="264" t="str">
        <f>Bérköltség!$B165</f>
        <v>FEOR</v>
      </c>
      <c r="B165" s="264" t="str">
        <f>IFERROR(
IF(AND(Bérköltség!$F165="",H165="NA"),"HIÁNYOS ADATOK",
IF(Bérköltség!$F165&lt;Bérköltség!$U165,Admin!$B$18,Admin!$B$17)),
"")</f>
        <v>FEOR</v>
      </c>
      <c r="C165" s="265">
        <f>IFERROR(INDEX('Historikus berek_2021-2'!$A$1:$F$903,MATCH(AB165,'Historikus berek_2021-2'!$A$1:$A$903,0),4),"")</f>
        <v>126533.33333333333</v>
      </c>
      <c r="D165" s="279">
        <f t="shared" ref="D165:D167" si="406">IFERROR(C165*AQ165,"")</f>
        <v>18180.07662835249</v>
      </c>
      <c r="E165" s="265">
        <f t="shared" ref="E165:E167" si="407">AR165</f>
        <v>76868</v>
      </c>
      <c r="F165" s="266">
        <f t="shared" ref="F165:F167" si="408">IFERROR(IF((E165*(1+AU165)-D165*(1+AU165))&lt;0,0,(E165*(1+AU165)-D165*(1+AU165))),"")</f>
        <v>66317.353409961681</v>
      </c>
      <c r="G165" s="267">
        <f t="shared" ref="G165:G167" si="409">IFERROR((E165*(1+AU165)-F165),"")</f>
        <v>20543.486590038316</v>
      </c>
      <c r="H165" s="268">
        <f>IFERROR(INDEX('FEOR kodok'!$A$2:$J$1126,MATCH(Bérköltség!AB165,'FEOR kodok'!$B$2:$B$1126,0),8),"NA")</f>
        <v>2910</v>
      </c>
      <c r="I165" s="269">
        <f>IFERROR(INDEX('FEOR kodok'!$A$2:$J$1126,MATCH(Bérköltség!AB165,'FEOR kodok'!$B$2:$B$1126,0),10),"NA")</f>
        <v>39</v>
      </c>
      <c r="J165" s="276" t="str">
        <f t="shared" ref="J165:J167" si="410">IF(I165="NA","NA",
IF(I165&lt;30,"30 év alatt",
IF(AND(I165&gt;=30,I165&lt;=39),"30–39 éves",
IF(AND(I165&gt;=40,I165&lt;=49),"40–49 éves",
IF(I165&gt;=50,"50 év és afelett",
"")))))</f>
        <v>30–39 éves</v>
      </c>
      <c r="K165" s="269" t="str">
        <f>IFERROR(INDEX(admin_feor[#All],MATCH(Bérköltség!H165,admin_feor[[#All],[Foglalkozás]],0),2),"NA")</f>
        <v>Egyéb magasan képzett ügyintéző</v>
      </c>
      <c r="L165" s="270">
        <f>IFERROR(
INDEX('Admin - FEOR'!$A$4:$F$465,MATCH(Bérköltség!H165,'Admin - FEOR'!$A$4:$A$465,0),
IF(J165="30 év alatt",3,
IF(J165="30–39 éves",4,
IF(J165="40–49 éves",5,
IF(J165="50 év és afelett",6
)))))*1,"NA")</f>
        <v>652117</v>
      </c>
      <c r="M165" s="270">
        <f t="shared" ref="M165:M167" si="411">AM165</f>
        <v>535000</v>
      </c>
      <c r="N165" s="318">
        <f t="shared" ref="N165:N167" si="412">IFERROR(
M165/L165,"NA")</f>
        <v>0.82040492733665893</v>
      </c>
      <c r="O165" s="270">
        <f>IFERROR(
INDEX('Admin - FEOR'!$A$4:$F$465,MATCH(Bérköltség!H165,'Admin - FEOR'!$A$4:$A$465,0),
IF(J165="30 év alatt",3,
IF(J165="30–39 éves",4,
IF(J165="40–49 éves",5,
IF(J165="50 év és afelett",6
)))))*1.5,"NA")</f>
        <v>978175.5</v>
      </c>
      <c r="P165" s="270">
        <f t="shared" ref="P165:P167" si="413">IFERROR(
AQ165*O165,"NA")</f>
        <v>140542.45689655171</v>
      </c>
      <c r="Q165" s="270">
        <f t="shared" ref="Q165:Q167" si="414">IFERROR(AR165,"")</f>
        <v>76868</v>
      </c>
      <c r="R165" s="275">
        <f t="shared" ref="R165:R167" si="415">IFERROR(AQ165,"")</f>
        <v>0.14367816091954022</v>
      </c>
      <c r="S165" s="270">
        <f t="shared" ref="S165:S167" si="416">IFERROR(
IF(AR165-P165&lt;0,0,AR165-P165),"NA")</f>
        <v>0</v>
      </c>
      <c r="T165" s="270">
        <f t="shared" ref="T165:T167" si="417">IFERROR(
S165*AU165,"NA")</f>
        <v>0</v>
      </c>
      <c r="U165" s="271">
        <f t="shared" ref="U165:U167" si="418">IFERROR(
S165+T165,"NA")</f>
        <v>0</v>
      </c>
      <c r="V165" s="272">
        <f t="shared" ref="V165:V167" si="419">IFERROR(
IF(U165&gt;0,AR165+AS165-U165,AR165+AS165),"NA")</f>
        <v>86861</v>
      </c>
      <c r="W165" s="273" t="str">
        <f t="shared" ref="W165:W167" si="420">IF(P165="NA","FEOR hiányzik",
IF(AND(N165&gt;1,A165="FEOR"),CONCATENATE("Indoklás szükséges mivel a FEOR: ",ROUND(N165*100,1),"%"),"Nem szükséges indoklás.")
)</f>
        <v>Nem szükséges indoklás.</v>
      </c>
      <c r="X165" s="372">
        <f t="shared" ref="X165:X167" si="421">IF(A165="FEOR",U165,IF(A165="HIÁNYOS ADATOK","HIÁNYOS ADATOK",F165))</f>
        <v>0</v>
      </c>
      <c r="Y165" s="317">
        <f t="shared" ref="Y165:Y167" si="422">IF(A165="FEOR",ROUND((V165/(1+AU165)),0),IF(A165="HIÁNYOS ADATOK","HIÁNYOS ADATOK",ROUND(G165/(1+AU165),0)))</f>
        <v>76868</v>
      </c>
      <c r="Z165" s="317">
        <f t="shared" ref="Z165:Z167" si="423">IF(A165="FEOR",ROUND((V165-Y165),0),IF(A165="HIÁNYOS ADATOK","HIÁNYOS ADATOK",ROUND((G165-Y165),0)))</f>
        <v>9993</v>
      </c>
      <c r="AA165" s="36"/>
      <c r="AB165" s="274">
        <v>8430140549</v>
      </c>
      <c r="AC165" s="40" t="s">
        <v>212</v>
      </c>
      <c r="AD165" s="82" t="s">
        <v>75</v>
      </c>
      <c r="AE165" s="41" t="s">
        <v>54</v>
      </c>
      <c r="AF165" s="11" t="s">
        <v>159</v>
      </c>
      <c r="AG165" s="11" t="s">
        <v>166</v>
      </c>
      <c r="AH165" s="14" t="s">
        <v>122</v>
      </c>
      <c r="AI165" s="86" t="s">
        <v>35</v>
      </c>
      <c r="AJ165" s="113" t="str">
        <f>IF(COUNTIFS(Admin!$A$29:$A$40,AI165)&gt;0,Admin!$A$28,IF(COUNTIFS(Admin!$B$29:$B$40,AI165)&gt;0,Admin!$B$28,IF(COUNTIFS(Admin!$C$29:$C$40,AI165)&gt;0,Admin!$C$28,IF(COUNTIFS(Admin!$D$29:$D$40,AI165)&gt;0,Admin!$D$28,"-"))))</f>
        <v>3. mérföldkő</v>
      </c>
      <c r="AK165" s="14" t="s">
        <v>7</v>
      </c>
      <c r="AL165" s="9" t="s">
        <v>56</v>
      </c>
      <c r="AM165" s="131">
        <v>535000</v>
      </c>
      <c r="AN165" s="132">
        <f t="shared" ref="AN165" si="424">IFERROR(ROUND(AM165*AU165,0),"")</f>
        <v>69550</v>
      </c>
      <c r="AO165" s="121">
        <v>174</v>
      </c>
      <c r="AP165" s="121">
        <v>25</v>
      </c>
      <c r="AQ165" s="354">
        <f t="shared" ref="AQ165" si="425">IFERROR(AP165/AO165,"")</f>
        <v>0.14367816091954022</v>
      </c>
      <c r="AR165" s="133">
        <f t="shared" si="214"/>
        <v>76868</v>
      </c>
      <c r="AS165" s="133">
        <f t="shared" ref="AS165" si="426">IFERROR(ROUND(AR165*AU165,0),"")</f>
        <v>9993</v>
      </c>
      <c r="AT165" s="123">
        <f t="shared" ref="AT165" si="427">IFERROR(AP165/AO165-AR165/AM165,"")</f>
        <v>-3.4375335697389708E-7</v>
      </c>
      <c r="AU165" s="124">
        <v>0.13</v>
      </c>
      <c r="AV165" s="394" t="s">
        <v>2770</v>
      </c>
      <c r="AW165" s="15">
        <v>45002</v>
      </c>
      <c r="AX165" s="12" t="s">
        <v>206</v>
      </c>
      <c r="AZ165" s="1" t="str">
        <f>IF(VLOOKUP(LEFT($AB165,10),'Havi béradatok'!$B:$E,2,FALSE)=AG165,"EGYEZIK","HIBÁS")</f>
        <v>EGYEZIK</v>
      </c>
      <c r="BA165" s="1">
        <f>VLOOKUP(LEFT($AB165,10),'Havi béradatok'!$B:$E,3,FALSE)-AM165</f>
        <v>0</v>
      </c>
      <c r="BB165" s="391">
        <f>VLOOKUP(LEFT($AB165,10),'Havi béradatok'!$B:$E,4,FALSE)-AN165</f>
        <v>55640</v>
      </c>
      <c r="BC165" s="400" t="s">
        <v>2827</v>
      </c>
      <c r="BD165" s="400"/>
    </row>
    <row r="166" spans="1:56" s="1" customFormat="1" hidden="1" x14ac:dyDescent="0.25">
      <c r="A166" s="264" t="str">
        <f>Bérköltség!$B166</f>
        <v>FEOR</v>
      </c>
      <c r="B166" s="264" t="str">
        <f>IFERROR(
IF(AND(Bérköltség!$F166="",H166="NA"),"HIÁNYOS ADATOK",
IF(Bérköltség!$F166&lt;Bérköltség!$U166,Admin!$B$18,Admin!$B$17)),
"")</f>
        <v>FEOR</v>
      </c>
      <c r="C166" s="265">
        <f>IFERROR(INDEX('Historikus berek_2021-2'!$A$1:$F$903,MATCH(AB166,'Historikus berek_2021-2'!$A$1:$A$903,0),4),"")</f>
        <v>126533.33333333333</v>
      </c>
      <c r="D166" s="279">
        <f t="shared" si="406"/>
        <v>18180.07662835249</v>
      </c>
      <c r="E166" s="265">
        <f t="shared" si="407"/>
        <v>76868</v>
      </c>
      <c r="F166" s="266">
        <f t="shared" si="408"/>
        <v>66317.353409961681</v>
      </c>
      <c r="G166" s="267">
        <f t="shared" si="409"/>
        <v>20543.486590038316</v>
      </c>
      <c r="H166" s="268">
        <f>IFERROR(INDEX('FEOR kodok'!$A$2:$J$1126,MATCH(Bérköltség!AB166,'FEOR kodok'!$B$2:$B$1126,0),8),"NA")</f>
        <v>2910</v>
      </c>
      <c r="I166" s="269">
        <f>IFERROR(INDEX('FEOR kodok'!$A$2:$J$1126,MATCH(Bérköltség!AB166,'FEOR kodok'!$B$2:$B$1126,0),10),"NA")</f>
        <v>39</v>
      </c>
      <c r="J166" s="276" t="str">
        <f t="shared" si="410"/>
        <v>30–39 éves</v>
      </c>
      <c r="K166" s="269" t="str">
        <f>IFERROR(INDEX(admin_feor[#All],MATCH(Bérköltség!H166,admin_feor[[#All],[Foglalkozás]],0),2),"NA")</f>
        <v>Egyéb magasan képzett ügyintéző</v>
      </c>
      <c r="L166" s="270">
        <f>IFERROR(
INDEX('Admin - FEOR'!$A$4:$F$465,MATCH(Bérköltség!H166,'Admin - FEOR'!$A$4:$A$465,0),
IF(J166="30 év alatt",3,
IF(J166="30–39 éves",4,
IF(J166="40–49 éves",5,
IF(J166="50 év és afelett",6
)))))*1,"NA")</f>
        <v>652117</v>
      </c>
      <c r="M166" s="270">
        <f t="shared" si="411"/>
        <v>535000</v>
      </c>
      <c r="N166" s="318">
        <f t="shared" si="412"/>
        <v>0.82040492733665893</v>
      </c>
      <c r="O166" s="270">
        <f>IFERROR(
INDEX('Admin - FEOR'!$A$4:$F$465,MATCH(Bérköltség!H166,'Admin - FEOR'!$A$4:$A$465,0),
IF(J166="30 év alatt",3,
IF(J166="30–39 éves",4,
IF(J166="40–49 éves",5,
IF(J166="50 év és afelett",6
)))))*1.5,"NA")</f>
        <v>978175.5</v>
      </c>
      <c r="P166" s="270">
        <f t="shared" si="413"/>
        <v>140542.45689655171</v>
      </c>
      <c r="Q166" s="270">
        <f t="shared" si="414"/>
        <v>76868</v>
      </c>
      <c r="R166" s="275">
        <f t="shared" si="415"/>
        <v>0.14367816091954022</v>
      </c>
      <c r="S166" s="270">
        <f t="shared" si="416"/>
        <v>0</v>
      </c>
      <c r="T166" s="270">
        <f t="shared" si="417"/>
        <v>0</v>
      </c>
      <c r="U166" s="271">
        <f t="shared" si="418"/>
        <v>0</v>
      </c>
      <c r="V166" s="272">
        <f t="shared" si="419"/>
        <v>86861</v>
      </c>
      <c r="W166" s="273" t="str">
        <f t="shared" si="420"/>
        <v>Nem szükséges indoklás.</v>
      </c>
      <c r="X166" s="372">
        <f t="shared" si="421"/>
        <v>0</v>
      </c>
      <c r="Y166" s="317">
        <f t="shared" si="422"/>
        <v>76868</v>
      </c>
      <c r="Z166" s="317">
        <f t="shared" si="423"/>
        <v>9993</v>
      </c>
      <c r="AA166" s="36"/>
      <c r="AB166" s="274">
        <v>8430140549</v>
      </c>
      <c r="AC166" s="40" t="s">
        <v>212</v>
      </c>
      <c r="AD166" s="82" t="s">
        <v>75</v>
      </c>
      <c r="AE166" s="41" t="s">
        <v>54</v>
      </c>
      <c r="AF166" s="11" t="s">
        <v>159</v>
      </c>
      <c r="AG166" s="11" t="s">
        <v>166</v>
      </c>
      <c r="AH166" s="14" t="s">
        <v>122</v>
      </c>
      <c r="AI166" s="86" t="s">
        <v>36</v>
      </c>
      <c r="AJ166" s="113" t="str">
        <f>IF(COUNTIFS(Admin!$A$29:$A$40,AI166)&gt;0,Admin!$A$28,IF(COUNTIFS(Admin!$B$29:$B$40,AI166)&gt;0,Admin!$B$28,IF(COUNTIFS(Admin!$C$29:$C$40,AI166)&gt;0,Admin!$C$28,IF(COUNTIFS(Admin!$D$29:$D$40,AI166)&gt;0,Admin!$D$28,"-"))))</f>
        <v>3. mérföldkő</v>
      </c>
      <c r="AK166" s="14" t="s">
        <v>141</v>
      </c>
      <c r="AL166" s="9" t="s">
        <v>56</v>
      </c>
      <c r="AM166" s="131">
        <v>535000</v>
      </c>
      <c r="AN166" s="132">
        <f t="shared" ref="AN166:AN167" si="428">IFERROR(ROUND(AM166*AU166,0),"")</f>
        <v>69550</v>
      </c>
      <c r="AO166" s="121">
        <v>174</v>
      </c>
      <c r="AP166" s="121">
        <v>25</v>
      </c>
      <c r="AQ166" s="354">
        <f t="shared" ref="AQ166:AQ167" si="429">IFERROR(AP166/AO166,"")</f>
        <v>0.14367816091954022</v>
      </c>
      <c r="AR166" s="133">
        <f t="shared" ref="AR166:AR167" si="430">IFERROR(ROUND(AM166*AP166/AO166,0),"")</f>
        <v>76868</v>
      </c>
      <c r="AS166" s="133">
        <f t="shared" ref="AS166:AS167" si="431">IFERROR(ROUND(AR166*AU166,0),"")</f>
        <v>9993</v>
      </c>
      <c r="AT166" s="123">
        <f t="shared" ref="AT166:AT167" si="432">IFERROR(AP166/AO166-AR166/AM166,"")</f>
        <v>-3.4375335697389708E-7</v>
      </c>
      <c r="AU166" s="124">
        <v>0.13</v>
      </c>
      <c r="AV166" s="394" t="s">
        <v>2770</v>
      </c>
      <c r="AW166" s="15">
        <v>45002</v>
      </c>
      <c r="AX166" s="12" t="s">
        <v>206</v>
      </c>
      <c r="BC166" s="1" t="s">
        <v>2827</v>
      </c>
    </row>
    <row r="167" spans="1:56" s="1" customFormat="1" hidden="1" x14ac:dyDescent="0.25">
      <c r="A167" s="264" t="str">
        <f>Bérköltség!$B167</f>
        <v>FEOR</v>
      </c>
      <c r="B167" s="264" t="str">
        <f>IFERROR(
IF(AND(Bérköltség!$F167="",H167="NA"),"HIÁNYOS ADATOK",
IF(Bérköltség!$F167&lt;Bérköltség!$U167,Admin!$B$18,Admin!$B$17)),
"")</f>
        <v>FEOR</v>
      </c>
      <c r="C167" s="265">
        <f>IFERROR(INDEX('Historikus berek_2021-2'!$A$1:$F$903,MATCH(AB167,'Historikus berek_2021-2'!$A$1:$A$903,0),4),"")</f>
        <v>126533.33333333333</v>
      </c>
      <c r="D167" s="279">
        <f t="shared" si="406"/>
        <v>18180.07662835249</v>
      </c>
      <c r="E167" s="265">
        <f t="shared" si="407"/>
        <v>76868</v>
      </c>
      <c r="F167" s="266">
        <f t="shared" si="408"/>
        <v>66317.353409961681</v>
      </c>
      <c r="G167" s="267">
        <f t="shared" si="409"/>
        <v>20543.486590038316</v>
      </c>
      <c r="H167" s="268">
        <f>IFERROR(INDEX('FEOR kodok'!$A$2:$J$1126,MATCH(Bérköltség!AB167,'FEOR kodok'!$B$2:$B$1126,0),8),"NA")</f>
        <v>2910</v>
      </c>
      <c r="I167" s="269">
        <f>IFERROR(INDEX('FEOR kodok'!$A$2:$J$1126,MATCH(Bérköltség!AB167,'FEOR kodok'!$B$2:$B$1126,0),10),"NA")</f>
        <v>39</v>
      </c>
      <c r="J167" s="276" t="str">
        <f t="shared" si="410"/>
        <v>30–39 éves</v>
      </c>
      <c r="K167" s="269" t="str">
        <f>IFERROR(INDEX(admin_feor[#All],MATCH(Bérköltség!H167,admin_feor[[#All],[Foglalkozás]],0),2),"NA")</f>
        <v>Egyéb magasan képzett ügyintéző</v>
      </c>
      <c r="L167" s="270">
        <f>IFERROR(
INDEX('Admin - FEOR'!$A$4:$F$465,MATCH(Bérköltség!H167,'Admin - FEOR'!$A$4:$A$465,0),
IF(J167="30 év alatt",3,
IF(J167="30–39 éves",4,
IF(J167="40–49 éves",5,
IF(J167="50 év és afelett",6
)))))*1,"NA")</f>
        <v>652117</v>
      </c>
      <c r="M167" s="270">
        <f t="shared" si="411"/>
        <v>535000</v>
      </c>
      <c r="N167" s="318">
        <f t="shared" si="412"/>
        <v>0.82040492733665893</v>
      </c>
      <c r="O167" s="270">
        <f>IFERROR(
INDEX('Admin - FEOR'!$A$4:$F$465,MATCH(Bérköltség!H167,'Admin - FEOR'!$A$4:$A$465,0),
IF(J167="30 év alatt",3,
IF(J167="30–39 éves",4,
IF(J167="40–49 éves",5,
IF(J167="50 év és afelett",6
)))))*1.5,"NA")</f>
        <v>978175.5</v>
      </c>
      <c r="P167" s="270">
        <f t="shared" si="413"/>
        <v>140542.45689655171</v>
      </c>
      <c r="Q167" s="270">
        <f t="shared" si="414"/>
        <v>76868</v>
      </c>
      <c r="R167" s="275">
        <f t="shared" si="415"/>
        <v>0.14367816091954022</v>
      </c>
      <c r="S167" s="270">
        <f t="shared" si="416"/>
        <v>0</v>
      </c>
      <c r="T167" s="270">
        <f t="shared" si="417"/>
        <v>0</v>
      </c>
      <c r="U167" s="271">
        <f t="shared" si="418"/>
        <v>0</v>
      </c>
      <c r="V167" s="272">
        <f t="shared" si="419"/>
        <v>86861</v>
      </c>
      <c r="W167" s="273" t="str">
        <f t="shared" si="420"/>
        <v>Nem szükséges indoklás.</v>
      </c>
      <c r="X167" s="372">
        <f t="shared" si="421"/>
        <v>0</v>
      </c>
      <c r="Y167" s="317">
        <f t="shared" si="422"/>
        <v>76868</v>
      </c>
      <c r="Z167" s="317">
        <f t="shared" si="423"/>
        <v>9993</v>
      </c>
      <c r="AA167" s="36"/>
      <c r="AB167" s="274">
        <v>8430140549</v>
      </c>
      <c r="AC167" s="40" t="s">
        <v>212</v>
      </c>
      <c r="AD167" s="82" t="s">
        <v>75</v>
      </c>
      <c r="AE167" s="41" t="s">
        <v>54</v>
      </c>
      <c r="AF167" s="11" t="s">
        <v>159</v>
      </c>
      <c r="AG167" s="11" t="s">
        <v>166</v>
      </c>
      <c r="AH167" s="14" t="s">
        <v>122</v>
      </c>
      <c r="AI167" s="86" t="s">
        <v>37</v>
      </c>
      <c r="AJ167" s="113" t="str">
        <f>IF(COUNTIFS(Admin!$A$29:$A$40,AI167)&gt;0,Admin!$A$28,IF(COUNTIFS(Admin!$B$29:$B$40,AI167)&gt;0,Admin!$B$28,IF(COUNTIFS(Admin!$C$29:$C$40,AI167)&gt;0,Admin!$C$28,IF(COUNTIFS(Admin!$D$29:$D$40,AI167)&gt;0,Admin!$D$28,"-"))))</f>
        <v>3. mérföldkő</v>
      </c>
      <c r="AK167" s="14" t="s">
        <v>141</v>
      </c>
      <c r="AL167" s="9" t="s">
        <v>56</v>
      </c>
      <c r="AM167" s="131">
        <v>535000</v>
      </c>
      <c r="AN167" s="132">
        <f t="shared" si="428"/>
        <v>69550</v>
      </c>
      <c r="AO167" s="121">
        <v>174</v>
      </c>
      <c r="AP167" s="121">
        <v>25</v>
      </c>
      <c r="AQ167" s="354">
        <f t="shared" si="429"/>
        <v>0.14367816091954022</v>
      </c>
      <c r="AR167" s="133">
        <f t="shared" si="430"/>
        <v>76868</v>
      </c>
      <c r="AS167" s="133">
        <f t="shared" si="431"/>
        <v>9993</v>
      </c>
      <c r="AT167" s="123">
        <f t="shared" si="432"/>
        <v>-3.4375335697389708E-7</v>
      </c>
      <c r="AU167" s="124">
        <v>0.13</v>
      </c>
      <c r="AV167" s="394" t="s">
        <v>2770</v>
      </c>
      <c r="AW167" s="15">
        <v>45002</v>
      </c>
      <c r="AX167" s="12" t="s">
        <v>206</v>
      </c>
      <c r="BC167" s="1" t="s">
        <v>2827</v>
      </c>
    </row>
    <row r="168" spans="1:56" s="1" customFormat="1" hidden="1" x14ac:dyDescent="0.25">
      <c r="A168" s="264" t="str">
        <f>Bérköltség!$B168</f>
        <v>FEOR</v>
      </c>
      <c r="B168" s="264" t="str">
        <f>IFERROR(
IF(AND(Bérköltség!$F168="",H168="NA"),"HIÁNYOS ADATOK",
IF(Bérköltség!$F168&lt;Bérköltség!$U168,Admin!$B$18,Admin!$B$17)),
"")</f>
        <v>FEOR</v>
      </c>
      <c r="C168" s="265">
        <f>IFERROR(INDEX('Historikus berek_2021-2'!$A$1:$F$903,MATCH(AB168,'Historikus berek_2021-2'!$A$1:$A$903,0),4),"")</f>
        <v>470583.33333333331</v>
      </c>
      <c r="D168" s="279">
        <f t="shared" si="321"/>
        <v>235291.66666666666</v>
      </c>
      <c r="E168" s="265">
        <f t="shared" si="322"/>
        <v>262250</v>
      </c>
      <c r="F168" s="266">
        <f t="shared" si="323"/>
        <v>30462.916666666686</v>
      </c>
      <c r="G168" s="267">
        <f t="shared" si="324"/>
        <v>265879.58333333331</v>
      </c>
      <c r="H168" s="268">
        <f>IFERROR(INDEX('FEOR kodok'!$A$2:$J$1126,MATCH(Bérköltség!AB168,'FEOR kodok'!$B$2:$B$1126,0),8),"NA")</f>
        <v>2117</v>
      </c>
      <c r="I168" s="269">
        <f>IFERROR(INDEX('FEOR kodok'!$A$2:$J$1126,MATCH(Bérköltség!AB168,'FEOR kodok'!$B$2:$B$1126,0),10),"NA")</f>
        <v>60</v>
      </c>
      <c r="J168" s="276" t="str">
        <f t="shared" si="325"/>
        <v>50 év és afelett</v>
      </c>
      <c r="K168" s="269" t="str">
        <f>IFERROR(INDEX(admin_feor[#All],MATCH(Bérköltség!H168,admin_feor[[#All],[Foglalkozás]],0),2),"NA")</f>
        <v>Vegyészmérnök</v>
      </c>
      <c r="L168" s="270">
        <f>IFERROR(
INDEX('Admin - FEOR'!$A$4:$F$465,MATCH(Bérköltség!H168,'Admin - FEOR'!$A$4:$A$465,0),
IF(J168="30 év alatt",3,
IF(J168="30–39 éves",4,
IF(J168="40–49 éves",5,
IF(J168="50 év és afelett",6
)))))*1,"NA")</f>
        <v>826737</v>
      </c>
      <c r="M168" s="270">
        <f t="shared" si="326"/>
        <v>524500</v>
      </c>
      <c r="N168" s="318">
        <f t="shared" si="327"/>
        <v>0.63442182943306036</v>
      </c>
      <c r="O168" s="270">
        <f>IFERROR(
INDEX('Admin - FEOR'!$A$4:$F$465,MATCH(Bérköltség!H168,'Admin - FEOR'!$A$4:$A$465,0),
IF(J168="30 év alatt",3,
IF(J168="30–39 éves",4,
IF(J168="40–49 éves",5,
IF(J168="50 év és afelett",6
)))))*1.5,"NA")</f>
        <v>1240105.5</v>
      </c>
      <c r="P168" s="270">
        <f t="shared" si="328"/>
        <v>620052.75</v>
      </c>
      <c r="Q168" s="270">
        <f t="shared" si="329"/>
        <v>262250</v>
      </c>
      <c r="R168" s="275">
        <f t="shared" si="330"/>
        <v>0.5</v>
      </c>
      <c r="S168" s="270">
        <f t="shared" si="331"/>
        <v>0</v>
      </c>
      <c r="T168" s="270">
        <f t="shared" si="332"/>
        <v>0</v>
      </c>
      <c r="U168" s="271">
        <f t="shared" si="333"/>
        <v>0</v>
      </c>
      <c r="V168" s="272">
        <f t="shared" si="334"/>
        <v>296343</v>
      </c>
      <c r="W168" s="273" t="str">
        <f t="shared" si="335"/>
        <v>Nem szükséges indoklás.</v>
      </c>
      <c r="X168" s="372">
        <f t="shared" si="336"/>
        <v>0</v>
      </c>
      <c r="Y168" s="317">
        <f t="shared" si="337"/>
        <v>262250</v>
      </c>
      <c r="Z168" s="317">
        <f t="shared" si="338"/>
        <v>34093</v>
      </c>
      <c r="AA168" s="12">
        <v>2</v>
      </c>
      <c r="AB168" s="274">
        <v>8353902435</v>
      </c>
      <c r="AC168" s="40" t="s">
        <v>245</v>
      </c>
      <c r="AD168" s="82" t="s">
        <v>75</v>
      </c>
      <c r="AE168" s="41" t="s">
        <v>52</v>
      </c>
      <c r="AF168" s="11" t="s">
        <v>151</v>
      </c>
      <c r="AG168" s="11" t="s">
        <v>246</v>
      </c>
      <c r="AH168" s="14" t="s">
        <v>122</v>
      </c>
      <c r="AI168" s="86" t="s">
        <v>25</v>
      </c>
      <c r="AJ168" s="113" t="str">
        <f>IF(COUNTIFS(Admin!$A$29:$A$40,AI168)&gt;0,Admin!$A$28,IF(COUNTIFS(Admin!$B$29:$B$40,AI168)&gt;0,Admin!$B$28,IF(COUNTIFS(Admin!$C$29:$C$40,AI168)&gt;0,Admin!$C$28,IF(COUNTIFS(Admin!$D$29:$D$40,AI168)&gt;0,Admin!$D$28,"-"))))</f>
        <v>2. mérföldkő</v>
      </c>
      <c r="AK168" s="14" t="s">
        <v>7</v>
      </c>
      <c r="AL168" s="9" t="s">
        <v>56</v>
      </c>
      <c r="AM168" s="131">
        <v>524500</v>
      </c>
      <c r="AN168" s="132">
        <f t="shared" si="368"/>
        <v>68185</v>
      </c>
      <c r="AO168" s="121">
        <v>174</v>
      </c>
      <c r="AP168" s="121">
        <v>87</v>
      </c>
      <c r="AQ168" s="354">
        <f t="shared" si="402"/>
        <v>0.5</v>
      </c>
      <c r="AR168" s="133">
        <f t="shared" si="214"/>
        <v>262250</v>
      </c>
      <c r="AS168" s="133">
        <f t="shared" si="403"/>
        <v>34093</v>
      </c>
      <c r="AT168" s="123">
        <f t="shared" si="404"/>
        <v>0</v>
      </c>
      <c r="AU168" s="124">
        <v>0.13</v>
      </c>
      <c r="AV168" s="394" t="s">
        <v>2771</v>
      </c>
      <c r="AW168" s="15">
        <v>44853</v>
      </c>
      <c r="AX168" s="12" t="s">
        <v>206</v>
      </c>
      <c r="AZ168" s="1" t="s">
        <v>2667</v>
      </c>
      <c r="BA168" s="1" t="s">
        <v>2667</v>
      </c>
      <c r="BB168" s="1" t="s">
        <v>2667</v>
      </c>
      <c r="BC168" s="1" t="s">
        <v>2828</v>
      </c>
      <c r="BD168" s="1" t="str">
        <f>CONCATENATE(BC168," - ",AE168)</f>
        <v>Kutató_BM_2 - Kutató</v>
      </c>
    </row>
    <row r="169" spans="1:56" s="1" customFormat="1" hidden="1" x14ac:dyDescent="0.25">
      <c r="A169" s="264" t="str">
        <f>Bérköltség!$B169</f>
        <v>FEOR</v>
      </c>
      <c r="B169" s="264" t="str">
        <f>IFERROR(
IF(AND(Bérköltség!$F169="",H169="NA"),"HIÁNYOS ADATOK",
IF(Bérköltség!$F169&lt;Bérköltség!$U169,Admin!$B$18,Admin!$B$17)),
"")</f>
        <v>FEOR</v>
      </c>
      <c r="C169" s="265">
        <f>IFERROR(INDEX('Historikus berek_2021-2'!$A$1:$F$903,MATCH(AB169,'Historikus berek_2021-2'!$A$1:$A$903,0),4),"")</f>
        <v>470583.33333333331</v>
      </c>
      <c r="D169" s="279">
        <f t="shared" si="321"/>
        <v>235291.66666666666</v>
      </c>
      <c r="E169" s="265">
        <f t="shared" si="322"/>
        <v>262250</v>
      </c>
      <c r="F169" s="266">
        <f t="shared" si="323"/>
        <v>30462.916666666686</v>
      </c>
      <c r="G169" s="267">
        <f t="shared" si="324"/>
        <v>265879.58333333331</v>
      </c>
      <c r="H169" s="268">
        <f>IFERROR(INDEX('FEOR kodok'!$A$2:$J$1126,MATCH(Bérköltség!AB169,'FEOR kodok'!$B$2:$B$1126,0),8),"NA")</f>
        <v>2117</v>
      </c>
      <c r="I169" s="269">
        <f>IFERROR(INDEX('FEOR kodok'!$A$2:$J$1126,MATCH(Bérköltség!AB169,'FEOR kodok'!$B$2:$B$1126,0),10),"NA")</f>
        <v>60</v>
      </c>
      <c r="J169" s="276" t="str">
        <f t="shared" si="325"/>
        <v>50 év és afelett</v>
      </c>
      <c r="K169" s="269" t="str">
        <f>IFERROR(INDEX(admin_feor[#All],MATCH(Bérköltség!H169,admin_feor[[#All],[Foglalkozás]],0),2),"NA")</f>
        <v>Vegyészmérnök</v>
      </c>
      <c r="L169" s="270">
        <f>IFERROR(
INDEX('Admin - FEOR'!$A$4:$F$465,MATCH(Bérköltség!H169,'Admin - FEOR'!$A$4:$A$465,0),
IF(J169="30 év alatt",3,
IF(J169="30–39 éves",4,
IF(J169="40–49 éves",5,
IF(J169="50 év és afelett",6
)))))*1,"NA")</f>
        <v>826737</v>
      </c>
      <c r="M169" s="270">
        <f t="shared" si="326"/>
        <v>524499</v>
      </c>
      <c r="N169" s="318">
        <f t="shared" si="327"/>
        <v>0.63442061985855236</v>
      </c>
      <c r="O169" s="270">
        <f>IFERROR(
INDEX('Admin - FEOR'!$A$4:$F$465,MATCH(Bérköltség!H169,'Admin - FEOR'!$A$4:$A$465,0),
IF(J169="30 év alatt",3,
IF(J169="30–39 éves",4,
IF(J169="40–49 éves",5,
IF(J169="50 év és afelett",6
)))))*1.5,"NA")</f>
        <v>1240105.5</v>
      </c>
      <c r="P169" s="270">
        <f t="shared" si="328"/>
        <v>620052.75</v>
      </c>
      <c r="Q169" s="270">
        <f t="shared" si="329"/>
        <v>262250</v>
      </c>
      <c r="R169" s="275">
        <f t="shared" si="330"/>
        <v>0.5</v>
      </c>
      <c r="S169" s="270">
        <f t="shared" si="331"/>
        <v>0</v>
      </c>
      <c r="T169" s="270">
        <f t="shared" si="332"/>
        <v>0</v>
      </c>
      <c r="U169" s="271">
        <f t="shared" si="333"/>
        <v>0</v>
      </c>
      <c r="V169" s="272">
        <f t="shared" si="334"/>
        <v>296343</v>
      </c>
      <c r="W169" s="273" t="str">
        <f t="shared" si="335"/>
        <v>Nem szükséges indoklás.</v>
      </c>
      <c r="X169" s="372">
        <f t="shared" si="336"/>
        <v>0</v>
      </c>
      <c r="Y169" s="317">
        <f t="shared" si="337"/>
        <v>262250</v>
      </c>
      <c r="Z169" s="317">
        <f t="shared" si="338"/>
        <v>34093</v>
      </c>
      <c r="AA169" s="12">
        <v>2</v>
      </c>
      <c r="AB169" s="274">
        <v>8353902435</v>
      </c>
      <c r="AC169" s="40" t="s">
        <v>245</v>
      </c>
      <c r="AD169" s="82" t="s">
        <v>75</v>
      </c>
      <c r="AE169" s="41" t="s">
        <v>52</v>
      </c>
      <c r="AF169" s="11" t="s">
        <v>151</v>
      </c>
      <c r="AG169" s="11" t="s">
        <v>246</v>
      </c>
      <c r="AH169" s="14" t="s">
        <v>122</v>
      </c>
      <c r="AI169" s="86" t="s">
        <v>26</v>
      </c>
      <c r="AJ169" s="113" t="str">
        <f>IF(COUNTIFS(Admin!$A$29:$A$40,AI169)&gt;0,Admin!$A$28,IF(COUNTIFS(Admin!$B$29:$B$40,AI169)&gt;0,Admin!$B$28,IF(COUNTIFS(Admin!$C$29:$C$40,AI169)&gt;0,Admin!$C$28,IF(COUNTIFS(Admin!$D$29:$D$40,AI169)&gt;0,Admin!$D$28,"-"))))</f>
        <v>2. mérföldkő</v>
      </c>
      <c r="AK169" s="14" t="s">
        <v>7</v>
      </c>
      <c r="AL169" s="9" t="s">
        <v>56</v>
      </c>
      <c r="AM169" s="131">
        <v>524499</v>
      </c>
      <c r="AN169" s="132">
        <f t="shared" si="368"/>
        <v>68185</v>
      </c>
      <c r="AO169" s="121">
        <v>174</v>
      </c>
      <c r="AP169" s="121">
        <v>87</v>
      </c>
      <c r="AQ169" s="354">
        <f t="shared" si="402"/>
        <v>0.5</v>
      </c>
      <c r="AR169" s="133">
        <f t="shared" si="214"/>
        <v>262250</v>
      </c>
      <c r="AS169" s="133">
        <f t="shared" si="403"/>
        <v>34093</v>
      </c>
      <c r="AT169" s="123">
        <f t="shared" si="404"/>
        <v>-9.5329066407412455E-7</v>
      </c>
      <c r="AU169" s="124">
        <v>0.13</v>
      </c>
      <c r="AV169" s="394" t="s">
        <v>2771</v>
      </c>
      <c r="AW169" s="15">
        <v>44853</v>
      </c>
      <c r="AX169" s="12" t="s">
        <v>206</v>
      </c>
      <c r="AZ169" s="1" t="s">
        <v>2667</v>
      </c>
      <c r="BA169" s="1" t="s">
        <v>2668</v>
      </c>
      <c r="BB169" s="1" t="s">
        <v>2667</v>
      </c>
      <c r="BC169" s="1" t="s">
        <v>2828</v>
      </c>
      <c r="BD169" s="1" t="str">
        <f>CONCATENATE(BC169," - ",AE169)</f>
        <v>Kutató_BM_2 - Kutató</v>
      </c>
    </row>
    <row r="170" spans="1:56" s="1" customFormat="1" hidden="1" x14ac:dyDescent="0.25">
      <c r="A170" s="264" t="str">
        <f>Bérköltség!$B170</f>
        <v>FEOR</v>
      </c>
      <c r="B170" s="264" t="str">
        <f>IFERROR(
IF(AND(Bérköltség!$F170="",H170="NA"),"HIÁNYOS ADATOK",
IF(Bérköltség!$F170&lt;Bérköltség!$U170,Admin!$B$18,Admin!$B$17)),
"")</f>
        <v>FEOR</v>
      </c>
      <c r="C170" s="265">
        <f>IFERROR(INDEX('Historikus berek_2021-2'!$A$1:$F$903,MATCH(AB170,'Historikus berek_2021-2'!$A$1:$A$903,0),4),"")</f>
        <v>470583.33333333331</v>
      </c>
      <c r="D170" s="279">
        <f t="shared" si="321"/>
        <v>235291.66666666666</v>
      </c>
      <c r="E170" s="265">
        <f t="shared" si="322"/>
        <v>262250</v>
      </c>
      <c r="F170" s="266">
        <f t="shared" si="323"/>
        <v>30462.916666666686</v>
      </c>
      <c r="G170" s="267">
        <f t="shared" si="324"/>
        <v>265879.58333333331</v>
      </c>
      <c r="H170" s="268">
        <f>IFERROR(INDEX('FEOR kodok'!$A$2:$J$1126,MATCH(Bérköltség!AB170,'FEOR kodok'!$B$2:$B$1126,0),8),"NA")</f>
        <v>2117</v>
      </c>
      <c r="I170" s="269">
        <f>IFERROR(INDEX('FEOR kodok'!$A$2:$J$1126,MATCH(Bérköltség!AB170,'FEOR kodok'!$B$2:$B$1126,0),10),"NA")</f>
        <v>60</v>
      </c>
      <c r="J170" s="276" t="str">
        <f t="shared" si="325"/>
        <v>50 év és afelett</v>
      </c>
      <c r="K170" s="269" t="str">
        <f>IFERROR(INDEX(admin_feor[#All],MATCH(Bérköltség!H170,admin_feor[[#All],[Foglalkozás]],0),2),"NA")</f>
        <v>Vegyészmérnök</v>
      </c>
      <c r="L170" s="270">
        <f>IFERROR(
INDEX('Admin - FEOR'!$A$4:$F$465,MATCH(Bérköltség!H170,'Admin - FEOR'!$A$4:$A$465,0),
IF(J170="30 év alatt",3,
IF(J170="30–39 éves",4,
IF(J170="40–49 éves",5,
IF(J170="50 év és afelett",6
)))))*1,"NA")</f>
        <v>826737</v>
      </c>
      <c r="M170" s="270">
        <f t="shared" si="326"/>
        <v>524500</v>
      </c>
      <c r="N170" s="318">
        <f t="shared" si="327"/>
        <v>0.63442182943306036</v>
      </c>
      <c r="O170" s="270">
        <f>IFERROR(
INDEX('Admin - FEOR'!$A$4:$F$465,MATCH(Bérköltség!H170,'Admin - FEOR'!$A$4:$A$465,0),
IF(J170="30 év alatt",3,
IF(J170="30–39 éves",4,
IF(J170="40–49 éves",5,
IF(J170="50 év és afelett",6
)))))*1.5,"NA")</f>
        <v>1240105.5</v>
      </c>
      <c r="P170" s="270">
        <f t="shared" si="328"/>
        <v>620052.75</v>
      </c>
      <c r="Q170" s="270">
        <f t="shared" si="329"/>
        <v>262250</v>
      </c>
      <c r="R170" s="275">
        <f t="shared" si="330"/>
        <v>0.5</v>
      </c>
      <c r="S170" s="270">
        <f t="shared" si="331"/>
        <v>0</v>
      </c>
      <c r="T170" s="270">
        <f t="shared" si="332"/>
        <v>0</v>
      </c>
      <c r="U170" s="271">
        <f t="shared" si="333"/>
        <v>0</v>
      </c>
      <c r="V170" s="272">
        <f t="shared" si="334"/>
        <v>296343</v>
      </c>
      <c r="W170" s="273" t="str">
        <f t="shared" si="335"/>
        <v>Nem szükséges indoklás.</v>
      </c>
      <c r="X170" s="372">
        <f t="shared" si="336"/>
        <v>0</v>
      </c>
      <c r="Y170" s="317">
        <f t="shared" si="337"/>
        <v>262250</v>
      </c>
      <c r="Z170" s="317">
        <f t="shared" si="338"/>
        <v>34093</v>
      </c>
      <c r="AA170" s="12">
        <v>2</v>
      </c>
      <c r="AB170" s="274">
        <v>8353902435</v>
      </c>
      <c r="AC170" s="40" t="s">
        <v>245</v>
      </c>
      <c r="AD170" s="82" t="s">
        <v>75</v>
      </c>
      <c r="AE170" s="41" t="s">
        <v>52</v>
      </c>
      <c r="AF170" s="11" t="s">
        <v>151</v>
      </c>
      <c r="AG170" s="11" t="s">
        <v>246</v>
      </c>
      <c r="AH170" s="14" t="s">
        <v>122</v>
      </c>
      <c r="AI170" s="86" t="s">
        <v>32</v>
      </c>
      <c r="AJ170" s="113" t="str">
        <f>IF(COUNTIFS(Admin!$A$29:$A$40,AI170)&gt;0,Admin!$A$28,IF(COUNTIFS(Admin!$B$29:$B$40,AI170)&gt;0,Admin!$B$28,IF(COUNTIFS(Admin!$C$29:$C$40,AI170)&gt;0,Admin!$C$28,IF(COUNTIFS(Admin!$D$29:$D$40,AI170)&gt;0,Admin!$D$28,"-"))))</f>
        <v>2. mérföldkő</v>
      </c>
      <c r="AK170" s="14" t="s">
        <v>7</v>
      </c>
      <c r="AL170" s="9" t="s">
        <v>56</v>
      </c>
      <c r="AM170" s="131">
        <v>524500</v>
      </c>
      <c r="AN170" s="132">
        <f t="shared" si="368"/>
        <v>68185</v>
      </c>
      <c r="AO170" s="121">
        <v>174</v>
      </c>
      <c r="AP170" s="121">
        <v>87</v>
      </c>
      <c r="AQ170" s="354">
        <f t="shared" si="402"/>
        <v>0.5</v>
      </c>
      <c r="AR170" s="133">
        <f t="shared" si="214"/>
        <v>262250</v>
      </c>
      <c r="AS170" s="133">
        <f t="shared" si="403"/>
        <v>34093</v>
      </c>
      <c r="AT170" s="123">
        <f t="shared" si="404"/>
        <v>0</v>
      </c>
      <c r="AU170" s="124">
        <v>0.13</v>
      </c>
      <c r="AV170" s="394" t="s">
        <v>2771</v>
      </c>
      <c r="AW170" s="15">
        <v>44853</v>
      </c>
      <c r="AX170" s="12" t="s">
        <v>206</v>
      </c>
      <c r="AZ170" s="1" t="s">
        <v>2667</v>
      </c>
      <c r="BA170" s="1">
        <v>0</v>
      </c>
      <c r="BB170" s="1">
        <v>0</v>
      </c>
      <c r="BC170" s="1" t="s">
        <v>2828</v>
      </c>
      <c r="BD170" s="1" t="str">
        <f>CONCATENATE(BC170," - ",AE170)</f>
        <v>Kutató_BM_2 - Kutató</v>
      </c>
    </row>
    <row r="171" spans="1:56" s="1" customFormat="1" hidden="1" x14ac:dyDescent="0.25">
      <c r="A171" s="264" t="str">
        <f>Bérköltség!$B171</f>
        <v>FEOR</v>
      </c>
      <c r="B171" s="264" t="str">
        <f>IFERROR(
IF(AND(Bérköltség!$F171="",H171="NA"),"HIÁNYOS ADATOK",
IF(Bérköltség!$F171&lt;Bérköltség!$U171,Admin!$B$18,Admin!$B$17)),
"")</f>
        <v>FEOR</v>
      </c>
      <c r="C171" s="265">
        <f>IFERROR(INDEX('Historikus berek_2021-2'!$A$1:$F$903,MATCH(AB171,'Historikus berek_2021-2'!$A$1:$A$903,0),4),"")</f>
        <v>470583.33333333331</v>
      </c>
      <c r="D171" s="279">
        <f t="shared" si="321"/>
        <v>235291.66666666666</v>
      </c>
      <c r="E171" s="265">
        <f t="shared" si="322"/>
        <v>262250</v>
      </c>
      <c r="F171" s="266">
        <f t="shared" si="323"/>
        <v>30462.916666666686</v>
      </c>
      <c r="G171" s="267">
        <f t="shared" si="324"/>
        <v>265879.58333333331</v>
      </c>
      <c r="H171" s="268">
        <f>IFERROR(INDEX('FEOR kodok'!$A$2:$J$1126,MATCH(Bérköltség!AB171,'FEOR kodok'!$B$2:$B$1126,0),8),"NA")</f>
        <v>2117</v>
      </c>
      <c r="I171" s="269">
        <f>IFERROR(INDEX('FEOR kodok'!$A$2:$J$1126,MATCH(Bérköltség!AB171,'FEOR kodok'!$B$2:$B$1126,0),10),"NA")</f>
        <v>60</v>
      </c>
      <c r="J171" s="276" t="str">
        <f t="shared" si="325"/>
        <v>50 év és afelett</v>
      </c>
      <c r="K171" s="269" t="str">
        <f>IFERROR(INDEX(admin_feor[#All],MATCH(Bérköltség!H171,admin_feor[[#All],[Foglalkozás]],0),2),"NA")</f>
        <v>Vegyészmérnök</v>
      </c>
      <c r="L171" s="270">
        <f>IFERROR(
INDEX('Admin - FEOR'!$A$4:$F$465,MATCH(Bérköltség!H171,'Admin - FEOR'!$A$4:$A$465,0),
IF(J171="30 év alatt",3,
IF(J171="30–39 éves",4,
IF(J171="40–49 éves",5,
IF(J171="50 év és afelett",6
)))))*1,"NA")</f>
        <v>826737</v>
      </c>
      <c r="M171" s="270">
        <f t="shared" si="326"/>
        <v>524500</v>
      </c>
      <c r="N171" s="318">
        <f t="shared" si="327"/>
        <v>0.63442182943306036</v>
      </c>
      <c r="O171" s="270">
        <f>IFERROR(
INDEX('Admin - FEOR'!$A$4:$F$465,MATCH(Bérköltség!H171,'Admin - FEOR'!$A$4:$A$465,0),
IF(J171="30 év alatt",3,
IF(J171="30–39 éves",4,
IF(J171="40–49 éves",5,
IF(J171="50 év és afelett",6
)))))*1.5,"NA")</f>
        <v>1240105.5</v>
      </c>
      <c r="P171" s="270">
        <f t="shared" si="328"/>
        <v>620052.75</v>
      </c>
      <c r="Q171" s="270">
        <f t="shared" si="329"/>
        <v>262250</v>
      </c>
      <c r="R171" s="275">
        <f t="shared" si="330"/>
        <v>0.5</v>
      </c>
      <c r="S171" s="270">
        <f t="shared" si="331"/>
        <v>0</v>
      </c>
      <c r="T171" s="270">
        <f t="shared" si="332"/>
        <v>0</v>
      </c>
      <c r="U171" s="271">
        <f t="shared" si="333"/>
        <v>0</v>
      </c>
      <c r="V171" s="272">
        <f t="shared" si="334"/>
        <v>296343</v>
      </c>
      <c r="W171" s="273" t="str">
        <f t="shared" si="335"/>
        <v>Nem szükséges indoklás.</v>
      </c>
      <c r="X171" s="372">
        <f t="shared" si="336"/>
        <v>0</v>
      </c>
      <c r="Y171" s="317">
        <f t="shared" si="337"/>
        <v>262250</v>
      </c>
      <c r="Z171" s="317">
        <f t="shared" si="338"/>
        <v>34093</v>
      </c>
      <c r="AA171" s="12">
        <v>2</v>
      </c>
      <c r="AB171" s="274">
        <v>8353902435</v>
      </c>
      <c r="AC171" s="40" t="s">
        <v>245</v>
      </c>
      <c r="AD171" s="82" t="s">
        <v>75</v>
      </c>
      <c r="AE171" s="41" t="s">
        <v>52</v>
      </c>
      <c r="AF171" s="11" t="s">
        <v>151</v>
      </c>
      <c r="AG171" s="11" t="s">
        <v>246</v>
      </c>
      <c r="AH171" s="14" t="s">
        <v>122</v>
      </c>
      <c r="AI171" s="86" t="s">
        <v>33</v>
      </c>
      <c r="AJ171" s="113" t="str">
        <f>IF(COUNTIFS(Admin!$A$29:$A$40,AI171)&gt;0,Admin!$A$28,IF(COUNTIFS(Admin!$B$29:$B$40,AI171)&gt;0,Admin!$B$28,IF(COUNTIFS(Admin!$C$29:$C$40,AI171)&gt;0,Admin!$C$28,IF(COUNTIFS(Admin!$D$29:$D$40,AI171)&gt;0,Admin!$D$28,"-"))))</f>
        <v>2. mérföldkő</v>
      </c>
      <c r="AK171" s="14" t="s">
        <v>7</v>
      </c>
      <c r="AL171" s="9" t="s">
        <v>56</v>
      </c>
      <c r="AM171" s="131">
        <v>524500</v>
      </c>
      <c r="AN171" s="132">
        <f t="shared" si="368"/>
        <v>68185</v>
      </c>
      <c r="AO171" s="121">
        <v>174</v>
      </c>
      <c r="AP171" s="121">
        <v>87</v>
      </c>
      <c r="AQ171" s="354">
        <f t="shared" si="402"/>
        <v>0.5</v>
      </c>
      <c r="AR171" s="133">
        <f t="shared" si="214"/>
        <v>262250</v>
      </c>
      <c r="AS171" s="133">
        <f t="shared" si="403"/>
        <v>34093</v>
      </c>
      <c r="AT171" s="123">
        <f t="shared" si="404"/>
        <v>0</v>
      </c>
      <c r="AU171" s="124">
        <v>0.13</v>
      </c>
      <c r="AV171" s="394" t="s">
        <v>2771</v>
      </c>
      <c r="AW171" s="15">
        <v>44853</v>
      </c>
      <c r="AX171" s="12" t="s">
        <v>206</v>
      </c>
      <c r="AZ171" s="8" t="str">
        <f>IF(VLOOKUP(LEFT($AB171,10),'Havi béradatok'!$B:$E,2,FALSE)=AG171,"EGYEZIK","HIBÁS")</f>
        <v>EGYEZIK</v>
      </c>
      <c r="BA171" s="1">
        <f>VLOOKUP(LEFT($AB171,10),'Havi béradatok'!$B:$E,3,FALSE)-AM171</f>
        <v>0</v>
      </c>
      <c r="BB171" s="1">
        <f>VLOOKUP(LEFT($AB171,10),'Havi béradatok'!$B:$E,4,FALSE)-AN171</f>
        <v>0</v>
      </c>
      <c r="BC171" s="1" t="s">
        <v>2828</v>
      </c>
      <c r="BD171" s="1" t="str">
        <f>CONCATENATE(BC171," - ",AE171)</f>
        <v>Kutató_BM_2 - Kutató</v>
      </c>
    </row>
    <row r="172" spans="1:56" s="1" customFormat="1" hidden="1" x14ac:dyDescent="0.25">
      <c r="A172" s="264" t="str">
        <f>Bérköltség!$B172</f>
        <v>FEOR</v>
      </c>
      <c r="B172" s="264" t="str">
        <f>IFERROR(
IF(AND(Bérköltség!$F172="",H172="NA"),"HIÁNYOS ADATOK",
IF(Bérköltség!$F172&lt;Bérköltség!$U172,Admin!$B$18,Admin!$B$17)),
"")</f>
        <v>FEOR</v>
      </c>
      <c r="C172" s="265">
        <f>IFERROR(INDEX('Historikus berek_2021-2'!$A$1:$F$903,MATCH(AB172,'Historikus berek_2021-2'!$A$1:$A$903,0),4),"")</f>
        <v>470583.33333333331</v>
      </c>
      <c r="D172" s="279">
        <f t="shared" si="321"/>
        <v>235291.66666666666</v>
      </c>
      <c r="E172" s="265">
        <f t="shared" si="322"/>
        <v>262250</v>
      </c>
      <c r="F172" s="266">
        <f t="shared" si="323"/>
        <v>30462.916666666686</v>
      </c>
      <c r="G172" s="267">
        <f t="shared" si="324"/>
        <v>265879.58333333331</v>
      </c>
      <c r="H172" s="268">
        <f>IFERROR(INDEX('FEOR kodok'!$A$2:$J$1126,MATCH(Bérköltség!AB172,'FEOR kodok'!$B$2:$B$1126,0),8),"NA")</f>
        <v>2117</v>
      </c>
      <c r="I172" s="269">
        <f>IFERROR(INDEX('FEOR kodok'!$A$2:$J$1126,MATCH(Bérköltség!AB172,'FEOR kodok'!$B$2:$B$1126,0),10),"NA")</f>
        <v>60</v>
      </c>
      <c r="J172" s="276" t="str">
        <f t="shared" si="325"/>
        <v>50 év és afelett</v>
      </c>
      <c r="K172" s="269" t="str">
        <f>IFERROR(INDEX(admin_feor[#All],MATCH(Bérköltség!H172,admin_feor[[#All],[Foglalkozás]],0),2),"NA")</f>
        <v>Vegyészmérnök</v>
      </c>
      <c r="L172" s="270">
        <f>IFERROR(
INDEX('Admin - FEOR'!$A$4:$F$465,MATCH(Bérköltség!H172,'Admin - FEOR'!$A$4:$A$465,0),
IF(J172="30 év alatt",3,
IF(J172="30–39 éves",4,
IF(J172="40–49 éves",5,
IF(J172="50 év és afelett",6
)))))*1,"NA")</f>
        <v>826737</v>
      </c>
      <c r="M172" s="270">
        <f t="shared" si="326"/>
        <v>524500</v>
      </c>
      <c r="N172" s="318">
        <f t="shared" si="327"/>
        <v>0.63442182943306036</v>
      </c>
      <c r="O172" s="270">
        <f>IFERROR(
INDEX('Admin - FEOR'!$A$4:$F$465,MATCH(Bérköltség!H172,'Admin - FEOR'!$A$4:$A$465,0),
IF(J172="30 év alatt",3,
IF(J172="30–39 éves",4,
IF(J172="40–49 éves",5,
IF(J172="50 év és afelett",6
)))))*1.5,"NA")</f>
        <v>1240105.5</v>
      </c>
      <c r="P172" s="270">
        <f t="shared" si="328"/>
        <v>620052.75</v>
      </c>
      <c r="Q172" s="270">
        <f t="shared" si="329"/>
        <v>262250</v>
      </c>
      <c r="R172" s="275">
        <f t="shared" si="330"/>
        <v>0.5</v>
      </c>
      <c r="S172" s="270">
        <f t="shared" si="331"/>
        <v>0</v>
      </c>
      <c r="T172" s="270">
        <f t="shared" si="332"/>
        <v>0</v>
      </c>
      <c r="U172" s="271">
        <f t="shared" si="333"/>
        <v>0</v>
      </c>
      <c r="V172" s="272">
        <f t="shared" si="334"/>
        <v>296343</v>
      </c>
      <c r="W172" s="273" t="str">
        <f t="shared" si="335"/>
        <v>Nem szükséges indoklás.</v>
      </c>
      <c r="X172" s="372">
        <f t="shared" si="336"/>
        <v>0</v>
      </c>
      <c r="Y172" s="317">
        <f t="shared" si="337"/>
        <v>262250</v>
      </c>
      <c r="Z172" s="317">
        <f t="shared" si="338"/>
        <v>34093</v>
      </c>
      <c r="AA172" s="12">
        <v>2</v>
      </c>
      <c r="AB172" s="274">
        <v>8353902435</v>
      </c>
      <c r="AC172" s="40" t="s">
        <v>245</v>
      </c>
      <c r="AD172" s="82" t="s">
        <v>75</v>
      </c>
      <c r="AE172" s="41" t="s">
        <v>52</v>
      </c>
      <c r="AF172" s="11" t="s">
        <v>151</v>
      </c>
      <c r="AG172" s="11" t="s">
        <v>246</v>
      </c>
      <c r="AH172" s="14" t="s">
        <v>122</v>
      </c>
      <c r="AI172" s="86" t="s">
        <v>34</v>
      </c>
      <c r="AJ172" s="113" t="str">
        <f>IF(COUNTIFS(Admin!$A$29:$A$40,AI172)&gt;0,Admin!$A$28,IF(COUNTIFS(Admin!$B$29:$B$40,AI172)&gt;0,Admin!$B$28,IF(COUNTIFS(Admin!$C$29:$C$40,AI172)&gt;0,Admin!$C$28,IF(COUNTIFS(Admin!$D$29:$D$40,AI172)&gt;0,Admin!$D$28,"-"))))</f>
        <v>2. mérföldkő</v>
      </c>
      <c r="AK172" s="14" t="s">
        <v>7</v>
      </c>
      <c r="AL172" s="9" t="s">
        <v>56</v>
      </c>
      <c r="AM172" s="131">
        <v>524500</v>
      </c>
      <c r="AN172" s="132">
        <f t="shared" ref="AN172" si="433">IFERROR(ROUND(AM172*AU172,0),"")</f>
        <v>68185</v>
      </c>
      <c r="AO172" s="121">
        <v>174</v>
      </c>
      <c r="AP172" s="121">
        <v>87</v>
      </c>
      <c r="AQ172" s="354">
        <f t="shared" ref="AQ172" si="434">IFERROR(AP172/AO172,"")</f>
        <v>0.5</v>
      </c>
      <c r="AR172" s="133">
        <f t="shared" ref="AR172" si="435">IFERROR(ROUND(AM172*AP172/AO172,0),"")</f>
        <v>262250</v>
      </c>
      <c r="AS172" s="133">
        <f t="shared" ref="AS172" si="436">IFERROR(ROUND(AR172*AU172,0),"")</f>
        <v>34093</v>
      </c>
      <c r="AT172" s="123">
        <f t="shared" ref="AT172" si="437">IFERROR(AP172/AO172-AR172/AM172,"")</f>
        <v>0</v>
      </c>
      <c r="AU172" s="124">
        <v>0.13</v>
      </c>
      <c r="AV172" s="394" t="s">
        <v>2771</v>
      </c>
      <c r="AW172" s="15">
        <v>44981</v>
      </c>
      <c r="AX172" s="12" t="s">
        <v>206</v>
      </c>
      <c r="BC172" s="1" t="s">
        <v>2828</v>
      </c>
      <c r="BD172" s="1" t="str">
        <f>CONCATENATE(BC172," - ",AE172)</f>
        <v>Kutató_BM_2 - Kutató</v>
      </c>
    </row>
    <row r="173" spans="1:56" s="1" customFormat="1" x14ac:dyDescent="0.25">
      <c r="A173" s="264" t="str">
        <f>Bérköltség!$B173</f>
        <v>FEOR</v>
      </c>
      <c r="B173" s="264" t="str">
        <f>IFERROR(
IF(AND(Bérköltség!$F173="",H173="NA"),"HIÁNYOS ADATOK",
IF(Bérköltség!$F173&lt;Bérköltség!$U173,Admin!$B$18,Admin!$B$17)),
"")</f>
        <v>FEOR</v>
      </c>
      <c r="C173" s="265">
        <f>IFERROR(INDEX('Historikus berek_2021-2'!$A$1:$F$903,MATCH(AB173,'Historikus berek_2021-2'!$A$1:$A$903,0),4),"")</f>
        <v>470583.33333333331</v>
      </c>
      <c r="D173" s="279">
        <f t="shared" si="321"/>
        <v>235291.66666666666</v>
      </c>
      <c r="E173" s="265">
        <f t="shared" si="322"/>
        <v>262250</v>
      </c>
      <c r="F173" s="266">
        <f t="shared" si="323"/>
        <v>30462.916666666686</v>
      </c>
      <c r="G173" s="267">
        <f t="shared" si="324"/>
        <v>265879.58333333331</v>
      </c>
      <c r="H173" s="268">
        <f>IFERROR(INDEX('FEOR kodok'!$A$2:$J$1126,MATCH(Bérköltség!AB173,'FEOR kodok'!$B$2:$B$1126,0),8),"NA")</f>
        <v>2117</v>
      </c>
      <c r="I173" s="269">
        <f>IFERROR(INDEX('FEOR kodok'!$A$2:$J$1126,MATCH(Bérköltség!AB173,'FEOR kodok'!$B$2:$B$1126,0),10),"NA")</f>
        <v>60</v>
      </c>
      <c r="J173" s="276" t="str">
        <f t="shared" si="325"/>
        <v>50 év és afelett</v>
      </c>
      <c r="K173" s="269" t="str">
        <f>IFERROR(INDEX(admin_feor[#All],MATCH(Bérköltség!H173,admin_feor[[#All],[Foglalkozás]],0),2),"NA")</f>
        <v>Vegyészmérnök</v>
      </c>
      <c r="L173" s="270">
        <f>IFERROR(
INDEX('Admin - FEOR'!$A$4:$F$465,MATCH(Bérköltség!H173,'Admin - FEOR'!$A$4:$A$465,0),
IF(J173="30 év alatt",3,
IF(J173="30–39 éves",4,
IF(J173="40–49 éves",5,
IF(J173="50 év és afelett",6
)))))*1,"NA")</f>
        <v>826737</v>
      </c>
      <c r="M173" s="270">
        <f t="shared" si="326"/>
        <v>524500</v>
      </c>
      <c r="N173" s="318">
        <f t="shared" si="327"/>
        <v>0.63442182943306036</v>
      </c>
      <c r="O173" s="270">
        <f>IFERROR(
INDEX('Admin - FEOR'!$A$4:$F$465,MATCH(Bérköltség!H173,'Admin - FEOR'!$A$4:$A$465,0),
IF(J173="30 év alatt",3,
IF(J173="30–39 éves",4,
IF(J173="40–49 éves",5,
IF(J173="50 év és afelett",6
)))))*1.5,"NA")</f>
        <v>1240105.5</v>
      </c>
      <c r="P173" s="270">
        <f t="shared" si="328"/>
        <v>620052.75</v>
      </c>
      <c r="Q173" s="270">
        <f t="shared" si="329"/>
        <v>262250</v>
      </c>
      <c r="R173" s="275">
        <f t="shared" si="330"/>
        <v>0.5</v>
      </c>
      <c r="S173" s="270">
        <f t="shared" si="331"/>
        <v>0</v>
      </c>
      <c r="T173" s="270">
        <f t="shared" si="332"/>
        <v>0</v>
      </c>
      <c r="U173" s="271">
        <f t="shared" si="333"/>
        <v>0</v>
      </c>
      <c r="V173" s="272">
        <f t="shared" si="334"/>
        <v>296343</v>
      </c>
      <c r="W173" s="273" t="str">
        <f t="shared" si="335"/>
        <v>Nem szükséges indoklás.</v>
      </c>
      <c r="X173" s="372">
        <f t="shared" si="336"/>
        <v>0</v>
      </c>
      <c r="Y173" s="317">
        <f t="shared" si="337"/>
        <v>262250</v>
      </c>
      <c r="Z173" s="317">
        <f t="shared" si="338"/>
        <v>34093</v>
      </c>
      <c r="AA173" s="36"/>
      <c r="AB173" s="274">
        <v>8353902435</v>
      </c>
      <c r="AC173" s="40" t="s">
        <v>245</v>
      </c>
      <c r="AD173" s="82" t="s">
        <v>75</v>
      </c>
      <c r="AE173" s="41" t="s">
        <v>52</v>
      </c>
      <c r="AF173" s="11" t="s">
        <v>151</v>
      </c>
      <c r="AG173" s="11" t="s">
        <v>246</v>
      </c>
      <c r="AH173" s="14" t="s">
        <v>122</v>
      </c>
      <c r="AI173" s="86" t="s">
        <v>35</v>
      </c>
      <c r="AJ173" s="113" t="str">
        <f>IF(COUNTIFS(Admin!$A$29:$A$40,AI173)&gt;0,Admin!$A$28,IF(COUNTIFS(Admin!$B$29:$B$40,AI173)&gt;0,Admin!$B$28,IF(COUNTIFS(Admin!$C$29:$C$40,AI173)&gt;0,Admin!$C$28,IF(COUNTIFS(Admin!$D$29:$D$40,AI173)&gt;0,Admin!$D$28,"-"))))</f>
        <v>3. mérföldkő</v>
      </c>
      <c r="AK173" s="14" t="s">
        <v>7</v>
      </c>
      <c r="AL173" s="9" t="s">
        <v>56</v>
      </c>
      <c r="AM173" s="131">
        <v>524500</v>
      </c>
      <c r="AN173" s="132">
        <f t="shared" ref="AN173:AN174" si="438">IFERROR(ROUND(AM173*AU173,0),"")</f>
        <v>68185</v>
      </c>
      <c r="AO173" s="121">
        <v>174</v>
      </c>
      <c r="AP173" s="121">
        <v>87</v>
      </c>
      <c r="AQ173" s="354">
        <f t="shared" ref="AQ173:AQ174" si="439">IFERROR(AP173/AO173,"")</f>
        <v>0.5</v>
      </c>
      <c r="AR173" s="133">
        <f t="shared" ref="AR173:AR174" si="440">IFERROR(ROUND(AM173*AP173/AO173,0),"")</f>
        <v>262250</v>
      </c>
      <c r="AS173" s="133">
        <f t="shared" ref="AS173:AS174" si="441">IFERROR(ROUND(AR173*AU173,0),"")</f>
        <v>34093</v>
      </c>
      <c r="AT173" s="123">
        <f t="shared" ref="AT173:AT174" si="442">IFERROR(AP173/AO173-AR173/AM173,"")</f>
        <v>0</v>
      </c>
      <c r="AU173" s="124">
        <v>0.13</v>
      </c>
      <c r="AV173" s="394" t="s">
        <v>2771</v>
      </c>
      <c r="AW173" s="15">
        <v>44981</v>
      </c>
      <c r="AX173" s="12" t="s">
        <v>206</v>
      </c>
      <c r="AZ173" s="1" t="str">
        <f>IF(VLOOKUP(LEFT($AB173,10),'Havi béradatok'!$B:$E,2,FALSE)=AG173,"EGYEZIK","HIBÁS")</f>
        <v>EGYEZIK</v>
      </c>
      <c r="BA173" s="1">
        <f>VLOOKUP(LEFT($AB173,10),'Havi béradatok'!$B:$E,3,FALSE)-AM173</f>
        <v>0</v>
      </c>
      <c r="BB173" s="1">
        <f>VLOOKUP(LEFT($AB173,10),'Havi béradatok'!$B:$E,4,FALSE)-AN173</f>
        <v>0</v>
      </c>
      <c r="BC173" s="400" t="s">
        <v>2828</v>
      </c>
      <c r="BD173" s="400"/>
    </row>
    <row r="174" spans="1:56" s="1" customFormat="1" hidden="1" x14ac:dyDescent="0.25">
      <c r="A174" s="264" t="str">
        <f>Bérköltség!$B174</f>
        <v>FEOR</v>
      </c>
      <c r="B174" s="264" t="str">
        <f>IFERROR(
IF(AND(Bérköltség!$F174="",H174="NA"),"HIÁNYOS ADATOK",
IF(Bérköltség!$F174&lt;Bérköltség!$U174,Admin!$B$18,Admin!$B$17)),
"")</f>
        <v>FEOR</v>
      </c>
      <c r="C174" s="265">
        <f>IFERROR(INDEX('Historikus berek_2021-2'!$A$1:$F$903,MATCH(AB174,'Historikus berek_2021-2'!$A$1:$A$903,0),4),"")</f>
        <v>470583.33333333331</v>
      </c>
      <c r="D174" s="279">
        <f t="shared" si="321"/>
        <v>235291.66666666666</v>
      </c>
      <c r="E174" s="265">
        <f t="shared" si="322"/>
        <v>262250</v>
      </c>
      <c r="F174" s="266">
        <f t="shared" si="323"/>
        <v>30462.916666666686</v>
      </c>
      <c r="G174" s="267">
        <f t="shared" si="324"/>
        <v>265879.58333333331</v>
      </c>
      <c r="H174" s="268">
        <f>IFERROR(INDEX('FEOR kodok'!$A$2:$J$1126,MATCH(Bérköltség!AB174,'FEOR kodok'!$B$2:$B$1126,0),8),"NA")</f>
        <v>2117</v>
      </c>
      <c r="I174" s="269">
        <f>IFERROR(INDEX('FEOR kodok'!$A$2:$J$1126,MATCH(Bérköltség!AB174,'FEOR kodok'!$B$2:$B$1126,0),10),"NA")</f>
        <v>60</v>
      </c>
      <c r="J174" s="276" t="str">
        <f t="shared" si="325"/>
        <v>50 év és afelett</v>
      </c>
      <c r="K174" s="269" t="str">
        <f>IFERROR(INDEX(admin_feor[#All],MATCH(Bérköltség!H174,admin_feor[[#All],[Foglalkozás]],0),2),"NA")</f>
        <v>Vegyészmérnök</v>
      </c>
      <c r="L174" s="270">
        <f>IFERROR(
INDEX('Admin - FEOR'!$A$4:$F$465,MATCH(Bérköltség!H174,'Admin - FEOR'!$A$4:$A$465,0),
IF(J174="30 év alatt",3,
IF(J174="30–39 éves",4,
IF(J174="40–49 éves",5,
IF(J174="50 év és afelett",6
)))))*1,"NA")</f>
        <v>826737</v>
      </c>
      <c r="M174" s="270">
        <f t="shared" si="326"/>
        <v>524500</v>
      </c>
      <c r="N174" s="318">
        <f t="shared" si="327"/>
        <v>0.63442182943306036</v>
      </c>
      <c r="O174" s="270">
        <f>IFERROR(
INDEX('Admin - FEOR'!$A$4:$F$465,MATCH(Bérköltség!H174,'Admin - FEOR'!$A$4:$A$465,0),
IF(J174="30 év alatt",3,
IF(J174="30–39 éves",4,
IF(J174="40–49 éves",5,
IF(J174="50 év és afelett",6
)))))*1.5,"NA")</f>
        <v>1240105.5</v>
      </c>
      <c r="P174" s="270">
        <f t="shared" si="328"/>
        <v>620052.75</v>
      </c>
      <c r="Q174" s="270">
        <f t="shared" si="329"/>
        <v>262250</v>
      </c>
      <c r="R174" s="275">
        <f t="shared" si="330"/>
        <v>0.5</v>
      </c>
      <c r="S174" s="270">
        <f t="shared" si="331"/>
        <v>0</v>
      </c>
      <c r="T174" s="270">
        <f t="shared" si="332"/>
        <v>0</v>
      </c>
      <c r="U174" s="271">
        <f t="shared" si="333"/>
        <v>0</v>
      </c>
      <c r="V174" s="272">
        <f t="shared" si="334"/>
        <v>296343</v>
      </c>
      <c r="W174" s="273" t="str">
        <f t="shared" si="335"/>
        <v>Nem szükséges indoklás.</v>
      </c>
      <c r="X174" s="372">
        <f t="shared" si="336"/>
        <v>0</v>
      </c>
      <c r="Y174" s="317">
        <f t="shared" si="337"/>
        <v>262250</v>
      </c>
      <c r="Z174" s="317">
        <f t="shared" si="338"/>
        <v>34093</v>
      </c>
      <c r="AA174" s="36"/>
      <c r="AB174" s="274">
        <v>8353902435</v>
      </c>
      <c r="AC174" s="40" t="s">
        <v>245</v>
      </c>
      <c r="AD174" s="82" t="s">
        <v>75</v>
      </c>
      <c r="AE174" s="41" t="s">
        <v>52</v>
      </c>
      <c r="AF174" s="11" t="s">
        <v>151</v>
      </c>
      <c r="AG174" s="11" t="s">
        <v>246</v>
      </c>
      <c r="AH174" s="14" t="s">
        <v>122</v>
      </c>
      <c r="AI174" s="86" t="s">
        <v>36</v>
      </c>
      <c r="AJ174" s="113" t="str">
        <f>IF(COUNTIFS(Admin!$A$29:$A$40,AI174)&gt;0,Admin!$A$28,IF(COUNTIFS(Admin!$B$29:$B$40,AI174)&gt;0,Admin!$B$28,IF(COUNTIFS(Admin!$C$29:$C$40,AI174)&gt;0,Admin!$C$28,IF(COUNTIFS(Admin!$D$29:$D$40,AI174)&gt;0,Admin!$D$28,"-"))))</f>
        <v>3. mérföldkő</v>
      </c>
      <c r="AK174" s="14" t="s">
        <v>141</v>
      </c>
      <c r="AL174" s="9" t="s">
        <v>56</v>
      </c>
      <c r="AM174" s="131">
        <v>524500</v>
      </c>
      <c r="AN174" s="132">
        <f t="shared" si="438"/>
        <v>68185</v>
      </c>
      <c r="AO174" s="121">
        <v>174</v>
      </c>
      <c r="AP174" s="121">
        <v>87</v>
      </c>
      <c r="AQ174" s="354">
        <f t="shared" si="439"/>
        <v>0.5</v>
      </c>
      <c r="AR174" s="133">
        <f t="shared" si="440"/>
        <v>262250</v>
      </c>
      <c r="AS174" s="133">
        <f t="shared" si="441"/>
        <v>34093</v>
      </c>
      <c r="AT174" s="123">
        <f t="shared" si="442"/>
        <v>0</v>
      </c>
      <c r="AU174" s="124">
        <v>0.13</v>
      </c>
      <c r="AV174" s="394" t="s">
        <v>2771</v>
      </c>
      <c r="AW174" s="15">
        <v>44981</v>
      </c>
      <c r="AX174" s="12" t="s">
        <v>206</v>
      </c>
      <c r="BC174" s="1" t="s">
        <v>2828</v>
      </c>
    </row>
    <row r="175" spans="1:56" s="1" customFormat="1" hidden="1" x14ac:dyDescent="0.25">
      <c r="A175" s="264" t="str">
        <f>Bérköltség!$B175</f>
        <v>FEOR</v>
      </c>
      <c r="B175" s="264" t="str">
        <f>IFERROR(
IF(AND(Bérköltség!$F175="",H175="NA"),"HIÁNYOS ADATOK",
IF(Bérköltség!$F175&lt;Bérköltség!$U175,Admin!$B$18,Admin!$B$17)),
"")</f>
        <v>FEOR</v>
      </c>
      <c r="C175" s="265">
        <f>IFERROR(INDEX('Historikus berek_2021-2'!$A$1:$F$903,MATCH(AB175,'Historikus berek_2021-2'!$A$1:$A$903,0),4),"")</f>
        <v>470583.33333333331</v>
      </c>
      <c r="D175" s="279">
        <f t="shared" ref="D175:D177" si="443">IFERROR(C175*AQ175,"")</f>
        <v>235291.66666666666</v>
      </c>
      <c r="E175" s="265">
        <f t="shared" ref="E175:E177" si="444">AR175</f>
        <v>262250</v>
      </c>
      <c r="F175" s="266">
        <f t="shared" ref="F175:F177" si="445">IFERROR(IF((E175*(1+AU175)-D175*(1+AU175))&lt;0,0,(E175*(1+AU175)-D175*(1+AU175))),"")</f>
        <v>30462.916666666686</v>
      </c>
      <c r="G175" s="267">
        <f t="shared" ref="G175:G177" si="446">IFERROR((E175*(1+AU175)-F175),"")</f>
        <v>265879.58333333331</v>
      </c>
      <c r="H175" s="268">
        <f>IFERROR(INDEX('FEOR kodok'!$A$2:$J$1126,MATCH(Bérköltség!AB175,'FEOR kodok'!$B$2:$B$1126,0),8),"NA")</f>
        <v>2117</v>
      </c>
      <c r="I175" s="269">
        <f>IFERROR(INDEX('FEOR kodok'!$A$2:$J$1126,MATCH(Bérköltség!AB175,'FEOR kodok'!$B$2:$B$1126,0),10),"NA")</f>
        <v>60</v>
      </c>
      <c r="J175" s="276" t="str">
        <f t="shared" ref="J175:J177" si="447">IF(I175="NA","NA",
IF(I175&lt;30,"30 év alatt",
IF(AND(I175&gt;=30,I175&lt;=39),"30–39 éves",
IF(AND(I175&gt;=40,I175&lt;=49),"40–49 éves",
IF(I175&gt;=50,"50 év és afelett",
"")))))</f>
        <v>50 év és afelett</v>
      </c>
      <c r="K175" s="269" t="str">
        <f>IFERROR(INDEX(admin_feor[#All],MATCH(Bérköltség!H175,admin_feor[[#All],[Foglalkozás]],0),2),"NA")</f>
        <v>Vegyészmérnök</v>
      </c>
      <c r="L175" s="270">
        <f>IFERROR(
INDEX('Admin - FEOR'!$A$4:$F$465,MATCH(Bérköltség!H175,'Admin - FEOR'!$A$4:$A$465,0),
IF(J175="30 év alatt",3,
IF(J175="30–39 éves",4,
IF(J175="40–49 éves",5,
IF(J175="50 év és afelett",6
)))))*1,"NA")</f>
        <v>826737</v>
      </c>
      <c r="M175" s="270">
        <f t="shared" ref="M175:M177" si="448">AM175</f>
        <v>524500</v>
      </c>
      <c r="N175" s="318">
        <f t="shared" ref="N175:N177" si="449">IFERROR(
M175/L175,"NA")</f>
        <v>0.63442182943306036</v>
      </c>
      <c r="O175" s="270">
        <f>IFERROR(
INDEX('Admin - FEOR'!$A$4:$F$465,MATCH(Bérköltség!H175,'Admin - FEOR'!$A$4:$A$465,0),
IF(J175="30 év alatt",3,
IF(J175="30–39 éves",4,
IF(J175="40–49 éves",5,
IF(J175="50 év és afelett",6
)))))*1.5,"NA")</f>
        <v>1240105.5</v>
      </c>
      <c r="P175" s="270">
        <f t="shared" ref="P175:P177" si="450">IFERROR(
AQ175*O175,"NA")</f>
        <v>620052.75</v>
      </c>
      <c r="Q175" s="270">
        <f t="shared" ref="Q175:Q177" si="451">IFERROR(AR175,"")</f>
        <v>262250</v>
      </c>
      <c r="R175" s="275">
        <f t="shared" ref="R175:R177" si="452">IFERROR(AQ175,"")</f>
        <v>0.5</v>
      </c>
      <c r="S175" s="270">
        <f t="shared" ref="S175:S177" si="453">IFERROR(
IF(AR175-P175&lt;0,0,AR175-P175),"NA")</f>
        <v>0</v>
      </c>
      <c r="T175" s="270">
        <f t="shared" ref="T175:T177" si="454">IFERROR(
S175*AU175,"NA")</f>
        <v>0</v>
      </c>
      <c r="U175" s="271">
        <f t="shared" ref="U175:U177" si="455">IFERROR(
S175+T175,"NA")</f>
        <v>0</v>
      </c>
      <c r="V175" s="272">
        <f t="shared" ref="V175:V177" si="456">IFERROR(
IF(U175&gt;0,AR175+AS175-U175,AR175+AS175),"NA")</f>
        <v>296343</v>
      </c>
      <c r="W175" s="273" t="str">
        <f t="shared" ref="W175:W177" si="457">IF(P175="NA","FEOR hiányzik",
IF(AND(N175&gt;1,A175="FEOR"),CONCATENATE("Indoklás szükséges mivel a FEOR: ",ROUND(N175*100,1),"%"),"Nem szükséges indoklás.")
)</f>
        <v>Nem szükséges indoklás.</v>
      </c>
      <c r="X175" s="372">
        <f t="shared" ref="X175:X177" si="458">IF(A175="FEOR",U175,IF(A175="HIÁNYOS ADATOK","HIÁNYOS ADATOK",F175))</f>
        <v>0</v>
      </c>
      <c r="Y175" s="317">
        <f t="shared" ref="Y175:Y177" si="459">IF(A175="FEOR",ROUND((V175/(1+AU175)),0),IF(A175="HIÁNYOS ADATOK","HIÁNYOS ADATOK",ROUND(G175/(1+AU175),0)))</f>
        <v>262250</v>
      </c>
      <c r="Z175" s="317">
        <f t="shared" ref="Z175:Z177" si="460">IF(A175="FEOR",ROUND((V175-Y175),0),IF(A175="HIÁNYOS ADATOK","HIÁNYOS ADATOK",ROUND((G175-Y175),0)))</f>
        <v>34093</v>
      </c>
      <c r="AA175" s="36"/>
      <c r="AB175" s="274">
        <v>8353902435</v>
      </c>
      <c r="AC175" s="40" t="s">
        <v>245</v>
      </c>
      <c r="AD175" s="82" t="s">
        <v>75</v>
      </c>
      <c r="AE175" s="41" t="s">
        <v>52</v>
      </c>
      <c r="AF175" s="11" t="s">
        <v>151</v>
      </c>
      <c r="AG175" s="11" t="s">
        <v>246</v>
      </c>
      <c r="AH175" s="14" t="s">
        <v>122</v>
      </c>
      <c r="AI175" s="86" t="s">
        <v>37</v>
      </c>
      <c r="AJ175" s="113" t="str">
        <f>IF(COUNTIFS(Admin!$A$29:$A$40,AI175)&gt;0,Admin!$A$28,IF(COUNTIFS(Admin!$B$29:$B$40,AI175)&gt;0,Admin!$B$28,IF(COUNTIFS(Admin!$C$29:$C$40,AI175)&gt;0,Admin!$C$28,IF(COUNTIFS(Admin!$D$29:$D$40,AI175)&gt;0,Admin!$D$28,"-"))))</f>
        <v>3. mérföldkő</v>
      </c>
      <c r="AK175" s="14" t="s">
        <v>141</v>
      </c>
      <c r="AL175" s="9" t="s">
        <v>56</v>
      </c>
      <c r="AM175" s="131">
        <v>524500</v>
      </c>
      <c r="AN175" s="132">
        <f t="shared" ref="AN175" si="461">IFERROR(ROUND(AM175*AU175,0),"")</f>
        <v>68185</v>
      </c>
      <c r="AO175" s="121">
        <v>174</v>
      </c>
      <c r="AP175" s="121">
        <v>87</v>
      </c>
      <c r="AQ175" s="354">
        <f t="shared" ref="AQ175" si="462">IFERROR(AP175/AO175,"")</f>
        <v>0.5</v>
      </c>
      <c r="AR175" s="133">
        <f t="shared" ref="AR175" si="463">IFERROR(ROUND(AM175*AP175/AO175,0),"")</f>
        <v>262250</v>
      </c>
      <c r="AS175" s="133">
        <f t="shared" ref="AS175" si="464">IFERROR(ROUND(AR175*AU175,0),"")</f>
        <v>34093</v>
      </c>
      <c r="AT175" s="123">
        <f t="shared" ref="AT175" si="465">IFERROR(AP175/AO175-AR175/AM175,"")</f>
        <v>0</v>
      </c>
      <c r="AU175" s="124">
        <v>0.13</v>
      </c>
      <c r="AV175" s="394" t="s">
        <v>2771</v>
      </c>
      <c r="AW175" s="15">
        <v>45054</v>
      </c>
      <c r="AX175" s="12"/>
      <c r="BC175" s="1" t="s">
        <v>2828</v>
      </c>
    </row>
    <row r="176" spans="1:56" s="1" customFormat="1" hidden="1" x14ac:dyDescent="0.25">
      <c r="A176" s="264" t="str">
        <f>Bérköltség!$B176</f>
        <v>FEOR</v>
      </c>
      <c r="B176" s="264" t="str">
        <f>IFERROR(
IF(AND(Bérköltség!$F176="",H176="NA"),"HIÁNYOS ADATOK",
IF(Bérköltség!$F176&lt;Bérköltség!$U176,Admin!$B$18,Admin!$B$17)),
"")</f>
        <v>FEOR</v>
      </c>
      <c r="C176" s="265">
        <f>IFERROR(INDEX('Historikus berek_2021-2'!$A$1:$F$903,MATCH(AB176,'Historikus berek_2021-2'!$A$1:$A$903,0),4),"")</f>
        <v>470583.33333333331</v>
      </c>
      <c r="D176" s="279">
        <f t="shared" si="443"/>
        <v>235291.66666666666</v>
      </c>
      <c r="E176" s="265">
        <f t="shared" si="444"/>
        <v>262250</v>
      </c>
      <c r="F176" s="266">
        <f t="shared" si="445"/>
        <v>30462.916666666686</v>
      </c>
      <c r="G176" s="267">
        <f t="shared" si="446"/>
        <v>265879.58333333331</v>
      </c>
      <c r="H176" s="268">
        <f>IFERROR(INDEX('FEOR kodok'!$A$2:$J$1126,MATCH(Bérköltség!AB176,'FEOR kodok'!$B$2:$B$1126,0),8),"NA")</f>
        <v>2117</v>
      </c>
      <c r="I176" s="269">
        <f>IFERROR(INDEX('FEOR kodok'!$A$2:$J$1126,MATCH(Bérköltség!AB176,'FEOR kodok'!$B$2:$B$1126,0),10),"NA")</f>
        <v>60</v>
      </c>
      <c r="J176" s="276" t="str">
        <f t="shared" si="447"/>
        <v>50 év és afelett</v>
      </c>
      <c r="K176" s="269" t="str">
        <f>IFERROR(INDEX(admin_feor[#All],MATCH(Bérköltség!H176,admin_feor[[#All],[Foglalkozás]],0),2),"NA")</f>
        <v>Vegyészmérnök</v>
      </c>
      <c r="L176" s="270">
        <f>IFERROR(
INDEX('Admin - FEOR'!$A$4:$F$465,MATCH(Bérköltség!H176,'Admin - FEOR'!$A$4:$A$465,0),
IF(J176="30 év alatt",3,
IF(J176="30–39 éves",4,
IF(J176="40–49 éves",5,
IF(J176="50 év és afelett",6
)))))*1,"NA")</f>
        <v>826737</v>
      </c>
      <c r="M176" s="270">
        <f t="shared" si="448"/>
        <v>524500</v>
      </c>
      <c r="N176" s="318">
        <f t="shared" si="449"/>
        <v>0.63442182943306036</v>
      </c>
      <c r="O176" s="270">
        <f>IFERROR(
INDEX('Admin - FEOR'!$A$4:$F$465,MATCH(Bérköltség!H176,'Admin - FEOR'!$A$4:$A$465,0),
IF(J176="30 év alatt",3,
IF(J176="30–39 éves",4,
IF(J176="40–49 éves",5,
IF(J176="50 év és afelett",6
)))))*1.5,"NA")</f>
        <v>1240105.5</v>
      </c>
      <c r="P176" s="270">
        <f t="shared" si="450"/>
        <v>620052.75</v>
      </c>
      <c r="Q176" s="270">
        <f t="shared" si="451"/>
        <v>262250</v>
      </c>
      <c r="R176" s="275">
        <f t="shared" si="452"/>
        <v>0.5</v>
      </c>
      <c r="S176" s="270">
        <f t="shared" si="453"/>
        <v>0</v>
      </c>
      <c r="T176" s="270">
        <f t="shared" si="454"/>
        <v>0</v>
      </c>
      <c r="U176" s="271">
        <f t="shared" si="455"/>
        <v>0</v>
      </c>
      <c r="V176" s="272">
        <f t="shared" si="456"/>
        <v>296343</v>
      </c>
      <c r="W176" s="273" t="str">
        <f t="shared" si="457"/>
        <v>Nem szükséges indoklás.</v>
      </c>
      <c r="X176" s="372">
        <f t="shared" si="458"/>
        <v>0</v>
      </c>
      <c r="Y176" s="317">
        <f t="shared" si="459"/>
        <v>262250</v>
      </c>
      <c r="Z176" s="317">
        <f t="shared" si="460"/>
        <v>34093</v>
      </c>
      <c r="AA176" s="36"/>
      <c r="AB176" s="274">
        <v>8353902435</v>
      </c>
      <c r="AC176" s="40" t="s">
        <v>245</v>
      </c>
      <c r="AD176" s="82" t="s">
        <v>75</v>
      </c>
      <c r="AE176" s="41" t="s">
        <v>52</v>
      </c>
      <c r="AF176" s="11" t="s">
        <v>151</v>
      </c>
      <c r="AG176" s="11" t="s">
        <v>246</v>
      </c>
      <c r="AH176" s="14" t="s">
        <v>122</v>
      </c>
      <c r="AI176" s="86" t="s">
        <v>38</v>
      </c>
      <c r="AJ176" s="113" t="str">
        <f>IF(COUNTIFS(Admin!$A$29:$A$40,AI176)&gt;0,Admin!$A$28,IF(COUNTIFS(Admin!$B$29:$B$40,AI176)&gt;0,Admin!$B$28,IF(COUNTIFS(Admin!$C$29:$C$40,AI176)&gt;0,Admin!$C$28,IF(COUNTIFS(Admin!$D$29:$D$40,AI176)&gt;0,Admin!$D$28,"-"))))</f>
        <v>3. mérföldkő</v>
      </c>
      <c r="AK176" s="14" t="s">
        <v>141</v>
      </c>
      <c r="AL176" s="9" t="s">
        <v>56</v>
      </c>
      <c r="AM176" s="131">
        <v>524500</v>
      </c>
      <c r="AN176" s="132">
        <f t="shared" ref="AN176:AN177" si="466">IFERROR(ROUND(AM176*AU176,0),"")</f>
        <v>68185</v>
      </c>
      <c r="AO176" s="121">
        <v>174</v>
      </c>
      <c r="AP176" s="121">
        <v>87</v>
      </c>
      <c r="AQ176" s="354">
        <f t="shared" ref="AQ176:AQ177" si="467">IFERROR(AP176/AO176,"")</f>
        <v>0.5</v>
      </c>
      <c r="AR176" s="133">
        <f t="shared" ref="AR176:AR177" si="468">IFERROR(ROUND(AM176*AP176/AO176,0),"")</f>
        <v>262250</v>
      </c>
      <c r="AS176" s="133">
        <f t="shared" ref="AS176:AS177" si="469">IFERROR(ROUND(AR176*AU176,0),"")</f>
        <v>34093</v>
      </c>
      <c r="AT176" s="123">
        <f t="shared" ref="AT176:AT177" si="470">IFERROR(AP176/AO176-AR176/AM176,"")</f>
        <v>0</v>
      </c>
      <c r="AU176" s="124">
        <v>0.13</v>
      </c>
      <c r="AV176" s="394" t="s">
        <v>2771</v>
      </c>
      <c r="AW176" s="15">
        <v>45054</v>
      </c>
      <c r="AX176" s="12"/>
      <c r="BC176" s="1" t="s">
        <v>2828</v>
      </c>
    </row>
    <row r="177" spans="1:56" s="1" customFormat="1" hidden="1" x14ac:dyDescent="0.25">
      <c r="A177" s="264" t="str">
        <f>Bérköltség!$B177</f>
        <v>FEOR</v>
      </c>
      <c r="B177" s="264" t="str">
        <f>IFERROR(
IF(AND(Bérköltség!$F177="",H177="NA"),"HIÁNYOS ADATOK",
IF(Bérköltség!$F177&lt;Bérköltség!$U177,Admin!$B$18,Admin!$B$17)),
"")</f>
        <v>FEOR</v>
      </c>
      <c r="C177" s="265">
        <f>IFERROR(INDEX('Historikus berek_2021-2'!$A$1:$F$903,MATCH(AB177,'Historikus berek_2021-2'!$A$1:$A$903,0),4),"")</f>
        <v>470583.33333333331</v>
      </c>
      <c r="D177" s="279">
        <f t="shared" si="443"/>
        <v>235291.66666666666</v>
      </c>
      <c r="E177" s="265">
        <f t="shared" si="444"/>
        <v>262250</v>
      </c>
      <c r="F177" s="266">
        <f t="shared" si="445"/>
        <v>30462.916666666686</v>
      </c>
      <c r="G177" s="267">
        <f t="shared" si="446"/>
        <v>265879.58333333331</v>
      </c>
      <c r="H177" s="268">
        <f>IFERROR(INDEX('FEOR kodok'!$A$2:$J$1126,MATCH(Bérköltség!AB177,'FEOR kodok'!$B$2:$B$1126,0),8),"NA")</f>
        <v>2117</v>
      </c>
      <c r="I177" s="269">
        <f>IFERROR(INDEX('FEOR kodok'!$A$2:$J$1126,MATCH(Bérköltség!AB177,'FEOR kodok'!$B$2:$B$1126,0),10),"NA")</f>
        <v>60</v>
      </c>
      <c r="J177" s="276" t="str">
        <f t="shared" si="447"/>
        <v>50 év és afelett</v>
      </c>
      <c r="K177" s="269" t="str">
        <f>IFERROR(INDEX(admin_feor[#All],MATCH(Bérköltség!H177,admin_feor[[#All],[Foglalkozás]],0),2),"NA")</f>
        <v>Vegyészmérnök</v>
      </c>
      <c r="L177" s="270">
        <f>IFERROR(
INDEX('Admin - FEOR'!$A$4:$F$465,MATCH(Bérköltség!H177,'Admin - FEOR'!$A$4:$A$465,0),
IF(J177="30 év alatt",3,
IF(J177="30–39 éves",4,
IF(J177="40–49 éves",5,
IF(J177="50 év és afelett",6
)))))*1,"NA")</f>
        <v>826737</v>
      </c>
      <c r="M177" s="270">
        <f t="shared" si="448"/>
        <v>524500</v>
      </c>
      <c r="N177" s="318">
        <f t="shared" si="449"/>
        <v>0.63442182943306036</v>
      </c>
      <c r="O177" s="270">
        <f>IFERROR(
INDEX('Admin - FEOR'!$A$4:$F$465,MATCH(Bérköltség!H177,'Admin - FEOR'!$A$4:$A$465,0),
IF(J177="30 év alatt",3,
IF(J177="30–39 éves",4,
IF(J177="40–49 éves",5,
IF(J177="50 év és afelett",6
)))))*1.5,"NA")</f>
        <v>1240105.5</v>
      </c>
      <c r="P177" s="270">
        <f t="shared" si="450"/>
        <v>620052.75</v>
      </c>
      <c r="Q177" s="270">
        <f t="shared" si="451"/>
        <v>262250</v>
      </c>
      <c r="R177" s="275">
        <f t="shared" si="452"/>
        <v>0.5</v>
      </c>
      <c r="S177" s="270">
        <f t="shared" si="453"/>
        <v>0</v>
      </c>
      <c r="T177" s="270">
        <f t="shared" si="454"/>
        <v>0</v>
      </c>
      <c r="U177" s="271">
        <f t="shared" si="455"/>
        <v>0</v>
      </c>
      <c r="V177" s="272">
        <f t="shared" si="456"/>
        <v>296343</v>
      </c>
      <c r="W177" s="273" t="str">
        <f t="shared" si="457"/>
        <v>Nem szükséges indoklás.</v>
      </c>
      <c r="X177" s="372">
        <f t="shared" si="458"/>
        <v>0</v>
      </c>
      <c r="Y177" s="317">
        <f t="shared" si="459"/>
        <v>262250</v>
      </c>
      <c r="Z177" s="317">
        <f t="shared" si="460"/>
        <v>34093</v>
      </c>
      <c r="AA177" s="36"/>
      <c r="AB177" s="274">
        <v>8353902435</v>
      </c>
      <c r="AC177" s="40" t="s">
        <v>245</v>
      </c>
      <c r="AD177" s="82" t="s">
        <v>75</v>
      </c>
      <c r="AE177" s="41" t="s">
        <v>52</v>
      </c>
      <c r="AF177" s="11" t="s">
        <v>151</v>
      </c>
      <c r="AG177" s="11" t="s">
        <v>246</v>
      </c>
      <c r="AH177" s="14" t="s">
        <v>122</v>
      </c>
      <c r="AI177" s="86" t="s">
        <v>39</v>
      </c>
      <c r="AJ177" s="113" t="str">
        <f>IF(COUNTIFS(Admin!$A$29:$A$40,AI177)&gt;0,Admin!$A$28,IF(COUNTIFS(Admin!$B$29:$B$40,AI177)&gt;0,Admin!$B$28,IF(COUNTIFS(Admin!$C$29:$C$40,AI177)&gt;0,Admin!$C$28,IF(COUNTIFS(Admin!$D$29:$D$40,AI177)&gt;0,Admin!$D$28,"-"))))</f>
        <v>3. mérföldkő</v>
      </c>
      <c r="AK177" s="14" t="s">
        <v>141</v>
      </c>
      <c r="AL177" s="9" t="s">
        <v>56</v>
      </c>
      <c r="AM177" s="131">
        <v>524500</v>
      </c>
      <c r="AN177" s="132">
        <f t="shared" si="466"/>
        <v>68185</v>
      </c>
      <c r="AO177" s="121">
        <v>174</v>
      </c>
      <c r="AP177" s="121">
        <v>87</v>
      </c>
      <c r="AQ177" s="354">
        <f t="shared" si="467"/>
        <v>0.5</v>
      </c>
      <c r="AR177" s="133">
        <f t="shared" si="468"/>
        <v>262250</v>
      </c>
      <c r="AS177" s="133">
        <f t="shared" si="469"/>
        <v>34093</v>
      </c>
      <c r="AT177" s="123">
        <f t="shared" si="470"/>
        <v>0</v>
      </c>
      <c r="AU177" s="124">
        <v>0.13</v>
      </c>
      <c r="AV177" s="394" t="s">
        <v>2771</v>
      </c>
      <c r="AW177" s="15">
        <v>45054</v>
      </c>
      <c r="AX177" s="12"/>
      <c r="BC177" s="1" t="s">
        <v>2828</v>
      </c>
    </row>
    <row r="178" spans="1:56" s="1" customFormat="1" hidden="1" x14ac:dyDescent="0.25">
      <c r="A178" s="264" t="str">
        <f>Bérköltség!$B178</f>
        <v>FEOR</v>
      </c>
      <c r="B178" s="264" t="str">
        <f>IFERROR(
IF(AND(Bérköltség!$F178="",H178="NA"),"HIÁNYOS ADATOK",
IF(Bérköltség!$F178&lt;Bérköltség!$U178,Admin!$B$18,Admin!$B$17)),
"")</f>
        <v>FEOR</v>
      </c>
      <c r="C178" s="265">
        <f>IFERROR(INDEX('Historikus berek_2021-2'!$A$1:$F$903,MATCH(AB178,'Historikus berek_2021-2'!$A$1:$A$903,0),4),"")</f>
        <v>300000</v>
      </c>
      <c r="D178" s="279">
        <f t="shared" si="321"/>
        <v>258620.68965517241</v>
      </c>
      <c r="E178" s="265">
        <f t="shared" si="322"/>
        <v>431034</v>
      </c>
      <c r="F178" s="266">
        <f t="shared" si="323"/>
        <v>185861.54855172412</v>
      </c>
      <c r="G178" s="267">
        <f t="shared" si="324"/>
        <v>278793.10344827588</v>
      </c>
      <c r="H178" s="268">
        <f>IFERROR(INDEX('FEOR kodok'!$A$2:$J$1126,MATCH(Bérköltség!AB178,'FEOR kodok'!$B$2:$B$1126,0),8),"NA")</f>
        <v>2117</v>
      </c>
      <c r="I178" s="269">
        <f>IFERROR(INDEX('FEOR kodok'!$A$2:$J$1126,MATCH(Bérköltség!AB178,'FEOR kodok'!$B$2:$B$1126,0),10),"NA")</f>
        <v>32</v>
      </c>
      <c r="J178" s="276" t="str">
        <f t="shared" si="325"/>
        <v>30–39 éves</v>
      </c>
      <c r="K178" s="269" t="str">
        <f>IFERROR(INDEX(admin_feor[#All],MATCH(Bérköltség!H178,admin_feor[[#All],[Foglalkozás]],0),2),"NA")</f>
        <v>Vegyészmérnök</v>
      </c>
      <c r="L178" s="270">
        <f>IFERROR(
INDEX('Admin - FEOR'!$A$4:$F$465,MATCH(Bérköltség!H178,'Admin - FEOR'!$A$4:$A$465,0),
IF(J178="30 év alatt",3,
IF(J178="30–39 éves",4,
IF(J178="40–49 éves",5,
IF(J178="50 év és afelett",6
)))))*1,"NA")</f>
        <v>696588</v>
      </c>
      <c r="M178" s="270">
        <f t="shared" si="326"/>
        <v>500000</v>
      </c>
      <c r="N178" s="318">
        <f t="shared" si="327"/>
        <v>0.71778440053518</v>
      </c>
      <c r="O178" s="270">
        <f>IFERROR(
INDEX('Admin - FEOR'!$A$4:$F$465,MATCH(Bérköltség!H178,'Admin - FEOR'!$A$4:$A$465,0),
IF(J178="30 év alatt",3,
IF(J178="30–39 éves",4,
IF(J178="40–49 éves",5,
IF(J178="50 év és afelett",6
)))))*1.5,"NA")</f>
        <v>1044882</v>
      </c>
      <c r="P178" s="270">
        <f t="shared" si="328"/>
        <v>900760.3448275862</v>
      </c>
      <c r="Q178" s="270">
        <f t="shared" si="329"/>
        <v>431034</v>
      </c>
      <c r="R178" s="275">
        <f t="shared" si="330"/>
        <v>0.86206896551724133</v>
      </c>
      <c r="S178" s="270">
        <f t="shared" si="331"/>
        <v>0</v>
      </c>
      <c r="T178" s="270">
        <f t="shared" si="332"/>
        <v>0</v>
      </c>
      <c r="U178" s="271">
        <f t="shared" si="333"/>
        <v>0</v>
      </c>
      <c r="V178" s="272">
        <f t="shared" si="334"/>
        <v>464655</v>
      </c>
      <c r="W178" s="273" t="str">
        <f t="shared" si="335"/>
        <v>Nem szükséges indoklás.</v>
      </c>
      <c r="X178" s="372">
        <f t="shared" si="336"/>
        <v>0</v>
      </c>
      <c r="Y178" s="317">
        <f t="shared" si="337"/>
        <v>431034</v>
      </c>
      <c r="Z178" s="317">
        <f t="shared" si="338"/>
        <v>33621</v>
      </c>
      <c r="AA178" s="12">
        <v>2</v>
      </c>
      <c r="AB178" s="274">
        <v>8454981969</v>
      </c>
      <c r="AC178" s="40" t="s">
        <v>169</v>
      </c>
      <c r="AD178" s="82" t="s">
        <v>75</v>
      </c>
      <c r="AE178" s="41" t="s">
        <v>52</v>
      </c>
      <c r="AF178" s="11" t="s">
        <v>151</v>
      </c>
      <c r="AG178" s="11" t="s">
        <v>170</v>
      </c>
      <c r="AH178" s="14" t="s">
        <v>122</v>
      </c>
      <c r="AI178" s="86" t="s">
        <v>21</v>
      </c>
      <c r="AJ178" s="113" t="str">
        <f>IF(COUNTIFS(Admin!$A$29:$A$40,AI178)&gt;0,Admin!$A$28,IF(COUNTIFS(Admin!$B$29:$B$40,AI178)&gt;0,Admin!$B$28,IF(COUNTIFS(Admin!$C$29:$C$40,AI178)&gt;0,Admin!$C$28,IF(COUNTIFS(Admin!$D$29:$D$40,AI178)&gt;0,Admin!$D$28,"-"))))</f>
        <v>2. mérföldkő</v>
      </c>
      <c r="AK178" s="14" t="s">
        <v>7</v>
      </c>
      <c r="AL178" s="9" t="s">
        <v>56</v>
      </c>
      <c r="AM178" s="131">
        <v>500000</v>
      </c>
      <c r="AN178" s="132">
        <v>39000</v>
      </c>
      <c r="AO178" s="121">
        <v>174</v>
      </c>
      <c r="AP178" s="121">
        <v>150</v>
      </c>
      <c r="AQ178" s="354">
        <f t="shared" si="402"/>
        <v>0.86206896551724133</v>
      </c>
      <c r="AR178" s="133">
        <f t="shared" si="214"/>
        <v>431034</v>
      </c>
      <c r="AS178" s="133">
        <f t="shared" ref="AS178:AS189" si="471">IFERROR(ROUND(AR178*AU178,0),"")</f>
        <v>33621</v>
      </c>
      <c r="AT178" s="123">
        <f t="shared" si="404"/>
        <v>9.6551724138027595E-7</v>
      </c>
      <c r="AU178" s="393">
        <f t="shared" ref="AU178:AU185" si="472">AN178/AM178</f>
        <v>7.8E-2</v>
      </c>
      <c r="AV178" s="394" t="s">
        <v>2772</v>
      </c>
      <c r="AW178" s="15">
        <v>44736</v>
      </c>
      <c r="AX178" s="12" t="s">
        <v>206</v>
      </c>
      <c r="BC178" s="1" t="s">
        <v>2829</v>
      </c>
      <c r="BD178" s="1" t="str">
        <f t="shared" ref="BD178:BD186" si="473">CONCATENATE(BC178," - ",AE178)</f>
        <v>Kutató_BM_3 - Kutató</v>
      </c>
    </row>
    <row r="179" spans="1:56" s="1" customFormat="1" hidden="1" x14ac:dyDescent="0.25">
      <c r="A179" s="264" t="str">
        <f>Bérköltség!$B179</f>
        <v>FEOR</v>
      </c>
      <c r="B179" s="264" t="str">
        <f>IFERROR(
IF(AND(Bérköltség!$F179="",H179="NA"),"HIÁNYOS ADATOK",
IF(Bérköltség!$F179&lt;Bérköltség!$U179,Admin!$B$18,Admin!$B$17)),
"")</f>
        <v>FEOR</v>
      </c>
      <c r="C179" s="265">
        <f>IFERROR(INDEX('Historikus berek_2021-2'!$A$1:$F$903,MATCH(AB179,'Historikus berek_2021-2'!$A$1:$A$903,0),4),"")</f>
        <v>300000</v>
      </c>
      <c r="D179" s="279">
        <f t="shared" si="321"/>
        <v>258620.68965517241</v>
      </c>
      <c r="E179" s="265">
        <f t="shared" si="322"/>
        <v>337331</v>
      </c>
      <c r="F179" s="266">
        <f t="shared" si="323"/>
        <v>84849.772482564091</v>
      </c>
      <c r="G179" s="267">
        <f t="shared" si="324"/>
        <v>278793.29379327263</v>
      </c>
      <c r="H179" s="268">
        <f>IFERROR(INDEX('FEOR kodok'!$A$2:$J$1126,MATCH(Bérköltség!AB179,'FEOR kodok'!$B$2:$B$1126,0),8),"NA")</f>
        <v>2117</v>
      </c>
      <c r="I179" s="269">
        <f>IFERROR(INDEX('FEOR kodok'!$A$2:$J$1126,MATCH(Bérköltség!AB179,'FEOR kodok'!$B$2:$B$1126,0),10),"NA")</f>
        <v>32</v>
      </c>
      <c r="J179" s="276" t="str">
        <f t="shared" si="325"/>
        <v>30–39 éves</v>
      </c>
      <c r="K179" s="269" t="str">
        <f>IFERROR(INDEX(admin_feor[#All],MATCH(Bérköltség!H179,admin_feor[[#All],[Foglalkozás]],0),2),"NA")</f>
        <v>Vegyészmérnök</v>
      </c>
      <c r="L179" s="270">
        <f>IFERROR(
INDEX('Admin - FEOR'!$A$4:$F$465,MATCH(Bérköltség!H179,'Admin - FEOR'!$A$4:$A$465,0),
IF(J179="30 év alatt",3,
IF(J179="30–39 éves",4,
IF(J179="40–49 éves",5,
IF(J179="50 év és afelett",6
)))))*1,"NA")</f>
        <v>696588</v>
      </c>
      <c r="M179" s="270">
        <f t="shared" si="326"/>
        <v>391304</v>
      </c>
      <c r="N179" s="318">
        <f t="shared" si="327"/>
        <v>0.56174381413403618</v>
      </c>
      <c r="O179" s="270">
        <f>IFERROR(
INDEX('Admin - FEOR'!$A$4:$F$465,MATCH(Bérköltség!H179,'Admin - FEOR'!$A$4:$A$465,0),
IF(J179="30 év alatt",3,
IF(J179="30–39 éves",4,
IF(J179="40–49 éves",5,
IF(J179="50 év és afelett",6
)))))*1.5,"NA")</f>
        <v>1044882</v>
      </c>
      <c r="P179" s="270">
        <f t="shared" si="328"/>
        <v>900760.3448275862</v>
      </c>
      <c r="Q179" s="270">
        <f t="shared" si="329"/>
        <v>337331</v>
      </c>
      <c r="R179" s="275">
        <f t="shared" si="330"/>
        <v>0.86206896551724133</v>
      </c>
      <c r="S179" s="270">
        <f t="shared" si="331"/>
        <v>0</v>
      </c>
      <c r="T179" s="270">
        <f t="shared" si="332"/>
        <v>0</v>
      </c>
      <c r="U179" s="271">
        <f t="shared" si="333"/>
        <v>0</v>
      </c>
      <c r="V179" s="272">
        <f t="shared" si="334"/>
        <v>363643</v>
      </c>
      <c r="W179" s="273" t="str">
        <f t="shared" si="335"/>
        <v>Nem szükséges indoklás.</v>
      </c>
      <c r="X179" s="372">
        <f t="shared" si="336"/>
        <v>0</v>
      </c>
      <c r="Y179" s="317">
        <f t="shared" si="337"/>
        <v>337331</v>
      </c>
      <c r="Z179" s="317">
        <f t="shared" si="338"/>
        <v>26312</v>
      </c>
      <c r="AA179" s="12">
        <v>2</v>
      </c>
      <c r="AB179" s="274">
        <v>8454981969</v>
      </c>
      <c r="AC179" s="40" t="s">
        <v>169</v>
      </c>
      <c r="AD179" s="82" t="s">
        <v>75</v>
      </c>
      <c r="AE179" s="41" t="s">
        <v>52</v>
      </c>
      <c r="AF179" s="11" t="s">
        <v>151</v>
      </c>
      <c r="AG179" s="11" t="s">
        <v>170</v>
      </c>
      <c r="AH179" s="14" t="s">
        <v>122</v>
      </c>
      <c r="AI179" s="86" t="s">
        <v>22</v>
      </c>
      <c r="AJ179" s="113" t="str">
        <f>IF(COUNTIFS(Admin!$A$29:$A$40,AI179)&gt;0,Admin!$A$28,IF(COUNTIFS(Admin!$B$29:$B$40,AI179)&gt;0,Admin!$B$28,IF(COUNTIFS(Admin!$C$29:$C$40,AI179)&gt;0,Admin!$C$28,IF(COUNTIFS(Admin!$D$29:$D$40,AI179)&gt;0,Admin!$D$28,"-"))))</f>
        <v>2. mérföldkő</v>
      </c>
      <c r="AK179" s="14" t="s">
        <v>7</v>
      </c>
      <c r="AL179" s="9" t="s">
        <v>56</v>
      </c>
      <c r="AM179" s="131">
        <v>391304</v>
      </c>
      <c r="AN179" s="132">
        <v>30522</v>
      </c>
      <c r="AO179" s="121">
        <v>174</v>
      </c>
      <c r="AP179" s="121">
        <v>150</v>
      </c>
      <c r="AQ179" s="354">
        <f t="shared" si="402"/>
        <v>0.86206896551724133</v>
      </c>
      <c r="AR179" s="133">
        <f t="shared" si="214"/>
        <v>337331</v>
      </c>
      <c r="AS179" s="133">
        <f t="shared" si="471"/>
        <v>26312</v>
      </c>
      <c r="AT179" s="123">
        <f t="shared" si="404"/>
        <v>8.8122683594704654E-8</v>
      </c>
      <c r="AU179" s="393">
        <f t="shared" si="472"/>
        <v>7.8000736000654228E-2</v>
      </c>
      <c r="AV179" s="394" t="s">
        <v>2772</v>
      </c>
      <c r="AW179" s="15">
        <v>44736</v>
      </c>
      <c r="AX179" s="12" t="s">
        <v>206</v>
      </c>
      <c r="BC179" s="1" t="s">
        <v>2829</v>
      </c>
      <c r="BD179" s="1" t="str">
        <f t="shared" si="473"/>
        <v>Kutató_BM_3 - Kutató</v>
      </c>
    </row>
    <row r="180" spans="1:56" s="1" customFormat="1" hidden="1" x14ac:dyDescent="0.25">
      <c r="A180" s="264" t="str">
        <f>Bérköltség!$B180</f>
        <v>FEOR</v>
      </c>
      <c r="B180" s="264" t="str">
        <f>IFERROR(
IF(AND(Bérköltség!$F180="",H180="NA"),"HIÁNYOS ADATOK",
IF(Bérköltség!$F180&lt;Bérköltség!$U180,Admin!$B$18,Admin!$B$17)),
"")</f>
        <v>FEOR</v>
      </c>
      <c r="C180" s="265">
        <f>IFERROR(INDEX('Historikus berek_2021-2'!$A$1:$F$903,MATCH(AB180,'Historikus berek_2021-2'!$A$1:$A$903,0),4),"")</f>
        <v>300000</v>
      </c>
      <c r="D180" s="279">
        <f t="shared" si="321"/>
        <v>258620.68965517241</v>
      </c>
      <c r="E180" s="265">
        <f t="shared" si="322"/>
        <v>431034</v>
      </c>
      <c r="F180" s="266">
        <f t="shared" si="323"/>
        <v>185861.54855172412</v>
      </c>
      <c r="G180" s="267">
        <f t="shared" si="324"/>
        <v>278793.10344827588</v>
      </c>
      <c r="H180" s="268">
        <f>IFERROR(INDEX('FEOR kodok'!$A$2:$J$1126,MATCH(Bérköltség!AB180,'FEOR kodok'!$B$2:$B$1126,0),8),"NA")</f>
        <v>2117</v>
      </c>
      <c r="I180" s="269">
        <f>IFERROR(INDEX('FEOR kodok'!$A$2:$J$1126,MATCH(Bérköltség!AB180,'FEOR kodok'!$B$2:$B$1126,0),10),"NA")</f>
        <v>32</v>
      </c>
      <c r="J180" s="276" t="str">
        <f t="shared" si="325"/>
        <v>30–39 éves</v>
      </c>
      <c r="K180" s="269" t="str">
        <f>IFERROR(INDEX(admin_feor[#All],MATCH(Bérköltség!H180,admin_feor[[#All],[Foglalkozás]],0),2),"NA")</f>
        <v>Vegyészmérnök</v>
      </c>
      <c r="L180" s="270">
        <f>IFERROR(
INDEX('Admin - FEOR'!$A$4:$F$465,MATCH(Bérköltség!H180,'Admin - FEOR'!$A$4:$A$465,0),
IF(J180="30 év alatt",3,
IF(J180="30–39 éves",4,
IF(J180="40–49 éves",5,
IF(J180="50 év és afelett",6
)))))*1,"NA")</f>
        <v>696588</v>
      </c>
      <c r="M180" s="270">
        <f t="shared" si="326"/>
        <v>500000</v>
      </c>
      <c r="N180" s="318">
        <f t="shared" si="327"/>
        <v>0.71778440053518</v>
      </c>
      <c r="O180" s="270">
        <f>IFERROR(
INDEX('Admin - FEOR'!$A$4:$F$465,MATCH(Bérköltség!H180,'Admin - FEOR'!$A$4:$A$465,0),
IF(J180="30 év alatt",3,
IF(J180="30–39 éves",4,
IF(J180="40–49 éves",5,
IF(J180="50 év és afelett",6
)))))*1.5,"NA")</f>
        <v>1044882</v>
      </c>
      <c r="P180" s="270">
        <f t="shared" si="328"/>
        <v>900760.3448275862</v>
      </c>
      <c r="Q180" s="270">
        <f t="shared" si="329"/>
        <v>431034</v>
      </c>
      <c r="R180" s="275">
        <f t="shared" si="330"/>
        <v>0.86206896551724133</v>
      </c>
      <c r="S180" s="270">
        <f t="shared" si="331"/>
        <v>0</v>
      </c>
      <c r="T180" s="270">
        <f t="shared" si="332"/>
        <v>0</v>
      </c>
      <c r="U180" s="271">
        <f t="shared" si="333"/>
        <v>0</v>
      </c>
      <c r="V180" s="272">
        <f t="shared" si="334"/>
        <v>464655</v>
      </c>
      <c r="W180" s="273" t="str">
        <f t="shared" si="335"/>
        <v>Nem szükséges indoklás.</v>
      </c>
      <c r="X180" s="372">
        <f t="shared" si="336"/>
        <v>0</v>
      </c>
      <c r="Y180" s="317">
        <f t="shared" si="337"/>
        <v>431034</v>
      </c>
      <c r="Z180" s="317">
        <f t="shared" si="338"/>
        <v>33621</v>
      </c>
      <c r="AA180" s="12">
        <v>2</v>
      </c>
      <c r="AB180" s="274">
        <v>8454981969</v>
      </c>
      <c r="AC180" s="40" t="s">
        <v>169</v>
      </c>
      <c r="AD180" s="82" t="s">
        <v>75</v>
      </c>
      <c r="AE180" s="41" t="s">
        <v>52</v>
      </c>
      <c r="AF180" s="11" t="s">
        <v>151</v>
      </c>
      <c r="AG180" s="11" t="s">
        <v>170</v>
      </c>
      <c r="AH180" s="14" t="s">
        <v>122</v>
      </c>
      <c r="AI180" s="86" t="s">
        <v>23</v>
      </c>
      <c r="AJ180" s="113" t="str">
        <f>IF(COUNTIFS(Admin!$A$29:$A$40,AI180)&gt;0,Admin!$A$28,IF(COUNTIFS(Admin!$B$29:$B$40,AI180)&gt;0,Admin!$B$28,IF(COUNTIFS(Admin!$C$29:$C$40,AI180)&gt;0,Admin!$C$28,IF(COUNTIFS(Admin!$D$29:$D$40,AI180)&gt;0,Admin!$D$28,"-"))))</f>
        <v>2. mérföldkő</v>
      </c>
      <c r="AK180" s="14" t="s">
        <v>7</v>
      </c>
      <c r="AL180" s="9" t="s">
        <v>56</v>
      </c>
      <c r="AM180" s="131">
        <v>500000</v>
      </c>
      <c r="AN180" s="132">
        <v>39000</v>
      </c>
      <c r="AO180" s="121">
        <v>174</v>
      </c>
      <c r="AP180" s="121">
        <v>150</v>
      </c>
      <c r="AQ180" s="354">
        <f t="shared" si="402"/>
        <v>0.86206896551724133</v>
      </c>
      <c r="AR180" s="133">
        <f t="shared" si="214"/>
        <v>431034</v>
      </c>
      <c r="AS180" s="133">
        <f t="shared" si="471"/>
        <v>33621</v>
      </c>
      <c r="AT180" s="123">
        <f t="shared" ref="AT180:AT185" si="474">IFERROR(AP180/AO180-AR180/AM180,"")</f>
        <v>9.6551724138027595E-7</v>
      </c>
      <c r="AU180" s="393">
        <f t="shared" si="472"/>
        <v>7.8E-2</v>
      </c>
      <c r="AV180" s="394" t="s">
        <v>2772</v>
      </c>
      <c r="AW180" s="15">
        <v>44736</v>
      </c>
      <c r="AX180" s="12" t="s">
        <v>206</v>
      </c>
      <c r="BC180" s="1" t="s">
        <v>2829</v>
      </c>
      <c r="BD180" s="1" t="str">
        <f t="shared" si="473"/>
        <v>Kutató_BM_3 - Kutató</v>
      </c>
    </row>
    <row r="181" spans="1:56" s="1" customFormat="1" hidden="1" x14ac:dyDescent="0.25">
      <c r="A181" s="264" t="str">
        <f>Bérköltség!$B181</f>
        <v>FEOR</v>
      </c>
      <c r="B181" s="264" t="str">
        <f>IFERROR(
IF(AND(Bérköltség!$F181="",H181="NA"),"HIÁNYOS ADATOK",
IF(Bérköltség!$F181&lt;Bérköltség!$U181,Admin!$B$18,Admin!$B$17)),
"")</f>
        <v>FEOR</v>
      </c>
      <c r="C181" s="265">
        <f>IFERROR(INDEX('Historikus berek_2021-2'!$A$1:$F$903,MATCH(AB181,'Historikus berek_2021-2'!$A$1:$A$903,0),4),"")</f>
        <v>300000</v>
      </c>
      <c r="D181" s="279">
        <f t="shared" si="321"/>
        <v>258620.68965517241</v>
      </c>
      <c r="E181" s="265">
        <f t="shared" si="322"/>
        <v>431034</v>
      </c>
      <c r="F181" s="266">
        <f t="shared" si="323"/>
        <v>185861.54855172412</v>
      </c>
      <c r="G181" s="267">
        <f t="shared" si="324"/>
        <v>278793.10344827588</v>
      </c>
      <c r="H181" s="268">
        <f>IFERROR(INDEX('FEOR kodok'!$A$2:$J$1126,MATCH(Bérköltség!AB181,'FEOR kodok'!$B$2:$B$1126,0),8),"NA")</f>
        <v>2117</v>
      </c>
      <c r="I181" s="269">
        <f>IFERROR(INDEX('FEOR kodok'!$A$2:$J$1126,MATCH(Bérköltség!AB181,'FEOR kodok'!$B$2:$B$1126,0),10),"NA")</f>
        <v>32</v>
      </c>
      <c r="J181" s="276" t="str">
        <f t="shared" si="325"/>
        <v>30–39 éves</v>
      </c>
      <c r="K181" s="269" t="str">
        <f>IFERROR(INDEX(admin_feor[#All],MATCH(Bérköltség!H181,admin_feor[[#All],[Foglalkozás]],0),2),"NA")</f>
        <v>Vegyészmérnök</v>
      </c>
      <c r="L181" s="270">
        <f>IFERROR(
INDEX('Admin - FEOR'!$A$4:$F$465,MATCH(Bérköltség!H181,'Admin - FEOR'!$A$4:$A$465,0),
IF(J181="30 év alatt",3,
IF(J181="30–39 éves",4,
IF(J181="40–49 éves",5,
IF(J181="50 év és afelett",6
)))))*1,"NA")</f>
        <v>696588</v>
      </c>
      <c r="M181" s="270">
        <f t="shared" si="326"/>
        <v>500000</v>
      </c>
      <c r="N181" s="318">
        <f t="shared" si="327"/>
        <v>0.71778440053518</v>
      </c>
      <c r="O181" s="270">
        <f>IFERROR(
INDEX('Admin - FEOR'!$A$4:$F$465,MATCH(Bérköltség!H181,'Admin - FEOR'!$A$4:$A$465,0),
IF(J181="30 év alatt",3,
IF(J181="30–39 éves",4,
IF(J181="40–49 éves",5,
IF(J181="50 év és afelett",6
)))))*1.5,"NA")</f>
        <v>1044882</v>
      </c>
      <c r="P181" s="270">
        <f t="shared" si="328"/>
        <v>900760.3448275862</v>
      </c>
      <c r="Q181" s="270">
        <f t="shared" si="329"/>
        <v>431034</v>
      </c>
      <c r="R181" s="275">
        <f t="shared" si="330"/>
        <v>0.86206896551724133</v>
      </c>
      <c r="S181" s="270">
        <f t="shared" si="331"/>
        <v>0</v>
      </c>
      <c r="T181" s="270">
        <f t="shared" si="332"/>
        <v>0</v>
      </c>
      <c r="U181" s="271">
        <f t="shared" si="333"/>
        <v>0</v>
      </c>
      <c r="V181" s="272">
        <f t="shared" si="334"/>
        <v>464655</v>
      </c>
      <c r="W181" s="273" t="str">
        <f t="shared" si="335"/>
        <v>Nem szükséges indoklás.</v>
      </c>
      <c r="X181" s="372">
        <f t="shared" si="336"/>
        <v>0</v>
      </c>
      <c r="Y181" s="317">
        <f t="shared" si="337"/>
        <v>431034</v>
      </c>
      <c r="Z181" s="317">
        <f t="shared" si="338"/>
        <v>33621</v>
      </c>
      <c r="AA181" s="12">
        <v>2</v>
      </c>
      <c r="AB181" s="274">
        <v>8454981969</v>
      </c>
      <c r="AC181" s="40" t="s">
        <v>169</v>
      </c>
      <c r="AD181" s="82" t="s">
        <v>75</v>
      </c>
      <c r="AE181" s="41" t="s">
        <v>52</v>
      </c>
      <c r="AF181" s="11" t="s">
        <v>151</v>
      </c>
      <c r="AG181" s="11" t="s">
        <v>170</v>
      </c>
      <c r="AH181" s="14" t="s">
        <v>122</v>
      </c>
      <c r="AI181" s="86" t="s">
        <v>24</v>
      </c>
      <c r="AJ181" s="113" t="str">
        <f>IF(COUNTIFS(Admin!$A$29:$A$40,AI181)&gt;0,Admin!$A$28,IF(COUNTIFS(Admin!$B$29:$B$40,AI181)&gt;0,Admin!$B$28,IF(COUNTIFS(Admin!$C$29:$C$40,AI181)&gt;0,Admin!$C$28,IF(COUNTIFS(Admin!$D$29:$D$40,AI181)&gt;0,Admin!$D$28,"-"))))</f>
        <v>2. mérföldkő</v>
      </c>
      <c r="AK181" s="14" t="s">
        <v>7</v>
      </c>
      <c r="AL181" s="9" t="s">
        <v>56</v>
      </c>
      <c r="AM181" s="131">
        <v>500000</v>
      </c>
      <c r="AN181" s="132">
        <v>39000</v>
      </c>
      <c r="AO181" s="121">
        <v>174</v>
      </c>
      <c r="AP181" s="121">
        <v>150</v>
      </c>
      <c r="AQ181" s="354">
        <f t="shared" si="402"/>
        <v>0.86206896551724133</v>
      </c>
      <c r="AR181" s="133">
        <f t="shared" si="214"/>
        <v>431034</v>
      </c>
      <c r="AS181" s="133">
        <f t="shared" si="471"/>
        <v>33621</v>
      </c>
      <c r="AT181" s="123">
        <f t="shared" si="474"/>
        <v>9.6551724138027595E-7</v>
      </c>
      <c r="AU181" s="393">
        <f t="shared" si="472"/>
        <v>7.8E-2</v>
      </c>
      <c r="AV181" s="394" t="s">
        <v>2772</v>
      </c>
      <c r="AW181" s="15">
        <v>44736</v>
      </c>
      <c r="AX181" s="12" t="s">
        <v>206</v>
      </c>
      <c r="BC181" s="1" t="s">
        <v>2829</v>
      </c>
      <c r="BD181" s="1" t="str">
        <f t="shared" si="473"/>
        <v>Kutató_BM_3 - Kutató</v>
      </c>
    </row>
    <row r="182" spans="1:56" s="1" customFormat="1" hidden="1" x14ac:dyDescent="0.25">
      <c r="A182" s="264" t="str">
        <f>Bérköltség!$B182</f>
        <v>FEOR</v>
      </c>
      <c r="B182" s="264" t="str">
        <f>IFERROR(
IF(AND(Bérköltség!$F182="",H182="NA"),"HIÁNYOS ADATOK",
IF(Bérköltség!$F182&lt;Bérköltség!$U182,Admin!$B$18,Admin!$B$17)),
"")</f>
        <v>FEOR</v>
      </c>
      <c r="C182" s="265">
        <f>IFERROR(INDEX('Historikus berek_2021-2'!$A$1:$F$903,MATCH(AB182,'Historikus berek_2021-2'!$A$1:$A$903,0),4),"")</f>
        <v>300000</v>
      </c>
      <c r="D182" s="279">
        <f t="shared" si="321"/>
        <v>258620.68965517241</v>
      </c>
      <c r="E182" s="265">
        <f t="shared" si="322"/>
        <v>431034</v>
      </c>
      <c r="F182" s="266">
        <f t="shared" si="323"/>
        <v>185861.54855172412</v>
      </c>
      <c r="G182" s="267">
        <f t="shared" si="324"/>
        <v>278793.10344827588</v>
      </c>
      <c r="H182" s="268">
        <f>IFERROR(INDEX('FEOR kodok'!$A$2:$J$1126,MATCH(Bérköltség!AB182,'FEOR kodok'!$B$2:$B$1126,0),8),"NA")</f>
        <v>2117</v>
      </c>
      <c r="I182" s="269">
        <f>IFERROR(INDEX('FEOR kodok'!$A$2:$J$1126,MATCH(Bérköltség!AB182,'FEOR kodok'!$B$2:$B$1126,0),10),"NA")</f>
        <v>32</v>
      </c>
      <c r="J182" s="276" t="str">
        <f t="shared" si="325"/>
        <v>30–39 éves</v>
      </c>
      <c r="K182" s="269" t="str">
        <f>IFERROR(INDEX(admin_feor[#All],MATCH(Bérköltség!H182,admin_feor[[#All],[Foglalkozás]],0),2),"NA")</f>
        <v>Vegyészmérnök</v>
      </c>
      <c r="L182" s="270">
        <f>IFERROR(
INDEX('Admin - FEOR'!$A$4:$F$465,MATCH(Bérköltség!H182,'Admin - FEOR'!$A$4:$A$465,0),
IF(J182="30 év alatt",3,
IF(J182="30–39 éves",4,
IF(J182="40–49 éves",5,
IF(J182="50 év és afelett",6
)))))*1,"NA")</f>
        <v>696588</v>
      </c>
      <c r="M182" s="270">
        <f t="shared" si="326"/>
        <v>500000</v>
      </c>
      <c r="N182" s="318">
        <f t="shared" si="327"/>
        <v>0.71778440053518</v>
      </c>
      <c r="O182" s="270">
        <f>IFERROR(
INDEX('Admin - FEOR'!$A$4:$F$465,MATCH(Bérköltség!H182,'Admin - FEOR'!$A$4:$A$465,0),
IF(J182="30 év alatt",3,
IF(J182="30–39 éves",4,
IF(J182="40–49 éves",5,
IF(J182="50 év és afelett",6
)))))*1.5,"NA")</f>
        <v>1044882</v>
      </c>
      <c r="P182" s="270">
        <f t="shared" si="328"/>
        <v>900760.3448275862</v>
      </c>
      <c r="Q182" s="270">
        <f t="shared" si="329"/>
        <v>431034</v>
      </c>
      <c r="R182" s="275">
        <f t="shared" si="330"/>
        <v>0.86206896551724133</v>
      </c>
      <c r="S182" s="270">
        <f t="shared" si="331"/>
        <v>0</v>
      </c>
      <c r="T182" s="270">
        <f t="shared" si="332"/>
        <v>0</v>
      </c>
      <c r="U182" s="271">
        <f t="shared" si="333"/>
        <v>0</v>
      </c>
      <c r="V182" s="272">
        <f t="shared" si="334"/>
        <v>464655</v>
      </c>
      <c r="W182" s="273" t="str">
        <f t="shared" si="335"/>
        <v>Nem szükséges indoklás.</v>
      </c>
      <c r="X182" s="372">
        <f t="shared" si="336"/>
        <v>0</v>
      </c>
      <c r="Y182" s="317">
        <f t="shared" si="337"/>
        <v>431034</v>
      </c>
      <c r="Z182" s="317">
        <f t="shared" si="338"/>
        <v>33621</v>
      </c>
      <c r="AA182" s="12">
        <v>2</v>
      </c>
      <c r="AB182" s="274">
        <v>8454981969</v>
      </c>
      <c r="AC182" s="40" t="s">
        <v>169</v>
      </c>
      <c r="AD182" s="82" t="s">
        <v>75</v>
      </c>
      <c r="AE182" s="41" t="s">
        <v>52</v>
      </c>
      <c r="AF182" s="11" t="s">
        <v>151</v>
      </c>
      <c r="AG182" s="11" t="s">
        <v>170</v>
      </c>
      <c r="AH182" s="14" t="s">
        <v>122</v>
      </c>
      <c r="AI182" s="86" t="s">
        <v>25</v>
      </c>
      <c r="AJ182" s="113" t="str">
        <f>IF(COUNTIFS(Admin!$A$29:$A$40,AI182)&gt;0,Admin!$A$28,IF(COUNTIFS(Admin!$B$29:$B$40,AI182)&gt;0,Admin!$B$28,IF(COUNTIFS(Admin!$C$29:$C$40,AI182)&gt;0,Admin!$C$28,IF(COUNTIFS(Admin!$D$29:$D$40,AI182)&gt;0,Admin!$D$28,"-"))))</f>
        <v>2. mérföldkő</v>
      </c>
      <c r="AK182" s="14" t="s">
        <v>7</v>
      </c>
      <c r="AL182" s="9" t="s">
        <v>56</v>
      </c>
      <c r="AM182" s="131">
        <v>500000</v>
      </c>
      <c r="AN182" s="132">
        <v>39000</v>
      </c>
      <c r="AO182" s="121">
        <v>174</v>
      </c>
      <c r="AP182" s="121">
        <v>150</v>
      </c>
      <c r="AQ182" s="354">
        <f t="shared" si="402"/>
        <v>0.86206896551724133</v>
      </c>
      <c r="AR182" s="133">
        <f t="shared" si="214"/>
        <v>431034</v>
      </c>
      <c r="AS182" s="133">
        <f t="shared" si="471"/>
        <v>33621</v>
      </c>
      <c r="AT182" s="123">
        <f t="shared" si="474"/>
        <v>9.6551724138027595E-7</v>
      </c>
      <c r="AU182" s="393">
        <f t="shared" si="472"/>
        <v>7.8E-2</v>
      </c>
      <c r="AV182" s="394" t="s">
        <v>2772</v>
      </c>
      <c r="AW182" s="15">
        <v>44736</v>
      </c>
      <c r="AX182" s="12" t="s">
        <v>206</v>
      </c>
      <c r="AZ182" s="1" t="s">
        <v>2667</v>
      </c>
      <c r="BA182" s="1" t="s">
        <v>2667</v>
      </c>
      <c r="BB182" s="1" t="s">
        <v>2667</v>
      </c>
      <c r="BC182" s="1" t="s">
        <v>2829</v>
      </c>
      <c r="BD182" s="1" t="str">
        <f t="shared" si="473"/>
        <v>Kutató_BM_3 - Kutató</v>
      </c>
    </row>
    <row r="183" spans="1:56" s="1" customFormat="1" hidden="1" x14ac:dyDescent="0.25">
      <c r="A183" s="264" t="str">
        <f>Bérköltség!$B183</f>
        <v>FEOR</v>
      </c>
      <c r="B183" s="264" t="str">
        <f>IFERROR(
IF(AND(Bérköltség!$F183="",H183="NA"),"HIÁNYOS ADATOK",
IF(Bérköltség!$F183&lt;Bérköltség!$U183,Admin!$B$18,Admin!$B$17)),
"")</f>
        <v>FEOR</v>
      </c>
      <c r="C183" s="265">
        <f>IFERROR(INDEX('Historikus berek_2021-2'!$A$1:$F$903,MATCH(AB183,'Historikus berek_2021-2'!$A$1:$A$903,0),4),"")</f>
        <v>300000</v>
      </c>
      <c r="D183" s="279">
        <f t="shared" si="321"/>
        <v>258620.68965517241</v>
      </c>
      <c r="E183" s="265">
        <f t="shared" si="322"/>
        <v>431034</v>
      </c>
      <c r="F183" s="266">
        <f t="shared" si="323"/>
        <v>185967.75515089661</v>
      </c>
      <c r="G183" s="267">
        <f t="shared" si="324"/>
        <v>278952.41379310342</v>
      </c>
      <c r="H183" s="268">
        <f>IFERROR(INDEX('FEOR kodok'!$A$2:$J$1126,MATCH(Bérköltség!AB183,'FEOR kodok'!$B$2:$B$1126,0),8),"NA")</f>
        <v>2117</v>
      </c>
      <c r="I183" s="269">
        <f>IFERROR(INDEX('FEOR kodok'!$A$2:$J$1126,MATCH(Bérköltség!AB183,'FEOR kodok'!$B$2:$B$1126,0),10),"NA")</f>
        <v>32</v>
      </c>
      <c r="J183" s="276" t="str">
        <f t="shared" si="325"/>
        <v>30–39 éves</v>
      </c>
      <c r="K183" s="269" t="str">
        <f>IFERROR(INDEX(admin_feor[#All],MATCH(Bérköltség!H183,admin_feor[[#All],[Foglalkozás]],0),2),"NA")</f>
        <v>Vegyészmérnök</v>
      </c>
      <c r="L183" s="270">
        <f>IFERROR(
INDEX('Admin - FEOR'!$A$4:$F$465,MATCH(Bérköltség!H183,'Admin - FEOR'!$A$4:$A$465,0),
IF(J183="30 év alatt",3,
IF(J183="30–39 éves",4,
IF(J183="40–49 éves",5,
IF(J183="50 év és afelett",6
)))))*1,"NA")</f>
        <v>696588</v>
      </c>
      <c r="M183" s="270">
        <f t="shared" si="326"/>
        <v>500000</v>
      </c>
      <c r="N183" s="318">
        <f t="shared" si="327"/>
        <v>0.71778440053518</v>
      </c>
      <c r="O183" s="270">
        <f>IFERROR(
INDEX('Admin - FEOR'!$A$4:$F$465,MATCH(Bérköltség!H183,'Admin - FEOR'!$A$4:$A$465,0),
IF(J183="30 év alatt",3,
IF(J183="30–39 éves",4,
IF(J183="40–49 éves",5,
IF(J183="50 év és afelett",6
)))))*1.5,"NA")</f>
        <v>1044882</v>
      </c>
      <c r="P183" s="270">
        <f t="shared" si="328"/>
        <v>900760.3448275862</v>
      </c>
      <c r="Q183" s="270">
        <f t="shared" si="329"/>
        <v>431034</v>
      </c>
      <c r="R183" s="275">
        <f t="shared" si="330"/>
        <v>0.86206896551724133</v>
      </c>
      <c r="S183" s="270">
        <f t="shared" si="331"/>
        <v>0</v>
      </c>
      <c r="T183" s="270">
        <f t="shared" si="332"/>
        <v>0</v>
      </c>
      <c r="U183" s="271">
        <f t="shared" si="333"/>
        <v>0</v>
      </c>
      <c r="V183" s="272">
        <f t="shared" si="334"/>
        <v>464920</v>
      </c>
      <c r="W183" s="273" t="str">
        <f t="shared" si="335"/>
        <v>Nem szükséges indoklás.</v>
      </c>
      <c r="X183" s="372">
        <f t="shared" si="336"/>
        <v>0</v>
      </c>
      <c r="Y183" s="317">
        <f t="shared" si="337"/>
        <v>431034</v>
      </c>
      <c r="Z183" s="317">
        <f t="shared" si="338"/>
        <v>33886</v>
      </c>
      <c r="AA183" s="12">
        <v>2</v>
      </c>
      <c r="AB183" s="274">
        <v>8454981969</v>
      </c>
      <c r="AC183" s="40" t="s">
        <v>169</v>
      </c>
      <c r="AD183" s="82" t="s">
        <v>75</v>
      </c>
      <c r="AE183" s="41" t="s">
        <v>52</v>
      </c>
      <c r="AF183" s="11" t="s">
        <v>151</v>
      </c>
      <c r="AG183" s="11" t="s">
        <v>170</v>
      </c>
      <c r="AH183" s="14" t="s">
        <v>122</v>
      </c>
      <c r="AI183" s="86" t="s">
        <v>26</v>
      </c>
      <c r="AJ183" s="113" t="str">
        <f>IF(COUNTIFS(Admin!$A$29:$A$40,AI183)&gt;0,Admin!$A$28,IF(COUNTIFS(Admin!$B$29:$B$40,AI183)&gt;0,Admin!$B$28,IF(COUNTIFS(Admin!$C$29:$C$40,AI183)&gt;0,Admin!$C$28,IF(COUNTIFS(Admin!$D$29:$D$40,AI183)&gt;0,Admin!$D$28,"-"))))</f>
        <v>2. mérföldkő</v>
      </c>
      <c r="AK183" s="14" t="s">
        <v>7</v>
      </c>
      <c r="AL183" s="9" t="s">
        <v>56</v>
      </c>
      <c r="AM183" s="131">
        <v>500000</v>
      </c>
      <c r="AN183" s="132">
        <v>39308</v>
      </c>
      <c r="AO183" s="121">
        <v>174</v>
      </c>
      <c r="AP183" s="121">
        <v>150</v>
      </c>
      <c r="AQ183" s="354">
        <f t="shared" si="402"/>
        <v>0.86206896551724133</v>
      </c>
      <c r="AR183" s="133">
        <f t="shared" si="214"/>
        <v>431034</v>
      </c>
      <c r="AS183" s="133">
        <f t="shared" si="471"/>
        <v>33886</v>
      </c>
      <c r="AT183" s="123">
        <f t="shared" si="474"/>
        <v>9.6551724138027595E-7</v>
      </c>
      <c r="AU183" s="393">
        <f t="shared" si="472"/>
        <v>7.8616000000000005E-2</v>
      </c>
      <c r="AV183" s="394" t="s">
        <v>2772</v>
      </c>
      <c r="AW183" s="15">
        <v>44736</v>
      </c>
      <c r="AX183" s="12" t="s">
        <v>206</v>
      </c>
      <c r="AZ183" s="1" t="s">
        <v>2667</v>
      </c>
      <c r="BA183" s="1" t="s">
        <v>2668</v>
      </c>
      <c r="BB183" s="1" t="s">
        <v>2668</v>
      </c>
      <c r="BC183" s="1" t="s">
        <v>2829</v>
      </c>
      <c r="BD183" s="1" t="str">
        <f t="shared" si="473"/>
        <v>Kutató_BM_3 - Kutató</v>
      </c>
    </row>
    <row r="184" spans="1:56" s="1" customFormat="1" hidden="1" x14ac:dyDescent="0.25">
      <c r="A184" s="264" t="str">
        <f>Bérköltség!$B184</f>
        <v>FEOR</v>
      </c>
      <c r="B184" s="264" t="str">
        <f>IFERROR(
IF(AND(Bérköltség!$F184="",H184="NA"),"HIÁNYOS ADATOK",
IF(Bérköltség!$F184&lt;Bérköltség!$U184,Admin!$B$18,Admin!$B$17)),
"")</f>
        <v>FEOR</v>
      </c>
      <c r="C184" s="265">
        <f>IFERROR(INDEX('Historikus berek_2021-2'!$A$1:$F$903,MATCH(AB184,'Historikus berek_2021-2'!$A$1:$A$903,0),4),"")</f>
        <v>300000</v>
      </c>
      <c r="D184" s="279">
        <f t="shared" si="321"/>
        <v>258620.68965517241</v>
      </c>
      <c r="E184" s="265">
        <f t="shared" si="322"/>
        <v>431034</v>
      </c>
      <c r="F184" s="266">
        <f t="shared" si="323"/>
        <v>184427.0938372222</v>
      </c>
      <c r="G184" s="267">
        <f t="shared" si="324"/>
        <v>276641.41535179625</v>
      </c>
      <c r="H184" s="268">
        <f>IFERROR(INDEX('FEOR kodok'!$A$2:$J$1126,MATCH(Bérköltség!AB184,'FEOR kodok'!$B$2:$B$1126,0),8),"NA")</f>
        <v>2117</v>
      </c>
      <c r="I184" s="269">
        <f>IFERROR(INDEX('FEOR kodok'!$A$2:$J$1126,MATCH(Bérköltség!AB184,'FEOR kodok'!$B$2:$B$1126,0),10),"NA")</f>
        <v>32</v>
      </c>
      <c r="J184" s="276" t="str">
        <f t="shared" si="325"/>
        <v>30–39 éves</v>
      </c>
      <c r="K184" s="269" t="str">
        <f>IFERROR(INDEX(admin_feor[#All],MATCH(Bérköltség!H184,admin_feor[[#All],[Foglalkozás]],0),2),"NA")</f>
        <v>Vegyészmérnök</v>
      </c>
      <c r="L184" s="270">
        <f>IFERROR(
INDEX('Admin - FEOR'!$A$4:$F$465,MATCH(Bérköltség!H184,'Admin - FEOR'!$A$4:$A$465,0),
IF(J184="30 év alatt",3,
IF(J184="30–39 éves",4,
IF(J184="40–49 éves",5,
IF(J184="50 év és afelett",6
)))))*1,"NA")</f>
        <v>696588</v>
      </c>
      <c r="M184" s="270">
        <f t="shared" si="326"/>
        <v>499999</v>
      </c>
      <c r="N184" s="318">
        <f t="shared" si="327"/>
        <v>0.71778296496637894</v>
      </c>
      <c r="O184" s="270">
        <f>IFERROR(
INDEX('Admin - FEOR'!$A$4:$F$465,MATCH(Bérköltség!H184,'Admin - FEOR'!$A$4:$A$465,0),
IF(J184="30 év alatt",3,
IF(J184="30–39 éves",4,
IF(J184="40–49 éves",5,
IF(J184="50 év és afelett",6
)))))*1.5,"NA")</f>
        <v>1044882</v>
      </c>
      <c r="P184" s="270">
        <f t="shared" si="328"/>
        <v>900760.3448275862</v>
      </c>
      <c r="Q184" s="270">
        <f t="shared" si="329"/>
        <v>431034</v>
      </c>
      <c r="R184" s="275">
        <f t="shared" si="330"/>
        <v>0.86206896551724133</v>
      </c>
      <c r="S184" s="270">
        <f t="shared" si="331"/>
        <v>0</v>
      </c>
      <c r="T184" s="270">
        <f t="shared" si="332"/>
        <v>0</v>
      </c>
      <c r="U184" s="271">
        <f t="shared" si="333"/>
        <v>0</v>
      </c>
      <c r="V184" s="272">
        <f t="shared" si="334"/>
        <v>461069</v>
      </c>
      <c r="W184" s="273" t="str">
        <f t="shared" si="335"/>
        <v>Nem szükséges indoklás.</v>
      </c>
      <c r="X184" s="372">
        <f t="shared" si="336"/>
        <v>0</v>
      </c>
      <c r="Y184" s="317">
        <f t="shared" si="337"/>
        <v>431034</v>
      </c>
      <c r="Z184" s="317">
        <f t="shared" si="338"/>
        <v>30035</v>
      </c>
      <c r="AA184" s="12">
        <v>2</v>
      </c>
      <c r="AB184" s="274">
        <v>8454981969</v>
      </c>
      <c r="AC184" s="40" t="s">
        <v>169</v>
      </c>
      <c r="AD184" s="82" t="s">
        <v>75</v>
      </c>
      <c r="AE184" s="41" t="s">
        <v>52</v>
      </c>
      <c r="AF184" s="11" t="s">
        <v>151</v>
      </c>
      <c r="AG184" s="11" t="s">
        <v>170</v>
      </c>
      <c r="AH184" s="14" t="s">
        <v>122</v>
      </c>
      <c r="AI184" s="86" t="s">
        <v>32</v>
      </c>
      <c r="AJ184" s="113" t="str">
        <f>IF(COUNTIFS(Admin!$A$29:$A$40,AI184)&gt;0,Admin!$A$28,IF(COUNTIFS(Admin!$B$29:$B$40,AI184)&gt;0,Admin!$B$28,IF(COUNTIFS(Admin!$C$29:$C$40,AI184)&gt;0,Admin!$C$28,IF(COUNTIFS(Admin!$D$29:$D$40,AI184)&gt;0,Admin!$D$28,"-"))))</f>
        <v>2. mérföldkő</v>
      </c>
      <c r="AK184" s="14" t="s">
        <v>7</v>
      </c>
      <c r="AL184" s="9" t="s">
        <v>56</v>
      </c>
      <c r="AM184" s="131">
        <v>499999</v>
      </c>
      <c r="AN184" s="132">
        <v>34840</v>
      </c>
      <c r="AO184" s="121">
        <v>174</v>
      </c>
      <c r="AP184" s="121">
        <v>150</v>
      </c>
      <c r="AQ184" s="354">
        <f t="shared" si="402"/>
        <v>0.86206896551724133</v>
      </c>
      <c r="AR184" s="133">
        <f t="shared" si="214"/>
        <v>431034</v>
      </c>
      <c r="AS184" s="133">
        <f t="shared" si="471"/>
        <v>30035</v>
      </c>
      <c r="AT184" s="123">
        <f t="shared" si="474"/>
        <v>-7.5862220694222771E-7</v>
      </c>
      <c r="AU184" s="393">
        <f t="shared" si="472"/>
        <v>6.9680139360278726E-2</v>
      </c>
      <c r="AV184" s="394" t="s">
        <v>2772</v>
      </c>
      <c r="AW184" s="15">
        <v>44938</v>
      </c>
      <c r="AX184" s="12" t="s">
        <v>206</v>
      </c>
      <c r="AZ184" s="1" t="s">
        <v>2667</v>
      </c>
      <c r="BA184" s="1">
        <v>0</v>
      </c>
      <c r="BB184" s="1">
        <v>0</v>
      </c>
      <c r="BC184" s="1" t="s">
        <v>2829</v>
      </c>
      <c r="BD184" s="1" t="str">
        <f t="shared" si="473"/>
        <v>Kutató_BM_3 - Kutató</v>
      </c>
    </row>
    <row r="185" spans="1:56" s="1" customFormat="1" hidden="1" x14ac:dyDescent="0.25">
      <c r="A185" s="264" t="str">
        <f>Bérköltség!$B185</f>
        <v>FEOR</v>
      </c>
      <c r="B185" s="264" t="str">
        <f>IFERROR(
IF(AND(Bérköltség!$F185="",H185="NA"),"HIÁNYOS ADATOK",
IF(Bérköltség!$F185&lt;Bérköltség!$U185,Admin!$B$18,Admin!$B$17)),
"")</f>
        <v>FEOR</v>
      </c>
      <c r="C185" s="265">
        <f>IFERROR(INDEX('Historikus berek_2021-2'!$A$1:$F$903,MATCH(AB185,'Historikus berek_2021-2'!$A$1:$A$903,0),4),"")</f>
        <v>300000</v>
      </c>
      <c r="D185" s="279">
        <f t="shared" si="321"/>
        <v>258620.68965517241</v>
      </c>
      <c r="E185" s="265">
        <f t="shared" si="322"/>
        <v>431034</v>
      </c>
      <c r="F185" s="266">
        <f t="shared" si="323"/>
        <v>184427.06980965519</v>
      </c>
      <c r="G185" s="267">
        <f t="shared" si="324"/>
        <v>276641.37931034481</v>
      </c>
      <c r="H185" s="268">
        <f>IFERROR(INDEX('FEOR kodok'!$A$2:$J$1126,MATCH(Bérköltség!AB185,'FEOR kodok'!$B$2:$B$1126,0),8),"NA")</f>
        <v>2117</v>
      </c>
      <c r="I185" s="269">
        <f>IFERROR(INDEX('FEOR kodok'!$A$2:$J$1126,MATCH(Bérköltség!AB185,'FEOR kodok'!$B$2:$B$1126,0),10),"NA")</f>
        <v>32</v>
      </c>
      <c r="J185" s="276" t="str">
        <f t="shared" si="325"/>
        <v>30–39 éves</v>
      </c>
      <c r="K185" s="269" t="str">
        <f>IFERROR(INDEX(admin_feor[#All],MATCH(Bérköltség!H185,admin_feor[[#All],[Foglalkozás]],0),2),"NA")</f>
        <v>Vegyészmérnök</v>
      </c>
      <c r="L185" s="270">
        <f>IFERROR(
INDEX('Admin - FEOR'!$A$4:$F$465,MATCH(Bérköltség!H185,'Admin - FEOR'!$A$4:$A$465,0),
IF(J185="30 év alatt",3,
IF(J185="30–39 éves",4,
IF(J185="40–49 éves",5,
IF(J185="50 év és afelett",6
)))))*1,"NA")</f>
        <v>696588</v>
      </c>
      <c r="M185" s="270">
        <f t="shared" si="326"/>
        <v>500000</v>
      </c>
      <c r="N185" s="318">
        <f t="shared" si="327"/>
        <v>0.71778440053518</v>
      </c>
      <c r="O185" s="270">
        <f>IFERROR(
INDEX('Admin - FEOR'!$A$4:$F$465,MATCH(Bérköltség!H185,'Admin - FEOR'!$A$4:$A$465,0),
IF(J185="30 év alatt",3,
IF(J185="30–39 éves",4,
IF(J185="40–49 éves",5,
IF(J185="50 év és afelett",6
)))))*1.5,"NA")</f>
        <v>1044882</v>
      </c>
      <c r="P185" s="270">
        <f t="shared" si="328"/>
        <v>900760.3448275862</v>
      </c>
      <c r="Q185" s="270">
        <f t="shared" si="329"/>
        <v>431034</v>
      </c>
      <c r="R185" s="275">
        <f t="shared" si="330"/>
        <v>0.86206896551724133</v>
      </c>
      <c r="S185" s="270">
        <f t="shared" si="331"/>
        <v>0</v>
      </c>
      <c r="T185" s="270">
        <f t="shared" si="332"/>
        <v>0</v>
      </c>
      <c r="U185" s="271">
        <f t="shared" si="333"/>
        <v>0</v>
      </c>
      <c r="V185" s="272">
        <f t="shared" si="334"/>
        <v>461068</v>
      </c>
      <c r="W185" s="273" t="str">
        <f t="shared" si="335"/>
        <v>Nem szükséges indoklás.</v>
      </c>
      <c r="X185" s="372">
        <f t="shared" si="336"/>
        <v>0</v>
      </c>
      <c r="Y185" s="317">
        <f t="shared" si="337"/>
        <v>431034</v>
      </c>
      <c r="Z185" s="317">
        <f t="shared" si="338"/>
        <v>30034</v>
      </c>
      <c r="AA185" s="12">
        <v>2</v>
      </c>
      <c r="AB185" s="274">
        <v>8454981969</v>
      </c>
      <c r="AC185" s="40" t="s">
        <v>169</v>
      </c>
      <c r="AD185" s="82" t="s">
        <v>75</v>
      </c>
      <c r="AE185" s="41" t="s">
        <v>52</v>
      </c>
      <c r="AF185" s="11" t="s">
        <v>151</v>
      </c>
      <c r="AG185" s="11" t="s">
        <v>170</v>
      </c>
      <c r="AH185" s="14" t="s">
        <v>122</v>
      </c>
      <c r="AI185" s="86" t="s">
        <v>33</v>
      </c>
      <c r="AJ185" s="113" t="str">
        <f>IF(COUNTIFS(Admin!$A$29:$A$40,AI185)&gt;0,Admin!$A$28,IF(COUNTIFS(Admin!$B$29:$B$40,AI185)&gt;0,Admin!$B$28,IF(COUNTIFS(Admin!$C$29:$C$40,AI185)&gt;0,Admin!$C$28,IF(COUNTIFS(Admin!$D$29:$D$40,AI185)&gt;0,Admin!$D$28,"-"))))</f>
        <v>2. mérföldkő</v>
      </c>
      <c r="AK185" s="14" t="s">
        <v>7</v>
      </c>
      <c r="AL185" s="9" t="s">
        <v>56</v>
      </c>
      <c r="AM185" s="131">
        <v>500000</v>
      </c>
      <c r="AN185" s="132">
        <v>34840</v>
      </c>
      <c r="AO185" s="121">
        <v>174</v>
      </c>
      <c r="AP185" s="121">
        <v>150</v>
      </c>
      <c r="AQ185" s="354">
        <f t="shared" si="402"/>
        <v>0.86206896551724133</v>
      </c>
      <c r="AR185" s="133">
        <f t="shared" si="214"/>
        <v>431034</v>
      </c>
      <c r="AS185" s="133">
        <f t="shared" si="471"/>
        <v>30034</v>
      </c>
      <c r="AT185" s="123">
        <f t="shared" si="474"/>
        <v>9.6551724138027595E-7</v>
      </c>
      <c r="AU185" s="393">
        <f t="shared" si="472"/>
        <v>6.9680000000000006E-2</v>
      </c>
      <c r="AV185" s="394" t="s">
        <v>2772</v>
      </c>
      <c r="AW185" s="15">
        <v>44938</v>
      </c>
      <c r="AX185" s="12" t="s">
        <v>206</v>
      </c>
      <c r="AZ185" s="8" t="str">
        <f>IF(VLOOKUP(LEFT($AB185,10),'Havi béradatok'!$B:$E,2,FALSE)=AG185,"EGYEZIK","HIBÁS")</f>
        <v>EGYEZIK</v>
      </c>
      <c r="BA185" s="1">
        <f>VLOOKUP(LEFT($AB185,10),'Havi béradatok'!$B:$E,3,FALSE)-AM185</f>
        <v>0</v>
      </c>
      <c r="BB185" s="1">
        <f>VLOOKUP(LEFT($AB185,10),'Havi béradatok'!$B:$E,4,FALSE)-AN185</f>
        <v>26000</v>
      </c>
      <c r="BC185" s="1" t="s">
        <v>2829</v>
      </c>
      <c r="BD185" s="1" t="str">
        <f t="shared" si="473"/>
        <v>Kutató_BM_3 - Kutató</v>
      </c>
    </row>
    <row r="186" spans="1:56" s="1" customFormat="1" hidden="1" x14ac:dyDescent="0.25">
      <c r="A186" s="264" t="str">
        <f>Bérköltség!$B186</f>
        <v>FEOR</v>
      </c>
      <c r="B186" s="264" t="str">
        <f>IFERROR(
IF(AND(Bérköltség!$F186="",H186="NA"),"HIÁNYOS ADATOK",
IF(Bérköltség!$F186&lt;Bérköltség!$U186,Admin!$B$18,Admin!$B$17)),
"")</f>
        <v>FEOR</v>
      </c>
      <c r="C186" s="265">
        <f>IFERROR(INDEX('Historikus berek_2021-2'!$A$1:$F$903,MATCH(AB186,'Historikus berek_2021-2'!$A$1:$A$903,0),4),"")</f>
        <v>300000</v>
      </c>
      <c r="D186" s="279">
        <f t="shared" si="321"/>
        <v>258620.68965517241</v>
      </c>
      <c r="E186" s="265">
        <f t="shared" si="322"/>
        <v>431034</v>
      </c>
      <c r="F186" s="266">
        <f t="shared" si="323"/>
        <v>184427.06980965519</v>
      </c>
      <c r="G186" s="267">
        <f t="shared" si="324"/>
        <v>276641.37931034481</v>
      </c>
      <c r="H186" s="268">
        <f>IFERROR(INDEX('FEOR kodok'!$A$2:$J$1126,MATCH(Bérköltség!AB186,'FEOR kodok'!$B$2:$B$1126,0),8),"NA")</f>
        <v>2117</v>
      </c>
      <c r="I186" s="269">
        <f>IFERROR(INDEX('FEOR kodok'!$A$2:$J$1126,MATCH(Bérköltség!AB186,'FEOR kodok'!$B$2:$B$1126,0),10),"NA")</f>
        <v>32</v>
      </c>
      <c r="J186" s="276" t="str">
        <f t="shared" si="325"/>
        <v>30–39 éves</v>
      </c>
      <c r="K186" s="269" t="str">
        <f>IFERROR(INDEX(admin_feor[#All],MATCH(Bérköltség!H186,admin_feor[[#All],[Foglalkozás]],0),2),"NA")</f>
        <v>Vegyészmérnök</v>
      </c>
      <c r="L186" s="270">
        <f>IFERROR(
INDEX('Admin - FEOR'!$A$4:$F$465,MATCH(Bérköltség!H186,'Admin - FEOR'!$A$4:$A$465,0),
IF(J186="30 év alatt",3,
IF(J186="30–39 éves",4,
IF(J186="40–49 éves",5,
IF(J186="50 év és afelett",6
)))))*1,"NA")</f>
        <v>696588</v>
      </c>
      <c r="M186" s="270">
        <f t="shared" si="326"/>
        <v>500000</v>
      </c>
      <c r="N186" s="318">
        <f t="shared" si="327"/>
        <v>0.71778440053518</v>
      </c>
      <c r="O186" s="270">
        <f>IFERROR(
INDEX('Admin - FEOR'!$A$4:$F$465,MATCH(Bérköltség!H186,'Admin - FEOR'!$A$4:$A$465,0),
IF(J186="30 év alatt",3,
IF(J186="30–39 éves",4,
IF(J186="40–49 éves",5,
IF(J186="50 év és afelett",6
)))))*1.5,"NA")</f>
        <v>1044882</v>
      </c>
      <c r="P186" s="270">
        <f t="shared" si="328"/>
        <v>900760.3448275862</v>
      </c>
      <c r="Q186" s="270">
        <f t="shared" si="329"/>
        <v>431034</v>
      </c>
      <c r="R186" s="275">
        <f t="shared" si="330"/>
        <v>0.86206896551724133</v>
      </c>
      <c r="S186" s="270">
        <f t="shared" si="331"/>
        <v>0</v>
      </c>
      <c r="T186" s="270">
        <f t="shared" si="332"/>
        <v>0</v>
      </c>
      <c r="U186" s="271">
        <f t="shared" si="333"/>
        <v>0</v>
      </c>
      <c r="V186" s="272">
        <f t="shared" si="334"/>
        <v>461068</v>
      </c>
      <c r="W186" s="273" t="str">
        <f t="shared" si="335"/>
        <v>Nem szükséges indoklás.</v>
      </c>
      <c r="X186" s="372">
        <f t="shared" si="336"/>
        <v>0</v>
      </c>
      <c r="Y186" s="317">
        <f t="shared" si="337"/>
        <v>431034</v>
      </c>
      <c r="Z186" s="317">
        <f t="shared" si="338"/>
        <v>30034</v>
      </c>
      <c r="AA186" s="12">
        <v>2</v>
      </c>
      <c r="AB186" s="274">
        <v>8454981969</v>
      </c>
      <c r="AC186" s="40" t="s">
        <v>169</v>
      </c>
      <c r="AD186" s="82" t="s">
        <v>75</v>
      </c>
      <c r="AE186" s="41" t="s">
        <v>52</v>
      </c>
      <c r="AF186" s="11" t="s">
        <v>151</v>
      </c>
      <c r="AG186" s="11" t="s">
        <v>170</v>
      </c>
      <c r="AH186" s="14" t="s">
        <v>122</v>
      </c>
      <c r="AI186" s="86" t="s">
        <v>34</v>
      </c>
      <c r="AJ186" s="113" t="str">
        <f>IF(COUNTIFS(Admin!$A$29:$A$40,AI186)&gt;0,Admin!$A$28,IF(COUNTIFS(Admin!$B$29:$B$40,AI186)&gt;0,Admin!$B$28,IF(COUNTIFS(Admin!$C$29:$C$40,AI186)&gt;0,Admin!$C$28,IF(COUNTIFS(Admin!$D$29:$D$40,AI186)&gt;0,Admin!$D$28,"-"))))</f>
        <v>2. mérföldkő</v>
      </c>
      <c r="AK186" s="14" t="s">
        <v>7</v>
      </c>
      <c r="AL186" s="9" t="s">
        <v>56</v>
      </c>
      <c r="AM186" s="131">
        <v>500000</v>
      </c>
      <c r="AN186" s="132">
        <v>34840</v>
      </c>
      <c r="AO186" s="121">
        <v>174</v>
      </c>
      <c r="AP186" s="121">
        <v>150</v>
      </c>
      <c r="AQ186" s="354">
        <f t="shared" si="402"/>
        <v>0.86206896551724133</v>
      </c>
      <c r="AR186" s="133">
        <f t="shared" si="214"/>
        <v>431034</v>
      </c>
      <c r="AS186" s="133">
        <f t="shared" si="471"/>
        <v>30034</v>
      </c>
      <c r="AT186" s="123">
        <f t="shared" si="404"/>
        <v>9.6551724138027595E-7</v>
      </c>
      <c r="AU186" s="393">
        <f>AN186/AM186</f>
        <v>6.9680000000000006E-2</v>
      </c>
      <c r="AV186" s="394" t="s">
        <v>2772</v>
      </c>
      <c r="AW186" s="15">
        <v>44938</v>
      </c>
      <c r="AX186" s="12" t="s">
        <v>206</v>
      </c>
      <c r="BC186" s="1" t="s">
        <v>2829</v>
      </c>
      <c r="BD186" s="1" t="str">
        <f t="shared" si="473"/>
        <v>Kutató_BM_3 - Kutató</v>
      </c>
    </row>
    <row r="187" spans="1:56" s="1" customFormat="1" x14ac:dyDescent="0.25">
      <c r="A187" s="264" t="str">
        <f>Bérköltség!$B187</f>
        <v>FEOR</v>
      </c>
      <c r="B187" s="264" t="str">
        <f>IFERROR(
IF(AND(Bérköltség!$F187="",H187="NA"),"HIÁNYOS ADATOK",
IF(Bérköltség!$F187&lt;Bérköltség!$U187,Admin!$B$18,Admin!$B$17)),
"")</f>
        <v>FEOR</v>
      </c>
      <c r="C187" s="265">
        <f>IFERROR(INDEX('Historikus berek_2021-2'!$A$1:$F$903,MATCH(AB187,'Historikus berek_2021-2'!$A$1:$A$903,0),4),"")</f>
        <v>300000</v>
      </c>
      <c r="D187" s="279">
        <f t="shared" ref="D187:D189" si="475">IFERROR(C187*AQ187,"")</f>
        <v>258620.68965517241</v>
      </c>
      <c r="E187" s="265">
        <f t="shared" ref="E187:E189" si="476">AR187</f>
        <v>431034</v>
      </c>
      <c r="F187" s="266">
        <f t="shared" ref="F187:F189" si="477">IFERROR(IF((E187*(1+AU187)-D187*(1+AU187))&lt;0,0,(E187*(1+AU187)-D187*(1+AU187))),"")</f>
        <v>184427.06980965519</v>
      </c>
      <c r="G187" s="267">
        <f t="shared" ref="G187:G189" si="478">IFERROR((E187*(1+AU187)-F187),"")</f>
        <v>276641.37931034481</v>
      </c>
      <c r="H187" s="268">
        <f>IFERROR(INDEX('FEOR kodok'!$A$2:$J$1126,MATCH(Bérköltség!AB187,'FEOR kodok'!$B$2:$B$1126,0),8),"NA")</f>
        <v>2117</v>
      </c>
      <c r="I187" s="269">
        <f>IFERROR(INDEX('FEOR kodok'!$A$2:$J$1126,MATCH(Bérköltség!AB187,'FEOR kodok'!$B$2:$B$1126,0),10),"NA")</f>
        <v>32</v>
      </c>
      <c r="J187" s="276" t="str">
        <f t="shared" ref="J187:J189" si="479">IF(I187="NA","NA",
IF(I187&lt;30,"30 év alatt",
IF(AND(I187&gt;=30,I187&lt;=39),"30–39 éves",
IF(AND(I187&gt;=40,I187&lt;=49),"40–49 éves",
IF(I187&gt;=50,"50 év és afelett",
"")))))</f>
        <v>30–39 éves</v>
      </c>
      <c r="K187" s="269" t="str">
        <f>IFERROR(INDEX(admin_feor[#All],MATCH(Bérköltség!H187,admin_feor[[#All],[Foglalkozás]],0),2),"NA")</f>
        <v>Vegyészmérnök</v>
      </c>
      <c r="L187" s="270">
        <f>IFERROR(
INDEX('Admin - FEOR'!$A$4:$F$465,MATCH(Bérköltség!H187,'Admin - FEOR'!$A$4:$A$465,0),
IF(J187="30 év alatt",3,
IF(J187="30–39 éves",4,
IF(J187="40–49 éves",5,
IF(J187="50 év és afelett",6
)))))*1,"NA")</f>
        <v>696588</v>
      </c>
      <c r="M187" s="270">
        <f t="shared" ref="M187:M189" si="480">AM187</f>
        <v>500000</v>
      </c>
      <c r="N187" s="318">
        <f t="shared" ref="N187:N189" si="481">IFERROR(
M187/L187,"NA")</f>
        <v>0.71778440053518</v>
      </c>
      <c r="O187" s="270">
        <f>IFERROR(
INDEX('Admin - FEOR'!$A$4:$F$465,MATCH(Bérköltség!H187,'Admin - FEOR'!$A$4:$A$465,0),
IF(J187="30 év alatt",3,
IF(J187="30–39 éves",4,
IF(J187="40–49 éves",5,
IF(J187="50 év és afelett",6
)))))*1.5,"NA")</f>
        <v>1044882</v>
      </c>
      <c r="P187" s="270">
        <f t="shared" ref="P187:P189" si="482">IFERROR(
AQ187*O187,"NA")</f>
        <v>900760.3448275862</v>
      </c>
      <c r="Q187" s="270">
        <f t="shared" ref="Q187:Q189" si="483">IFERROR(AR187,"")</f>
        <v>431034</v>
      </c>
      <c r="R187" s="275">
        <f t="shared" ref="R187:R189" si="484">IFERROR(AQ187,"")</f>
        <v>0.86206896551724133</v>
      </c>
      <c r="S187" s="270">
        <f t="shared" ref="S187:S189" si="485">IFERROR(
IF(AR187-P187&lt;0,0,AR187-P187),"NA")</f>
        <v>0</v>
      </c>
      <c r="T187" s="270">
        <f t="shared" ref="T187:T189" si="486">IFERROR(
S187*AU187,"NA")</f>
        <v>0</v>
      </c>
      <c r="U187" s="271">
        <f t="shared" ref="U187:U189" si="487">IFERROR(
S187+T187,"NA")</f>
        <v>0</v>
      </c>
      <c r="V187" s="272">
        <f t="shared" ref="V187:V189" si="488">IFERROR(
IF(U187&gt;0,AR187+AS187-U187,AR187+AS187),"NA")</f>
        <v>461068</v>
      </c>
      <c r="W187" s="273" t="str">
        <f t="shared" ref="W187:W189" si="489">IF(P187="NA","FEOR hiányzik",
IF(AND(N187&gt;1,A187="FEOR"),CONCATENATE("Indoklás szükséges mivel a FEOR: ",ROUND(N187*100,1),"%"),"Nem szükséges indoklás.")
)</f>
        <v>Nem szükséges indoklás.</v>
      </c>
      <c r="X187" s="372">
        <f t="shared" ref="X187:X189" si="490">IF(A187="FEOR",U187,IF(A187="HIÁNYOS ADATOK","HIÁNYOS ADATOK",F187))</f>
        <v>0</v>
      </c>
      <c r="Y187" s="317">
        <f t="shared" ref="Y187:Y189" si="491">IF(A187="FEOR",ROUND((V187/(1+AU187)),0),IF(A187="HIÁNYOS ADATOK","HIÁNYOS ADATOK",ROUND(G187/(1+AU187),0)))</f>
        <v>431034</v>
      </c>
      <c r="Z187" s="317">
        <f t="shared" ref="Z187:Z189" si="492">IF(A187="FEOR",ROUND((V187-Y187),0),IF(A187="HIÁNYOS ADATOK","HIÁNYOS ADATOK",ROUND((G187-Y187),0)))</f>
        <v>30034</v>
      </c>
      <c r="AA187" s="36"/>
      <c r="AB187" s="274">
        <v>8454981969</v>
      </c>
      <c r="AC187" s="40" t="s">
        <v>169</v>
      </c>
      <c r="AD187" s="82" t="s">
        <v>75</v>
      </c>
      <c r="AE187" s="41" t="s">
        <v>52</v>
      </c>
      <c r="AF187" s="11" t="s">
        <v>151</v>
      </c>
      <c r="AG187" s="11" t="s">
        <v>170</v>
      </c>
      <c r="AH187" s="14" t="s">
        <v>122</v>
      </c>
      <c r="AI187" s="86" t="s">
        <v>35</v>
      </c>
      <c r="AJ187" s="113" t="str">
        <f>IF(COUNTIFS(Admin!$A$29:$A$40,AI187)&gt;0,Admin!$A$28,IF(COUNTIFS(Admin!$B$29:$B$40,AI187)&gt;0,Admin!$B$28,IF(COUNTIFS(Admin!$C$29:$C$40,AI187)&gt;0,Admin!$C$28,IF(COUNTIFS(Admin!$D$29:$D$40,AI187)&gt;0,Admin!$D$28,"-"))))</f>
        <v>3. mérföldkő</v>
      </c>
      <c r="AK187" s="14" t="s">
        <v>7</v>
      </c>
      <c r="AL187" s="9" t="s">
        <v>56</v>
      </c>
      <c r="AM187" s="131">
        <v>500000</v>
      </c>
      <c r="AN187" s="132">
        <v>34840</v>
      </c>
      <c r="AO187" s="121">
        <v>174</v>
      </c>
      <c r="AP187" s="121">
        <v>150</v>
      </c>
      <c r="AQ187" s="354">
        <f t="shared" ref="AQ187" si="493">IFERROR(AP187/AO187,"")</f>
        <v>0.86206896551724133</v>
      </c>
      <c r="AR187" s="133">
        <f t="shared" ref="AR187" si="494">IFERROR(ROUND(AM187*AP187/AO187,0),"")</f>
        <v>431034</v>
      </c>
      <c r="AS187" s="133">
        <f t="shared" si="471"/>
        <v>30034</v>
      </c>
      <c r="AT187" s="123">
        <f t="shared" ref="AT187" si="495">IFERROR(AP187/AO187-AR187/AM187,"")</f>
        <v>9.6551724138027595E-7</v>
      </c>
      <c r="AU187" s="393">
        <f t="shared" ref="AU187:AU189" si="496">AN187/AM187</f>
        <v>6.9680000000000006E-2</v>
      </c>
      <c r="AV187" s="394" t="s">
        <v>2772</v>
      </c>
      <c r="AW187" s="15">
        <v>44995</v>
      </c>
      <c r="AX187" s="12" t="s">
        <v>206</v>
      </c>
      <c r="AZ187" s="1" t="str">
        <f>IF(VLOOKUP(LEFT($AB187,10),'Havi béradatok'!$B:$E,2,FALSE)=AG187,"EGYEZIK","HIBÁS")</f>
        <v>EGYEZIK</v>
      </c>
      <c r="BA187" s="1">
        <f>VLOOKUP(LEFT($AB187,10),'Havi béradatok'!$B:$E,3,FALSE)-AM187</f>
        <v>0</v>
      </c>
      <c r="BB187" s="391">
        <f>VLOOKUP(LEFT($AB187,10),'Havi béradatok'!$B:$E,4,FALSE)-AN187</f>
        <v>26000</v>
      </c>
      <c r="BC187" s="400" t="s">
        <v>2829</v>
      </c>
      <c r="BD187" s="400"/>
    </row>
    <row r="188" spans="1:56" s="1" customFormat="1" hidden="1" x14ac:dyDescent="0.25">
      <c r="A188" s="264" t="str">
        <f>Bérköltség!$B188</f>
        <v>FEOR</v>
      </c>
      <c r="B188" s="264" t="str">
        <f>IFERROR(
IF(AND(Bérköltség!$F188="",H188="NA"),"HIÁNYOS ADATOK",
IF(Bérköltség!$F188&lt;Bérköltség!$U188,Admin!$B$18,Admin!$B$17)),
"")</f>
        <v>FEOR</v>
      </c>
      <c r="C188" s="265">
        <f>IFERROR(INDEX('Historikus berek_2021-2'!$A$1:$F$903,MATCH(AB188,'Historikus berek_2021-2'!$A$1:$A$903,0),4),"")</f>
        <v>300000</v>
      </c>
      <c r="D188" s="279">
        <f t="shared" si="475"/>
        <v>258620.68965517241</v>
      </c>
      <c r="E188" s="265">
        <f t="shared" si="476"/>
        <v>431034</v>
      </c>
      <c r="F188" s="266">
        <f t="shared" si="477"/>
        <v>184427.06980965519</v>
      </c>
      <c r="G188" s="267">
        <f t="shared" si="478"/>
        <v>276641.37931034481</v>
      </c>
      <c r="H188" s="268">
        <f>IFERROR(INDEX('FEOR kodok'!$A$2:$J$1126,MATCH(Bérköltség!AB188,'FEOR kodok'!$B$2:$B$1126,0),8),"NA")</f>
        <v>2117</v>
      </c>
      <c r="I188" s="269">
        <f>IFERROR(INDEX('FEOR kodok'!$A$2:$J$1126,MATCH(Bérköltség!AB188,'FEOR kodok'!$B$2:$B$1126,0),10),"NA")</f>
        <v>32</v>
      </c>
      <c r="J188" s="276" t="str">
        <f t="shared" si="479"/>
        <v>30–39 éves</v>
      </c>
      <c r="K188" s="269" t="str">
        <f>IFERROR(INDEX(admin_feor[#All],MATCH(Bérköltség!H188,admin_feor[[#All],[Foglalkozás]],0),2),"NA")</f>
        <v>Vegyészmérnök</v>
      </c>
      <c r="L188" s="270">
        <f>IFERROR(
INDEX('Admin - FEOR'!$A$4:$F$465,MATCH(Bérköltség!H188,'Admin - FEOR'!$A$4:$A$465,0),
IF(J188="30 év alatt",3,
IF(J188="30–39 éves",4,
IF(J188="40–49 éves",5,
IF(J188="50 év és afelett",6
)))))*1,"NA")</f>
        <v>696588</v>
      </c>
      <c r="M188" s="270">
        <f t="shared" si="480"/>
        <v>500000</v>
      </c>
      <c r="N188" s="318">
        <f t="shared" si="481"/>
        <v>0.71778440053518</v>
      </c>
      <c r="O188" s="270">
        <f>IFERROR(
INDEX('Admin - FEOR'!$A$4:$F$465,MATCH(Bérköltség!H188,'Admin - FEOR'!$A$4:$A$465,0),
IF(J188="30 év alatt",3,
IF(J188="30–39 éves",4,
IF(J188="40–49 éves",5,
IF(J188="50 év és afelett",6
)))))*1.5,"NA")</f>
        <v>1044882</v>
      </c>
      <c r="P188" s="270">
        <f t="shared" si="482"/>
        <v>900760.3448275862</v>
      </c>
      <c r="Q188" s="270">
        <f t="shared" si="483"/>
        <v>431034</v>
      </c>
      <c r="R188" s="275">
        <f t="shared" si="484"/>
        <v>0.86206896551724133</v>
      </c>
      <c r="S188" s="270">
        <f t="shared" si="485"/>
        <v>0</v>
      </c>
      <c r="T188" s="270">
        <f t="shared" si="486"/>
        <v>0</v>
      </c>
      <c r="U188" s="271">
        <f t="shared" si="487"/>
        <v>0</v>
      </c>
      <c r="V188" s="272">
        <f t="shared" si="488"/>
        <v>461068</v>
      </c>
      <c r="W188" s="273" t="str">
        <f t="shared" si="489"/>
        <v>Nem szükséges indoklás.</v>
      </c>
      <c r="X188" s="372">
        <f t="shared" si="490"/>
        <v>0</v>
      </c>
      <c r="Y188" s="317">
        <f t="shared" si="491"/>
        <v>431034</v>
      </c>
      <c r="Z188" s="317">
        <f t="shared" si="492"/>
        <v>30034</v>
      </c>
      <c r="AA188" s="36"/>
      <c r="AB188" s="274">
        <v>8454981969</v>
      </c>
      <c r="AC188" s="40" t="s">
        <v>169</v>
      </c>
      <c r="AD188" s="82" t="s">
        <v>75</v>
      </c>
      <c r="AE188" s="41" t="s">
        <v>52</v>
      </c>
      <c r="AF188" s="11" t="s">
        <v>151</v>
      </c>
      <c r="AG188" s="11" t="s">
        <v>170</v>
      </c>
      <c r="AH188" s="14" t="s">
        <v>122</v>
      </c>
      <c r="AI188" s="86" t="s">
        <v>36</v>
      </c>
      <c r="AJ188" s="113" t="str">
        <f>IF(COUNTIFS(Admin!$A$29:$A$40,AI188)&gt;0,Admin!$A$28,IF(COUNTIFS(Admin!$B$29:$B$40,AI188)&gt;0,Admin!$B$28,IF(COUNTIFS(Admin!$C$29:$C$40,AI188)&gt;0,Admin!$C$28,IF(COUNTIFS(Admin!$D$29:$D$40,AI188)&gt;0,Admin!$D$28,"-"))))</f>
        <v>3. mérföldkő</v>
      </c>
      <c r="AK188" s="14" t="s">
        <v>141</v>
      </c>
      <c r="AL188" s="9" t="s">
        <v>56</v>
      </c>
      <c r="AM188" s="131">
        <v>500000</v>
      </c>
      <c r="AN188" s="132">
        <v>34840</v>
      </c>
      <c r="AO188" s="121">
        <v>174</v>
      </c>
      <c r="AP188" s="121">
        <v>150</v>
      </c>
      <c r="AQ188" s="354">
        <f t="shared" ref="AQ188:AQ189" si="497">IFERROR(AP188/AO188,"")</f>
        <v>0.86206896551724133</v>
      </c>
      <c r="AR188" s="133">
        <f t="shared" ref="AR188:AR189" si="498">IFERROR(ROUND(AM188*AP188/AO188,0),"")</f>
        <v>431034</v>
      </c>
      <c r="AS188" s="133">
        <f t="shared" si="471"/>
        <v>30034</v>
      </c>
      <c r="AT188" s="123">
        <f t="shared" ref="AT188:AT189" si="499">IFERROR(AP188/AO188-AR188/AM188,"")</f>
        <v>9.6551724138027595E-7</v>
      </c>
      <c r="AU188" s="393">
        <f t="shared" si="496"/>
        <v>6.9680000000000006E-2</v>
      </c>
      <c r="AV188" s="394" t="s">
        <v>2772</v>
      </c>
      <c r="AW188" s="15">
        <v>44995</v>
      </c>
      <c r="AX188" s="12" t="s">
        <v>206</v>
      </c>
      <c r="BC188" s="1" t="s">
        <v>2829</v>
      </c>
    </row>
    <row r="189" spans="1:56" s="1" customFormat="1" hidden="1" x14ac:dyDescent="0.25">
      <c r="A189" s="264" t="str">
        <f>Bérköltség!$B189</f>
        <v>FEOR</v>
      </c>
      <c r="B189" s="264" t="str">
        <f>IFERROR(
IF(AND(Bérköltség!$F189="",H189="NA"),"HIÁNYOS ADATOK",
IF(Bérköltség!$F189&lt;Bérköltség!$U189,Admin!$B$18,Admin!$B$17)),
"")</f>
        <v>FEOR</v>
      </c>
      <c r="C189" s="265">
        <f>IFERROR(INDEX('Historikus berek_2021-2'!$A$1:$F$903,MATCH(AB189,'Historikus berek_2021-2'!$A$1:$A$903,0),4),"")</f>
        <v>300000</v>
      </c>
      <c r="D189" s="279">
        <f t="shared" si="475"/>
        <v>258620.68965517241</v>
      </c>
      <c r="E189" s="265">
        <f t="shared" si="476"/>
        <v>431034</v>
      </c>
      <c r="F189" s="266">
        <f t="shared" si="477"/>
        <v>184427.06980965519</v>
      </c>
      <c r="G189" s="267">
        <f t="shared" si="478"/>
        <v>276641.37931034481</v>
      </c>
      <c r="H189" s="268">
        <f>IFERROR(INDEX('FEOR kodok'!$A$2:$J$1126,MATCH(Bérköltség!AB189,'FEOR kodok'!$B$2:$B$1126,0),8),"NA")</f>
        <v>2117</v>
      </c>
      <c r="I189" s="269">
        <f>IFERROR(INDEX('FEOR kodok'!$A$2:$J$1126,MATCH(Bérköltség!AB189,'FEOR kodok'!$B$2:$B$1126,0),10),"NA")</f>
        <v>32</v>
      </c>
      <c r="J189" s="276" t="str">
        <f t="shared" si="479"/>
        <v>30–39 éves</v>
      </c>
      <c r="K189" s="269" t="str">
        <f>IFERROR(INDEX(admin_feor[#All],MATCH(Bérköltség!H189,admin_feor[[#All],[Foglalkozás]],0),2),"NA")</f>
        <v>Vegyészmérnök</v>
      </c>
      <c r="L189" s="270">
        <f>IFERROR(
INDEX('Admin - FEOR'!$A$4:$F$465,MATCH(Bérköltség!H189,'Admin - FEOR'!$A$4:$A$465,0),
IF(J189="30 év alatt",3,
IF(J189="30–39 éves",4,
IF(J189="40–49 éves",5,
IF(J189="50 év és afelett",6
)))))*1,"NA")</f>
        <v>696588</v>
      </c>
      <c r="M189" s="270">
        <f t="shared" si="480"/>
        <v>500000</v>
      </c>
      <c r="N189" s="318">
        <f t="shared" si="481"/>
        <v>0.71778440053518</v>
      </c>
      <c r="O189" s="270">
        <f>IFERROR(
INDEX('Admin - FEOR'!$A$4:$F$465,MATCH(Bérköltség!H189,'Admin - FEOR'!$A$4:$A$465,0),
IF(J189="30 év alatt",3,
IF(J189="30–39 éves",4,
IF(J189="40–49 éves",5,
IF(J189="50 év és afelett",6
)))))*1.5,"NA")</f>
        <v>1044882</v>
      </c>
      <c r="P189" s="270">
        <f t="shared" si="482"/>
        <v>900760.3448275862</v>
      </c>
      <c r="Q189" s="270">
        <f t="shared" si="483"/>
        <v>431034</v>
      </c>
      <c r="R189" s="275">
        <f t="shared" si="484"/>
        <v>0.86206896551724133</v>
      </c>
      <c r="S189" s="270">
        <f t="shared" si="485"/>
        <v>0</v>
      </c>
      <c r="T189" s="270">
        <f t="shared" si="486"/>
        <v>0</v>
      </c>
      <c r="U189" s="271">
        <f t="shared" si="487"/>
        <v>0</v>
      </c>
      <c r="V189" s="272">
        <f t="shared" si="488"/>
        <v>461068</v>
      </c>
      <c r="W189" s="273" t="str">
        <f t="shared" si="489"/>
        <v>Nem szükséges indoklás.</v>
      </c>
      <c r="X189" s="372">
        <f t="shared" si="490"/>
        <v>0</v>
      </c>
      <c r="Y189" s="317">
        <f t="shared" si="491"/>
        <v>431034</v>
      </c>
      <c r="Z189" s="317">
        <f t="shared" si="492"/>
        <v>30034</v>
      </c>
      <c r="AA189" s="36"/>
      <c r="AB189" s="274">
        <v>8454981969</v>
      </c>
      <c r="AC189" s="40" t="s">
        <v>169</v>
      </c>
      <c r="AD189" s="82" t="s">
        <v>75</v>
      </c>
      <c r="AE189" s="41" t="s">
        <v>52</v>
      </c>
      <c r="AF189" s="11" t="s">
        <v>151</v>
      </c>
      <c r="AG189" s="11" t="s">
        <v>170</v>
      </c>
      <c r="AH189" s="14" t="s">
        <v>122</v>
      </c>
      <c r="AI189" s="86" t="s">
        <v>37</v>
      </c>
      <c r="AJ189" s="113" t="str">
        <f>IF(COUNTIFS(Admin!$A$29:$A$40,AI189)&gt;0,Admin!$A$28,IF(COUNTIFS(Admin!$B$29:$B$40,AI189)&gt;0,Admin!$B$28,IF(COUNTIFS(Admin!$C$29:$C$40,AI189)&gt;0,Admin!$C$28,IF(COUNTIFS(Admin!$D$29:$D$40,AI189)&gt;0,Admin!$D$28,"-"))))</f>
        <v>3. mérföldkő</v>
      </c>
      <c r="AK189" s="14" t="s">
        <v>141</v>
      </c>
      <c r="AL189" s="9" t="s">
        <v>56</v>
      </c>
      <c r="AM189" s="131">
        <v>500000</v>
      </c>
      <c r="AN189" s="132">
        <v>34840</v>
      </c>
      <c r="AO189" s="121">
        <v>174</v>
      </c>
      <c r="AP189" s="121">
        <v>150</v>
      </c>
      <c r="AQ189" s="354">
        <f t="shared" si="497"/>
        <v>0.86206896551724133</v>
      </c>
      <c r="AR189" s="133">
        <f t="shared" si="498"/>
        <v>431034</v>
      </c>
      <c r="AS189" s="133">
        <f t="shared" si="471"/>
        <v>30034</v>
      </c>
      <c r="AT189" s="123">
        <f t="shared" si="499"/>
        <v>9.6551724138027595E-7</v>
      </c>
      <c r="AU189" s="393">
        <f t="shared" si="496"/>
        <v>6.9680000000000006E-2</v>
      </c>
      <c r="AV189" s="394" t="s">
        <v>2772</v>
      </c>
      <c r="AW189" s="15">
        <v>44995</v>
      </c>
      <c r="AX189" s="12" t="s">
        <v>206</v>
      </c>
      <c r="BC189" s="1" t="s">
        <v>2829</v>
      </c>
    </row>
    <row r="190" spans="1:56" s="1" customFormat="1" hidden="1" x14ac:dyDescent="0.25">
      <c r="A190" s="264" t="str">
        <f>Bérköltség!$B190</f>
        <v>FEOR</v>
      </c>
      <c r="B190" s="264" t="str">
        <f>IFERROR(
IF(AND(Bérköltség!$F190="",H190="NA"),"HIÁNYOS ADATOK",
IF(Bérköltség!$F190&lt;Bérköltség!$U190,Admin!$B$18,Admin!$B$17)),
"")</f>
        <v>FEOR</v>
      </c>
      <c r="C190" s="265">
        <f>IFERROR(INDEX('Historikus berek_2021-2'!$A$1:$F$903,MATCH(AB190,'Historikus berek_2021-2'!$A$1:$A$903,0),4),"")</f>
        <v>878133.33333333337</v>
      </c>
      <c r="D190" s="279">
        <f t="shared" si="321"/>
        <v>797385.44061302685</v>
      </c>
      <c r="E190" s="265">
        <f t="shared" si="322"/>
        <v>498128</v>
      </c>
      <c r="F190" s="266">
        <f t="shared" si="323"/>
        <v>0</v>
      </c>
      <c r="G190" s="267">
        <f t="shared" si="324"/>
        <v>562884.6399999999</v>
      </c>
      <c r="H190" s="268">
        <f>IFERROR(INDEX('FEOR kodok'!$A$2:$J$1126,MATCH(Bérköltség!AB190,'FEOR kodok'!$B$2:$B$1126,0),8),"NA")</f>
        <v>2410</v>
      </c>
      <c r="I190" s="269">
        <f>IFERROR(INDEX('FEOR kodok'!$A$2:$J$1126,MATCH(Bérköltség!AB190,'FEOR kodok'!$B$2:$B$1126,0),10),"NA")</f>
        <v>58</v>
      </c>
      <c r="J190" s="276" t="str">
        <f t="shared" si="325"/>
        <v>50 év és afelett</v>
      </c>
      <c r="K190" s="269" t="str">
        <f>IFERROR(INDEX(admin_feor[#All],MATCH(Bérköltség!H190,admin_feor[[#All],[Foglalkozás]],0),2),"NA")</f>
        <v>Egyetemi, főiskolai oktató, tanár</v>
      </c>
      <c r="L190" s="270">
        <f>IFERROR(
INDEX('Admin - FEOR'!$A$4:$F$465,MATCH(Bérköltség!H190,'Admin - FEOR'!$A$4:$A$465,0),
IF(J190="30 év alatt",3,
IF(J190="30–39 éves",4,
IF(J190="40–49 éves",5,
IF(J190="50 év és afelett",6
)))))*1,"NA")</f>
        <v>676379</v>
      </c>
      <c r="M190" s="270">
        <f t="shared" si="326"/>
        <v>548571</v>
      </c>
      <c r="N190" s="318">
        <f t="shared" si="327"/>
        <v>0.81104085135700543</v>
      </c>
      <c r="O190" s="270">
        <f>IFERROR(
INDEX('Admin - FEOR'!$A$4:$F$465,MATCH(Bérköltség!H190,'Admin - FEOR'!$A$4:$A$465,0),
IF(J190="30 év alatt",3,
IF(J190="30–39 éves",4,
IF(J190="40–49 éves",5,
IF(J190="50 év és afelett",6
)))))*1.5,"NA")</f>
        <v>1014568.5</v>
      </c>
      <c r="P190" s="270">
        <f t="shared" si="328"/>
        <v>921274.8448275862</v>
      </c>
      <c r="Q190" s="270">
        <f t="shared" si="329"/>
        <v>498128</v>
      </c>
      <c r="R190" s="275">
        <f t="shared" si="330"/>
        <v>0.90804597701149425</v>
      </c>
      <c r="S190" s="270">
        <f t="shared" si="331"/>
        <v>0</v>
      </c>
      <c r="T190" s="270">
        <f t="shared" si="332"/>
        <v>0</v>
      </c>
      <c r="U190" s="271">
        <f t="shared" si="333"/>
        <v>0</v>
      </c>
      <c r="V190" s="272">
        <f t="shared" si="334"/>
        <v>562885</v>
      </c>
      <c r="W190" s="273" t="str">
        <f t="shared" si="335"/>
        <v>Nem szükséges indoklás.</v>
      </c>
      <c r="X190" s="372">
        <f t="shared" si="336"/>
        <v>0</v>
      </c>
      <c r="Y190" s="317">
        <f t="shared" si="337"/>
        <v>498128</v>
      </c>
      <c r="Z190" s="317">
        <f t="shared" si="338"/>
        <v>64757</v>
      </c>
      <c r="AA190" s="12">
        <v>2</v>
      </c>
      <c r="AB190" s="274">
        <v>8360760632</v>
      </c>
      <c r="AC190" s="40" t="s">
        <v>171</v>
      </c>
      <c r="AD190" s="82" t="s">
        <v>75</v>
      </c>
      <c r="AE190" s="41" t="s">
        <v>52</v>
      </c>
      <c r="AF190" s="11" t="s">
        <v>153</v>
      </c>
      <c r="AG190" s="11" t="s">
        <v>168</v>
      </c>
      <c r="AH190" s="14" t="s">
        <v>122</v>
      </c>
      <c r="AI190" s="86" t="s">
        <v>21</v>
      </c>
      <c r="AJ190" s="113" t="str">
        <f>IF(COUNTIFS(Admin!$A$29:$A$40,AI190)&gt;0,Admin!$A$28,IF(COUNTIFS(Admin!$B$29:$B$40,AI190)&gt;0,Admin!$B$28,IF(COUNTIFS(Admin!$C$29:$C$40,AI190)&gt;0,Admin!$C$28,IF(COUNTIFS(Admin!$D$29:$D$40,AI190)&gt;0,Admin!$D$28,"-"))))</f>
        <v>2. mérföldkő</v>
      </c>
      <c r="AK190" s="14" t="s">
        <v>7</v>
      </c>
      <c r="AL190" s="9" t="s">
        <v>56</v>
      </c>
      <c r="AM190" s="131">
        <v>548571</v>
      </c>
      <c r="AN190" s="132">
        <f t="shared" si="368"/>
        <v>71314</v>
      </c>
      <c r="AO190" s="121">
        <v>174</v>
      </c>
      <c r="AP190" s="121">
        <v>158</v>
      </c>
      <c r="AQ190" s="354">
        <f t="shared" si="402"/>
        <v>0.90804597701149425</v>
      </c>
      <c r="AR190" s="133">
        <f t="shared" si="214"/>
        <v>498128</v>
      </c>
      <c r="AS190" s="133">
        <f t="shared" ref="AS190:AS434" si="500">IFERROR(ROUND(AR190*AU190,0),"")</f>
        <v>64757</v>
      </c>
      <c r="AT190" s="123">
        <f t="shared" si="404"/>
        <v>-5.6573320061925614E-7</v>
      </c>
      <c r="AU190" s="124">
        <v>0.13</v>
      </c>
      <c r="AV190" s="394" t="s">
        <v>2773</v>
      </c>
      <c r="AW190" s="15">
        <v>44736</v>
      </c>
      <c r="AX190" s="12" t="s">
        <v>206</v>
      </c>
      <c r="BC190" s="1" t="s">
        <v>2830</v>
      </c>
      <c r="BD190" s="1" t="str">
        <f t="shared" ref="BD190:BD203" si="501">CONCATENATE(BC190," - ",AE190)</f>
        <v>Kutató_MK_3 - Kutató</v>
      </c>
    </row>
    <row r="191" spans="1:56" s="1" customFormat="1" hidden="1" x14ac:dyDescent="0.25">
      <c r="A191" s="264" t="str">
        <f>Bérköltség!$B191</f>
        <v>FEOR</v>
      </c>
      <c r="B191" s="264" t="str">
        <f>IFERROR(
IF(AND(Bérköltség!$F191="",H191="NA"),"HIÁNYOS ADATOK",
IF(Bérköltség!$F191&lt;Bérköltség!$U191,Admin!$B$18,Admin!$B$17)),
"")</f>
        <v>FEOR</v>
      </c>
      <c r="C191" s="265">
        <f>IFERROR(INDEX('Historikus berek_2021-2'!$A$1:$F$903,MATCH(AB191,'Historikus berek_2021-2'!$A$1:$A$903,0),4),"")</f>
        <v>878133.33333333337</v>
      </c>
      <c r="D191" s="279">
        <f t="shared" si="321"/>
        <v>797385.44061302685</v>
      </c>
      <c r="E191" s="265">
        <f t="shared" si="322"/>
        <v>653793</v>
      </c>
      <c r="F191" s="266">
        <f t="shared" si="323"/>
        <v>0</v>
      </c>
      <c r="G191" s="267">
        <f t="shared" si="324"/>
        <v>738786.09</v>
      </c>
      <c r="H191" s="268">
        <f>IFERROR(INDEX('FEOR kodok'!$A$2:$J$1126,MATCH(Bérköltség!AB191,'FEOR kodok'!$B$2:$B$1126,0),8),"NA")</f>
        <v>2410</v>
      </c>
      <c r="I191" s="269">
        <f>IFERROR(INDEX('FEOR kodok'!$A$2:$J$1126,MATCH(Bérköltség!AB191,'FEOR kodok'!$B$2:$B$1126,0),10),"NA")</f>
        <v>58</v>
      </c>
      <c r="J191" s="276" t="str">
        <f t="shared" si="325"/>
        <v>50 év és afelett</v>
      </c>
      <c r="K191" s="269" t="str">
        <f>IFERROR(INDEX(admin_feor[#All],MATCH(Bérköltség!H191,admin_feor[[#All],[Foglalkozás]],0),2),"NA")</f>
        <v>Egyetemi, főiskolai oktató, tanár</v>
      </c>
      <c r="L191" s="270">
        <f>IFERROR(
INDEX('Admin - FEOR'!$A$4:$F$465,MATCH(Bérköltség!H191,'Admin - FEOR'!$A$4:$A$465,0),
IF(J191="30 év alatt",3,
IF(J191="30–39 éves",4,
IF(J191="40–49 éves",5,
IF(J191="50 év és afelett",6
)))))*1,"NA")</f>
        <v>676379</v>
      </c>
      <c r="M191" s="270">
        <f t="shared" si="326"/>
        <v>720000</v>
      </c>
      <c r="N191" s="318">
        <f t="shared" si="327"/>
        <v>1.0644919490404048</v>
      </c>
      <c r="O191" s="270">
        <f>IFERROR(
INDEX('Admin - FEOR'!$A$4:$F$465,MATCH(Bérköltség!H191,'Admin - FEOR'!$A$4:$A$465,0),
IF(J191="30 év alatt",3,
IF(J191="30–39 éves",4,
IF(J191="40–49 éves",5,
IF(J191="50 év és afelett",6
)))))*1.5,"NA")</f>
        <v>1014568.5</v>
      </c>
      <c r="P191" s="270">
        <f t="shared" si="328"/>
        <v>921274.8448275862</v>
      </c>
      <c r="Q191" s="270">
        <f t="shared" si="329"/>
        <v>653793</v>
      </c>
      <c r="R191" s="275">
        <f t="shared" si="330"/>
        <v>0.90804597701149425</v>
      </c>
      <c r="S191" s="270">
        <f t="shared" si="331"/>
        <v>0</v>
      </c>
      <c r="T191" s="270">
        <f t="shared" si="332"/>
        <v>0</v>
      </c>
      <c r="U191" s="271">
        <f t="shared" si="333"/>
        <v>0</v>
      </c>
      <c r="V191" s="272">
        <f t="shared" si="334"/>
        <v>738786</v>
      </c>
      <c r="W191" s="273" t="str">
        <f t="shared" si="335"/>
        <v>Indoklás szükséges mivel a FEOR: 106,4%</v>
      </c>
      <c r="X191" s="372">
        <f t="shared" si="336"/>
        <v>0</v>
      </c>
      <c r="Y191" s="317">
        <f t="shared" si="337"/>
        <v>653793</v>
      </c>
      <c r="Z191" s="317">
        <f t="shared" si="338"/>
        <v>84993</v>
      </c>
      <c r="AA191" s="12">
        <v>2</v>
      </c>
      <c r="AB191" s="274">
        <v>8360760632</v>
      </c>
      <c r="AC191" s="40" t="s">
        <v>171</v>
      </c>
      <c r="AD191" s="82" t="s">
        <v>75</v>
      </c>
      <c r="AE191" s="41" t="s">
        <v>52</v>
      </c>
      <c r="AF191" s="11" t="s">
        <v>153</v>
      </c>
      <c r="AG191" s="11" t="s">
        <v>168</v>
      </c>
      <c r="AH191" s="14" t="s">
        <v>122</v>
      </c>
      <c r="AI191" s="86" t="s">
        <v>22</v>
      </c>
      <c r="AJ191" s="113" t="str">
        <f>IF(COUNTIFS(Admin!$A$29:$A$40,AI191)&gt;0,Admin!$A$28,IF(COUNTIFS(Admin!$B$29:$B$40,AI191)&gt;0,Admin!$B$28,IF(COUNTIFS(Admin!$C$29:$C$40,AI191)&gt;0,Admin!$C$28,IF(COUNTIFS(Admin!$D$29:$D$40,AI191)&gt;0,Admin!$D$28,"-"))))</f>
        <v>2. mérföldkő</v>
      </c>
      <c r="AK191" s="14" t="s">
        <v>7</v>
      </c>
      <c r="AL191" s="9" t="s">
        <v>56</v>
      </c>
      <c r="AM191" s="131">
        <v>720000</v>
      </c>
      <c r="AN191" s="132">
        <f t="shared" si="368"/>
        <v>93600</v>
      </c>
      <c r="AO191" s="121">
        <v>174</v>
      </c>
      <c r="AP191" s="121">
        <v>158</v>
      </c>
      <c r="AQ191" s="354">
        <f t="shared" si="402"/>
        <v>0.90804597701149425</v>
      </c>
      <c r="AR191" s="133">
        <f t="shared" si="214"/>
        <v>653793</v>
      </c>
      <c r="AS191" s="133">
        <f t="shared" si="500"/>
        <v>84993</v>
      </c>
      <c r="AT191" s="123">
        <f t="shared" si="404"/>
        <v>1.4367816092430985E-7</v>
      </c>
      <c r="AU191" s="124">
        <v>0.13</v>
      </c>
      <c r="AV191" s="394" t="s">
        <v>2773</v>
      </c>
      <c r="AW191" s="15">
        <v>44736</v>
      </c>
      <c r="AX191" s="12" t="s">
        <v>206</v>
      </c>
      <c r="BC191" s="1" t="s">
        <v>2830</v>
      </c>
      <c r="BD191" s="1" t="str">
        <f t="shared" si="501"/>
        <v>Kutató_MK_3 - Kutató</v>
      </c>
    </row>
    <row r="192" spans="1:56" s="1" customFormat="1" hidden="1" x14ac:dyDescent="0.25">
      <c r="A192" s="264" t="str">
        <f>Bérköltség!$B192</f>
        <v>FEOR</v>
      </c>
      <c r="B192" s="264" t="str">
        <f>IFERROR(
IF(AND(Bérköltség!$F192="",H192="NA"),"HIÁNYOS ADATOK",
IF(Bérköltség!$F192&lt;Bérköltség!$U192,Admin!$B$18,Admin!$B$17)),
"")</f>
        <v>FEOR</v>
      </c>
      <c r="C192" s="265">
        <f>IFERROR(INDEX('Historikus berek_2021-2'!$A$1:$F$903,MATCH(AB192,'Historikus berek_2021-2'!$A$1:$A$903,0),4),"")</f>
        <v>878133.33333333337</v>
      </c>
      <c r="D192" s="279">
        <f t="shared" si="321"/>
        <v>797385.44061302685</v>
      </c>
      <c r="E192" s="265">
        <f t="shared" si="322"/>
        <v>653793</v>
      </c>
      <c r="F192" s="266">
        <f t="shared" si="323"/>
        <v>0</v>
      </c>
      <c r="G192" s="267">
        <f t="shared" si="324"/>
        <v>738786.09</v>
      </c>
      <c r="H192" s="268">
        <f>IFERROR(INDEX('FEOR kodok'!$A$2:$J$1126,MATCH(Bérköltség!AB192,'FEOR kodok'!$B$2:$B$1126,0),8),"NA")</f>
        <v>2410</v>
      </c>
      <c r="I192" s="269">
        <f>IFERROR(INDEX('FEOR kodok'!$A$2:$J$1126,MATCH(Bérköltség!AB192,'FEOR kodok'!$B$2:$B$1126,0),10),"NA")</f>
        <v>58</v>
      </c>
      <c r="J192" s="276" t="str">
        <f t="shared" si="325"/>
        <v>50 év és afelett</v>
      </c>
      <c r="K192" s="269" t="str">
        <f>IFERROR(INDEX(admin_feor[#All],MATCH(Bérköltség!H192,admin_feor[[#All],[Foglalkozás]],0),2),"NA")</f>
        <v>Egyetemi, főiskolai oktató, tanár</v>
      </c>
      <c r="L192" s="270">
        <f>IFERROR(
INDEX('Admin - FEOR'!$A$4:$F$465,MATCH(Bérköltség!H192,'Admin - FEOR'!$A$4:$A$465,0),
IF(J192="30 év alatt",3,
IF(J192="30–39 éves",4,
IF(J192="40–49 éves",5,
IF(J192="50 év és afelett",6
)))))*1,"NA")</f>
        <v>676379</v>
      </c>
      <c r="M192" s="270">
        <f t="shared" si="326"/>
        <v>720000</v>
      </c>
      <c r="N192" s="318">
        <f t="shared" si="327"/>
        <v>1.0644919490404048</v>
      </c>
      <c r="O192" s="270">
        <f>IFERROR(
INDEX('Admin - FEOR'!$A$4:$F$465,MATCH(Bérköltség!H192,'Admin - FEOR'!$A$4:$A$465,0),
IF(J192="30 év alatt",3,
IF(J192="30–39 éves",4,
IF(J192="40–49 éves",5,
IF(J192="50 év és afelett",6
)))))*1.5,"NA")</f>
        <v>1014568.5</v>
      </c>
      <c r="P192" s="270">
        <f t="shared" si="328"/>
        <v>921274.8448275862</v>
      </c>
      <c r="Q192" s="270">
        <f t="shared" si="329"/>
        <v>653793</v>
      </c>
      <c r="R192" s="275">
        <f t="shared" si="330"/>
        <v>0.90804597701149425</v>
      </c>
      <c r="S192" s="270">
        <f t="shared" si="331"/>
        <v>0</v>
      </c>
      <c r="T192" s="270">
        <f t="shared" si="332"/>
        <v>0</v>
      </c>
      <c r="U192" s="271">
        <f t="shared" si="333"/>
        <v>0</v>
      </c>
      <c r="V192" s="272">
        <f t="shared" si="334"/>
        <v>738786</v>
      </c>
      <c r="W192" s="273" t="str">
        <f t="shared" si="335"/>
        <v>Indoklás szükséges mivel a FEOR: 106,4%</v>
      </c>
      <c r="X192" s="372">
        <f t="shared" si="336"/>
        <v>0</v>
      </c>
      <c r="Y192" s="317">
        <f t="shared" si="337"/>
        <v>653793</v>
      </c>
      <c r="Z192" s="317">
        <f t="shared" si="338"/>
        <v>84993</v>
      </c>
      <c r="AA192" s="12">
        <v>2</v>
      </c>
      <c r="AB192" s="274">
        <v>8360760632</v>
      </c>
      <c r="AC192" s="40" t="s">
        <v>171</v>
      </c>
      <c r="AD192" s="82" t="s">
        <v>75</v>
      </c>
      <c r="AE192" s="41" t="s">
        <v>52</v>
      </c>
      <c r="AF192" s="11" t="s">
        <v>153</v>
      </c>
      <c r="AG192" s="11" t="s">
        <v>168</v>
      </c>
      <c r="AH192" s="14" t="s">
        <v>122</v>
      </c>
      <c r="AI192" s="86" t="s">
        <v>23</v>
      </c>
      <c r="AJ192" s="113" t="str">
        <f>IF(COUNTIFS(Admin!$A$29:$A$40,AI192)&gt;0,Admin!$A$28,IF(COUNTIFS(Admin!$B$29:$B$40,AI192)&gt;0,Admin!$B$28,IF(COUNTIFS(Admin!$C$29:$C$40,AI192)&gt;0,Admin!$C$28,IF(COUNTIFS(Admin!$D$29:$D$40,AI192)&gt;0,Admin!$D$28,"-"))))</f>
        <v>2. mérföldkő</v>
      </c>
      <c r="AK192" s="14" t="s">
        <v>7</v>
      </c>
      <c r="AL192" s="9" t="s">
        <v>56</v>
      </c>
      <c r="AM192" s="131">
        <v>720000</v>
      </c>
      <c r="AN192" s="132">
        <f t="shared" si="368"/>
        <v>93600</v>
      </c>
      <c r="AO192" s="121">
        <v>174</v>
      </c>
      <c r="AP192" s="121">
        <v>158</v>
      </c>
      <c r="AQ192" s="354">
        <f t="shared" si="402"/>
        <v>0.90804597701149425</v>
      </c>
      <c r="AR192" s="133">
        <f t="shared" si="214"/>
        <v>653793</v>
      </c>
      <c r="AS192" s="133">
        <f t="shared" si="500"/>
        <v>84993</v>
      </c>
      <c r="AT192" s="123">
        <f t="shared" si="404"/>
        <v>1.4367816092430985E-7</v>
      </c>
      <c r="AU192" s="124">
        <v>0.13</v>
      </c>
      <c r="AV192" s="394" t="s">
        <v>2773</v>
      </c>
      <c r="AW192" s="15">
        <v>44736</v>
      </c>
      <c r="AX192" s="12" t="s">
        <v>206</v>
      </c>
      <c r="BC192" s="1" t="s">
        <v>2830</v>
      </c>
      <c r="BD192" s="1" t="str">
        <f t="shared" si="501"/>
        <v>Kutató_MK_3 - Kutató</v>
      </c>
    </row>
    <row r="193" spans="1:56" s="1" customFormat="1" hidden="1" x14ac:dyDescent="0.25">
      <c r="A193" s="264" t="str">
        <f>Bérköltség!$B193</f>
        <v>FEOR</v>
      </c>
      <c r="B193" s="264" t="str">
        <f>IFERROR(
IF(AND(Bérköltség!$F193="",H193="NA"),"HIÁNYOS ADATOK",
IF(Bérköltség!$F193&lt;Bérköltség!$U193,Admin!$B$18,Admin!$B$17)),
"")</f>
        <v>FEOR</v>
      </c>
      <c r="C193" s="265">
        <f>IFERROR(INDEX('Historikus berek_2021-2'!$A$1:$F$903,MATCH(AB193,'Historikus berek_2021-2'!$A$1:$A$903,0),4),"")</f>
        <v>878133.33333333337</v>
      </c>
      <c r="D193" s="279">
        <f t="shared" si="321"/>
        <v>797385.44061302685</v>
      </c>
      <c r="E193" s="265">
        <f t="shared" si="322"/>
        <v>653793</v>
      </c>
      <c r="F193" s="266">
        <f t="shared" si="323"/>
        <v>0</v>
      </c>
      <c r="G193" s="267">
        <f t="shared" si="324"/>
        <v>738786.09</v>
      </c>
      <c r="H193" s="268">
        <f>IFERROR(INDEX('FEOR kodok'!$A$2:$J$1126,MATCH(Bérköltség!AB193,'FEOR kodok'!$B$2:$B$1126,0),8),"NA")</f>
        <v>2410</v>
      </c>
      <c r="I193" s="269">
        <f>IFERROR(INDEX('FEOR kodok'!$A$2:$J$1126,MATCH(Bérköltség!AB193,'FEOR kodok'!$B$2:$B$1126,0),10),"NA")</f>
        <v>58</v>
      </c>
      <c r="J193" s="276" t="str">
        <f t="shared" si="325"/>
        <v>50 év és afelett</v>
      </c>
      <c r="K193" s="269" t="str">
        <f>IFERROR(INDEX(admin_feor[#All],MATCH(Bérköltség!H193,admin_feor[[#All],[Foglalkozás]],0),2),"NA")</f>
        <v>Egyetemi, főiskolai oktató, tanár</v>
      </c>
      <c r="L193" s="270">
        <f>IFERROR(
INDEX('Admin - FEOR'!$A$4:$F$465,MATCH(Bérköltség!H193,'Admin - FEOR'!$A$4:$A$465,0),
IF(J193="30 év alatt",3,
IF(J193="30–39 éves",4,
IF(J193="40–49 éves",5,
IF(J193="50 év és afelett",6
)))))*1,"NA")</f>
        <v>676379</v>
      </c>
      <c r="M193" s="270">
        <f t="shared" si="326"/>
        <v>720000</v>
      </c>
      <c r="N193" s="318">
        <f t="shared" si="327"/>
        <v>1.0644919490404048</v>
      </c>
      <c r="O193" s="270">
        <f>IFERROR(
INDEX('Admin - FEOR'!$A$4:$F$465,MATCH(Bérköltség!H193,'Admin - FEOR'!$A$4:$A$465,0),
IF(J193="30 év alatt",3,
IF(J193="30–39 éves",4,
IF(J193="40–49 éves",5,
IF(J193="50 év és afelett",6
)))))*1.5,"NA")</f>
        <v>1014568.5</v>
      </c>
      <c r="P193" s="270">
        <f t="shared" si="328"/>
        <v>921274.8448275862</v>
      </c>
      <c r="Q193" s="270">
        <f t="shared" si="329"/>
        <v>653793</v>
      </c>
      <c r="R193" s="275">
        <f t="shared" si="330"/>
        <v>0.90804597701149425</v>
      </c>
      <c r="S193" s="270">
        <f t="shared" si="331"/>
        <v>0</v>
      </c>
      <c r="T193" s="270">
        <f t="shared" si="332"/>
        <v>0</v>
      </c>
      <c r="U193" s="271">
        <f t="shared" si="333"/>
        <v>0</v>
      </c>
      <c r="V193" s="272">
        <f t="shared" si="334"/>
        <v>738786</v>
      </c>
      <c r="W193" s="273" t="str">
        <f t="shared" si="335"/>
        <v>Indoklás szükséges mivel a FEOR: 106,4%</v>
      </c>
      <c r="X193" s="372">
        <f t="shared" si="336"/>
        <v>0</v>
      </c>
      <c r="Y193" s="317">
        <f t="shared" si="337"/>
        <v>653793</v>
      </c>
      <c r="Z193" s="317">
        <f t="shared" si="338"/>
        <v>84993</v>
      </c>
      <c r="AA193" s="12">
        <v>2</v>
      </c>
      <c r="AB193" s="274">
        <v>8360760632</v>
      </c>
      <c r="AC193" s="40" t="s">
        <v>171</v>
      </c>
      <c r="AD193" s="82" t="s">
        <v>75</v>
      </c>
      <c r="AE193" s="41" t="s">
        <v>52</v>
      </c>
      <c r="AF193" s="11" t="s">
        <v>153</v>
      </c>
      <c r="AG193" s="11" t="s">
        <v>168</v>
      </c>
      <c r="AH193" s="14" t="s">
        <v>122</v>
      </c>
      <c r="AI193" s="86" t="s">
        <v>24</v>
      </c>
      <c r="AJ193" s="113" t="str">
        <f>IF(COUNTIFS(Admin!$A$29:$A$40,AI193)&gt;0,Admin!$A$28,IF(COUNTIFS(Admin!$B$29:$B$40,AI193)&gt;0,Admin!$B$28,IF(COUNTIFS(Admin!$C$29:$C$40,AI193)&gt;0,Admin!$C$28,IF(COUNTIFS(Admin!$D$29:$D$40,AI193)&gt;0,Admin!$D$28,"-"))))</f>
        <v>2. mérföldkő</v>
      </c>
      <c r="AK193" s="14" t="s">
        <v>7</v>
      </c>
      <c r="AL193" s="9" t="s">
        <v>56</v>
      </c>
      <c r="AM193" s="131">
        <v>720000</v>
      </c>
      <c r="AN193" s="132">
        <f t="shared" si="368"/>
        <v>93600</v>
      </c>
      <c r="AO193" s="121">
        <v>174</v>
      </c>
      <c r="AP193" s="121">
        <v>158</v>
      </c>
      <c r="AQ193" s="354">
        <f t="shared" si="402"/>
        <v>0.90804597701149425</v>
      </c>
      <c r="AR193" s="133">
        <f t="shared" si="214"/>
        <v>653793</v>
      </c>
      <c r="AS193" s="133">
        <f t="shared" si="500"/>
        <v>84993</v>
      </c>
      <c r="AT193" s="123">
        <f t="shared" si="404"/>
        <v>1.4367816092430985E-7</v>
      </c>
      <c r="AU193" s="124">
        <v>0.13</v>
      </c>
      <c r="AV193" s="394" t="s">
        <v>2773</v>
      </c>
      <c r="AW193" s="15">
        <v>44736</v>
      </c>
      <c r="AX193" s="12" t="s">
        <v>206</v>
      </c>
      <c r="BC193" s="1" t="s">
        <v>2830</v>
      </c>
      <c r="BD193" s="1" t="str">
        <f t="shared" si="501"/>
        <v>Kutató_MK_3 - Kutató</v>
      </c>
    </row>
    <row r="194" spans="1:56" s="1" customFormat="1" hidden="1" x14ac:dyDescent="0.25">
      <c r="A194" s="264" t="str">
        <f>Bérköltség!$B194</f>
        <v>FEOR</v>
      </c>
      <c r="B194" s="264" t="str">
        <f>IFERROR(
IF(AND(Bérköltség!$F194="",H194="NA"),"HIÁNYOS ADATOK",
IF(Bérköltség!$F194&lt;Bérköltség!$U194,Admin!$B$18,Admin!$B$17)),
"")</f>
        <v>FEOR</v>
      </c>
      <c r="C194" s="265">
        <f>IFERROR(INDEX('Historikus berek_2021-2'!$A$1:$F$903,MATCH(AB194,'Historikus berek_2021-2'!$A$1:$A$903,0),4),"")</f>
        <v>878133.33333333337</v>
      </c>
      <c r="D194" s="279">
        <f t="shared" si="321"/>
        <v>797385.44061302685</v>
      </c>
      <c r="E194" s="265">
        <f t="shared" si="322"/>
        <v>653793</v>
      </c>
      <c r="F194" s="266">
        <f t="shared" si="323"/>
        <v>0</v>
      </c>
      <c r="G194" s="267">
        <f t="shared" si="324"/>
        <v>738786.09</v>
      </c>
      <c r="H194" s="268">
        <f>IFERROR(INDEX('FEOR kodok'!$A$2:$J$1126,MATCH(Bérköltség!AB194,'FEOR kodok'!$B$2:$B$1126,0),8),"NA")</f>
        <v>2410</v>
      </c>
      <c r="I194" s="269">
        <f>IFERROR(INDEX('FEOR kodok'!$A$2:$J$1126,MATCH(Bérköltség!AB194,'FEOR kodok'!$B$2:$B$1126,0),10),"NA")</f>
        <v>58</v>
      </c>
      <c r="J194" s="276" t="str">
        <f t="shared" si="325"/>
        <v>50 év és afelett</v>
      </c>
      <c r="K194" s="269" t="str">
        <f>IFERROR(INDEX(admin_feor[#All],MATCH(Bérköltség!H194,admin_feor[[#All],[Foglalkozás]],0),2),"NA")</f>
        <v>Egyetemi, főiskolai oktató, tanár</v>
      </c>
      <c r="L194" s="270">
        <f>IFERROR(
INDEX('Admin - FEOR'!$A$4:$F$465,MATCH(Bérköltség!H194,'Admin - FEOR'!$A$4:$A$465,0),
IF(J194="30 év alatt",3,
IF(J194="30–39 éves",4,
IF(J194="40–49 éves",5,
IF(J194="50 év és afelett",6
)))))*1,"NA")</f>
        <v>676379</v>
      </c>
      <c r="M194" s="270">
        <f t="shared" si="326"/>
        <v>720000</v>
      </c>
      <c r="N194" s="318">
        <f t="shared" si="327"/>
        <v>1.0644919490404048</v>
      </c>
      <c r="O194" s="270">
        <f>IFERROR(
INDEX('Admin - FEOR'!$A$4:$F$465,MATCH(Bérköltség!H194,'Admin - FEOR'!$A$4:$A$465,0),
IF(J194="30 év alatt",3,
IF(J194="30–39 éves",4,
IF(J194="40–49 éves",5,
IF(J194="50 év és afelett",6
)))))*1.5,"NA")</f>
        <v>1014568.5</v>
      </c>
      <c r="P194" s="270">
        <f t="shared" si="328"/>
        <v>921274.8448275862</v>
      </c>
      <c r="Q194" s="270">
        <f t="shared" si="329"/>
        <v>653793</v>
      </c>
      <c r="R194" s="275">
        <f t="shared" si="330"/>
        <v>0.90804597701149425</v>
      </c>
      <c r="S194" s="270">
        <f t="shared" si="331"/>
        <v>0</v>
      </c>
      <c r="T194" s="270">
        <f t="shared" si="332"/>
        <v>0</v>
      </c>
      <c r="U194" s="271">
        <f t="shared" si="333"/>
        <v>0</v>
      </c>
      <c r="V194" s="272">
        <f t="shared" si="334"/>
        <v>738786</v>
      </c>
      <c r="W194" s="273" t="str">
        <f t="shared" si="335"/>
        <v>Indoklás szükséges mivel a FEOR: 106,4%</v>
      </c>
      <c r="X194" s="372">
        <f t="shared" si="336"/>
        <v>0</v>
      </c>
      <c r="Y194" s="317">
        <f t="shared" si="337"/>
        <v>653793</v>
      </c>
      <c r="Z194" s="317">
        <f t="shared" si="338"/>
        <v>84993</v>
      </c>
      <c r="AA194" s="12">
        <v>2</v>
      </c>
      <c r="AB194" s="274">
        <v>8360760632</v>
      </c>
      <c r="AC194" s="40" t="s">
        <v>171</v>
      </c>
      <c r="AD194" s="82" t="s">
        <v>75</v>
      </c>
      <c r="AE194" s="41" t="s">
        <v>52</v>
      </c>
      <c r="AF194" s="11" t="s">
        <v>153</v>
      </c>
      <c r="AG194" s="11" t="s">
        <v>168</v>
      </c>
      <c r="AH194" s="14" t="s">
        <v>122</v>
      </c>
      <c r="AI194" s="86" t="s">
        <v>25</v>
      </c>
      <c r="AJ194" s="113" t="str">
        <f>IF(COUNTIFS(Admin!$A$29:$A$40,AI194)&gt;0,Admin!$A$28,IF(COUNTIFS(Admin!$B$29:$B$40,AI194)&gt;0,Admin!$B$28,IF(COUNTIFS(Admin!$C$29:$C$40,AI194)&gt;0,Admin!$C$28,IF(COUNTIFS(Admin!$D$29:$D$40,AI194)&gt;0,Admin!$D$28,"-"))))</f>
        <v>2. mérföldkő</v>
      </c>
      <c r="AK194" s="14" t="s">
        <v>7</v>
      </c>
      <c r="AL194" s="9" t="s">
        <v>56</v>
      </c>
      <c r="AM194" s="131">
        <v>720000</v>
      </c>
      <c r="AN194" s="132">
        <f t="shared" si="368"/>
        <v>93600</v>
      </c>
      <c r="AO194" s="121">
        <v>174</v>
      </c>
      <c r="AP194" s="121">
        <v>158</v>
      </c>
      <c r="AQ194" s="354">
        <f t="shared" si="402"/>
        <v>0.90804597701149425</v>
      </c>
      <c r="AR194" s="133">
        <f t="shared" si="214"/>
        <v>653793</v>
      </c>
      <c r="AS194" s="133">
        <f t="shared" si="500"/>
        <v>84993</v>
      </c>
      <c r="AT194" s="123">
        <f t="shared" si="404"/>
        <v>1.4367816092430985E-7</v>
      </c>
      <c r="AU194" s="124">
        <v>0.13</v>
      </c>
      <c r="AV194" s="394" t="s">
        <v>2773</v>
      </c>
      <c r="AW194" s="15">
        <v>44736</v>
      </c>
      <c r="AX194" s="12" t="s">
        <v>206</v>
      </c>
      <c r="AZ194" s="1" t="s">
        <v>2667</v>
      </c>
      <c r="BA194" s="1" t="s">
        <v>2667</v>
      </c>
      <c r="BB194" s="1" t="s">
        <v>2667</v>
      </c>
      <c r="BC194" s="1" t="s">
        <v>2830</v>
      </c>
      <c r="BD194" s="1" t="str">
        <f t="shared" si="501"/>
        <v>Kutató_MK_3 - Kutató</v>
      </c>
    </row>
    <row r="195" spans="1:56" s="1" customFormat="1" hidden="1" x14ac:dyDescent="0.25">
      <c r="A195" s="264" t="str">
        <f>Bérköltség!$B195</f>
        <v>FEOR</v>
      </c>
      <c r="B195" s="264" t="str">
        <f>IFERROR(
IF(AND(Bérköltség!$F195="",H195="NA"),"HIÁNYOS ADATOK",
IF(Bérköltség!$F195&lt;Bérköltség!$U195,Admin!$B$18,Admin!$B$17)),
"")</f>
        <v>FEOR</v>
      </c>
      <c r="C195" s="265" t="str">
        <f>IFERROR(INDEX('Historikus berek_2021-2'!$A$1:$F$903,MATCH(AB195,'Historikus berek_2021-2'!$A$1:$A$903,0),4),"")</f>
        <v/>
      </c>
      <c r="D195" s="279" t="str">
        <f t="shared" si="321"/>
        <v/>
      </c>
      <c r="E195" s="265">
        <f t="shared" si="322"/>
        <v>300000</v>
      </c>
      <c r="F195" s="266" t="str">
        <f t="shared" si="323"/>
        <v/>
      </c>
      <c r="G195" s="267" t="str">
        <f t="shared" si="324"/>
        <v/>
      </c>
      <c r="H195" s="268">
        <f>IFERROR(INDEX('FEOR kodok'!$A$2:$J$1126,MATCH(Bérköltség!AB195,'FEOR kodok'!$B$2:$B$1126,0),8),"NA")</f>
        <v>2118</v>
      </c>
      <c r="I195" s="269">
        <f>IFERROR(INDEX('FEOR kodok'!$A$2:$J$1126,MATCH(Bérköltség!AB195,'FEOR kodok'!$B$2:$B$1126,0),10),"NA")</f>
        <v>37</v>
      </c>
      <c r="J195" s="276" t="str">
        <f t="shared" si="325"/>
        <v>30–39 éves</v>
      </c>
      <c r="K195" s="269" t="str">
        <f>IFERROR(INDEX(admin_feor[#All],MATCH(Bérköltség!H195,admin_feor[[#All],[Foglalkozás]],0),2),"NA")</f>
        <v>Gépészmérnök</v>
      </c>
      <c r="L195" s="270">
        <f>IFERROR(
INDEX('Admin - FEOR'!$A$4:$F$465,MATCH(Bérköltség!H195,'Admin - FEOR'!$A$4:$A$465,0),
IF(J195="30 év alatt",3,
IF(J195="30–39 éves",4,
IF(J195="40–49 éves",5,
IF(J195="50 év és afelett",6
)))))*1,"NA")</f>
        <v>780252</v>
      </c>
      <c r="M195" s="270">
        <f t="shared" si="326"/>
        <v>300000</v>
      </c>
      <c r="N195" s="318">
        <f t="shared" si="327"/>
        <v>0.38449116439304226</v>
      </c>
      <c r="O195" s="270">
        <f>IFERROR(
INDEX('Admin - FEOR'!$A$4:$F$465,MATCH(Bérköltség!H195,'Admin - FEOR'!$A$4:$A$465,0),
IF(J195="30 év alatt",3,
IF(J195="30–39 éves",4,
IF(J195="40–49 éves",5,
IF(J195="50 év és afelett",6
)))))*1.5,"NA")</f>
        <v>1170378</v>
      </c>
      <c r="P195" s="270">
        <f t="shared" si="328"/>
        <v>1170378</v>
      </c>
      <c r="Q195" s="270">
        <f t="shared" si="329"/>
        <v>300000</v>
      </c>
      <c r="R195" s="275">
        <f t="shared" si="330"/>
        <v>1</v>
      </c>
      <c r="S195" s="270">
        <f t="shared" si="331"/>
        <v>0</v>
      </c>
      <c r="T195" s="270">
        <f t="shared" si="332"/>
        <v>0</v>
      </c>
      <c r="U195" s="271">
        <f t="shared" si="333"/>
        <v>0</v>
      </c>
      <c r="V195" s="272">
        <f t="shared" si="334"/>
        <v>339000</v>
      </c>
      <c r="W195" s="273" t="str">
        <f t="shared" si="335"/>
        <v>Nem szükséges indoklás.</v>
      </c>
      <c r="X195" s="372">
        <f t="shared" si="336"/>
        <v>0</v>
      </c>
      <c r="Y195" s="317">
        <f t="shared" si="337"/>
        <v>300000</v>
      </c>
      <c r="Z195" s="317">
        <f t="shared" si="338"/>
        <v>39000</v>
      </c>
      <c r="AA195" s="12">
        <v>2</v>
      </c>
      <c r="AB195" s="274">
        <v>8437290244</v>
      </c>
      <c r="AC195" s="40" t="s">
        <v>191</v>
      </c>
      <c r="AD195" s="82" t="s">
        <v>75</v>
      </c>
      <c r="AE195" s="41" t="s">
        <v>54</v>
      </c>
      <c r="AF195" s="11" t="s">
        <v>159</v>
      </c>
      <c r="AG195" s="11" t="s">
        <v>166</v>
      </c>
      <c r="AH195" s="14" t="s">
        <v>123</v>
      </c>
      <c r="AI195" s="86" t="s">
        <v>21</v>
      </c>
      <c r="AJ195" s="113" t="str">
        <f>IF(COUNTIFS(Admin!$A$29:$A$40,AI195)&gt;0,Admin!$A$28,IF(COUNTIFS(Admin!$B$29:$B$40,AI195)&gt;0,Admin!$B$28,IF(COUNTIFS(Admin!$C$29:$C$40,AI195)&gt;0,Admin!$C$28,IF(COUNTIFS(Admin!$D$29:$D$40,AI195)&gt;0,Admin!$D$28,"-"))))</f>
        <v>2. mérföldkő</v>
      </c>
      <c r="AK195" s="14" t="s">
        <v>7</v>
      </c>
      <c r="AL195" s="9" t="s">
        <v>56</v>
      </c>
      <c r="AM195" s="131">
        <v>300000</v>
      </c>
      <c r="AN195" s="132">
        <f t="shared" si="368"/>
        <v>39000</v>
      </c>
      <c r="AO195" s="121">
        <v>130</v>
      </c>
      <c r="AP195" s="121">
        <v>130</v>
      </c>
      <c r="AQ195" s="354">
        <f t="shared" si="402"/>
        <v>1</v>
      </c>
      <c r="AR195" s="133">
        <f t="shared" si="214"/>
        <v>300000</v>
      </c>
      <c r="AS195" s="133">
        <f t="shared" si="500"/>
        <v>39000</v>
      </c>
      <c r="AT195" s="123">
        <f t="shared" si="404"/>
        <v>0</v>
      </c>
      <c r="AU195" s="124">
        <v>0.13</v>
      </c>
      <c r="AV195" s="394" t="s">
        <v>2774</v>
      </c>
      <c r="AW195" s="15">
        <v>44739</v>
      </c>
      <c r="AX195" s="12" t="s">
        <v>206</v>
      </c>
      <c r="BC195" s="1" t="s">
        <v>2831</v>
      </c>
      <c r="BD195" s="1" t="str">
        <f t="shared" si="501"/>
        <v>Segédszemélyzet_NK_3 - Segédszemélyzet</v>
      </c>
    </row>
    <row r="196" spans="1:56" s="1" customFormat="1" hidden="1" x14ac:dyDescent="0.25">
      <c r="A196" s="264" t="str">
        <f>Bérköltség!$B196</f>
        <v>FEOR</v>
      </c>
      <c r="B196" s="264" t="str">
        <f>IFERROR(
IF(AND(Bérköltség!$F196="",H196="NA"),"HIÁNYOS ADATOK",
IF(Bérköltség!$F196&lt;Bérköltség!$U196,Admin!$B$18,Admin!$B$17)),
"")</f>
        <v>FEOR</v>
      </c>
      <c r="C196" s="265" t="str">
        <f>IFERROR(INDEX('Historikus berek_2021-2'!$A$1:$F$903,MATCH(AB196,'Historikus berek_2021-2'!$A$1:$A$903,0),4),"")</f>
        <v/>
      </c>
      <c r="D196" s="279" t="str">
        <f t="shared" si="321"/>
        <v/>
      </c>
      <c r="E196" s="265">
        <f t="shared" si="322"/>
        <v>300000</v>
      </c>
      <c r="F196" s="266" t="str">
        <f t="shared" si="323"/>
        <v/>
      </c>
      <c r="G196" s="267" t="str">
        <f t="shared" si="324"/>
        <v/>
      </c>
      <c r="H196" s="268">
        <f>IFERROR(INDEX('FEOR kodok'!$A$2:$J$1126,MATCH(Bérköltség!AB196,'FEOR kodok'!$B$2:$B$1126,0),8),"NA")</f>
        <v>2118</v>
      </c>
      <c r="I196" s="269">
        <f>IFERROR(INDEX('FEOR kodok'!$A$2:$J$1126,MATCH(Bérköltség!AB196,'FEOR kodok'!$B$2:$B$1126,0),10),"NA")</f>
        <v>37</v>
      </c>
      <c r="J196" s="276" t="str">
        <f t="shared" si="325"/>
        <v>30–39 éves</v>
      </c>
      <c r="K196" s="269" t="str">
        <f>IFERROR(INDEX(admin_feor[#All],MATCH(Bérköltség!H196,admin_feor[[#All],[Foglalkozás]],0),2),"NA")</f>
        <v>Gépészmérnök</v>
      </c>
      <c r="L196" s="270">
        <f>IFERROR(
INDEX('Admin - FEOR'!$A$4:$F$465,MATCH(Bérköltség!H196,'Admin - FEOR'!$A$4:$A$465,0),
IF(J196="30 év alatt",3,
IF(J196="30–39 éves",4,
IF(J196="40–49 éves",5,
IF(J196="50 év és afelett",6
)))))*1,"NA")</f>
        <v>780252</v>
      </c>
      <c r="M196" s="270">
        <f t="shared" si="326"/>
        <v>300000</v>
      </c>
      <c r="N196" s="318">
        <f t="shared" si="327"/>
        <v>0.38449116439304226</v>
      </c>
      <c r="O196" s="270">
        <f>IFERROR(
INDEX('Admin - FEOR'!$A$4:$F$465,MATCH(Bérköltség!H196,'Admin - FEOR'!$A$4:$A$465,0),
IF(J196="30 év alatt",3,
IF(J196="30–39 éves",4,
IF(J196="40–49 éves",5,
IF(J196="50 év és afelett",6
)))))*1.5,"NA")</f>
        <v>1170378</v>
      </c>
      <c r="P196" s="270">
        <f t="shared" si="328"/>
        <v>1170378</v>
      </c>
      <c r="Q196" s="270">
        <f t="shared" si="329"/>
        <v>300000</v>
      </c>
      <c r="R196" s="275">
        <f t="shared" si="330"/>
        <v>1</v>
      </c>
      <c r="S196" s="270">
        <f t="shared" si="331"/>
        <v>0</v>
      </c>
      <c r="T196" s="270">
        <f t="shared" si="332"/>
        <v>0</v>
      </c>
      <c r="U196" s="271">
        <f t="shared" si="333"/>
        <v>0</v>
      </c>
      <c r="V196" s="272">
        <f t="shared" si="334"/>
        <v>313000</v>
      </c>
      <c r="W196" s="273" t="str">
        <f t="shared" si="335"/>
        <v>Nem szükséges indoklás.</v>
      </c>
      <c r="X196" s="372">
        <f t="shared" si="336"/>
        <v>0</v>
      </c>
      <c r="Y196" s="317">
        <f t="shared" si="337"/>
        <v>300000</v>
      </c>
      <c r="Z196" s="317">
        <f t="shared" si="338"/>
        <v>13000</v>
      </c>
      <c r="AA196" s="12">
        <v>2</v>
      </c>
      <c r="AB196" s="274">
        <v>8437290244</v>
      </c>
      <c r="AC196" s="40" t="s">
        <v>191</v>
      </c>
      <c r="AD196" s="82" t="s">
        <v>75</v>
      </c>
      <c r="AE196" s="41" t="s">
        <v>54</v>
      </c>
      <c r="AF196" s="11" t="s">
        <v>159</v>
      </c>
      <c r="AG196" s="11" t="s">
        <v>166</v>
      </c>
      <c r="AH196" s="14" t="s">
        <v>123</v>
      </c>
      <c r="AI196" s="86" t="s">
        <v>22</v>
      </c>
      <c r="AJ196" s="113" t="str">
        <f>IF(COUNTIFS(Admin!$A$29:$A$40,AI196)&gt;0,Admin!$A$28,IF(COUNTIFS(Admin!$B$29:$B$40,AI196)&gt;0,Admin!$B$28,IF(COUNTIFS(Admin!$C$29:$C$40,AI196)&gt;0,Admin!$C$28,IF(COUNTIFS(Admin!$D$29:$D$40,AI196)&gt;0,Admin!$D$28,"-"))))</f>
        <v>2. mérföldkő</v>
      </c>
      <c r="AK196" s="14" t="s">
        <v>7</v>
      </c>
      <c r="AL196" s="9" t="s">
        <v>56</v>
      </c>
      <c r="AM196" s="131">
        <v>300000</v>
      </c>
      <c r="AN196" s="132">
        <v>13000</v>
      </c>
      <c r="AO196" s="121">
        <v>130</v>
      </c>
      <c r="AP196" s="121">
        <v>130</v>
      </c>
      <c r="AQ196" s="354">
        <f t="shared" si="402"/>
        <v>1</v>
      </c>
      <c r="AR196" s="133">
        <f t="shared" si="214"/>
        <v>300000</v>
      </c>
      <c r="AS196" s="133">
        <f t="shared" ref="AS196:AS209" si="502">IFERROR(ROUND(AR196*AU196,0),"")</f>
        <v>13000</v>
      </c>
      <c r="AT196" s="123">
        <f t="shared" ref="AT196:AT197" si="503">IFERROR(AP196/AO196-AR196/AM196,"")</f>
        <v>0</v>
      </c>
      <c r="AU196" s="393">
        <f t="shared" ref="AU196:AU202" si="504">AN196/AM196</f>
        <v>4.3333333333333335E-2</v>
      </c>
      <c r="AV196" s="394" t="s">
        <v>2774</v>
      </c>
      <c r="AW196" s="15">
        <v>44739</v>
      </c>
      <c r="AX196" s="12" t="s">
        <v>206</v>
      </c>
      <c r="BC196" s="1" t="s">
        <v>2831</v>
      </c>
      <c r="BD196" s="1" t="str">
        <f t="shared" si="501"/>
        <v>Segédszemélyzet_NK_3 - Segédszemélyzet</v>
      </c>
    </row>
    <row r="197" spans="1:56" s="1" customFormat="1" hidden="1" x14ac:dyDescent="0.25">
      <c r="A197" s="264" t="str">
        <f>Bérköltség!$B197</f>
        <v>FEOR</v>
      </c>
      <c r="B197" s="264" t="str">
        <f>IFERROR(
IF(AND(Bérköltség!$F197="",H197="NA"),"HIÁNYOS ADATOK",
IF(Bérköltség!$F197&lt;Bérköltség!$U197,Admin!$B$18,Admin!$B$17)),
"")</f>
        <v>FEOR</v>
      </c>
      <c r="C197" s="265" t="str">
        <f>IFERROR(INDEX('Historikus berek_2021-2'!$A$1:$F$903,MATCH(AB197,'Historikus berek_2021-2'!$A$1:$A$903,0),4),"")</f>
        <v/>
      </c>
      <c r="D197" s="279" t="str">
        <f t="shared" si="321"/>
        <v/>
      </c>
      <c r="E197" s="265">
        <f t="shared" si="322"/>
        <v>300000</v>
      </c>
      <c r="F197" s="266" t="str">
        <f t="shared" si="323"/>
        <v/>
      </c>
      <c r="G197" s="267" t="str">
        <f t="shared" si="324"/>
        <v/>
      </c>
      <c r="H197" s="268">
        <f>IFERROR(INDEX('FEOR kodok'!$A$2:$J$1126,MATCH(Bérköltség!AB197,'FEOR kodok'!$B$2:$B$1126,0),8),"NA")</f>
        <v>2118</v>
      </c>
      <c r="I197" s="269">
        <f>IFERROR(INDEX('FEOR kodok'!$A$2:$J$1126,MATCH(Bérköltség!AB197,'FEOR kodok'!$B$2:$B$1126,0),10),"NA")</f>
        <v>37</v>
      </c>
      <c r="J197" s="276" t="str">
        <f t="shared" si="325"/>
        <v>30–39 éves</v>
      </c>
      <c r="K197" s="269" t="str">
        <f>IFERROR(INDEX(admin_feor[#All],MATCH(Bérköltség!H197,admin_feor[[#All],[Foglalkozás]],0),2),"NA")</f>
        <v>Gépészmérnök</v>
      </c>
      <c r="L197" s="270">
        <f>IFERROR(
INDEX('Admin - FEOR'!$A$4:$F$465,MATCH(Bérköltség!H197,'Admin - FEOR'!$A$4:$A$465,0),
IF(J197="30 év alatt",3,
IF(J197="30–39 éves",4,
IF(J197="40–49 éves",5,
IF(J197="50 év és afelett",6
)))))*1,"NA")</f>
        <v>780252</v>
      </c>
      <c r="M197" s="270">
        <f t="shared" si="326"/>
        <v>300000</v>
      </c>
      <c r="N197" s="318">
        <f t="shared" si="327"/>
        <v>0.38449116439304226</v>
      </c>
      <c r="O197" s="270">
        <f>IFERROR(
INDEX('Admin - FEOR'!$A$4:$F$465,MATCH(Bérköltség!H197,'Admin - FEOR'!$A$4:$A$465,0),
IF(J197="30 év alatt",3,
IF(J197="30–39 éves",4,
IF(J197="40–49 éves",5,
IF(J197="50 év és afelett",6
)))))*1.5,"NA")</f>
        <v>1170378</v>
      </c>
      <c r="P197" s="270">
        <f t="shared" si="328"/>
        <v>1170378</v>
      </c>
      <c r="Q197" s="270">
        <f t="shared" si="329"/>
        <v>300000</v>
      </c>
      <c r="R197" s="275">
        <f t="shared" si="330"/>
        <v>1</v>
      </c>
      <c r="S197" s="270">
        <f t="shared" si="331"/>
        <v>0</v>
      </c>
      <c r="T197" s="270">
        <f t="shared" si="332"/>
        <v>0</v>
      </c>
      <c r="U197" s="271">
        <f t="shared" si="333"/>
        <v>0</v>
      </c>
      <c r="V197" s="272">
        <f t="shared" si="334"/>
        <v>313000</v>
      </c>
      <c r="W197" s="273" t="str">
        <f t="shared" si="335"/>
        <v>Nem szükséges indoklás.</v>
      </c>
      <c r="X197" s="372">
        <f t="shared" si="336"/>
        <v>0</v>
      </c>
      <c r="Y197" s="317">
        <f t="shared" si="337"/>
        <v>300000</v>
      </c>
      <c r="Z197" s="317">
        <f t="shared" si="338"/>
        <v>13000</v>
      </c>
      <c r="AA197" s="12">
        <v>2</v>
      </c>
      <c r="AB197" s="274">
        <v>8437290244</v>
      </c>
      <c r="AC197" s="40" t="s">
        <v>191</v>
      </c>
      <c r="AD197" s="82" t="s">
        <v>75</v>
      </c>
      <c r="AE197" s="41" t="s">
        <v>54</v>
      </c>
      <c r="AF197" s="11" t="s">
        <v>159</v>
      </c>
      <c r="AG197" s="11" t="s">
        <v>166</v>
      </c>
      <c r="AH197" s="14" t="s">
        <v>123</v>
      </c>
      <c r="AI197" s="86" t="s">
        <v>23</v>
      </c>
      <c r="AJ197" s="113" t="str">
        <f>IF(COUNTIFS(Admin!$A$29:$A$40,AI197)&gt;0,Admin!$A$28,IF(COUNTIFS(Admin!$B$29:$B$40,AI197)&gt;0,Admin!$B$28,IF(COUNTIFS(Admin!$C$29:$C$40,AI197)&gt;0,Admin!$C$28,IF(COUNTIFS(Admin!$D$29:$D$40,AI197)&gt;0,Admin!$D$28,"-"))))</f>
        <v>2. mérföldkő</v>
      </c>
      <c r="AK197" s="14" t="s">
        <v>7</v>
      </c>
      <c r="AL197" s="9" t="s">
        <v>56</v>
      </c>
      <c r="AM197" s="131">
        <v>300000</v>
      </c>
      <c r="AN197" s="132">
        <v>13000</v>
      </c>
      <c r="AO197" s="121">
        <v>130</v>
      </c>
      <c r="AP197" s="121">
        <v>130</v>
      </c>
      <c r="AQ197" s="354">
        <f t="shared" si="402"/>
        <v>1</v>
      </c>
      <c r="AR197" s="133">
        <f t="shared" si="214"/>
        <v>300000</v>
      </c>
      <c r="AS197" s="133">
        <f t="shared" si="502"/>
        <v>13000</v>
      </c>
      <c r="AT197" s="123">
        <f t="shared" si="503"/>
        <v>0</v>
      </c>
      <c r="AU197" s="393">
        <f t="shared" si="504"/>
        <v>4.3333333333333335E-2</v>
      </c>
      <c r="AV197" s="394" t="s">
        <v>2774</v>
      </c>
      <c r="AW197" s="15">
        <v>44739</v>
      </c>
      <c r="AX197" s="12" t="s">
        <v>206</v>
      </c>
      <c r="BC197" s="1" t="s">
        <v>2831</v>
      </c>
      <c r="BD197" s="1" t="str">
        <f t="shared" si="501"/>
        <v>Segédszemélyzet_NK_3 - Segédszemélyzet</v>
      </c>
    </row>
    <row r="198" spans="1:56" s="1" customFormat="1" hidden="1" x14ac:dyDescent="0.25">
      <c r="A198" s="264" t="str">
        <f>Bérköltség!$B198</f>
        <v>FEOR</v>
      </c>
      <c r="B198" s="264" t="str">
        <f>IFERROR(
IF(AND(Bérköltség!$F198="",H198="NA"),"HIÁNYOS ADATOK",
IF(Bérköltség!$F198&lt;Bérköltség!$U198,Admin!$B$18,Admin!$B$17)),
"")</f>
        <v>FEOR</v>
      </c>
      <c r="C198" s="265" t="str">
        <f>IFERROR(INDEX('Historikus berek_2021-2'!$A$1:$F$903,MATCH(AB198,'Historikus berek_2021-2'!$A$1:$A$903,0),4),"")</f>
        <v/>
      </c>
      <c r="D198" s="279" t="str">
        <f t="shared" si="321"/>
        <v/>
      </c>
      <c r="E198" s="265">
        <f t="shared" si="322"/>
        <v>400000</v>
      </c>
      <c r="F198" s="266" t="str">
        <f t="shared" si="323"/>
        <v/>
      </c>
      <c r="G198" s="267" t="str">
        <f t="shared" si="324"/>
        <v/>
      </c>
      <c r="H198" s="268">
        <f>IFERROR(INDEX('FEOR kodok'!$A$2:$J$1126,MATCH(Bérköltség!AB198,'FEOR kodok'!$B$2:$B$1126,0),8),"NA")</f>
        <v>2118</v>
      </c>
      <c r="I198" s="269">
        <f>IFERROR(INDEX('FEOR kodok'!$A$2:$J$1126,MATCH(Bérköltség!AB198,'FEOR kodok'!$B$2:$B$1126,0),10),"NA")</f>
        <v>37</v>
      </c>
      <c r="J198" s="276" t="str">
        <f t="shared" si="325"/>
        <v>30–39 éves</v>
      </c>
      <c r="K198" s="269" t="str">
        <f>IFERROR(INDEX(admin_feor[#All],MATCH(Bérköltség!H198,admin_feor[[#All],[Foglalkozás]],0),2),"NA")</f>
        <v>Gépészmérnök</v>
      </c>
      <c r="L198" s="270">
        <f>IFERROR(
INDEX('Admin - FEOR'!$A$4:$F$465,MATCH(Bérköltség!H198,'Admin - FEOR'!$A$4:$A$465,0),
IF(J198="30 év alatt",3,
IF(J198="30–39 éves",4,
IF(J198="40–49 éves",5,
IF(J198="50 év és afelett",6
)))))*1,"NA")</f>
        <v>780252</v>
      </c>
      <c r="M198" s="270">
        <f t="shared" si="326"/>
        <v>400000</v>
      </c>
      <c r="N198" s="318">
        <f t="shared" si="327"/>
        <v>0.51265488585738961</v>
      </c>
      <c r="O198" s="270">
        <f>IFERROR(
INDEX('Admin - FEOR'!$A$4:$F$465,MATCH(Bérköltség!H198,'Admin - FEOR'!$A$4:$A$465,0),
IF(J198="30 év alatt",3,
IF(J198="30–39 éves",4,
IF(J198="40–49 éves",5,
IF(J198="50 év és afelett",6
)))))*1.5,"NA")</f>
        <v>1170378</v>
      </c>
      <c r="P198" s="270">
        <f t="shared" si="328"/>
        <v>1170378</v>
      </c>
      <c r="Q198" s="270">
        <f t="shared" si="329"/>
        <v>400000</v>
      </c>
      <c r="R198" s="275">
        <f t="shared" si="330"/>
        <v>1</v>
      </c>
      <c r="S198" s="270">
        <f t="shared" si="331"/>
        <v>0</v>
      </c>
      <c r="T198" s="270">
        <f t="shared" si="332"/>
        <v>0</v>
      </c>
      <c r="U198" s="271">
        <f t="shared" si="333"/>
        <v>0</v>
      </c>
      <c r="V198" s="272">
        <f t="shared" si="334"/>
        <v>426000</v>
      </c>
      <c r="W198" s="273" t="str">
        <f t="shared" si="335"/>
        <v>Nem szükséges indoklás.</v>
      </c>
      <c r="X198" s="372">
        <f t="shared" si="336"/>
        <v>0</v>
      </c>
      <c r="Y198" s="317">
        <f t="shared" si="337"/>
        <v>400000</v>
      </c>
      <c r="Z198" s="317">
        <f t="shared" si="338"/>
        <v>26000</v>
      </c>
      <c r="AA198" s="12">
        <v>2</v>
      </c>
      <c r="AB198" s="274">
        <v>8437290244</v>
      </c>
      <c r="AC198" s="40" t="s">
        <v>191</v>
      </c>
      <c r="AD198" s="82" t="s">
        <v>75</v>
      </c>
      <c r="AE198" s="41" t="s">
        <v>54</v>
      </c>
      <c r="AF198" s="11" t="s">
        <v>159</v>
      </c>
      <c r="AG198" s="11" t="s">
        <v>166</v>
      </c>
      <c r="AH198" s="14" t="s">
        <v>123</v>
      </c>
      <c r="AI198" s="86" t="s">
        <v>24</v>
      </c>
      <c r="AJ198" s="113" t="str">
        <f>IF(COUNTIFS(Admin!$A$29:$A$40,AI198)&gt;0,Admin!$A$28,IF(COUNTIFS(Admin!$B$29:$B$40,AI198)&gt;0,Admin!$B$28,IF(COUNTIFS(Admin!$C$29:$C$40,AI198)&gt;0,Admin!$C$28,IF(COUNTIFS(Admin!$D$29:$D$40,AI198)&gt;0,Admin!$D$28,"-"))))</f>
        <v>2. mérföldkő</v>
      </c>
      <c r="AK198" s="14" t="s">
        <v>7</v>
      </c>
      <c r="AL198" s="9" t="s">
        <v>56</v>
      </c>
      <c r="AM198" s="131">
        <v>400000</v>
      </c>
      <c r="AN198" s="132">
        <v>26000</v>
      </c>
      <c r="AO198" s="121">
        <v>174</v>
      </c>
      <c r="AP198" s="121">
        <v>174</v>
      </c>
      <c r="AQ198" s="354">
        <f t="shared" si="402"/>
        <v>1</v>
      </c>
      <c r="AR198" s="133">
        <f t="shared" si="214"/>
        <v>400000</v>
      </c>
      <c r="AS198" s="133">
        <f t="shared" si="502"/>
        <v>26000</v>
      </c>
      <c r="AT198" s="123">
        <f t="shared" ref="AT198:AT202" si="505">IFERROR(AP198/AO198-AR198/AM198,"")</f>
        <v>0</v>
      </c>
      <c r="AU198" s="124">
        <f t="shared" si="504"/>
        <v>6.5000000000000002E-2</v>
      </c>
      <c r="AV198" s="394" t="s">
        <v>2774</v>
      </c>
      <c r="AW198" s="15">
        <v>44823</v>
      </c>
      <c r="AX198" s="12" t="s">
        <v>206</v>
      </c>
      <c r="BC198" s="1" t="s">
        <v>2831</v>
      </c>
      <c r="BD198" s="1" t="str">
        <f t="shared" si="501"/>
        <v>Segédszemélyzet_NK_3 - Segédszemélyzet</v>
      </c>
    </row>
    <row r="199" spans="1:56" s="1" customFormat="1" hidden="1" x14ac:dyDescent="0.25">
      <c r="A199" s="264" t="str">
        <f>Bérköltség!$B199</f>
        <v>FEOR</v>
      </c>
      <c r="B199" s="264" t="str">
        <f>IFERROR(
IF(AND(Bérköltség!$F199="",H199="NA"),"HIÁNYOS ADATOK",
IF(Bérköltség!$F199&lt;Bérköltség!$U199,Admin!$B$18,Admin!$B$17)),
"")</f>
        <v>FEOR</v>
      </c>
      <c r="C199" s="265" t="str">
        <f>IFERROR(INDEX('Historikus berek_2021-2'!$A$1:$F$903,MATCH(AB199,'Historikus berek_2021-2'!$A$1:$A$903,0),4),"")</f>
        <v/>
      </c>
      <c r="D199" s="279" t="str">
        <f t="shared" si="321"/>
        <v/>
      </c>
      <c r="E199" s="265">
        <f t="shared" si="322"/>
        <v>400000</v>
      </c>
      <c r="F199" s="266" t="str">
        <f t="shared" si="323"/>
        <v/>
      </c>
      <c r="G199" s="267" t="str">
        <f t="shared" si="324"/>
        <v/>
      </c>
      <c r="H199" s="268">
        <f>IFERROR(INDEX('FEOR kodok'!$A$2:$J$1126,MATCH(Bérköltség!AB199,'FEOR kodok'!$B$2:$B$1126,0),8),"NA")</f>
        <v>2118</v>
      </c>
      <c r="I199" s="269">
        <f>IFERROR(INDEX('FEOR kodok'!$A$2:$J$1126,MATCH(Bérköltség!AB199,'FEOR kodok'!$B$2:$B$1126,0),10),"NA")</f>
        <v>37</v>
      </c>
      <c r="J199" s="276" t="str">
        <f t="shared" si="325"/>
        <v>30–39 éves</v>
      </c>
      <c r="K199" s="269" t="str">
        <f>IFERROR(INDEX(admin_feor[#All],MATCH(Bérköltség!H199,admin_feor[[#All],[Foglalkozás]],0),2),"NA")</f>
        <v>Gépészmérnök</v>
      </c>
      <c r="L199" s="270">
        <f>IFERROR(
INDEX('Admin - FEOR'!$A$4:$F$465,MATCH(Bérköltség!H199,'Admin - FEOR'!$A$4:$A$465,0),
IF(J199="30 év alatt",3,
IF(J199="30–39 éves",4,
IF(J199="40–49 éves",5,
IF(J199="50 év és afelett",6
)))))*1,"NA")</f>
        <v>780252</v>
      </c>
      <c r="M199" s="270">
        <f t="shared" si="326"/>
        <v>400000</v>
      </c>
      <c r="N199" s="318">
        <f t="shared" si="327"/>
        <v>0.51265488585738961</v>
      </c>
      <c r="O199" s="270">
        <f>IFERROR(
INDEX('Admin - FEOR'!$A$4:$F$465,MATCH(Bérköltség!H199,'Admin - FEOR'!$A$4:$A$465,0),
IF(J199="30 év alatt",3,
IF(J199="30–39 éves",4,
IF(J199="40–49 éves",5,
IF(J199="50 év és afelett",6
)))))*1.5,"NA")</f>
        <v>1170378</v>
      </c>
      <c r="P199" s="270">
        <f t="shared" si="328"/>
        <v>1170378</v>
      </c>
      <c r="Q199" s="270">
        <f t="shared" si="329"/>
        <v>400000</v>
      </c>
      <c r="R199" s="275">
        <f t="shared" si="330"/>
        <v>1</v>
      </c>
      <c r="S199" s="270">
        <f t="shared" si="331"/>
        <v>0</v>
      </c>
      <c r="T199" s="270">
        <f t="shared" si="332"/>
        <v>0</v>
      </c>
      <c r="U199" s="271">
        <f t="shared" si="333"/>
        <v>0</v>
      </c>
      <c r="V199" s="272">
        <f t="shared" si="334"/>
        <v>426000</v>
      </c>
      <c r="W199" s="273" t="str">
        <f t="shared" si="335"/>
        <v>Nem szükséges indoklás.</v>
      </c>
      <c r="X199" s="372">
        <f t="shared" si="336"/>
        <v>0</v>
      </c>
      <c r="Y199" s="317">
        <f t="shared" si="337"/>
        <v>400000</v>
      </c>
      <c r="Z199" s="317">
        <f t="shared" si="338"/>
        <v>26000</v>
      </c>
      <c r="AA199" s="12">
        <v>2</v>
      </c>
      <c r="AB199" s="274">
        <v>8437290244</v>
      </c>
      <c r="AC199" s="40" t="s">
        <v>191</v>
      </c>
      <c r="AD199" s="82" t="s">
        <v>75</v>
      </c>
      <c r="AE199" s="41" t="s">
        <v>54</v>
      </c>
      <c r="AF199" s="11" t="s">
        <v>159</v>
      </c>
      <c r="AG199" s="11" t="s">
        <v>166</v>
      </c>
      <c r="AH199" s="14" t="s">
        <v>123</v>
      </c>
      <c r="AI199" s="86" t="s">
        <v>25</v>
      </c>
      <c r="AJ199" s="113" t="str">
        <f>IF(COUNTIFS(Admin!$A$29:$A$40,AI199)&gt;0,Admin!$A$28,IF(COUNTIFS(Admin!$B$29:$B$40,AI199)&gt;0,Admin!$B$28,IF(COUNTIFS(Admin!$C$29:$C$40,AI199)&gt;0,Admin!$C$28,IF(COUNTIFS(Admin!$D$29:$D$40,AI199)&gt;0,Admin!$D$28,"-"))))</f>
        <v>2. mérföldkő</v>
      </c>
      <c r="AK199" s="14" t="s">
        <v>7</v>
      </c>
      <c r="AL199" s="9" t="s">
        <v>56</v>
      </c>
      <c r="AM199" s="131">
        <v>400000</v>
      </c>
      <c r="AN199" s="132">
        <v>26000</v>
      </c>
      <c r="AO199" s="121">
        <v>174</v>
      </c>
      <c r="AP199" s="121">
        <v>174</v>
      </c>
      <c r="AQ199" s="354">
        <f t="shared" si="402"/>
        <v>1</v>
      </c>
      <c r="AR199" s="133">
        <f t="shared" si="214"/>
        <v>400000</v>
      </c>
      <c r="AS199" s="133">
        <f t="shared" si="502"/>
        <v>26000</v>
      </c>
      <c r="AT199" s="123">
        <f t="shared" si="505"/>
        <v>0</v>
      </c>
      <c r="AU199" s="393">
        <f t="shared" si="504"/>
        <v>6.5000000000000002E-2</v>
      </c>
      <c r="AV199" s="394" t="s">
        <v>2774</v>
      </c>
      <c r="AW199" s="15">
        <v>44823</v>
      </c>
      <c r="AX199" s="12" t="s">
        <v>206</v>
      </c>
      <c r="AZ199" s="1" t="s">
        <v>2667</v>
      </c>
      <c r="BA199" s="1" t="s">
        <v>2667</v>
      </c>
      <c r="BB199" s="1" t="s">
        <v>2667</v>
      </c>
      <c r="BC199" s="1" t="s">
        <v>2831</v>
      </c>
      <c r="BD199" s="1" t="str">
        <f t="shared" si="501"/>
        <v>Segédszemélyzet_NK_3 - Segédszemélyzet</v>
      </c>
    </row>
    <row r="200" spans="1:56" s="1" customFormat="1" hidden="1" x14ac:dyDescent="0.25">
      <c r="A200" s="264" t="str">
        <f>Bérköltség!$B200</f>
        <v>FEOR</v>
      </c>
      <c r="B200" s="264" t="str">
        <f>IFERROR(
IF(AND(Bérköltség!$F200="",H200="NA"),"HIÁNYOS ADATOK",
IF(Bérköltség!$F200&lt;Bérköltség!$U200,Admin!$B$18,Admin!$B$17)),
"")</f>
        <v>FEOR</v>
      </c>
      <c r="C200" s="265" t="str">
        <f>IFERROR(INDEX('Historikus berek_2021-2'!$A$1:$F$903,MATCH(AB200,'Historikus berek_2021-2'!$A$1:$A$903,0),4),"")</f>
        <v/>
      </c>
      <c r="D200" s="279" t="str">
        <f t="shared" si="321"/>
        <v/>
      </c>
      <c r="E200" s="265">
        <f t="shared" si="322"/>
        <v>400000</v>
      </c>
      <c r="F200" s="266" t="str">
        <f t="shared" si="323"/>
        <v/>
      </c>
      <c r="G200" s="267" t="str">
        <f t="shared" si="324"/>
        <v/>
      </c>
      <c r="H200" s="268">
        <f>IFERROR(INDEX('FEOR kodok'!$A$2:$J$1126,MATCH(Bérköltség!AB200,'FEOR kodok'!$B$2:$B$1126,0),8),"NA")</f>
        <v>2118</v>
      </c>
      <c r="I200" s="269">
        <f>IFERROR(INDEX('FEOR kodok'!$A$2:$J$1126,MATCH(Bérköltség!AB200,'FEOR kodok'!$B$2:$B$1126,0),10),"NA")</f>
        <v>37</v>
      </c>
      <c r="J200" s="276" t="str">
        <f t="shared" si="325"/>
        <v>30–39 éves</v>
      </c>
      <c r="K200" s="269" t="str">
        <f>IFERROR(INDEX(admin_feor[#All],MATCH(Bérköltség!H200,admin_feor[[#All],[Foglalkozás]],0),2),"NA")</f>
        <v>Gépészmérnök</v>
      </c>
      <c r="L200" s="270">
        <f>IFERROR(
INDEX('Admin - FEOR'!$A$4:$F$465,MATCH(Bérköltség!H200,'Admin - FEOR'!$A$4:$A$465,0),
IF(J200="30 év alatt",3,
IF(J200="30–39 éves",4,
IF(J200="40–49 éves",5,
IF(J200="50 év és afelett",6
)))))*1,"NA")</f>
        <v>780252</v>
      </c>
      <c r="M200" s="270">
        <f t="shared" si="326"/>
        <v>400000</v>
      </c>
      <c r="N200" s="318">
        <f t="shared" si="327"/>
        <v>0.51265488585738961</v>
      </c>
      <c r="O200" s="270">
        <f>IFERROR(
INDEX('Admin - FEOR'!$A$4:$F$465,MATCH(Bérköltség!H200,'Admin - FEOR'!$A$4:$A$465,0),
IF(J200="30 év alatt",3,
IF(J200="30–39 éves",4,
IF(J200="40–49 éves",5,
IF(J200="50 év és afelett",6
)))))*1.5,"NA")</f>
        <v>1170378</v>
      </c>
      <c r="P200" s="270">
        <f t="shared" si="328"/>
        <v>1170378</v>
      </c>
      <c r="Q200" s="270">
        <f t="shared" si="329"/>
        <v>400000</v>
      </c>
      <c r="R200" s="275">
        <f t="shared" si="330"/>
        <v>1</v>
      </c>
      <c r="S200" s="270">
        <f t="shared" si="331"/>
        <v>0</v>
      </c>
      <c r="T200" s="270">
        <f t="shared" si="332"/>
        <v>0</v>
      </c>
      <c r="U200" s="271">
        <f t="shared" si="333"/>
        <v>0</v>
      </c>
      <c r="V200" s="272">
        <f t="shared" si="334"/>
        <v>426194</v>
      </c>
      <c r="W200" s="273" t="str">
        <f t="shared" si="335"/>
        <v>Nem szükséges indoklás.</v>
      </c>
      <c r="X200" s="372">
        <f t="shared" si="336"/>
        <v>0</v>
      </c>
      <c r="Y200" s="317">
        <f t="shared" si="337"/>
        <v>400000</v>
      </c>
      <c r="Z200" s="317">
        <f t="shared" si="338"/>
        <v>26194</v>
      </c>
      <c r="AA200" s="12">
        <v>2</v>
      </c>
      <c r="AB200" s="274">
        <v>8437290244</v>
      </c>
      <c r="AC200" s="40" t="s">
        <v>191</v>
      </c>
      <c r="AD200" s="82" t="s">
        <v>75</v>
      </c>
      <c r="AE200" s="41" t="s">
        <v>54</v>
      </c>
      <c r="AF200" s="11" t="s">
        <v>159</v>
      </c>
      <c r="AG200" s="11" t="s">
        <v>166</v>
      </c>
      <c r="AH200" s="14" t="s">
        <v>123</v>
      </c>
      <c r="AI200" s="86" t="s">
        <v>26</v>
      </c>
      <c r="AJ200" s="113" t="str">
        <f>IF(COUNTIFS(Admin!$A$29:$A$40,AI200)&gt;0,Admin!$A$28,IF(COUNTIFS(Admin!$B$29:$B$40,AI200)&gt;0,Admin!$B$28,IF(COUNTIFS(Admin!$C$29:$C$40,AI200)&gt;0,Admin!$C$28,IF(COUNTIFS(Admin!$D$29:$D$40,AI200)&gt;0,Admin!$D$28,"-"))))</f>
        <v>2. mérföldkő</v>
      </c>
      <c r="AK200" s="14" t="s">
        <v>7</v>
      </c>
      <c r="AL200" s="9" t="s">
        <v>56</v>
      </c>
      <c r="AM200" s="131">
        <v>400000</v>
      </c>
      <c r="AN200" s="132">
        <v>26194</v>
      </c>
      <c r="AO200" s="121">
        <v>174</v>
      </c>
      <c r="AP200" s="121">
        <v>174</v>
      </c>
      <c r="AQ200" s="354">
        <f t="shared" si="402"/>
        <v>1</v>
      </c>
      <c r="AR200" s="133">
        <f t="shared" si="214"/>
        <v>400000</v>
      </c>
      <c r="AS200" s="133">
        <f t="shared" si="502"/>
        <v>26194</v>
      </c>
      <c r="AT200" s="123">
        <f t="shared" si="505"/>
        <v>0</v>
      </c>
      <c r="AU200" s="393">
        <f t="shared" si="504"/>
        <v>6.5485000000000002E-2</v>
      </c>
      <c r="AV200" s="394" t="s">
        <v>2774</v>
      </c>
      <c r="AW200" s="15">
        <v>44823</v>
      </c>
      <c r="AX200" s="12" t="s">
        <v>206</v>
      </c>
      <c r="AZ200" s="1" t="s">
        <v>2667</v>
      </c>
      <c r="BA200" s="1" t="s">
        <v>2667</v>
      </c>
      <c r="BB200" s="1" t="s">
        <v>2668</v>
      </c>
      <c r="BC200" s="1" t="s">
        <v>2831</v>
      </c>
      <c r="BD200" s="1" t="str">
        <f t="shared" si="501"/>
        <v>Segédszemélyzet_NK_3 - Segédszemélyzet</v>
      </c>
    </row>
    <row r="201" spans="1:56" s="1" customFormat="1" hidden="1" x14ac:dyDescent="0.25">
      <c r="A201" s="264" t="str">
        <f>Bérköltség!$B201</f>
        <v>FEOR</v>
      </c>
      <c r="B201" s="264" t="str">
        <f>IFERROR(
IF(AND(Bérköltség!$F201="",H201="NA"),"HIÁNYOS ADATOK",
IF(Bérköltség!$F201&lt;Bérköltség!$U201,Admin!$B$18,Admin!$B$17)),
"")</f>
        <v>FEOR</v>
      </c>
      <c r="C201" s="265" t="str">
        <f>IFERROR(INDEX('Historikus berek_2021-2'!$A$1:$F$903,MATCH(AB201,'Historikus berek_2021-2'!$A$1:$A$903,0),4),"")</f>
        <v/>
      </c>
      <c r="D201" s="279" t="str">
        <f t="shared" si="321"/>
        <v/>
      </c>
      <c r="E201" s="265">
        <f t="shared" si="322"/>
        <v>400000</v>
      </c>
      <c r="F201" s="266" t="str">
        <f t="shared" si="323"/>
        <v/>
      </c>
      <c r="G201" s="267" t="str">
        <f t="shared" si="324"/>
        <v/>
      </c>
      <c r="H201" s="268">
        <f>IFERROR(INDEX('FEOR kodok'!$A$2:$J$1126,MATCH(Bérköltség!AB201,'FEOR kodok'!$B$2:$B$1126,0),8),"NA")</f>
        <v>2118</v>
      </c>
      <c r="I201" s="269">
        <f>IFERROR(INDEX('FEOR kodok'!$A$2:$J$1126,MATCH(Bérköltség!AB201,'FEOR kodok'!$B$2:$B$1126,0),10),"NA")</f>
        <v>37</v>
      </c>
      <c r="J201" s="276" t="str">
        <f t="shared" si="325"/>
        <v>30–39 éves</v>
      </c>
      <c r="K201" s="269" t="str">
        <f>IFERROR(INDEX(admin_feor[#All],MATCH(Bérköltség!H201,admin_feor[[#All],[Foglalkozás]],0),2),"NA")</f>
        <v>Gépészmérnök</v>
      </c>
      <c r="L201" s="270">
        <f>IFERROR(
INDEX('Admin - FEOR'!$A$4:$F$465,MATCH(Bérköltség!H201,'Admin - FEOR'!$A$4:$A$465,0),
IF(J201="30 év alatt",3,
IF(J201="30–39 éves",4,
IF(J201="40–49 éves",5,
IF(J201="50 év és afelett",6
)))))*1,"NA")</f>
        <v>780252</v>
      </c>
      <c r="M201" s="270">
        <f t="shared" si="326"/>
        <v>400000</v>
      </c>
      <c r="N201" s="318">
        <f t="shared" si="327"/>
        <v>0.51265488585738961</v>
      </c>
      <c r="O201" s="270">
        <f>IFERROR(
INDEX('Admin - FEOR'!$A$4:$F$465,MATCH(Bérköltség!H201,'Admin - FEOR'!$A$4:$A$465,0),
IF(J201="30 év alatt",3,
IF(J201="30–39 éves",4,
IF(J201="40–49 éves",5,
IF(J201="50 év és afelett",6
)))))*1.5,"NA")</f>
        <v>1170378</v>
      </c>
      <c r="P201" s="270">
        <f t="shared" si="328"/>
        <v>1170378</v>
      </c>
      <c r="Q201" s="270">
        <f t="shared" si="329"/>
        <v>400000</v>
      </c>
      <c r="R201" s="275">
        <f t="shared" si="330"/>
        <v>1</v>
      </c>
      <c r="S201" s="270">
        <f t="shared" si="331"/>
        <v>0</v>
      </c>
      <c r="T201" s="270">
        <f t="shared" si="332"/>
        <v>0</v>
      </c>
      <c r="U201" s="271">
        <f t="shared" si="333"/>
        <v>0</v>
      </c>
      <c r="V201" s="272">
        <f t="shared" si="334"/>
        <v>421840</v>
      </c>
      <c r="W201" s="273" t="str">
        <f t="shared" si="335"/>
        <v>Nem szükséges indoklás.</v>
      </c>
      <c r="X201" s="372">
        <f t="shared" si="336"/>
        <v>0</v>
      </c>
      <c r="Y201" s="317">
        <f t="shared" si="337"/>
        <v>400000</v>
      </c>
      <c r="Z201" s="317">
        <f t="shared" si="338"/>
        <v>21840</v>
      </c>
      <c r="AA201" s="12">
        <v>2</v>
      </c>
      <c r="AB201" s="274">
        <v>8437290244</v>
      </c>
      <c r="AC201" s="40" t="s">
        <v>191</v>
      </c>
      <c r="AD201" s="82" t="s">
        <v>75</v>
      </c>
      <c r="AE201" s="41" t="s">
        <v>54</v>
      </c>
      <c r="AF201" s="11" t="s">
        <v>159</v>
      </c>
      <c r="AG201" s="11" t="s">
        <v>166</v>
      </c>
      <c r="AH201" s="14" t="s">
        <v>123</v>
      </c>
      <c r="AI201" s="86" t="s">
        <v>32</v>
      </c>
      <c r="AJ201" s="113" t="str">
        <f>IF(COUNTIFS(Admin!$A$29:$A$40,AI201)&gt;0,Admin!$A$28,IF(COUNTIFS(Admin!$B$29:$B$40,AI201)&gt;0,Admin!$B$28,IF(COUNTIFS(Admin!$C$29:$C$40,AI201)&gt;0,Admin!$C$28,IF(COUNTIFS(Admin!$D$29:$D$40,AI201)&gt;0,Admin!$D$28,"-"))))</f>
        <v>2. mérföldkő</v>
      </c>
      <c r="AK201" s="14" t="s">
        <v>7</v>
      </c>
      <c r="AL201" s="9" t="s">
        <v>56</v>
      </c>
      <c r="AM201" s="131">
        <v>400000</v>
      </c>
      <c r="AN201" s="132">
        <v>21840</v>
      </c>
      <c r="AO201" s="121">
        <v>174</v>
      </c>
      <c r="AP201" s="121">
        <v>174</v>
      </c>
      <c r="AQ201" s="354">
        <f t="shared" si="402"/>
        <v>1</v>
      </c>
      <c r="AR201" s="133">
        <f t="shared" si="214"/>
        <v>400000</v>
      </c>
      <c r="AS201" s="133">
        <f t="shared" si="502"/>
        <v>21840</v>
      </c>
      <c r="AT201" s="123">
        <f t="shared" si="505"/>
        <v>0</v>
      </c>
      <c r="AU201" s="393">
        <f t="shared" si="504"/>
        <v>5.4600000000000003E-2</v>
      </c>
      <c r="AV201" s="394" t="s">
        <v>2774</v>
      </c>
      <c r="AW201" s="15">
        <v>44908</v>
      </c>
      <c r="AX201" s="12" t="s">
        <v>206</v>
      </c>
      <c r="AZ201" s="1" t="s">
        <v>2667</v>
      </c>
      <c r="BA201" s="1">
        <v>0</v>
      </c>
      <c r="BB201" s="1">
        <v>0</v>
      </c>
      <c r="BC201" s="1" t="s">
        <v>2831</v>
      </c>
      <c r="BD201" s="1" t="str">
        <f t="shared" si="501"/>
        <v>Segédszemélyzet_NK_3 - Segédszemélyzet</v>
      </c>
    </row>
    <row r="202" spans="1:56" s="1" customFormat="1" hidden="1" x14ac:dyDescent="0.25">
      <c r="A202" s="264" t="str">
        <f>Bérköltség!$B202</f>
        <v>FEOR</v>
      </c>
      <c r="B202" s="264" t="str">
        <f>IFERROR(
IF(AND(Bérköltség!$F202="",H202="NA"),"HIÁNYOS ADATOK",
IF(Bérköltség!$F202&lt;Bérköltség!$U202,Admin!$B$18,Admin!$B$17)),
"")</f>
        <v>FEOR</v>
      </c>
      <c r="C202" s="265" t="str">
        <f>IFERROR(INDEX('Historikus berek_2021-2'!$A$1:$F$903,MATCH(AB202,'Historikus berek_2021-2'!$A$1:$A$903,0),4),"")</f>
        <v/>
      </c>
      <c r="D202" s="279" t="str">
        <f t="shared" si="321"/>
        <v/>
      </c>
      <c r="E202" s="265">
        <f t="shared" si="322"/>
        <v>400000</v>
      </c>
      <c r="F202" s="266" t="str">
        <f t="shared" si="323"/>
        <v/>
      </c>
      <c r="G202" s="267" t="str">
        <f t="shared" si="324"/>
        <v/>
      </c>
      <c r="H202" s="268">
        <f>IFERROR(INDEX('FEOR kodok'!$A$2:$J$1126,MATCH(Bérköltség!AB202,'FEOR kodok'!$B$2:$B$1126,0),8),"NA")</f>
        <v>2118</v>
      </c>
      <c r="I202" s="269">
        <f>IFERROR(INDEX('FEOR kodok'!$A$2:$J$1126,MATCH(Bérköltség!AB202,'FEOR kodok'!$B$2:$B$1126,0),10),"NA")</f>
        <v>37</v>
      </c>
      <c r="J202" s="276" t="str">
        <f t="shared" si="325"/>
        <v>30–39 éves</v>
      </c>
      <c r="K202" s="269" t="str">
        <f>IFERROR(INDEX(admin_feor[#All],MATCH(Bérköltség!H202,admin_feor[[#All],[Foglalkozás]],0),2),"NA")</f>
        <v>Gépészmérnök</v>
      </c>
      <c r="L202" s="270">
        <f>IFERROR(
INDEX('Admin - FEOR'!$A$4:$F$465,MATCH(Bérköltség!H202,'Admin - FEOR'!$A$4:$A$465,0),
IF(J202="30 év alatt",3,
IF(J202="30–39 éves",4,
IF(J202="40–49 éves",5,
IF(J202="50 év és afelett",6
)))))*1,"NA")</f>
        <v>780252</v>
      </c>
      <c r="M202" s="270">
        <f t="shared" si="326"/>
        <v>400000</v>
      </c>
      <c r="N202" s="318">
        <f t="shared" si="327"/>
        <v>0.51265488585738961</v>
      </c>
      <c r="O202" s="270">
        <f>IFERROR(
INDEX('Admin - FEOR'!$A$4:$F$465,MATCH(Bérköltség!H202,'Admin - FEOR'!$A$4:$A$465,0),
IF(J202="30 év alatt",3,
IF(J202="30–39 éves",4,
IF(J202="40–49 éves",5,
IF(J202="50 év és afelett",6
)))))*1.5,"NA")</f>
        <v>1170378</v>
      </c>
      <c r="P202" s="270">
        <f t="shared" si="328"/>
        <v>1170378</v>
      </c>
      <c r="Q202" s="270">
        <f t="shared" si="329"/>
        <v>400000</v>
      </c>
      <c r="R202" s="275">
        <f t="shared" si="330"/>
        <v>1</v>
      </c>
      <c r="S202" s="270">
        <f t="shared" si="331"/>
        <v>0</v>
      </c>
      <c r="T202" s="270">
        <f t="shared" si="332"/>
        <v>0</v>
      </c>
      <c r="U202" s="271">
        <f t="shared" si="333"/>
        <v>0</v>
      </c>
      <c r="V202" s="272">
        <f t="shared" si="334"/>
        <v>421840</v>
      </c>
      <c r="W202" s="273" t="str">
        <f t="shared" si="335"/>
        <v>Nem szükséges indoklás.</v>
      </c>
      <c r="X202" s="372">
        <f t="shared" si="336"/>
        <v>0</v>
      </c>
      <c r="Y202" s="317">
        <f t="shared" si="337"/>
        <v>400000</v>
      </c>
      <c r="Z202" s="317">
        <f t="shared" si="338"/>
        <v>21840</v>
      </c>
      <c r="AA202" s="12">
        <v>2</v>
      </c>
      <c r="AB202" s="274">
        <v>8437290244</v>
      </c>
      <c r="AC202" s="40" t="s">
        <v>191</v>
      </c>
      <c r="AD202" s="82" t="s">
        <v>75</v>
      </c>
      <c r="AE202" s="41" t="s">
        <v>54</v>
      </c>
      <c r="AF202" s="11" t="s">
        <v>159</v>
      </c>
      <c r="AG202" s="11" t="s">
        <v>166</v>
      </c>
      <c r="AH202" s="14" t="s">
        <v>123</v>
      </c>
      <c r="AI202" s="86" t="s">
        <v>33</v>
      </c>
      <c r="AJ202" s="113" t="str">
        <f>IF(COUNTIFS(Admin!$A$29:$A$40,AI202)&gt;0,Admin!$A$28,IF(COUNTIFS(Admin!$B$29:$B$40,AI202)&gt;0,Admin!$B$28,IF(COUNTIFS(Admin!$C$29:$C$40,AI202)&gt;0,Admin!$C$28,IF(COUNTIFS(Admin!$D$29:$D$40,AI202)&gt;0,Admin!$D$28,"-"))))</f>
        <v>2. mérföldkő</v>
      </c>
      <c r="AK202" s="14" t="s">
        <v>7</v>
      </c>
      <c r="AL202" s="9" t="s">
        <v>56</v>
      </c>
      <c r="AM202" s="131">
        <v>400000</v>
      </c>
      <c r="AN202" s="132">
        <v>21840</v>
      </c>
      <c r="AO202" s="121">
        <v>174</v>
      </c>
      <c r="AP202" s="121">
        <v>174</v>
      </c>
      <c r="AQ202" s="354">
        <f t="shared" si="402"/>
        <v>1</v>
      </c>
      <c r="AR202" s="133">
        <f t="shared" si="214"/>
        <v>400000</v>
      </c>
      <c r="AS202" s="133">
        <f t="shared" si="502"/>
        <v>21840</v>
      </c>
      <c r="AT202" s="123">
        <f t="shared" si="505"/>
        <v>0</v>
      </c>
      <c r="AU202" s="393">
        <f t="shared" si="504"/>
        <v>5.4600000000000003E-2</v>
      </c>
      <c r="AV202" s="394" t="s">
        <v>2774</v>
      </c>
      <c r="AW202" s="15">
        <v>44908</v>
      </c>
      <c r="AX202" s="12" t="s">
        <v>206</v>
      </c>
      <c r="AZ202" s="8" t="str">
        <f>IF(VLOOKUP(LEFT($AB202,10),'Havi béradatok'!$B:$E,2,FALSE)=AG202,"EGYEZIK","HIBÁS")</f>
        <v>EGYEZIK</v>
      </c>
      <c r="BA202" s="1">
        <f>VLOOKUP(LEFT($AB202,10),'Havi béradatok'!$B:$E,3,FALSE)-AM202</f>
        <v>0</v>
      </c>
      <c r="BB202" s="1">
        <f>VLOOKUP(LEFT($AB202,10),'Havi béradatok'!$B:$E,4,FALSE)-AN202</f>
        <v>0</v>
      </c>
      <c r="BC202" s="1" t="s">
        <v>2831</v>
      </c>
      <c r="BD202" s="1" t="str">
        <f t="shared" si="501"/>
        <v>Segédszemélyzet_NK_3 - Segédszemélyzet</v>
      </c>
    </row>
    <row r="203" spans="1:56" s="1" customFormat="1" hidden="1" x14ac:dyDescent="0.25">
      <c r="A203" s="264" t="str">
        <f>Bérköltség!$B203</f>
        <v>FEOR</v>
      </c>
      <c r="B203" s="264" t="str">
        <f>IFERROR(
IF(AND(Bérköltség!$F203="",H203="NA"),"HIÁNYOS ADATOK",
IF(Bérköltség!$F203&lt;Bérköltség!$U203,Admin!$B$18,Admin!$B$17)),
"")</f>
        <v>FEOR</v>
      </c>
      <c r="C203" s="265" t="str">
        <f>IFERROR(INDEX('Historikus berek_2021-2'!$A$1:$F$903,MATCH(AB203,'Historikus berek_2021-2'!$A$1:$A$903,0),4),"")</f>
        <v/>
      </c>
      <c r="D203" s="279" t="str">
        <f t="shared" si="321"/>
        <v/>
      </c>
      <c r="E203" s="265">
        <f t="shared" si="322"/>
        <v>400000</v>
      </c>
      <c r="F203" s="266" t="str">
        <f t="shared" si="323"/>
        <v/>
      </c>
      <c r="G203" s="267" t="str">
        <f t="shared" si="324"/>
        <v/>
      </c>
      <c r="H203" s="268">
        <f>IFERROR(INDEX('FEOR kodok'!$A$2:$J$1126,MATCH(Bérköltség!AB203,'FEOR kodok'!$B$2:$B$1126,0),8),"NA")</f>
        <v>2118</v>
      </c>
      <c r="I203" s="269">
        <f>IFERROR(INDEX('FEOR kodok'!$A$2:$J$1126,MATCH(Bérköltség!AB203,'FEOR kodok'!$B$2:$B$1126,0),10),"NA")</f>
        <v>37</v>
      </c>
      <c r="J203" s="276" t="str">
        <f t="shared" si="325"/>
        <v>30–39 éves</v>
      </c>
      <c r="K203" s="269" t="str">
        <f>IFERROR(INDEX(admin_feor[#All],MATCH(Bérköltség!H203,admin_feor[[#All],[Foglalkozás]],0),2),"NA")</f>
        <v>Gépészmérnök</v>
      </c>
      <c r="L203" s="270">
        <f>IFERROR(
INDEX('Admin - FEOR'!$A$4:$F$465,MATCH(Bérköltség!H203,'Admin - FEOR'!$A$4:$A$465,0),
IF(J203="30 év alatt",3,
IF(J203="30–39 éves",4,
IF(J203="40–49 éves",5,
IF(J203="50 év és afelett",6
)))))*1,"NA")</f>
        <v>780252</v>
      </c>
      <c r="M203" s="270">
        <f t="shared" si="326"/>
        <v>400000</v>
      </c>
      <c r="N203" s="318">
        <f t="shared" si="327"/>
        <v>0.51265488585738961</v>
      </c>
      <c r="O203" s="270">
        <f>IFERROR(
INDEX('Admin - FEOR'!$A$4:$F$465,MATCH(Bérköltség!H203,'Admin - FEOR'!$A$4:$A$465,0),
IF(J203="30 év alatt",3,
IF(J203="30–39 éves",4,
IF(J203="40–49 éves",5,
IF(J203="50 év és afelett",6
)))))*1.5,"NA")</f>
        <v>1170378</v>
      </c>
      <c r="P203" s="270">
        <f t="shared" si="328"/>
        <v>1170378</v>
      </c>
      <c r="Q203" s="270">
        <f t="shared" si="329"/>
        <v>400000</v>
      </c>
      <c r="R203" s="275">
        <f t="shared" si="330"/>
        <v>1</v>
      </c>
      <c r="S203" s="270">
        <f t="shared" si="331"/>
        <v>0</v>
      </c>
      <c r="T203" s="270">
        <f t="shared" si="332"/>
        <v>0</v>
      </c>
      <c r="U203" s="271">
        <f t="shared" si="333"/>
        <v>0</v>
      </c>
      <c r="V203" s="272">
        <f t="shared" si="334"/>
        <v>421840</v>
      </c>
      <c r="W203" s="273" t="str">
        <f t="shared" si="335"/>
        <v>Nem szükséges indoklás.</v>
      </c>
      <c r="X203" s="372">
        <f t="shared" si="336"/>
        <v>0</v>
      </c>
      <c r="Y203" s="317">
        <f t="shared" si="337"/>
        <v>400000</v>
      </c>
      <c r="Z203" s="317">
        <f t="shared" si="338"/>
        <v>21840</v>
      </c>
      <c r="AA203" s="12">
        <v>2</v>
      </c>
      <c r="AB203" s="274">
        <v>8437290244</v>
      </c>
      <c r="AC203" s="40" t="s">
        <v>191</v>
      </c>
      <c r="AD203" s="82" t="s">
        <v>75</v>
      </c>
      <c r="AE203" s="41" t="s">
        <v>54</v>
      </c>
      <c r="AF203" s="11" t="s">
        <v>159</v>
      </c>
      <c r="AG203" s="11" t="s">
        <v>166</v>
      </c>
      <c r="AH203" s="14" t="s">
        <v>123</v>
      </c>
      <c r="AI203" s="86" t="s">
        <v>34</v>
      </c>
      <c r="AJ203" s="113" t="str">
        <f>IF(COUNTIFS(Admin!$A$29:$A$40,AI203)&gt;0,Admin!$A$28,IF(COUNTIFS(Admin!$B$29:$B$40,AI203)&gt;0,Admin!$B$28,IF(COUNTIFS(Admin!$C$29:$C$40,AI203)&gt;0,Admin!$C$28,IF(COUNTIFS(Admin!$D$29:$D$40,AI203)&gt;0,Admin!$D$28,"-"))))</f>
        <v>2. mérföldkő</v>
      </c>
      <c r="AK203" s="14" t="s">
        <v>7</v>
      </c>
      <c r="AL203" s="9" t="s">
        <v>56</v>
      </c>
      <c r="AM203" s="131">
        <v>400000</v>
      </c>
      <c r="AN203" s="132">
        <v>21840</v>
      </c>
      <c r="AO203" s="121">
        <v>174</v>
      </c>
      <c r="AP203" s="121">
        <v>174</v>
      </c>
      <c r="AQ203" s="354">
        <f t="shared" si="402"/>
        <v>1</v>
      </c>
      <c r="AR203" s="133">
        <f t="shared" si="214"/>
        <v>400000</v>
      </c>
      <c r="AS203" s="133">
        <f t="shared" si="502"/>
        <v>21840</v>
      </c>
      <c r="AT203" s="123">
        <f t="shared" si="404"/>
        <v>0</v>
      </c>
      <c r="AU203" s="393">
        <f>AN203/AM203</f>
        <v>5.4600000000000003E-2</v>
      </c>
      <c r="AV203" s="394" t="s">
        <v>2774</v>
      </c>
      <c r="AW203" s="15">
        <v>44908</v>
      </c>
      <c r="AX203" s="12" t="s">
        <v>206</v>
      </c>
      <c r="BC203" s="1" t="s">
        <v>2831</v>
      </c>
      <c r="BD203" s="1" t="str">
        <f t="shared" si="501"/>
        <v>Segédszemélyzet_NK_3 - Segédszemélyzet</v>
      </c>
    </row>
    <row r="204" spans="1:56" s="1" customFormat="1" x14ac:dyDescent="0.25">
      <c r="A204" s="264" t="str">
        <f>Bérköltség!$B204</f>
        <v>FEOR</v>
      </c>
      <c r="B204" s="264" t="str">
        <f>IFERROR(
IF(AND(Bérköltség!$F204="",H204="NA"),"HIÁNYOS ADATOK",
IF(Bérköltség!$F204&lt;Bérköltség!$U204,Admin!$B$18,Admin!$B$17)),
"")</f>
        <v>FEOR</v>
      </c>
      <c r="C204" s="265" t="str">
        <f>IFERROR(INDEX('Historikus berek_2021-2'!$A$1:$F$903,MATCH(AB204,'Historikus berek_2021-2'!$A$1:$A$903,0),4),"")</f>
        <v/>
      </c>
      <c r="D204" s="279" t="str">
        <f t="shared" ref="D204:D209" si="506">IFERROR(C204*AQ204,"")</f>
        <v/>
      </c>
      <c r="E204" s="265">
        <f t="shared" ref="E204:E209" si="507">AR204</f>
        <v>400000</v>
      </c>
      <c r="F204" s="266" t="str">
        <f t="shared" ref="F204:F209" si="508">IFERROR(IF((E204*(1+AU204)-D204*(1+AU204))&lt;0,0,(E204*(1+AU204)-D204*(1+AU204))),"")</f>
        <v/>
      </c>
      <c r="G204" s="267" t="str">
        <f t="shared" ref="G204:G209" si="509">IFERROR((E204*(1+AU204)-F204),"")</f>
        <v/>
      </c>
      <c r="H204" s="268">
        <f>IFERROR(INDEX('FEOR kodok'!$A$2:$J$1126,MATCH(Bérköltség!AB204,'FEOR kodok'!$B$2:$B$1126,0),8),"NA")</f>
        <v>2118</v>
      </c>
      <c r="I204" s="269">
        <f>IFERROR(INDEX('FEOR kodok'!$A$2:$J$1126,MATCH(Bérköltség!AB204,'FEOR kodok'!$B$2:$B$1126,0),10),"NA")</f>
        <v>37</v>
      </c>
      <c r="J204" s="276" t="str">
        <f t="shared" ref="J204:J209" si="510">IF(I204="NA","NA",
IF(I204&lt;30,"30 év alatt",
IF(AND(I204&gt;=30,I204&lt;=39),"30–39 éves",
IF(AND(I204&gt;=40,I204&lt;=49),"40–49 éves",
IF(I204&gt;=50,"50 év és afelett",
"")))))</f>
        <v>30–39 éves</v>
      </c>
      <c r="K204" s="269" t="str">
        <f>IFERROR(INDEX(admin_feor[#All],MATCH(Bérköltség!H204,admin_feor[[#All],[Foglalkozás]],0),2),"NA")</f>
        <v>Gépészmérnök</v>
      </c>
      <c r="L204" s="270">
        <f>IFERROR(
INDEX('Admin - FEOR'!$A$4:$F$465,MATCH(Bérköltség!H204,'Admin - FEOR'!$A$4:$A$465,0),
IF(J204="30 év alatt",3,
IF(J204="30–39 éves",4,
IF(J204="40–49 éves",5,
IF(J204="50 év és afelett",6
)))))*1,"NA")</f>
        <v>780252</v>
      </c>
      <c r="M204" s="270">
        <f t="shared" ref="M204:M209" si="511">AM204</f>
        <v>400000</v>
      </c>
      <c r="N204" s="318">
        <f t="shared" ref="N204:N209" si="512">IFERROR(
M204/L204,"NA")</f>
        <v>0.51265488585738961</v>
      </c>
      <c r="O204" s="270">
        <f>IFERROR(
INDEX('Admin - FEOR'!$A$4:$F$465,MATCH(Bérköltség!H204,'Admin - FEOR'!$A$4:$A$465,0),
IF(J204="30 év alatt",3,
IF(J204="30–39 éves",4,
IF(J204="40–49 éves",5,
IF(J204="50 év és afelett",6
)))))*1.5,"NA")</f>
        <v>1170378</v>
      </c>
      <c r="P204" s="270">
        <f t="shared" ref="P204:P209" si="513">IFERROR(
AQ204*O204,"NA")</f>
        <v>1170378</v>
      </c>
      <c r="Q204" s="270">
        <f t="shared" ref="Q204:Q209" si="514">IFERROR(AR204,"")</f>
        <v>400000</v>
      </c>
      <c r="R204" s="275">
        <f t="shared" ref="R204:R209" si="515">IFERROR(AQ204,"")</f>
        <v>1</v>
      </c>
      <c r="S204" s="270">
        <f t="shared" ref="S204:S209" si="516">IFERROR(
IF(AR204-P204&lt;0,0,AR204-P204),"NA")</f>
        <v>0</v>
      </c>
      <c r="T204" s="270">
        <f t="shared" ref="T204:T209" si="517">IFERROR(
S204*AU204,"NA")</f>
        <v>0</v>
      </c>
      <c r="U204" s="271">
        <f t="shared" ref="U204:U209" si="518">IFERROR(
S204+T204,"NA")</f>
        <v>0</v>
      </c>
      <c r="V204" s="272">
        <f t="shared" ref="V204:V209" si="519">IFERROR(
IF(U204&gt;0,AR204+AS204-U204,AR204+AS204),"NA")</f>
        <v>421840</v>
      </c>
      <c r="W204" s="273" t="str">
        <f t="shared" ref="W204:W209" si="520">IF(P204="NA","FEOR hiányzik",
IF(AND(N204&gt;1,A204="FEOR"),CONCATENATE("Indoklás szükséges mivel a FEOR: ",ROUND(N204*100,1),"%"),"Nem szükséges indoklás.")
)</f>
        <v>Nem szükséges indoklás.</v>
      </c>
      <c r="X204" s="372">
        <f t="shared" ref="X204:X209" si="521">IF(A204="FEOR",U204,IF(A204="HIÁNYOS ADATOK","HIÁNYOS ADATOK",F204))</f>
        <v>0</v>
      </c>
      <c r="Y204" s="317">
        <f t="shared" ref="Y204:Y209" si="522">IF(A204="FEOR",ROUND((V204/(1+AU204)),0),IF(A204="HIÁNYOS ADATOK","HIÁNYOS ADATOK",ROUND(G204/(1+AU204),0)))</f>
        <v>400000</v>
      </c>
      <c r="Z204" s="317">
        <f t="shared" ref="Z204:Z209" si="523">IF(A204="FEOR",ROUND((V204-Y204),0),IF(A204="HIÁNYOS ADATOK","HIÁNYOS ADATOK",ROUND((G204-Y204),0)))</f>
        <v>21840</v>
      </c>
      <c r="AA204" s="36"/>
      <c r="AB204" s="274">
        <v>8437290244</v>
      </c>
      <c r="AC204" s="40" t="s">
        <v>191</v>
      </c>
      <c r="AD204" s="82" t="s">
        <v>75</v>
      </c>
      <c r="AE204" s="41" t="s">
        <v>54</v>
      </c>
      <c r="AF204" s="11" t="s">
        <v>159</v>
      </c>
      <c r="AG204" s="11" t="s">
        <v>166</v>
      </c>
      <c r="AH204" s="14" t="s">
        <v>123</v>
      </c>
      <c r="AI204" s="86" t="s">
        <v>35</v>
      </c>
      <c r="AJ204" s="113" t="str">
        <f>IF(COUNTIFS(Admin!$A$29:$A$40,AI204)&gt;0,Admin!$A$28,IF(COUNTIFS(Admin!$B$29:$B$40,AI204)&gt;0,Admin!$B$28,IF(COUNTIFS(Admin!$C$29:$C$40,AI204)&gt;0,Admin!$C$28,IF(COUNTIFS(Admin!$D$29:$D$40,AI204)&gt;0,Admin!$D$28,"-"))))</f>
        <v>3. mérföldkő</v>
      </c>
      <c r="AK204" s="14" t="s">
        <v>7</v>
      </c>
      <c r="AL204" s="9" t="s">
        <v>56</v>
      </c>
      <c r="AM204" s="131">
        <v>400000</v>
      </c>
      <c r="AN204" s="132">
        <v>21840</v>
      </c>
      <c r="AO204" s="121">
        <v>174</v>
      </c>
      <c r="AP204" s="121">
        <v>174</v>
      </c>
      <c r="AQ204" s="354">
        <f t="shared" ref="AQ204" si="524">IFERROR(AP204/AO204,"")</f>
        <v>1</v>
      </c>
      <c r="AR204" s="133">
        <f t="shared" ref="AR204" si="525">IFERROR(ROUND(AM204*AP204/AO204,0),"")</f>
        <v>400000</v>
      </c>
      <c r="AS204" s="133">
        <f t="shared" si="502"/>
        <v>21840</v>
      </c>
      <c r="AT204" s="123">
        <f t="shared" ref="AT204" si="526">IFERROR(AP204/AO204-AR204/AM204,"")</f>
        <v>0</v>
      </c>
      <c r="AU204" s="393">
        <f t="shared" ref="AU204" si="527">AN204/AM204</f>
        <v>5.4600000000000003E-2</v>
      </c>
      <c r="AV204" s="394" t="s">
        <v>2774</v>
      </c>
      <c r="AW204" s="15">
        <v>44995</v>
      </c>
      <c r="AX204" s="12"/>
      <c r="AZ204" s="1" t="str">
        <f>IF(VLOOKUP(LEFT($AB204,10),'Havi béradatok'!$B:$E,2,FALSE)=AG204,"EGYEZIK","HIBÁS")</f>
        <v>EGYEZIK</v>
      </c>
      <c r="BA204" s="1">
        <f>VLOOKUP(LEFT($AB204,10),'Havi béradatok'!$B:$E,3,FALSE)-AM204</f>
        <v>0</v>
      </c>
      <c r="BB204" s="1">
        <f>VLOOKUP(LEFT($AB204,10),'Havi béradatok'!$B:$E,4,FALSE)-AN204</f>
        <v>0</v>
      </c>
      <c r="BC204" s="400" t="s">
        <v>2831</v>
      </c>
      <c r="BD204" s="400"/>
    </row>
    <row r="205" spans="1:56" s="1" customFormat="1" hidden="1" x14ac:dyDescent="0.25">
      <c r="A205" s="264" t="str">
        <f>Bérköltség!$B205</f>
        <v>FEOR</v>
      </c>
      <c r="B205" s="264" t="str">
        <f>IFERROR(
IF(AND(Bérköltség!$F205="",H205="NA"),"HIÁNYOS ADATOK",
IF(Bérköltség!$F205&lt;Bérköltség!$U205,Admin!$B$18,Admin!$B$17)),
"")</f>
        <v>FEOR</v>
      </c>
      <c r="C205" s="265" t="str">
        <f>IFERROR(INDEX('Historikus berek_2021-2'!$A$1:$F$903,MATCH(AB205,'Historikus berek_2021-2'!$A$1:$A$903,0),4),"")</f>
        <v/>
      </c>
      <c r="D205" s="279" t="str">
        <f t="shared" si="506"/>
        <v/>
      </c>
      <c r="E205" s="265">
        <f t="shared" si="507"/>
        <v>400000</v>
      </c>
      <c r="F205" s="266" t="str">
        <f t="shared" si="508"/>
        <v/>
      </c>
      <c r="G205" s="267" t="str">
        <f t="shared" si="509"/>
        <v/>
      </c>
      <c r="H205" s="268">
        <f>IFERROR(INDEX('FEOR kodok'!$A$2:$J$1126,MATCH(Bérköltség!AB205,'FEOR kodok'!$B$2:$B$1126,0),8),"NA")</f>
        <v>2118</v>
      </c>
      <c r="I205" s="269">
        <f>IFERROR(INDEX('FEOR kodok'!$A$2:$J$1126,MATCH(Bérköltség!AB205,'FEOR kodok'!$B$2:$B$1126,0),10),"NA")</f>
        <v>37</v>
      </c>
      <c r="J205" s="276" t="str">
        <f t="shared" si="510"/>
        <v>30–39 éves</v>
      </c>
      <c r="K205" s="269" t="str">
        <f>IFERROR(INDEX(admin_feor[#All],MATCH(Bérköltség!H205,admin_feor[[#All],[Foglalkozás]],0),2),"NA")</f>
        <v>Gépészmérnök</v>
      </c>
      <c r="L205" s="270">
        <f>IFERROR(
INDEX('Admin - FEOR'!$A$4:$F$465,MATCH(Bérköltség!H205,'Admin - FEOR'!$A$4:$A$465,0),
IF(J205="30 év alatt",3,
IF(J205="30–39 éves",4,
IF(J205="40–49 éves",5,
IF(J205="50 év és afelett",6
)))))*1,"NA")</f>
        <v>780252</v>
      </c>
      <c r="M205" s="270">
        <f t="shared" si="511"/>
        <v>400000</v>
      </c>
      <c r="N205" s="318">
        <f t="shared" si="512"/>
        <v>0.51265488585738961</v>
      </c>
      <c r="O205" s="270">
        <f>IFERROR(
INDEX('Admin - FEOR'!$A$4:$F$465,MATCH(Bérköltség!H205,'Admin - FEOR'!$A$4:$A$465,0),
IF(J205="30 év alatt",3,
IF(J205="30–39 éves",4,
IF(J205="40–49 éves",5,
IF(J205="50 év és afelett",6
)))))*1.5,"NA")</f>
        <v>1170378</v>
      </c>
      <c r="P205" s="270">
        <f t="shared" si="513"/>
        <v>1170378</v>
      </c>
      <c r="Q205" s="270">
        <f t="shared" si="514"/>
        <v>400000</v>
      </c>
      <c r="R205" s="275">
        <f t="shared" si="515"/>
        <v>1</v>
      </c>
      <c r="S205" s="270">
        <f t="shared" si="516"/>
        <v>0</v>
      </c>
      <c r="T205" s="270">
        <f t="shared" si="517"/>
        <v>0</v>
      </c>
      <c r="U205" s="271">
        <f t="shared" si="518"/>
        <v>0</v>
      </c>
      <c r="V205" s="272">
        <f t="shared" si="519"/>
        <v>452000</v>
      </c>
      <c r="W205" s="273" t="str">
        <f t="shared" si="520"/>
        <v>Nem szükséges indoklás.</v>
      </c>
      <c r="X205" s="372">
        <f t="shared" si="521"/>
        <v>0</v>
      </c>
      <c r="Y205" s="317">
        <f t="shared" si="522"/>
        <v>400000</v>
      </c>
      <c r="Z205" s="317">
        <f t="shared" si="523"/>
        <v>52000</v>
      </c>
      <c r="AA205" s="36"/>
      <c r="AB205" s="274">
        <v>8437290244</v>
      </c>
      <c r="AC205" s="40" t="s">
        <v>191</v>
      </c>
      <c r="AD205" s="82" t="s">
        <v>75</v>
      </c>
      <c r="AE205" s="41" t="s">
        <v>54</v>
      </c>
      <c r="AF205" s="11" t="s">
        <v>159</v>
      </c>
      <c r="AG205" s="11" t="s">
        <v>166</v>
      </c>
      <c r="AH205" s="14" t="s">
        <v>123</v>
      </c>
      <c r="AI205" s="86" t="s">
        <v>36</v>
      </c>
      <c r="AJ205" s="113" t="str">
        <f>IF(COUNTIFS(Admin!$A$29:$A$40,AI205)&gt;0,Admin!$A$28,IF(COUNTIFS(Admin!$B$29:$B$40,AI205)&gt;0,Admin!$B$28,IF(COUNTIFS(Admin!$C$29:$C$40,AI205)&gt;0,Admin!$C$28,IF(COUNTIFS(Admin!$D$29:$D$40,AI205)&gt;0,Admin!$D$28,"-"))))</f>
        <v>3. mérföldkő</v>
      </c>
      <c r="AK205" s="14" t="s">
        <v>141</v>
      </c>
      <c r="AL205" s="9" t="s">
        <v>56</v>
      </c>
      <c r="AM205" s="131">
        <v>400000</v>
      </c>
      <c r="AN205" s="132">
        <v>21840</v>
      </c>
      <c r="AO205" s="121">
        <v>174</v>
      </c>
      <c r="AP205" s="121">
        <v>174</v>
      </c>
      <c r="AQ205" s="354">
        <f t="shared" ref="AQ205:AQ209" si="528">IFERROR(AP205/AO205,"")</f>
        <v>1</v>
      </c>
      <c r="AR205" s="133">
        <f t="shared" ref="AR205:AR209" si="529">IFERROR(ROUND(AM205*AP205/AO205,0),"")</f>
        <v>400000</v>
      </c>
      <c r="AS205" s="133">
        <f t="shared" si="502"/>
        <v>52000</v>
      </c>
      <c r="AT205" s="123">
        <f t="shared" ref="AT205:AT209" si="530">IFERROR(AP205/AO205-AR205/AM205,"")</f>
        <v>0</v>
      </c>
      <c r="AU205" s="124">
        <v>0.13</v>
      </c>
      <c r="AV205" s="394" t="s">
        <v>2774</v>
      </c>
      <c r="AW205" s="15">
        <v>44995</v>
      </c>
      <c r="AX205" s="12"/>
      <c r="BC205" s="1" t="s">
        <v>2831</v>
      </c>
    </row>
    <row r="206" spans="1:56" s="1" customFormat="1" hidden="1" x14ac:dyDescent="0.25">
      <c r="A206" s="264" t="str">
        <f>Bérköltség!$B206</f>
        <v>FEOR</v>
      </c>
      <c r="B206" s="264" t="str">
        <f>IFERROR(
IF(AND(Bérköltség!$F206="",H206="NA"),"HIÁNYOS ADATOK",
IF(Bérköltség!$F206&lt;Bérköltség!$U206,Admin!$B$18,Admin!$B$17)),
"")</f>
        <v>FEOR</v>
      </c>
      <c r="C206" s="265" t="str">
        <f>IFERROR(INDEX('Historikus berek_2021-2'!$A$1:$F$903,MATCH(AB206,'Historikus berek_2021-2'!$A$1:$A$903,0),4),"")</f>
        <v/>
      </c>
      <c r="D206" s="279" t="str">
        <f t="shared" si="506"/>
        <v/>
      </c>
      <c r="E206" s="265">
        <f t="shared" si="507"/>
        <v>400000</v>
      </c>
      <c r="F206" s="266" t="str">
        <f t="shared" si="508"/>
        <v/>
      </c>
      <c r="G206" s="267" t="str">
        <f t="shared" si="509"/>
        <v/>
      </c>
      <c r="H206" s="268">
        <f>IFERROR(INDEX('FEOR kodok'!$A$2:$J$1126,MATCH(Bérköltség!AB206,'FEOR kodok'!$B$2:$B$1126,0),8),"NA")</f>
        <v>2118</v>
      </c>
      <c r="I206" s="269">
        <f>IFERROR(INDEX('FEOR kodok'!$A$2:$J$1126,MATCH(Bérköltség!AB206,'FEOR kodok'!$B$2:$B$1126,0),10),"NA")</f>
        <v>37</v>
      </c>
      <c r="J206" s="276" t="str">
        <f t="shared" si="510"/>
        <v>30–39 éves</v>
      </c>
      <c r="K206" s="269" t="str">
        <f>IFERROR(INDEX(admin_feor[#All],MATCH(Bérköltség!H206,admin_feor[[#All],[Foglalkozás]],0),2),"NA")</f>
        <v>Gépészmérnök</v>
      </c>
      <c r="L206" s="270">
        <f>IFERROR(
INDEX('Admin - FEOR'!$A$4:$F$465,MATCH(Bérköltség!H206,'Admin - FEOR'!$A$4:$A$465,0),
IF(J206="30 év alatt",3,
IF(J206="30–39 éves",4,
IF(J206="40–49 éves",5,
IF(J206="50 év és afelett",6
)))))*1,"NA")</f>
        <v>780252</v>
      </c>
      <c r="M206" s="270">
        <f t="shared" si="511"/>
        <v>400000</v>
      </c>
      <c r="N206" s="318">
        <f t="shared" si="512"/>
        <v>0.51265488585738961</v>
      </c>
      <c r="O206" s="270">
        <f>IFERROR(
INDEX('Admin - FEOR'!$A$4:$F$465,MATCH(Bérköltség!H206,'Admin - FEOR'!$A$4:$A$465,0),
IF(J206="30 év alatt",3,
IF(J206="30–39 éves",4,
IF(J206="40–49 éves",5,
IF(J206="50 év és afelett",6
)))))*1.5,"NA")</f>
        <v>1170378</v>
      </c>
      <c r="P206" s="270">
        <f t="shared" si="513"/>
        <v>1170378</v>
      </c>
      <c r="Q206" s="270">
        <f t="shared" si="514"/>
        <v>400000</v>
      </c>
      <c r="R206" s="275">
        <f t="shared" si="515"/>
        <v>1</v>
      </c>
      <c r="S206" s="270">
        <f t="shared" si="516"/>
        <v>0</v>
      </c>
      <c r="T206" s="270">
        <f t="shared" si="517"/>
        <v>0</v>
      </c>
      <c r="U206" s="271">
        <f t="shared" si="518"/>
        <v>0</v>
      </c>
      <c r="V206" s="272">
        <f t="shared" si="519"/>
        <v>452000</v>
      </c>
      <c r="W206" s="273" t="str">
        <f t="shared" si="520"/>
        <v>Nem szükséges indoklás.</v>
      </c>
      <c r="X206" s="372">
        <f t="shared" si="521"/>
        <v>0</v>
      </c>
      <c r="Y206" s="317">
        <f t="shared" si="522"/>
        <v>400000</v>
      </c>
      <c r="Z206" s="317">
        <f t="shared" si="523"/>
        <v>52000</v>
      </c>
      <c r="AA206" s="36"/>
      <c r="AB206" s="274">
        <v>8437290244</v>
      </c>
      <c r="AC206" s="40" t="s">
        <v>191</v>
      </c>
      <c r="AD206" s="82" t="s">
        <v>75</v>
      </c>
      <c r="AE206" s="41" t="s">
        <v>54</v>
      </c>
      <c r="AF206" s="11" t="s">
        <v>159</v>
      </c>
      <c r="AG206" s="11" t="s">
        <v>166</v>
      </c>
      <c r="AH206" s="14" t="s">
        <v>123</v>
      </c>
      <c r="AI206" s="86" t="s">
        <v>37</v>
      </c>
      <c r="AJ206" s="113" t="str">
        <f>IF(COUNTIFS(Admin!$A$29:$A$40,AI206)&gt;0,Admin!$A$28,IF(COUNTIFS(Admin!$B$29:$B$40,AI206)&gt;0,Admin!$B$28,IF(COUNTIFS(Admin!$C$29:$C$40,AI206)&gt;0,Admin!$C$28,IF(COUNTIFS(Admin!$D$29:$D$40,AI206)&gt;0,Admin!$D$28,"-"))))</f>
        <v>3. mérföldkő</v>
      </c>
      <c r="AK206" s="14" t="s">
        <v>141</v>
      </c>
      <c r="AL206" s="9" t="s">
        <v>56</v>
      </c>
      <c r="AM206" s="131">
        <v>400000</v>
      </c>
      <c r="AN206" s="132">
        <v>21840</v>
      </c>
      <c r="AO206" s="121">
        <v>174</v>
      </c>
      <c r="AP206" s="121">
        <v>174</v>
      </c>
      <c r="AQ206" s="354">
        <f t="shared" si="528"/>
        <v>1</v>
      </c>
      <c r="AR206" s="133">
        <f t="shared" si="529"/>
        <v>400000</v>
      </c>
      <c r="AS206" s="133">
        <f t="shared" si="502"/>
        <v>52000</v>
      </c>
      <c r="AT206" s="123">
        <f t="shared" si="530"/>
        <v>0</v>
      </c>
      <c r="AU206" s="124">
        <v>0.13</v>
      </c>
      <c r="AV206" s="394" t="s">
        <v>2774</v>
      </c>
      <c r="AW206" s="15">
        <v>44995</v>
      </c>
      <c r="AX206" s="12"/>
      <c r="BC206" s="1" t="s">
        <v>2831</v>
      </c>
    </row>
    <row r="207" spans="1:56" s="1" customFormat="1" hidden="1" x14ac:dyDescent="0.25">
      <c r="A207" s="264" t="str">
        <f>Bérköltség!$B207</f>
        <v>FEOR</v>
      </c>
      <c r="B207" s="264" t="str">
        <f>IFERROR(
IF(AND(Bérköltség!$F207="",H207="NA"),"HIÁNYOS ADATOK",
IF(Bérköltség!$F207&lt;Bérköltség!$U207,Admin!$B$18,Admin!$B$17)),
"")</f>
        <v>FEOR</v>
      </c>
      <c r="C207" s="265" t="str">
        <f>IFERROR(INDEX('Historikus berek_2021-2'!$A$1:$F$903,MATCH(AB207,'Historikus berek_2021-2'!$A$1:$A$903,0),4),"")</f>
        <v/>
      </c>
      <c r="D207" s="279" t="str">
        <f t="shared" si="506"/>
        <v/>
      </c>
      <c r="E207" s="265">
        <f t="shared" si="507"/>
        <v>400000</v>
      </c>
      <c r="F207" s="266" t="str">
        <f t="shared" si="508"/>
        <v/>
      </c>
      <c r="G207" s="267" t="str">
        <f t="shared" si="509"/>
        <v/>
      </c>
      <c r="H207" s="268">
        <f>IFERROR(INDEX('FEOR kodok'!$A$2:$J$1126,MATCH(Bérköltség!AB207,'FEOR kodok'!$B$2:$B$1126,0),8),"NA")</f>
        <v>2118</v>
      </c>
      <c r="I207" s="269">
        <f>IFERROR(INDEX('FEOR kodok'!$A$2:$J$1126,MATCH(Bérköltség!AB207,'FEOR kodok'!$B$2:$B$1126,0),10),"NA")</f>
        <v>37</v>
      </c>
      <c r="J207" s="276" t="str">
        <f t="shared" si="510"/>
        <v>30–39 éves</v>
      </c>
      <c r="K207" s="269" t="str">
        <f>IFERROR(INDEX(admin_feor[#All],MATCH(Bérköltség!H207,admin_feor[[#All],[Foglalkozás]],0),2),"NA")</f>
        <v>Gépészmérnök</v>
      </c>
      <c r="L207" s="270">
        <f>IFERROR(
INDEX('Admin - FEOR'!$A$4:$F$465,MATCH(Bérköltség!H207,'Admin - FEOR'!$A$4:$A$465,0),
IF(J207="30 év alatt",3,
IF(J207="30–39 éves",4,
IF(J207="40–49 éves",5,
IF(J207="50 év és afelett",6
)))))*1,"NA")</f>
        <v>780252</v>
      </c>
      <c r="M207" s="270">
        <f t="shared" si="511"/>
        <v>400000</v>
      </c>
      <c r="N207" s="318">
        <f t="shared" si="512"/>
        <v>0.51265488585738961</v>
      </c>
      <c r="O207" s="270">
        <f>IFERROR(
INDEX('Admin - FEOR'!$A$4:$F$465,MATCH(Bérköltség!H207,'Admin - FEOR'!$A$4:$A$465,0),
IF(J207="30 év alatt",3,
IF(J207="30–39 éves",4,
IF(J207="40–49 éves",5,
IF(J207="50 év és afelett",6
)))))*1.5,"NA")</f>
        <v>1170378</v>
      </c>
      <c r="P207" s="270">
        <f t="shared" si="513"/>
        <v>1170378</v>
      </c>
      <c r="Q207" s="270">
        <f t="shared" si="514"/>
        <v>400000</v>
      </c>
      <c r="R207" s="275">
        <f t="shared" si="515"/>
        <v>1</v>
      </c>
      <c r="S207" s="270">
        <f t="shared" si="516"/>
        <v>0</v>
      </c>
      <c r="T207" s="270">
        <f t="shared" si="517"/>
        <v>0</v>
      </c>
      <c r="U207" s="271">
        <f t="shared" si="518"/>
        <v>0</v>
      </c>
      <c r="V207" s="272">
        <f t="shared" si="519"/>
        <v>452000</v>
      </c>
      <c r="W207" s="273" t="str">
        <f t="shared" si="520"/>
        <v>Nem szükséges indoklás.</v>
      </c>
      <c r="X207" s="372">
        <f t="shared" si="521"/>
        <v>0</v>
      </c>
      <c r="Y207" s="317">
        <f t="shared" si="522"/>
        <v>400000</v>
      </c>
      <c r="Z207" s="317">
        <f t="shared" si="523"/>
        <v>52000</v>
      </c>
      <c r="AA207" s="36"/>
      <c r="AB207" s="274">
        <v>8437290244</v>
      </c>
      <c r="AC207" s="40" t="s">
        <v>191</v>
      </c>
      <c r="AD207" s="82" t="s">
        <v>75</v>
      </c>
      <c r="AE207" s="41" t="s">
        <v>54</v>
      </c>
      <c r="AF207" s="11" t="s">
        <v>159</v>
      </c>
      <c r="AG207" s="11" t="s">
        <v>166</v>
      </c>
      <c r="AH207" s="14" t="s">
        <v>123</v>
      </c>
      <c r="AI207" s="86" t="s">
        <v>38</v>
      </c>
      <c r="AJ207" s="113" t="str">
        <f>IF(COUNTIFS(Admin!$A$29:$A$40,AI207)&gt;0,Admin!$A$28,IF(COUNTIFS(Admin!$B$29:$B$40,AI207)&gt;0,Admin!$B$28,IF(COUNTIFS(Admin!$C$29:$C$40,AI207)&gt;0,Admin!$C$28,IF(COUNTIFS(Admin!$D$29:$D$40,AI207)&gt;0,Admin!$D$28,"-"))))</f>
        <v>3. mérföldkő</v>
      </c>
      <c r="AK207" s="14" t="s">
        <v>141</v>
      </c>
      <c r="AL207" s="9" t="s">
        <v>56</v>
      </c>
      <c r="AM207" s="131">
        <v>400000</v>
      </c>
      <c r="AN207" s="132">
        <v>21840</v>
      </c>
      <c r="AO207" s="121">
        <v>174</v>
      </c>
      <c r="AP207" s="121">
        <v>174</v>
      </c>
      <c r="AQ207" s="354">
        <f t="shared" si="528"/>
        <v>1</v>
      </c>
      <c r="AR207" s="133">
        <f t="shared" si="529"/>
        <v>400000</v>
      </c>
      <c r="AS207" s="133">
        <f t="shared" si="502"/>
        <v>52000</v>
      </c>
      <c r="AT207" s="123">
        <f t="shared" si="530"/>
        <v>0</v>
      </c>
      <c r="AU207" s="124">
        <v>0.13</v>
      </c>
      <c r="AV207" s="394" t="s">
        <v>2774</v>
      </c>
      <c r="AW207" s="15">
        <v>44995</v>
      </c>
      <c r="AX207" s="12"/>
      <c r="BC207" s="1" t="s">
        <v>2831</v>
      </c>
    </row>
    <row r="208" spans="1:56" s="1" customFormat="1" hidden="1" x14ac:dyDescent="0.25">
      <c r="A208" s="264" t="str">
        <f>Bérköltség!$B208</f>
        <v>FEOR</v>
      </c>
      <c r="B208" s="264" t="str">
        <f>IFERROR(
IF(AND(Bérköltség!$F208="",H208="NA"),"HIÁNYOS ADATOK",
IF(Bérköltség!$F208&lt;Bérköltség!$U208,Admin!$B$18,Admin!$B$17)),
"")</f>
        <v>FEOR</v>
      </c>
      <c r="C208" s="265" t="str">
        <f>IFERROR(INDEX('Historikus berek_2021-2'!$A$1:$F$903,MATCH(AB208,'Historikus berek_2021-2'!$A$1:$A$903,0),4),"")</f>
        <v/>
      </c>
      <c r="D208" s="279" t="str">
        <f t="shared" si="506"/>
        <v/>
      </c>
      <c r="E208" s="265">
        <f t="shared" si="507"/>
        <v>400000</v>
      </c>
      <c r="F208" s="266" t="str">
        <f t="shared" si="508"/>
        <v/>
      </c>
      <c r="G208" s="267" t="str">
        <f t="shared" si="509"/>
        <v/>
      </c>
      <c r="H208" s="268">
        <f>IFERROR(INDEX('FEOR kodok'!$A$2:$J$1126,MATCH(Bérköltség!AB208,'FEOR kodok'!$B$2:$B$1126,0),8),"NA")</f>
        <v>2118</v>
      </c>
      <c r="I208" s="269">
        <f>IFERROR(INDEX('FEOR kodok'!$A$2:$J$1126,MATCH(Bérköltség!AB208,'FEOR kodok'!$B$2:$B$1126,0),10),"NA")</f>
        <v>37</v>
      </c>
      <c r="J208" s="276" t="str">
        <f t="shared" si="510"/>
        <v>30–39 éves</v>
      </c>
      <c r="K208" s="269" t="str">
        <f>IFERROR(INDEX(admin_feor[#All],MATCH(Bérköltség!H208,admin_feor[[#All],[Foglalkozás]],0),2),"NA")</f>
        <v>Gépészmérnök</v>
      </c>
      <c r="L208" s="270">
        <f>IFERROR(
INDEX('Admin - FEOR'!$A$4:$F$465,MATCH(Bérköltség!H208,'Admin - FEOR'!$A$4:$A$465,0),
IF(J208="30 év alatt",3,
IF(J208="30–39 éves",4,
IF(J208="40–49 éves",5,
IF(J208="50 év és afelett",6
)))))*1,"NA")</f>
        <v>780252</v>
      </c>
      <c r="M208" s="270">
        <f t="shared" si="511"/>
        <v>400000</v>
      </c>
      <c r="N208" s="318">
        <f t="shared" si="512"/>
        <v>0.51265488585738961</v>
      </c>
      <c r="O208" s="270">
        <f>IFERROR(
INDEX('Admin - FEOR'!$A$4:$F$465,MATCH(Bérköltség!H208,'Admin - FEOR'!$A$4:$A$465,0),
IF(J208="30 év alatt",3,
IF(J208="30–39 éves",4,
IF(J208="40–49 éves",5,
IF(J208="50 év és afelett",6
)))))*1.5,"NA")</f>
        <v>1170378</v>
      </c>
      <c r="P208" s="270">
        <f t="shared" si="513"/>
        <v>1170378</v>
      </c>
      <c r="Q208" s="270">
        <f t="shared" si="514"/>
        <v>400000</v>
      </c>
      <c r="R208" s="275">
        <f t="shared" si="515"/>
        <v>1</v>
      </c>
      <c r="S208" s="270">
        <f t="shared" si="516"/>
        <v>0</v>
      </c>
      <c r="T208" s="270">
        <f t="shared" si="517"/>
        <v>0</v>
      </c>
      <c r="U208" s="271">
        <f t="shared" si="518"/>
        <v>0</v>
      </c>
      <c r="V208" s="272">
        <f t="shared" si="519"/>
        <v>452000</v>
      </c>
      <c r="W208" s="273" t="str">
        <f t="shared" si="520"/>
        <v>Nem szükséges indoklás.</v>
      </c>
      <c r="X208" s="372">
        <f t="shared" si="521"/>
        <v>0</v>
      </c>
      <c r="Y208" s="317">
        <f t="shared" si="522"/>
        <v>400000</v>
      </c>
      <c r="Z208" s="317">
        <f t="shared" si="523"/>
        <v>52000</v>
      </c>
      <c r="AA208" s="36"/>
      <c r="AB208" s="274">
        <v>8437290244</v>
      </c>
      <c r="AC208" s="40" t="s">
        <v>191</v>
      </c>
      <c r="AD208" s="82" t="s">
        <v>75</v>
      </c>
      <c r="AE208" s="41" t="s">
        <v>54</v>
      </c>
      <c r="AF208" s="11" t="s">
        <v>159</v>
      </c>
      <c r="AG208" s="11" t="s">
        <v>166</v>
      </c>
      <c r="AH208" s="14" t="s">
        <v>123</v>
      </c>
      <c r="AI208" s="86" t="s">
        <v>39</v>
      </c>
      <c r="AJ208" s="113" t="str">
        <f>IF(COUNTIFS(Admin!$A$29:$A$40,AI208)&gt;0,Admin!$A$28,IF(COUNTIFS(Admin!$B$29:$B$40,AI208)&gt;0,Admin!$B$28,IF(COUNTIFS(Admin!$C$29:$C$40,AI208)&gt;0,Admin!$C$28,IF(COUNTIFS(Admin!$D$29:$D$40,AI208)&gt;0,Admin!$D$28,"-"))))</f>
        <v>3. mérföldkő</v>
      </c>
      <c r="AK208" s="14" t="s">
        <v>141</v>
      </c>
      <c r="AL208" s="9" t="s">
        <v>56</v>
      </c>
      <c r="AM208" s="131">
        <v>400000</v>
      </c>
      <c r="AN208" s="132">
        <v>21840</v>
      </c>
      <c r="AO208" s="121">
        <v>174</v>
      </c>
      <c r="AP208" s="121">
        <v>174</v>
      </c>
      <c r="AQ208" s="354">
        <f t="shared" si="528"/>
        <v>1</v>
      </c>
      <c r="AR208" s="133">
        <f t="shared" si="529"/>
        <v>400000</v>
      </c>
      <c r="AS208" s="133">
        <f t="shared" si="502"/>
        <v>52000</v>
      </c>
      <c r="AT208" s="123">
        <f t="shared" si="530"/>
        <v>0</v>
      </c>
      <c r="AU208" s="124">
        <v>0.13</v>
      </c>
      <c r="AV208" s="394" t="s">
        <v>2774</v>
      </c>
      <c r="AW208" s="15">
        <v>44995</v>
      </c>
      <c r="AX208" s="12"/>
      <c r="BC208" s="1" t="s">
        <v>2831</v>
      </c>
    </row>
    <row r="209" spans="1:56" s="1" customFormat="1" hidden="1" x14ac:dyDescent="0.25">
      <c r="A209" s="264" t="str">
        <f>Bérköltség!$B209</f>
        <v>FEOR</v>
      </c>
      <c r="B209" s="264" t="str">
        <f>IFERROR(
IF(AND(Bérköltség!$F209="",H209="NA"),"HIÁNYOS ADATOK",
IF(Bérköltség!$F209&lt;Bérköltség!$U209,Admin!$B$18,Admin!$B$17)),
"")</f>
        <v>FEOR</v>
      </c>
      <c r="C209" s="265" t="str">
        <f>IFERROR(INDEX('Historikus berek_2021-2'!$A$1:$F$903,MATCH(AB209,'Historikus berek_2021-2'!$A$1:$A$903,0),4),"")</f>
        <v/>
      </c>
      <c r="D209" s="279" t="str">
        <f t="shared" si="506"/>
        <v/>
      </c>
      <c r="E209" s="265">
        <f t="shared" si="507"/>
        <v>400000</v>
      </c>
      <c r="F209" s="266" t="str">
        <f t="shared" si="508"/>
        <v/>
      </c>
      <c r="G209" s="267" t="str">
        <f t="shared" si="509"/>
        <v/>
      </c>
      <c r="H209" s="268">
        <f>IFERROR(INDEX('FEOR kodok'!$A$2:$J$1126,MATCH(Bérköltség!AB209,'FEOR kodok'!$B$2:$B$1126,0),8),"NA")</f>
        <v>2118</v>
      </c>
      <c r="I209" s="269">
        <f>IFERROR(INDEX('FEOR kodok'!$A$2:$J$1126,MATCH(Bérköltség!AB209,'FEOR kodok'!$B$2:$B$1126,0),10),"NA")</f>
        <v>37</v>
      </c>
      <c r="J209" s="276" t="str">
        <f t="shared" si="510"/>
        <v>30–39 éves</v>
      </c>
      <c r="K209" s="269" t="str">
        <f>IFERROR(INDEX(admin_feor[#All],MATCH(Bérköltség!H209,admin_feor[[#All],[Foglalkozás]],0),2),"NA")</f>
        <v>Gépészmérnök</v>
      </c>
      <c r="L209" s="270">
        <f>IFERROR(
INDEX('Admin - FEOR'!$A$4:$F$465,MATCH(Bérköltség!H209,'Admin - FEOR'!$A$4:$A$465,0),
IF(J209="30 év alatt",3,
IF(J209="30–39 éves",4,
IF(J209="40–49 éves",5,
IF(J209="50 év és afelett",6
)))))*1,"NA")</f>
        <v>780252</v>
      </c>
      <c r="M209" s="270">
        <f t="shared" si="511"/>
        <v>400000</v>
      </c>
      <c r="N209" s="318">
        <f t="shared" si="512"/>
        <v>0.51265488585738961</v>
      </c>
      <c r="O209" s="270">
        <f>IFERROR(
INDEX('Admin - FEOR'!$A$4:$F$465,MATCH(Bérköltség!H209,'Admin - FEOR'!$A$4:$A$465,0),
IF(J209="30 év alatt",3,
IF(J209="30–39 éves",4,
IF(J209="40–49 éves",5,
IF(J209="50 év és afelett",6
)))))*1.5,"NA")</f>
        <v>1170378</v>
      </c>
      <c r="P209" s="270">
        <f t="shared" si="513"/>
        <v>1170378</v>
      </c>
      <c r="Q209" s="270">
        <f t="shared" si="514"/>
        <v>400000</v>
      </c>
      <c r="R209" s="275">
        <f t="shared" si="515"/>
        <v>1</v>
      </c>
      <c r="S209" s="270">
        <f t="shared" si="516"/>
        <v>0</v>
      </c>
      <c r="T209" s="270">
        <f t="shared" si="517"/>
        <v>0</v>
      </c>
      <c r="U209" s="271">
        <f t="shared" si="518"/>
        <v>0</v>
      </c>
      <c r="V209" s="272">
        <f t="shared" si="519"/>
        <v>452000</v>
      </c>
      <c r="W209" s="273" t="str">
        <f t="shared" si="520"/>
        <v>Nem szükséges indoklás.</v>
      </c>
      <c r="X209" s="372">
        <f t="shared" si="521"/>
        <v>0</v>
      </c>
      <c r="Y209" s="317">
        <f t="shared" si="522"/>
        <v>400000</v>
      </c>
      <c r="Z209" s="317">
        <f t="shared" si="523"/>
        <v>52000</v>
      </c>
      <c r="AA209" s="36"/>
      <c r="AB209" s="274">
        <v>8437290244</v>
      </c>
      <c r="AC209" s="40" t="s">
        <v>191</v>
      </c>
      <c r="AD209" s="82" t="s">
        <v>75</v>
      </c>
      <c r="AE209" s="41" t="s">
        <v>54</v>
      </c>
      <c r="AF209" s="11" t="s">
        <v>159</v>
      </c>
      <c r="AG209" s="11" t="s">
        <v>166</v>
      </c>
      <c r="AH209" s="14" t="s">
        <v>123</v>
      </c>
      <c r="AI209" s="86" t="s">
        <v>40</v>
      </c>
      <c r="AJ209" s="113" t="str">
        <f>IF(COUNTIFS(Admin!$A$29:$A$40,AI209)&gt;0,Admin!$A$28,IF(COUNTIFS(Admin!$B$29:$B$40,AI209)&gt;0,Admin!$B$28,IF(COUNTIFS(Admin!$C$29:$C$40,AI209)&gt;0,Admin!$C$28,IF(COUNTIFS(Admin!$D$29:$D$40,AI209)&gt;0,Admin!$D$28,"-"))))</f>
        <v>3. mérföldkő</v>
      </c>
      <c r="AK209" s="14" t="s">
        <v>141</v>
      </c>
      <c r="AL209" s="9" t="s">
        <v>56</v>
      </c>
      <c r="AM209" s="131">
        <v>400000</v>
      </c>
      <c r="AN209" s="132">
        <v>21840</v>
      </c>
      <c r="AO209" s="121">
        <v>174</v>
      </c>
      <c r="AP209" s="121">
        <v>174</v>
      </c>
      <c r="AQ209" s="354">
        <f t="shared" si="528"/>
        <v>1</v>
      </c>
      <c r="AR209" s="133">
        <f t="shared" si="529"/>
        <v>400000</v>
      </c>
      <c r="AS209" s="133">
        <f t="shared" si="502"/>
        <v>52000</v>
      </c>
      <c r="AT209" s="123">
        <f t="shared" si="530"/>
        <v>0</v>
      </c>
      <c r="AU209" s="124">
        <v>0.13</v>
      </c>
      <c r="AV209" s="394" t="s">
        <v>2774</v>
      </c>
      <c r="AW209" s="15">
        <v>44995</v>
      </c>
      <c r="AX209" s="12"/>
      <c r="BC209" s="1" t="s">
        <v>2831</v>
      </c>
    </row>
    <row r="210" spans="1:56" s="1" customFormat="1" hidden="1" x14ac:dyDescent="0.25">
      <c r="A210" s="264" t="str">
        <f>Bérköltség!$B210</f>
        <v>FEOR</v>
      </c>
      <c r="B210" s="264" t="str">
        <f>IFERROR(
IF(AND(Bérköltség!$F210="",H210="NA"),"HIÁNYOS ADATOK",
IF(Bérköltség!$F210&lt;Bérköltség!$U210,Admin!$B$18,Admin!$B$17)),
"")</f>
        <v>FEOR</v>
      </c>
      <c r="C210" s="265">
        <f>IFERROR(INDEX('Historikus berek_2021-2'!$A$1:$F$903,MATCH(AB210,'Historikus berek_2021-2'!$A$1:$A$903,0),4),"")</f>
        <v>330000</v>
      </c>
      <c r="D210" s="279">
        <f t="shared" ref="D210:D287" si="531">IFERROR(C210*AQ210,"")</f>
        <v>330000</v>
      </c>
      <c r="E210" s="265">
        <f t="shared" ref="E210:E287" si="532">AR210</f>
        <v>75000</v>
      </c>
      <c r="F210" s="266">
        <f t="shared" ref="F210:F287" si="533">IFERROR(IF((E210*(1+AU210)-D210*(1+AU210))&lt;0,0,(E210*(1+AU210)-D210*(1+AU210))),"")</f>
        <v>0</v>
      </c>
      <c r="G210" s="267">
        <f t="shared" ref="G210:G287" si="534">IFERROR((E210*(1+AU210)-F210),"")</f>
        <v>84749.999999999985</v>
      </c>
      <c r="H210" s="268">
        <f>IFERROR(INDEX('FEOR kodok'!$A$2:$J$1126,MATCH(Bérköltség!AB210,'FEOR kodok'!$B$2:$B$1126,0),8),"NA")</f>
        <v>2139</v>
      </c>
      <c r="I210" s="269">
        <f>IFERROR(INDEX('FEOR kodok'!$A$2:$J$1126,MATCH(Bérköltség!AB210,'FEOR kodok'!$B$2:$B$1126,0),10),"NA")</f>
        <v>33</v>
      </c>
      <c r="J210" s="276" t="str">
        <f t="shared" ref="J210:J287" si="535">IF(I210="NA","NA",
IF(I210&lt;30,"30 év alatt",
IF(AND(I210&gt;=30,I210&lt;=39),"30–39 éves",
IF(AND(I210&gt;=40,I210&lt;=49),"40–49 éves",
IF(I210&gt;=50,"50 év és afelett",
"")))))</f>
        <v>30–39 éves</v>
      </c>
      <c r="K210" s="269" t="str">
        <f>IFERROR(INDEX(admin_feor[#All],MATCH(Bérköltség!H210,admin_feor[[#All],[Foglalkozás]],0),2),"NA")</f>
        <v>Egyéb, máshova nem sorolható mérnök</v>
      </c>
      <c r="L210" s="270">
        <f>IFERROR(
INDEX('Admin - FEOR'!$A$4:$F$465,MATCH(Bérköltség!H210,'Admin - FEOR'!$A$4:$A$465,0),
IF(J210="30 év alatt",3,
IF(J210="30–39 éves",4,
IF(J210="40–49 éves",5,
IF(J210="50 év és afelett",6
)))))*1,"NA")</f>
        <v>845378</v>
      </c>
      <c r="M210" s="270">
        <f t="shared" ref="M210:M287" si="536">AM210</f>
        <v>75000</v>
      </c>
      <c r="N210" s="318">
        <f t="shared" ref="N210:N287" si="537">IFERROR(
M210/L210,"NA")</f>
        <v>8.8717709710922216E-2</v>
      </c>
      <c r="O210" s="270">
        <f>IFERROR(
INDEX('Admin - FEOR'!$A$4:$F$465,MATCH(Bérköltség!H210,'Admin - FEOR'!$A$4:$A$465,0),
IF(J210="30 év alatt",3,
IF(J210="30–39 éves",4,
IF(J210="40–49 éves",5,
IF(J210="50 év és afelett",6
)))))*1.5,"NA")</f>
        <v>1268067</v>
      </c>
      <c r="P210" s="270">
        <f t="shared" ref="P210:P287" si="538">IFERROR(
AQ210*O210,"NA")</f>
        <v>1268067</v>
      </c>
      <c r="Q210" s="270">
        <f t="shared" ref="Q210:Q287" si="539">IFERROR(AR210,"")</f>
        <v>75000</v>
      </c>
      <c r="R210" s="275">
        <f t="shared" ref="R210:R287" si="540">IFERROR(AQ210,"")</f>
        <v>1</v>
      </c>
      <c r="S210" s="270">
        <f t="shared" ref="S210:S287" si="541">IFERROR(
IF(AR210-P210&lt;0,0,AR210-P210),"NA")</f>
        <v>0</v>
      </c>
      <c r="T210" s="270">
        <f t="shared" ref="T210:T287" si="542">IFERROR(
S210*AU210,"NA")</f>
        <v>0</v>
      </c>
      <c r="U210" s="271">
        <f t="shared" ref="U210:U287" si="543">IFERROR(
S210+T210,"NA")</f>
        <v>0</v>
      </c>
      <c r="V210" s="272">
        <f t="shared" ref="V210:V287" si="544">IFERROR(
IF(U210&gt;0,AR210+AS210-U210,AR210+AS210),"NA")</f>
        <v>84750</v>
      </c>
      <c r="W210" s="273" t="str">
        <f t="shared" ref="W210:W287" si="545">IF(P210="NA","FEOR hiányzik",
IF(AND(N210&gt;1,A210="FEOR"),CONCATENATE("Indoklás szükséges mivel a FEOR: ",ROUND(N210*100,1),"%"),"Nem szükséges indoklás.")
)</f>
        <v>Nem szükséges indoklás.</v>
      </c>
      <c r="X210" s="372">
        <f t="shared" ref="X210:X287" si="546">IF(A210="FEOR",U210,IF(A210="HIÁNYOS ADATOK","HIÁNYOS ADATOK",F210))</f>
        <v>0</v>
      </c>
      <c r="Y210" s="317">
        <f t="shared" ref="Y210:Y287" si="547">IF(A210="FEOR",ROUND((V210/(1+AU210)),0),IF(A210="HIÁNYOS ADATOK","HIÁNYOS ADATOK",ROUND(G210/(1+AU210),0)))</f>
        <v>75000</v>
      </c>
      <c r="Z210" s="317">
        <f t="shared" ref="Z210:Z287" si="548">IF(A210="FEOR",ROUND((V210-Y210),0),IF(A210="HIÁNYOS ADATOK","HIÁNYOS ADATOK",ROUND((G210-Y210),0)))</f>
        <v>9750</v>
      </c>
      <c r="AA210" s="12">
        <v>2</v>
      </c>
      <c r="AB210" s="274">
        <v>8451324509</v>
      </c>
      <c r="AC210" s="40" t="s">
        <v>192</v>
      </c>
      <c r="AD210" s="82" t="s">
        <v>75</v>
      </c>
      <c r="AE210" s="41" t="s">
        <v>52</v>
      </c>
      <c r="AF210" s="11" t="s">
        <v>153</v>
      </c>
      <c r="AG210" s="11" t="s">
        <v>168</v>
      </c>
      <c r="AH210" s="14" t="s">
        <v>122</v>
      </c>
      <c r="AI210" s="86" t="s">
        <v>21</v>
      </c>
      <c r="AJ210" s="113" t="str">
        <f>IF(COUNTIFS(Admin!$A$29:$A$40,AI210)&gt;0,Admin!$A$28,IF(COUNTIFS(Admin!$B$29:$B$40,AI210)&gt;0,Admin!$B$28,IF(COUNTIFS(Admin!$C$29:$C$40,AI210)&gt;0,Admin!$C$28,IF(COUNTIFS(Admin!$D$29:$D$40,AI210)&gt;0,Admin!$D$28,"-"))))</f>
        <v>2. mérföldkő</v>
      </c>
      <c r="AK210" s="14" t="s">
        <v>7</v>
      </c>
      <c r="AL210" s="9" t="s">
        <v>56</v>
      </c>
      <c r="AM210" s="131">
        <v>75000</v>
      </c>
      <c r="AN210" s="132">
        <f t="shared" si="368"/>
        <v>9750</v>
      </c>
      <c r="AO210" s="121">
        <v>44</v>
      </c>
      <c r="AP210" s="121">
        <v>44</v>
      </c>
      <c r="AQ210" s="354">
        <f t="shared" si="402"/>
        <v>1</v>
      </c>
      <c r="AR210" s="133">
        <f t="shared" si="214"/>
        <v>75000</v>
      </c>
      <c r="AS210" s="133">
        <f t="shared" si="500"/>
        <v>9750</v>
      </c>
      <c r="AT210" s="123">
        <f t="shared" si="404"/>
        <v>0</v>
      </c>
      <c r="AU210" s="124">
        <v>0.13</v>
      </c>
      <c r="AV210" s="394" t="s">
        <v>2775</v>
      </c>
      <c r="AW210" s="15">
        <v>44736</v>
      </c>
      <c r="AX210" s="12" t="s">
        <v>206</v>
      </c>
      <c r="BC210" s="1" t="s">
        <v>2832</v>
      </c>
      <c r="BD210" s="1" t="str">
        <f t="shared" ref="BD210:BD223" si="549">CONCATENATE(BC210," - ",AE210)</f>
        <v>Kutató_MK_5 - Kutató</v>
      </c>
    </row>
    <row r="211" spans="1:56" s="1" customFormat="1" hidden="1" x14ac:dyDescent="0.25">
      <c r="A211" s="264" t="str">
        <f>Bérköltség!$B211</f>
        <v>FEOR</v>
      </c>
      <c r="B211" s="264" t="str">
        <f>IFERROR(
IF(AND(Bérköltség!$F211="",H211="NA"),"HIÁNYOS ADATOK",
IF(Bérköltség!$F211&lt;Bérköltség!$U211,Admin!$B$18,Admin!$B$17)),
"")</f>
        <v>FEOR</v>
      </c>
      <c r="C211" s="265">
        <f>IFERROR(INDEX('Historikus berek_2021-2'!$A$1:$F$903,MATCH(AB211,'Historikus berek_2021-2'!$A$1:$A$903,0),4),"")</f>
        <v>330000</v>
      </c>
      <c r="D211" s="279">
        <f t="shared" si="531"/>
        <v>330000</v>
      </c>
      <c r="E211" s="265">
        <f t="shared" si="532"/>
        <v>75000</v>
      </c>
      <c r="F211" s="266">
        <f t="shared" si="533"/>
        <v>0</v>
      </c>
      <c r="G211" s="267">
        <f t="shared" si="534"/>
        <v>84749.999999999985</v>
      </c>
      <c r="H211" s="268">
        <f>IFERROR(INDEX('FEOR kodok'!$A$2:$J$1126,MATCH(Bérköltség!AB211,'FEOR kodok'!$B$2:$B$1126,0),8),"NA")</f>
        <v>2139</v>
      </c>
      <c r="I211" s="269">
        <f>IFERROR(INDEX('FEOR kodok'!$A$2:$J$1126,MATCH(Bérköltség!AB211,'FEOR kodok'!$B$2:$B$1126,0),10),"NA")</f>
        <v>33</v>
      </c>
      <c r="J211" s="276" t="str">
        <f t="shared" si="535"/>
        <v>30–39 éves</v>
      </c>
      <c r="K211" s="269" t="str">
        <f>IFERROR(INDEX(admin_feor[#All],MATCH(Bérköltség!H211,admin_feor[[#All],[Foglalkozás]],0),2),"NA")</f>
        <v>Egyéb, máshova nem sorolható mérnök</v>
      </c>
      <c r="L211" s="270">
        <f>IFERROR(
INDEX('Admin - FEOR'!$A$4:$F$465,MATCH(Bérköltség!H211,'Admin - FEOR'!$A$4:$A$465,0),
IF(J211="30 év alatt",3,
IF(J211="30–39 éves",4,
IF(J211="40–49 éves",5,
IF(J211="50 év és afelett",6
)))))*1,"NA")</f>
        <v>845378</v>
      </c>
      <c r="M211" s="270">
        <f t="shared" si="536"/>
        <v>75000</v>
      </c>
      <c r="N211" s="318">
        <f t="shared" si="537"/>
        <v>8.8717709710922216E-2</v>
      </c>
      <c r="O211" s="270">
        <f>IFERROR(
INDEX('Admin - FEOR'!$A$4:$F$465,MATCH(Bérköltség!H211,'Admin - FEOR'!$A$4:$A$465,0),
IF(J211="30 év alatt",3,
IF(J211="30–39 éves",4,
IF(J211="40–49 éves",5,
IF(J211="50 év és afelett",6
)))))*1.5,"NA")</f>
        <v>1268067</v>
      </c>
      <c r="P211" s="270">
        <f t="shared" si="538"/>
        <v>1268067</v>
      </c>
      <c r="Q211" s="270">
        <f t="shared" si="539"/>
        <v>75000</v>
      </c>
      <c r="R211" s="275">
        <f t="shared" si="540"/>
        <v>1</v>
      </c>
      <c r="S211" s="270">
        <f t="shared" si="541"/>
        <v>0</v>
      </c>
      <c r="T211" s="270">
        <f t="shared" si="542"/>
        <v>0</v>
      </c>
      <c r="U211" s="271">
        <f t="shared" si="543"/>
        <v>0</v>
      </c>
      <c r="V211" s="272">
        <f t="shared" si="544"/>
        <v>84750</v>
      </c>
      <c r="W211" s="273" t="str">
        <f t="shared" si="545"/>
        <v>Nem szükséges indoklás.</v>
      </c>
      <c r="X211" s="372">
        <f t="shared" si="546"/>
        <v>0</v>
      </c>
      <c r="Y211" s="317">
        <f t="shared" si="547"/>
        <v>75000</v>
      </c>
      <c r="Z211" s="317">
        <f t="shared" si="548"/>
        <v>9750</v>
      </c>
      <c r="AA211" s="12">
        <v>2</v>
      </c>
      <c r="AB211" s="274">
        <v>8451324509</v>
      </c>
      <c r="AC211" s="40" t="s">
        <v>192</v>
      </c>
      <c r="AD211" s="82" t="s">
        <v>75</v>
      </c>
      <c r="AE211" s="41" t="s">
        <v>52</v>
      </c>
      <c r="AF211" s="11" t="s">
        <v>153</v>
      </c>
      <c r="AG211" s="11" t="s">
        <v>168</v>
      </c>
      <c r="AH211" s="14" t="s">
        <v>122</v>
      </c>
      <c r="AI211" s="86" t="s">
        <v>22</v>
      </c>
      <c r="AJ211" s="113" t="str">
        <f>IF(COUNTIFS(Admin!$A$29:$A$40,AI211)&gt;0,Admin!$A$28,IF(COUNTIFS(Admin!$B$29:$B$40,AI211)&gt;0,Admin!$B$28,IF(COUNTIFS(Admin!$C$29:$C$40,AI211)&gt;0,Admin!$C$28,IF(COUNTIFS(Admin!$D$29:$D$40,AI211)&gt;0,Admin!$D$28,"-"))))</f>
        <v>2. mérföldkő</v>
      </c>
      <c r="AK211" s="14" t="s">
        <v>7</v>
      </c>
      <c r="AL211" s="9" t="s">
        <v>56</v>
      </c>
      <c r="AM211" s="131">
        <v>75000</v>
      </c>
      <c r="AN211" s="132">
        <f t="shared" si="368"/>
        <v>9750</v>
      </c>
      <c r="AO211" s="121">
        <v>44</v>
      </c>
      <c r="AP211" s="121">
        <v>44</v>
      </c>
      <c r="AQ211" s="354">
        <f t="shared" si="402"/>
        <v>1</v>
      </c>
      <c r="AR211" s="133">
        <f t="shared" si="214"/>
        <v>75000</v>
      </c>
      <c r="AS211" s="133">
        <f t="shared" si="500"/>
        <v>9750</v>
      </c>
      <c r="AT211" s="123">
        <f t="shared" si="404"/>
        <v>0</v>
      </c>
      <c r="AU211" s="124">
        <v>0.13</v>
      </c>
      <c r="AV211" s="394" t="s">
        <v>2775</v>
      </c>
      <c r="AW211" s="15">
        <v>44736</v>
      </c>
      <c r="AX211" s="12" t="s">
        <v>206</v>
      </c>
      <c r="BC211" s="1" t="s">
        <v>2832</v>
      </c>
      <c r="BD211" s="1" t="str">
        <f t="shared" si="549"/>
        <v>Kutató_MK_5 - Kutató</v>
      </c>
    </row>
    <row r="212" spans="1:56" s="1" customFormat="1" hidden="1" x14ac:dyDescent="0.25">
      <c r="A212" s="264" t="str">
        <f>Bérköltség!$B212</f>
        <v>FEOR</v>
      </c>
      <c r="B212" s="264" t="str">
        <f>IFERROR(
IF(AND(Bérköltség!$F212="",H212="NA"),"HIÁNYOS ADATOK",
IF(Bérköltség!$F212&lt;Bérköltség!$U212,Admin!$B$18,Admin!$B$17)),
"")</f>
        <v>FEOR</v>
      </c>
      <c r="C212" s="265">
        <f>IFERROR(INDEX('Historikus berek_2021-2'!$A$1:$F$903,MATCH(AB212,'Historikus berek_2021-2'!$A$1:$A$903,0),4),"")</f>
        <v>330000</v>
      </c>
      <c r="D212" s="279">
        <f t="shared" si="531"/>
        <v>330000</v>
      </c>
      <c r="E212" s="265">
        <f t="shared" si="532"/>
        <v>75000</v>
      </c>
      <c r="F212" s="266">
        <f t="shared" si="533"/>
        <v>0</v>
      </c>
      <c r="G212" s="267">
        <f t="shared" si="534"/>
        <v>84749.999999999985</v>
      </c>
      <c r="H212" s="268">
        <f>IFERROR(INDEX('FEOR kodok'!$A$2:$J$1126,MATCH(Bérköltség!AB212,'FEOR kodok'!$B$2:$B$1126,0),8),"NA")</f>
        <v>2139</v>
      </c>
      <c r="I212" s="269">
        <f>IFERROR(INDEX('FEOR kodok'!$A$2:$J$1126,MATCH(Bérköltség!AB212,'FEOR kodok'!$B$2:$B$1126,0),10),"NA")</f>
        <v>33</v>
      </c>
      <c r="J212" s="276" t="str">
        <f t="shared" si="535"/>
        <v>30–39 éves</v>
      </c>
      <c r="K212" s="269" t="str">
        <f>IFERROR(INDEX(admin_feor[#All],MATCH(Bérköltség!H212,admin_feor[[#All],[Foglalkozás]],0),2),"NA")</f>
        <v>Egyéb, máshova nem sorolható mérnök</v>
      </c>
      <c r="L212" s="270">
        <f>IFERROR(
INDEX('Admin - FEOR'!$A$4:$F$465,MATCH(Bérköltség!H212,'Admin - FEOR'!$A$4:$A$465,0),
IF(J212="30 év alatt",3,
IF(J212="30–39 éves",4,
IF(J212="40–49 éves",5,
IF(J212="50 év és afelett",6
)))))*1,"NA")</f>
        <v>845378</v>
      </c>
      <c r="M212" s="270">
        <f t="shared" si="536"/>
        <v>75000</v>
      </c>
      <c r="N212" s="318">
        <f t="shared" si="537"/>
        <v>8.8717709710922216E-2</v>
      </c>
      <c r="O212" s="270">
        <f>IFERROR(
INDEX('Admin - FEOR'!$A$4:$F$465,MATCH(Bérköltség!H212,'Admin - FEOR'!$A$4:$A$465,0),
IF(J212="30 év alatt",3,
IF(J212="30–39 éves",4,
IF(J212="40–49 éves",5,
IF(J212="50 év és afelett",6
)))))*1.5,"NA")</f>
        <v>1268067</v>
      </c>
      <c r="P212" s="270">
        <f t="shared" si="538"/>
        <v>1268067</v>
      </c>
      <c r="Q212" s="270">
        <f t="shared" si="539"/>
        <v>75000</v>
      </c>
      <c r="R212" s="275">
        <f t="shared" si="540"/>
        <v>1</v>
      </c>
      <c r="S212" s="270">
        <f t="shared" si="541"/>
        <v>0</v>
      </c>
      <c r="T212" s="270">
        <f t="shared" si="542"/>
        <v>0</v>
      </c>
      <c r="U212" s="271">
        <f t="shared" si="543"/>
        <v>0</v>
      </c>
      <c r="V212" s="272">
        <f t="shared" si="544"/>
        <v>84750</v>
      </c>
      <c r="W212" s="273" t="str">
        <f t="shared" si="545"/>
        <v>Nem szükséges indoklás.</v>
      </c>
      <c r="X212" s="372">
        <f t="shared" si="546"/>
        <v>0</v>
      </c>
      <c r="Y212" s="317">
        <f t="shared" si="547"/>
        <v>75000</v>
      </c>
      <c r="Z212" s="317">
        <f t="shared" si="548"/>
        <v>9750</v>
      </c>
      <c r="AA212" s="12">
        <v>2</v>
      </c>
      <c r="AB212" s="274">
        <v>8451324509</v>
      </c>
      <c r="AC212" s="40" t="s">
        <v>192</v>
      </c>
      <c r="AD212" s="82" t="s">
        <v>75</v>
      </c>
      <c r="AE212" s="41" t="s">
        <v>52</v>
      </c>
      <c r="AF212" s="11" t="s">
        <v>153</v>
      </c>
      <c r="AG212" s="11" t="s">
        <v>168</v>
      </c>
      <c r="AH212" s="14" t="s">
        <v>122</v>
      </c>
      <c r="AI212" s="86" t="s">
        <v>23</v>
      </c>
      <c r="AJ212" s="113" t="str">
        <f>IF(COUNTIFS(Admin!$A$29:$A$40,AI212)&gt;0,Admin!$A$28,IF(COUNTIFS(Admin!$B$29:$B$40,AI212)&gt;0,Admin!$B$28,IF(COUNTIFS(Admin!$C$29:$C$40,AI212)&gt;0,Admin!$C$28,IF(COUNTIFS(Admin!$D$29:$D$40,AI212)&gt;0,Admin!$D$28,"-"))))</f>
        <v>2. mérföldkő</v>
      </c>
      <c r="AK212" s="14" t="s">
        <v>7</v>
      </c>
      <c r="AL212" s="9" t="s">
        <v>56</v>
      </c>
      <c r="AM212" s="131">
        <v>75000</v>
      </c>
      <c r="AN212" s="132">
        <f t="shared" si="368"/>
        <v>9750</v>
      </c>
      <c r="AO212" s="121">
        <v>44</v>
      </c>
      <c r="AP212" s="121">
        <v>44</v>
      </c>
      <c r="AQ212" s="354">
        <f t="shared" si="402"/>
        <v>1</v>
      </c>
      <c r="AR212" s="133">
        <f t="shared" si="214"/>
        <v>75000</v>
      </c>
      <c r="AS212" s="133">
        <f t="shared" si="500"/>
        <v>9750</v>
      </c>
      <c r="AT212" s="123">
        <f t="shared" si="404"/>
        <v>0</v>
      </c>
      <c r="AU212" s="124">
        <v>0.13</v>
      </c>
      <c r="AV212" s="394" t="s">
        <v>2775</v>
      </c>
      <c r="AW212" s="15">
        <v>44736</v>
      </c>
      <c r="AX212" s="12" t="s">
        <v>206</v>
      </c>
      <c r="BC212" s="1" t="s">
        <v>2832</v>
      </c>
      <c r="BD212" s="1" t="str">
        <f t="shared" si="549"/>
        <v>Kutató_MK_5 - Kutató</v>
      </c>
    </row>
    <row r="213" spans="1:56" s="1" customFormat="1" hidden="1" x14ac:dyDescent="0.25">
      <c r="A213" s="264" t="str">
        <f>Bérköltség!$B213</f>
        <v>FEOR</v>
      </c>
      <c r="B213" s="264" t="str">
        <f>IFERROR(
IF(AND(Bérköltség!$F213="",H213="NA"),"HIÁNYOS ADATOK",
IF(Bérköltség!$F213&lt;Bérköltség!$U213,Admin!$B$18,Admin!$B$17)),
"")</f>
        <v>FEOR</v>
      </c>
      <c r="C213" s="265">
        <f>IFERROR(INDEX('Historikus berek_2021-2'!$A$1:$F$903,MATCH(AB213,'Historikus berek_2021-2'!$A$1:$A$903,0),4),"")</f>
        <v>330000</v>
      </c>
      <c r="D213" s="279">
        <f t="shared" si="531"/>
        <v>330000</v>
      </c>
      <c r="E213" s="265">
        <f t="shared" si="532"/>
        <v>75000</v>
      </c>
      <c r="F213" s="266">
        <f t="shared" si="533"/>
        <v>0</v>
      </c>
      <c r="G213" s="267">
        <f t="shared" si="534"/>
        <v>84749.999999999985</v>
      </c>
      <c r="H213" s="268">
        <f>IFERROR(INDEX('FEOR kodok'!$A$2:$J$1126,MATCH(Bérköltség!AB213,'FEOR kodok'!$B$2:$B$1126,0),8),"NA")</f>
        <v>2139</v>
      </c>
      <c r="I213" s="269">
        <f>IFERROR(INDEX('FEOR kodok'!$A$2:$J$1126,MATCH(Bérköltség!AB213,'FEOR kodok'!$B$2:$B$1126,0),10),"NA")</f>
        <v>33</v>
      </c>
      <c r="J213" s="276" t="str">
        <f t="shared" si="535"/>
        <v>30–39 éves</v>
      </c>
      <c r="K213" s="269" t="str">
        <f>IFERROR(INDEX(admin_feor[#All],MATCH(Bérköltség!H213,admin_feor[[#All],[Foglalkozás]],0),2),"NA")</f>
        <v>Egyéb, máshova nem sorolható mérnök</v>
      </c>
      <c r="L213" s="270">
        <f>IFERROR(
INDEX('Admin - FEOR'!$A$4:$F$465,MATCH(Bérköltség!H213,'Admin - FEOR'!$A$4:$A$465,0),
IF(J213="30 év alatt",3,
IF(J213="30–39 éves",4,
IF(J213="40–49 éves",5,
IF(J213="50 év és afelett",6
)))))*1,"NA")</f>
        <v>845378</v>
      </c>
      <c r="M213" s="270">
        <f t="shared" si="536"/>
        <v>75000</v>
      </c>
      <c r="N213" s="318">
        <f t="shared" si="537"/>
        <v>8.8717709710922216E-2</v>
      </c>
      <c r="O213" s="270">
        <f>IFERROR(
INDEX('Admin - FEOR'!$A$4:$F$465,MATCH(Bérköltség!H213,'Admin - FEOR'!$A$4:$A$465,0),
IF(J213="30 év alatt",3,
IF(J213="30–39 éves",4,
IF(J213="40–49 éves",5,
IF(J213="50 év és afelett",6
)))))*1.5,"NA")</f>
        <v>1268067</v>
      </c>
      <c r="P213" s="270">
        <f t="shared" si="538"/>
        <v>1268067</v>
      </c>
      <c r="Q213" s="270">
        <f t="shared" si="539"/>
        <v>75000</v>
      </c>
      <c r="R213" s="275">
        <f t="shared" si="540"/>
        <v>1</v>
      </c>
      <c r="S213" s="270">
        <f t="shared" si="541"/>
        <v>0</v>
      </c>
      <c r="T213" s="270">
        <f t="shared" si="542"/>
        <v>0</v>
      </c>
      <c r="U213" s="271">
        <f t="shared" si="543"/>
        <v>0</v>
      </c>
      <c r="V213" s="272">
        <f t="shared" si="544"/>
        <v>84750</v>
      </c>
      <c r="W213" s="273" t="str">
        <f t="shared" si="545"/>
        <v>Nem szükséges indoklás.</v>
      </c>
      <c r="X213" s="372">
        <f t="shared" si="546"/>
        <v>0</v>
      </c>
      <c r="Y213" s="317">
        <f t="shared" si="547"/>
        <v>75000</v>
      </c>
      <c r="Z213" s="317">
        <f t="shared" si="548"/>
        <v>9750</v>
      </c>
      <c r="AA213" s="12">
        <v>2</v>
      </c>
      <c r="AB213" s="274">
        <v>8451324509</v>
      </c>
      <c r="AC213" s="40" t="s">
        <v>192</v>
      </c>
      <c r="AD213" s="82" t="s">
        <v>75</v>
      </c>
      <c r="AE213" s="41" t="s">
        <v>52</v>
      </c>
      <c r="AF213" s="11" t="s">
        <v>153</v>
      </c>
      <c r="AG213" s="11" t="s">
        <v>168</v>
      </c>
      <c r="AH213" s="14" t="s">
        <v>122</v>
      </c>
      <c r="AI213" s="86" t="s">
        <v>24</v>
      </c>
      <c r="AJ213" s="113" t="str">
        <f>IF(COUNTIFS(Admin!$A$29:$A$40,AI213)&gt;0,Admin!$A$28,IF(COUNTIFS(Admin!$B$29:$B$40,AI213)&gt;0,Admin!$B$28,IF(COUNTIFS(Admin!$C$29:$C$40,AI213)&gt;0,Admin!$C$28,IF(COUNTIFS(Admin!$D$29:$D$40,AI213)&gt;0,Admin!$D$28,"-"))))</f>
        <v>2. mérföldkő</v>
      </c>
      <c r="AK213" s="14" t="s">
        <v>7</v>
      </c>
      <c r="AL213" s="9" t="s">
        <v>56</v>
      </c>
      <c r="AM213" s="131">
        <v>75000</v>
      </c>
      <c r="AN213" s="132">
        <f t="shared" si="368"/>
        <v>9750</v>
      </c>
      <c r="AO213" s="121">
        <v>44</v>
      </c>
      <c r="AP213" s="121">
        <v>44</v>
      </c>
      <c r="AQ213" s="354">
        <f t="shared" si="402"/>
        <v>1</v>
      </c>
      <c r="AR213" s="133">
        <f t="shared" si="214"/>
        <v>75000</v>
      </c>
      <c r="AS213" s="133">
        <f t="shared" si="500"/>
        <v>9750</v>
      </c>
      <c r="AT213" s="123">
        <f t="shared" si="404"/>
        <v>0</v>
      </c>
      <c r="AU213" s="124">
        <v>0.13</v>
      </c>
      <c r="AV213" s="394" t="s">
        <v>2775</v>
      </c>
      <c r="AW213" s="15">
        <v>44736</v>
      </c>
      <c r="AX213" s="12" t="s">
        <v>206</v>
      </c>
      <c r="BC213" s="1" t="s">
        <v>2832</v>
      </c>
      <c r="BD213" s="1" t="str">
        <f t="shared" si="549"/>
        <v>Kutató_MK_5 - Kutató</v>
      </c>
    </row>
    <row r="214" spans="1:56" s="1" customFormat="1" hidden="1" x14ac:dyDescent="0.25">
      <c r="A214" s="264" t="str">
        <f>Bérköltség!$B214</f>
        <v>FEOR</v>
      </c>
      <c r="B214" s="264" t="str">
        <f>IFERROR(
IF(AND(Bérköltség!$F214="",H214="NA"),"HIÁNYOS ADATOK",
IF(Bérköltség!$F214&lt;Bérköltség!$U214,Admin!$B$18,Admin!$B$17)),
"")</f>
        <v>FEOR</v>
      </c>
      <c r="C214" s="265">
        <f>IFERROR(INDEX('Historikus berek_2021-2'!$A$1:$F$903,MATCH(AB214,'Historikus berek_2021-2'!$A$1:$A$903,0),4),"")</f>
        <v>330000</v>
      </c>
      <c r="D214" s="279">
        <f t="shared" si="531"/>
        <v>330000</v>
      </c>
      <c r="E214" s="265">
        <f t="shared" si="532"/>
        <v>75000</v>
      </c>
      <c r="F214" s="266">
        <f t="shared" si="533"/>
        <v>0</v>
      </c>
      <c r="G214" s="267">
        <f t="shared" si="534"/>
        <v>84749.999999999985</v>
      </c>
      <c r="H214" s="268">
        <f>IFERROR(INDEX('FEOR kodok'!$A$2:$J$1126,MATCH(Bérköltség!AB214,'FEOR kodok'!$B$2:$B$1126,0),8),"NA")</f>
        <v>2139</v>
      </c>
      <c r="I214" s="269">
        <f>IFERROR(INDEX('FEOR kodok'!$A$2:$J$1126,MATCH(Bérköltség!AB214,'FEOR kodok'!$B$2:$B$1126,0),10),"NA")</f>
        <v>33</v>
      </c>
      <c r="J214" s="276" t="str">
        <f t="shared" si="535"/>
        <v>30–39 éves</v>
      </c>
      <c r="K214" s="269" t="str">
        <f>IFERROR(INDEX(admin_feor[#All],MATCH(Bérköltség!H214,admin_feor[[#All],[Foglalkozás]],0),2),"NA")</f>
        <v>Egyéb, máshova nem sorolható mérnök</v>
      </c>
      <c r="L214" s="270">
        <f>IFERROR(
INDEX('Admin - FEOR'!$A$4:$F$465,MATCH(Bérköltség!H214,'Admin - FEOR'!$A$4:$A$465,0),
IF(J214="30 év alatt",3,
IF(J214="30–39 éves",4,
IF(J214="40–49 éves",5,
IF(J214="50 év és afelett",6
)))))*1,"NA")</f>
        <v>845378</v>
      </c>
      <c r="M214" s="270">
        <f t="shared" si="536"/>
        <v>75000</v>
      </c>
      <c r="N214" s="318">
        <f t="shared" si="537"/>
        <v>8.8717709710922216E-2</v>
      </c>
      <c r="O214" s="270">
        <f>IFERROR(
INDEX('Admin - FEOR'!$A$4:$F$465,MATCH(Bérköltség!H214,'Admin - FEOR'!$A$4:$A$465,0),
IF(J214="30 év alatt",3,
IF(J214="30–39 éves",4,
IF(J214="40–49 éves",5,
IF(J214="50 év és afelett",6
)))))*1.5,"NA")</f>
        <v>1268067</v>
      </c>
      <c r="P214" s="270">
        <f t="shared" si="538"/>
        <v>1268067</v>
      </c>
      <c r="Q214" s="270">
        <f t="shared" si="539"/>
        <v>75000</v>
      </c>
      <c r="R214" s="275">
        <f t="shared" si="540"/>
        <v>1</v>
      </c>
      <c r="S214" s="270">
        <f t="shared" si="541"/>
        <v>0</v>
      </c>
      <c r="T214" s="270">
        <f t="shared" si="542"/>
        <v>0</v>
      </c>
      <c r="U214" s="271">
        <f t="shared" si="543"/>
        <v>0</v>
      </c>
      <c r="V214" s="272">
        <f t="shared" si="544"/>
        <v>84750</v>
      </c>
      <c r="W214" s="273" t="str">
        <f t="shared" si="545"/>
        <v>Nem szükséges indoklás.</v>
      </c>
      <c r="X214" s="372">
        <f t="shared" si="546"/>
        <v>0</v>
      </c>
      <c r="Y214" s="317">
        <f t="shared" si="547"/>
        <v>75000</v>
      </c>
      <c r="Z214" s="317">
        <f t="shared" si="548"/>
        <v>9750</v>
      </c>
      <c r="AA214" s="12">
        <v>2</v>
      </c>
      <c r="AB214" s="274">
        <v>8451324509</v>
      </c>
      <c r="AC214" s="40" t="s">
        <v>192</v>
      </c>
      <c r="AD214" s="82" t="s">
        <v>75</v>
      </c>
      <c r="AE214" s="41" t="s">
        <v>52</v>
      </c>
      <c r="AF214" s="11" t="s">
        <v>153</v>
      </c>
      <c r="AG214" s="11" t="s">
        <v>168</v>
      </c>
      <c r="AH214" s="14" t="s">
        <v>122</v>
      </c>
      <c r="AI214" s="86" t="s">
        <v>25</v>
      </c>
      <c r="AJ214" s="113" t="str">
        <f>IF(COUNTIFS(Admin!$A$29:$A$40,AI214)&gt;0,Admin!$A$28,IF(COUNTIFS(Admin!$B$29:$B$40,AI214)&gt;0,Admin!$B$28,IF(COUNTIFS(Admin!$C$29:$C$40,AI214)&gt;0,Admin!$C$28,IF(COUNTIFS(Admin!$D$29:$D$40,AI214)&gt;0,Admin!$D$28,"-"))))</f>
        <v>2. mérföldkő</v>
      </c>
      <c r="AK214" s="14" t="s">
        <v>7</v>
      </c>
      <c r="AL214" s="9" t="s">
        <v>56</v>
      </c>
      <c r="AM214" s="131">
        <v>75000</v>
      </c>
      <c r="AN214" s="132">
        <f t="shared" si="368"/>
        <v>9750</v>
      </c>
      <c r="AO214" s="121">
        <v>44</v>
      </c>
      <c r="AP214" s="121">
        <v>44</v>
      </c>
      <c r="AQ214" s="354">
        <f t="shared" si="402"/>
        <v>1</v>
      </c>
      <c r="AR214" s="133">
        <f t="shared" si="214"/>
        <v>75000</v>
      </c>
      <c r="AS214" s="133">
        <f t="shared" si="500"/>
        <v>9750</v>
      </c>
      <c r="AT214" s="123">
        <f t="shared" si="404"/>
        <v>0</v>
      </c>
      <c r="AU214" s="124">
        <v>0.13</v>
      </c>
      <c r="AV214" s="394" t="s">
        <v>2775</v>
      </c>
      <c r="AW214" s="15">
        <v>44736</v>
      </c>
      <c r="AX214" s="12" t="s">
        <v>206</v>
      </c>
      <c r="AZ214" s="1" t="s">
        <v>2667</v>
      </c>
      <c r="BA214" s="1" t="s">
        <v>2667</v>
      </c>
      <c r="BB214" s="1" t="s">
        <v>2667</v>
      </c>
      <c r="BC214" s="1" t="s">
        <v>2832</v>
      </c>
      <c r="BD214" s="1" t="str">
        <f t="shared" si="549"/>
        <v>Kutató_MK_5 - Kutató</v>
      </c>
    </row>
    <row r="215" spans="1:56" s="1" customFormat="1" hidden="1" x14ac:dyDescent="0.25">
      <c r="A215" s="264" t="str">
        <f>Bérköltség!$B215</f>
        <v>FEOR</v>
      </c>
      <c r="B215" s="264" t="str">
        <f>IFERROR(
IF(AND(Bérköltség!$F215="",H215="NA"),"HIÁNYOS ADATOK",
IF(Bérköltség!$F215&lt;Bérköltség!$U215,Admin!$B$18,Admin!$B$17)),
"")</f>
        <v>FEOR</v>
      </c>
      <c r="C215" s="265">
        <f>IFERROR(INDEX('Historikus berek_2021-2'!$A$1:$F$903,MATCH(AB215,'Historikus berek_2021-2'!$A$1:$A$903,0),4),"")</f>
        <v>1163800</v>
      </c>
      <c r="D215" s="279">
        <f t="shared" si="531"/>
        <v>474883.908045977</v>
      </c>
      <c r="E215" s="265">
        <f t="shared" si="532"/>
        <v>538621</v>
      </c>
      <c r="F215" s="266">
        <f t="shared" si="533"/>
        <v>72022.913908045972</v>
      </c>
      <c r="G215" s="267">
        <f t="shared" si="534"/>
        <v>536618.81609195401</v>
      </c>
      <c r="H215" s="268">
        <f>IFERROR(INDEX('FEOR kodok'!$A$2:$J$1126,MATCH(Bérköltség!AB215,'FEOR kodok'!$B$2:$B$1126,0),8),"NA")</f>
        <v>1413</v>
      </c>
      <c r="I215" s="269">
        <f>IFERROR(INDEX('FEOR kodok'!$A$2:$J$1126,MATCH(Bérköltség!AB215,'FEOR kodok'!$B$2:$B$1126,0),10),"NA")</f>
        <v>45</v>
      </c>
      <c r="J215" s="276" t="str">
        <f t="shared" si="535"/>
        <v>40–49 éves</v>
      </c>
      <c r="K215" s="269" t="str">
        <f>IFERROR(INDEX(admin_feor[#All],MATCH(Bérköltség!H215,admin_feor[[#All],[Foglalkozás]],0),2),"NA")</f>
        <v>Kutatási és fejlesztési tevékenységet folytató egység vezetője</v>
      </c>
      <c r="L215" s="270">
        <f>IFERROR(
INDEX('Admin - FEOR'!$A$4:$F$465,MATCH(Bérköltség!H215,'Admin - FEOR'!$A$4:$A$465,0),
IF(J215="30 év alatt",3,
IF(J215="30–39 éves",4,
IF(J215="40–49 éves",5,
IF(J215="50 év és afelett",6
)))))*1,"NA")</f>
        <v>1275992</v>
      </c>
      <c r="M215" s="270">
        <f t="shared" si="536"/>
        <v>1320000</v>
      </c>
      <c r="N215" s="318">
        <f t="shared" si="537"/>
        <v>1.0344892444466736</v>
      </c>
      <c r="O215" s="270">
        <f>IFERROR(
INDEX('Admin - FEOR'!$A$4:$F$465,MATCH(Bérköltség!H215,'Admin - FEOR'!$A$4:$A$465,0),
IF(J215="30 év alatt",3,
IF(J215="30–39 éves",4,
IF(J215="40–49 éves",5,
IF(J215="50 év és afelett",6
)))))*1.5,"NA")</f>
        <v>1913988</v>
      </c>
      <c r="P215" s="270">
        <f t="shared" si="538"/>
        <v>780995.10344827583</v>
      </c>
      <c r="Q215" s="270">
        <f t="shared" si="539"/>
        <v>538621</v>
      </c>
      <c r="R215" s="275">
        <f t="shared" si="540"/>
        <v>0.40804597701149425</v>
      </c>
      <c r="S215" s="270">
        <f t="shared" si="541"/>
        <v>0</v>
      </c>
      <c r="T215" s="270">
        <f t="shared" si="542"/>
        <v>0</v>
      </c>
      <c r="U215" s="271">
        <f t="shared" si="543"/>
        <v>0</v>
      </c>
      <c r="V215" s="272">
        <f t="shared" si="544"/>
        <v>608642</v>
      </c>
      <c r="W215" s="273" t="str">
        <f t="shared" si="545"/>
        <v>Indoklás szükséges mivel a FEOR: 103,4%</v>
      </c>
      <c r="X215" s="372">
        <f t="shared" si="546"/>
        <v>0</v>
      </c>
      <c r="Y215" s="317">
        <f t="shared" si="547"/>
        <v>538621</v>
      </c>
      <c r="Z215" s="317">
        <f t="shared" si="548"/>
        <v>70021</v>
      </c>
      <c r="AA215" s="12">
        <v>2</v>
      </c>
      <c r="AB215" s="274">
        <v>8405472754</v>
      </c>
      <c r="AC215" s="40" t="s">
        <v>155</v>
      </c>
      <c r="AD215" s="82" t="s">
        <v>75</v>
      </c>
      <c r="AE215" s="41" t="s">
        <v>52</v>
      </c>
      <c r="AF215" s="11" t="s">
        <v>152</v>
      </c>
      <c r="AG215" s="11" t="s">
        <v>203</v>
      </c>
      <c r="AH215" s="14" t="s">
        <v>122</v>
      </c>
      <c r="AI215" s="86" t="s">
        <v>21</v>
      </c>
      <c r="AJ215" s="113" t="str">
        <f>IF(COUNTIFS(Admin!$A$29:$A$40,AI215)&gt;0,Admin!$A$28,IF(COUNTIFS(Admin!$B$29:$B$40,AI215)&gt;0,Admin!$B$28,IF(COUNTIFS(Admin!$C$29:$C$40,AI215)&gt;0,Admin!$C$28,IF(COUNTIFS(Admin!$D$29:$D$40,AI215)&gt;0,Admin!$D$28,"-"))))</f>
        <v>2. mérföldkő</v>
      </c>
      <c r="AK215" s="14" t="s">
        <v>7</v>
      </c>
      <c r="AL215" s="9" t="s">
        <v>56</v>
      </c>
      <c r="AM215" s="131">
        <v>1320000</v>
      </c>
      <c r="AN215" s="132">
        <f t="shared" si="368"/>
        <v>171600</v>
      </c>
      <c r="AO215" s="121">
        <v>174</v>
      </c>
      <c r="AP215" s="121">
        <v>71</v>
      </c>
      <c r="AQ215" s="354">
        <f t="shared" si="402"/>
        <v>0.40804597701149425</v>
      </c>
      <c r="AR215" s="133">
        <f t="shared" si="214"/>
        <v>538621</v>
      </c>
      <c r="AS215" s="133">
        <f t="shared" si="500"/>
        <v>70021</v>
      </c>
      <c r="AT215" s="123">
        <f t="shared" si="404"/>
        <v>-2.3510971786100399E-7</v>
      </c>
      <c r="AU215" s="124">
        <v>0.13</v>
      </c>
      <c r="AV215" s="394" t="s">
        <v>2776</v>
      </c>
      <c r="AW215" s="15">
        <v>44736</v>
      </c>
      <c r="AX215" s="12" t="s">
        <v>206</v>
      </c>
      <c r="BC215" s="1" t="s">
        <v>2833</v>
      </c>
      <c r="BD215" s="1" t="str">
        <f t="shared" si="549"/>
        <v>Kutató_VM_1 - Kutató</v>
      </c>
    </row>
    <row r="216" spans="1:56" s="1" customFormat="1" hidden="1" x14ac:dyDescent="0.25">
      <c r="A216" s="264" t="str">
        <f>Bérköltség!$B216</f>
        <v>FEOR</v>
      </c>
      <c r="B216" s="264" t="str">
        <f>IFERROR(
IF(AND(Bérköltség!$F216="",H216="NA"),"HIÁNYOS ADATOK",
IF(Bérköltség!$F216&lt;Bérköltség!$U216,Admin!$B$18,Admin!$B$17)),
"")</f>
        <v>FEOR</v>
      </c>
      <c r="C216" s="265">
        <f>IFERROR(INDEX('Historikus berek_2021-2'!$A$1:$F$903,MATCH(AB216,'Historikus berek_2021-2'!$A$1:$A$903,0),4),"")</f>
        <v>1163800</v>
      </c>
      <c r="D216" s="279">
        <f t="shared" si="531"/>
        <v>474883.908045977</v>
      </c>
      <c r="E216" s="265">
        <f t="shared" si="532"/>
        <v>421529</v>
      </c>
      <c r="F216" s="266">
        <f t="shared" si="533"/>
        <v>0</v>
      </c>
      <c r="G216" s="267">
        <f t="shared" si="534"/>
        <v>476327.76999999996</v>
      </c>
      <c r="H216" s="268">
        <f>IFERROR(INDEX('FEOR kodok'!$A$2:$J$1126,MATCH(Bérköltség!AB216,'FEOR kodok'!$B$2:$B$1126,0),8),"NA")</f>
        <v>1413</v>
      </c>
      <c r="I216" s="269">
        <f>IFERROR(INDEX('FEOR kodok'!$A$2:$J$1126,MATCH(Bérköltség!AB216,'FEOR kodok'!$B$2:$B$1126,0),10),"NA")</f>
        <v>45</v>
      </c>
      <c r="J216" s="276" t="str">
        <f t="shared" si="535"/>
        <v>40–49 éves</v>
      </c>
      <c r="K216" s="269" t="str">
        <f>IFERROR(INDEX(admin_feor[#All],MATCH(Bérköltség!H216,admin_feor[[#All],[Foglalkozás]],0),2),"NA")</f>
        <v>Kutatási és fejlesztési tevékenységet folytató egység vezetője</v>
      </c>
      <c r="L216" s="270">
        <f>IFERROR(
INDEX('Admin - FEOR'!$A$4:$F$465,MATCH(Bérköltség!H216,'Admin - FEOR'!$A$4:$A$465,0),
IF(J216="30 év alatt",3,
IF(J216="30–39 éves",4,
IF(J216="40–49 éves",5,
IF(J216="50 év és afelett",6
)))))*1,"NA")</f>
        <v>1275992</v>
      </c>
      <c r="M216" s="270">
        <f t="shared" si="536"/>
        <v>1033043</v>
      </c>
      <c r="N216" s="318">
        <f t="shared" si="537"/>
        <v>0.80959990344767052</v>
      </c>
      <c r="O216" s="270">
        <f>IFERROR(
INDEX('Admin - FEOR'!$A$4:$F$465,MATCH(Bérköltség!H216,'Admin - FEOR'!$A$4:$A$465,0),
IF(J216="30 év alatt",3,
IF(J216="30–39 éves",4,
IF(J216="40–49 éves",5,
IF(J216="50 év és afelett",6
)))))*1.5,"NA")</f>
        <v>1913988</v>
      </c>
      <c r="P216" s="270">
        <f t="shared" si="538"/>
        <v>780995.10344827583</v>
      </c>
      <c r="Q216" s="270">
        <f t="shared" si="539"/>
        <v>421529</v>
      </c>
      <c r="R216" s="275">
        <f t="shared" si="540"/>
        <v>0.40804597701149425</v>
      </c>
      <c r="S216" s="270">
        <f t="shared" si="541"/>
        <v>0</v>
      </c>
      <c r="T216" s="270">
        <f t="shared" si="542"/>
        <v>0</v>
      </c>
      <c r="U216" s="271">
        <f t="shared" si="543"/>
        <v>0</v>
      </c>
      <c r="V216" s="272">
        <f t="shared" si="544"/>
        <v>476328</v>
      </c>
      <c r="W216" s="273" t="str">
        <f t="shared" si="545"/>
        <v>Nem szükséges indoklás.</v>
      </c>
      <c r="X216" s="372">
        <f t="shared" si="546"/>
        <v>0</v>
      </c>
      <c r="Y216" s="317">
        <f t="shared" si="547"/>
        <v>421529</v>
      </c>
      <c r="Z216" s="317">
        <f t="shared" si="548"/>
        <v>54799</v>
      </c>
      <c r="AA216" s="12">
        <v>2</v>
      </c>
      <c r="AB216" s="274">
        <v>8405472754</v>
      </c>
      <c r="AC216" s="40" t="s">
        <v>155</v>
      </c>
      <c r="AD216" s="82" t="s">
        <v>75</v>
      </c>
      <c r="AE216" s="41" t="s">
        <v>52</v>
      </c>
      <c r="AF216" s="11" t="s">
        <v>152</v>
      </c>
      <c r="AG216" s="11" t="s">
        <v>203</v>
      </c>
      <c r="AH216" s="14" t="s">
        <v>122</v>
      </c>
      <c r="AI216" s="86" t="s">
        <v>22</v>
      </c>
      <c r="AJ216" s="113" t="str">
        <f>IF(COUNTIFS(Admin!$A$29:$A$40,AI216)&gt;0,Admin!$A$28,IF(COUNTIFS(Admin!$B$29:$B$40,AI216)&gt;0,Admin!$B$28,IF(COUNTIFS(Admin!$C$29:$C$40,AI216)&gt;0,Admin!$C$28,IF(COUNTIFS(Admin!$D$29:$D$40,AI216)&gt;0,Admin!$D$28,"-"))))</f>
        <v>2. mérföldkő</v>
      </c>
      <c r="AK216" s="14" t="s">
        <v>7</v>
      </c>
      <c r="AL216" s="9" t="s">
        <v>56</v>
      </c>
      <c r="AM216" s="131">
        <v>1033043</v>
      </c>
      <c r="AN216" s="132">
        <f t="shared" si="368"/>
        <v>134296</v>
      </c>
      <c r="AO216" s="121">
        <v>174</v>
      </c>
      <c r="AP216" s="121">
        <v>71</v>
      </c>
      <c r="AQ216" s="354">
        <f t="shared" si="402"/>
        <v>0.40804597701149425</v>
      </c>
      <c r="AR216" s="133">
        <f t="shared" si="214"/>
        <v>421529</v>
      </c>
      <c r="AS216" s="133">
        <f t="shared" si="500"/>
        <v>54799</v>
      </c>
      <c r="AT216" s="123">
        <f t="shared" si="404"/>
        <v>3.8943088587206631E-8</v>
      </c>
      <c r="AU216" s="124">
        <v>0.13</v>
      </c>
      <c r="AV216" s="394" t="s">
        <v>2776</v>
      </c>
      <c r="AW216" s="15">
        <v>44736</v>
      </c>
      <c r="AX216" s="12" t="s">
        <v>206</v>
      </c>
      <c r="BC216" s="1" t="s">
        <v>2833</v>
      </c>
      <c r="BD216" s="1" t="str">
        <f t="shared" si="549"/>
        <v>Kutató_VM_1 - Kutató</v>
      </c>
    </row>
    <row r="217" spans="1:56" s="1" customFormat="1" hidden="1" x14ac:dyDescent="0.25">
      <c r="A217" s="264" t="str">
        <f>Bérköltség!$B217</f>
        <v>FEOR</v>
      </c>
      <c r="B217" s="264" t="str">
        <f>IFERROR(
IF(AND(Bérköltség!$F217="",H217="NA"),"HIÁNYOS ADATOK",
IF(Bérköltség!$F217&lt;Bérköltség!$U217,Admin!$B$18,Admin!$B$17)),
"")</f>
        <v>FEOR</v>
      </c>
      <c r="C217" s="265">
        <f>IFERROR(INDEX('Historikus berek_2021-2'!$A$1:$F$903,MATCH(AB217,'Historikus berek_2021-2'!$A$1:$A$903,0),4),"")</f>
        <v>1163800</v>
      </c>
      <c r="D217" s="279">
        <f t="shared" si="531"/>
        <v>541768.96551724139</v>
      </c>
      <c r="E217" s="265">
        <f t="shared" si="532"/>
        <v>651491</v>
      </c>
      <c r="F217" s="266">
        <f t="shared" si="533"/>
        <v>123985.89896551729</v>
      </c>
      <c r="G217" s="267">
        <f t="shared" si="534"/>
        <v>612198.93103448267</v>
      </c>
      <c r="H217" s="268">
        <f>IFERROR(INDEX('FEOR kodok'!$A$2:$J$1126,MATCH(Bérköltség!AB217,'FEOR kodok'!$B$2:$B$1126,0),8),"NA")</f>
        <v>1413</v>
      </c>
      <c r="I217" s="269">
        <f>IFERROR(INDEX('FEOR kodok'!$A$2:$J$1126,MATCH(Bérköltség!AB217,'FEOR kodok'!$B$2:$B$1126,0),10),"NA")</f>
        <v>45</v>
      </c>
      <c r="J217" s="276" t="str">
        <f t="shared" si="535"/>
        <v>40–49 éves</v>
      </c>
      <c r="K217" s="269" t="str">
        <f>IFERROR(INDEX(admin_feor[#All],MATCH(Bérköltség!H217,admin_feor[[#All],[Foglalkozás]],0),2),"NA")</f>
        <v>Kutatási és fejlesztési tevékenységet folytató egység vezetője</v>
      </c>
      <c r="L217" s="270">
        <f>IFERROR(
INDEX('Admin - FEOR'!$A$4:$F$465,MATCH(Bérköltség!H217,'Admin - FEOR'!$A$4:$A$465,0),
IF(J217="30 év alatt",3,
IF(J217="30–39 éves",4,
IF(J217="40–49 éves",5,
IF(J217="50 év és afelett",6
)))))*1,"NA")</f>
        <v>1275992</v>
      </c>
      <c r="M217" s="270">
        <f t="shared" si="536"/>
        <v>1399500</v>
      </c>
      <c r="N217" s="318">
        <f t="shared" si="537"/>
        <v>1.0967937103053937</v>
      </c>
      <c r="O217" s="270">
        <f>IFERROR(
INDEX('Admin - FEOR'!$A$4:$F$465,MATCH(Bérköltség!H217,'Admin - FEOR'!$A$4:$A$465,0),
IF(J217="30 év alatt",3,
IF(J217="30–39 éves",4,
IF(J217="40–49 éves",5,
IF(J217="50 év és afelett",6
)))))*1.5,"NA")</f>
        <v>1913988</v>
      </c>
      <c r="P217" s="270">
        <f t="shared" si="538"/>
        <v>890994.41379310342</v>
      </c>
      <c r="Q217" s="270">
        <f t="shared" si="539"/>
        <v>651491</v>
      </c>
      <c r="R217" s="275">
        <f t="shared" si="540"/>
        <v>0.46551724137931033</v>
      </c>
      <c r="S217" s="270">
        <f t="shared" si="541"/>
        <v>0</v>
      </c>
      <c r="T217" s="270">
        <f t="shared" si="542"/>
        <v>0</v>
      </c>
      <c r="U217" s="271">
        <f t="shared" si="543"/>
        <v>0</v>
      </c>
      <c r="V217" s="272">
        <f t="shared" si="544"/>
        <v>736185</v>
      </c>
      <c r="W217" s="273" t="str">
        <f t="shared" si="545"/>
        <v>Indoklás szükséges mivel a FEOR: 109,7%</v>
      </c>
      <c r="X217" s="372">
        <f t="shared" si="546"/>
        <v>0</v>
      </c>
      <c r="Y217" s="317">
        <f t="shared" si="547"/>
        <v>651491</v>
      </c>
      <c r="Z217" s="317">
        <f t="shared" si="548"/>
        <v>84694</v>
      </c>
      <c r="AA217" s="12">
        <v>2</v>
      </c>
      <c r="AB217" s="274">
        <v>8405472754</v>
      </c>
      <c r="AC217" s="40" t="s">
        <v>155</v>
      </c>
      <c r="AD217" s="82" t="s">
        <v>75</v>
      </c>
      <c r="AE217" s="41" t="s">
        <v>52</v>
      </c>
      <c r="AF217" s="11" t="s">
        <v>152</v>
      </c>
      <c r="AG217" s="11" t="s">
        <v>203</v>
      </c>
      <c r="AH217" s="14" t="s">
        <v>122</v>
      </c>
      <c r="AI217" s="86" t="s">
        <v>23</v>
      </c>
      <c r="AJ217" s="113" t="str">
        <f>IF(COUNTIFS(Admin!$A$29:$A$40,AI217)&gt;0,Admin!$A$28,IF(COUNTIFS(Admin!$B$29:$B$40,AI217)&gt;0,Admin!$B$28,IF(COUNTIFS(Admin!$C$29:$C$40,AI217)&gt;0,Admin!$C$28,IF(COUNTIFS(Admin!$D$29:$D$40,AI217)&gt;0,Admin!$D$28,"-"))))</f>
        <v>2. mérföldkő</v>
      </c>
      <c r="AK217" s="14" t="s">
        <v>7</v>
      </c>
      <c r="AL217" s="9" t="s">
        <v>56</v>
      </c>
      <c r="AM217" s="131">
        <v>1399500</v>
      </c>
      <c r="AN217" s="132">
        <f t="shared" si="368"/>
        <v>181935</v>
      </c>
      <c r="AO217" s="121">
        <v>174</v>
      </c>
      <c r="AP217" s="121">
        <v>81</v>
      </c>
      <c r="AQ217" s="354">
        <f t="shared" si="402"/>
        <v>0.46551724137931033</v>
      </c>
      <c r="AR217" s="133">
        <f t="shared" si="214"/>
        <v>651491</v>
      </c>
      <c r="AS217" s="133">
        <f t="shared" si="500"/>
        <v>84694</v>
      </c>
      <c r="AT217" s="123">
        <f t="shared" si="404"/>
        <v>2.7103275801465543E-7</v>
      </c>
      <c r="AU217" s="124">
        <v>0.13</v>
      </c>
      <c r="AV217" s="394" t="s">
        <v>2776</v>
      </c>
      <c r="AW217" s="15">
        <v>44796</v>
      </c>
      <c r="AX217" s="12" t="s">
        <v>206</v>
      </c>
      <c r="BC217" s="1" t="s">
        <v>2833</v>
      </c>
      <c r="BD217" s="1" t="str">
        <f t="shared" si="549"/>
        <v>Kutató_VM_1 - Kutató</v>
      </c>
    </row>
    <row r="218" spans="1:56" s="1" customFormat="1" hidden="1" x14ac:dyDescent="0.25">
      <c r="A218" s="264" t="str">
        <f>Bérköltség!$B218</f>
        <v>FEOR</v>
      </c>
      <c r="B218" s="264" t="str">
        <f>IFERROR(
IF(AND(Bérköltség!$F218="",H218="NA"),"HIÁNYOS ADATOK",
IF(Bérköltség!$F218&lt;Bérköltség!$U218,Admin!$B$18,Admin!$B$17)),
"")</f>
        <v>FEOR</v>
      </c>
      <c r="C218" s="265">
        <f>IFERROR(INDEX('Historikus berek_2021-2'!$A$1:$F$903,MATCH(AB218,'Historikus berek_2021-2'!$A$1:$A$903,0),4),"")</f>
        <v>1163800</v>
      </c>
      <c r="D218" s="279">
        <f t="shared" si="531"/>
        <v>541768.96551724139</v>
      </c>
      <c r="E218" s="265">
        <f t="shared" si="532"/>
        <v>609594</v>
      </c>
      <c r="F218" s="266">
        <f t="shared" si="533"/>
        <v>76642.288965517306</v>
      </c>
      <c r="G218" s="267">
        <f t="shared" si="534"/>
        <v>612198.93103448267</v>
      </c>
      <c r="H218" s="268">
        <f>IFERROR(INDEX('FEOR kodok'!$A$2:$J$1126,MATCH(Bérköltség!AB218,'FEOR kodok'!$B$2:$B$1126,0),8),"NA")</f>
        <v>1413</v>
      </c>
      <c r="I218" s="269">
        <f>IFERROR(INDEX('FEOR kodok'!$A$2:$J$1126,MATCH(Bérköltség!AB218,'FEOR kodok'!$B$2:$B$1126,0),10),"NA")</f>
        <v>45</v>
      </c>
      <c r="J218" s="276" t="str">
        <f t="shared" si="535"/>
        <v>40–49 éves</v>
      </c>
      <c r="K218" s="269" t="str">
        <f>IFERROR(INDEX(admin_feor[#All],MATCH(Bérköltség!H218,admin_feor[[#All],[Foglalkozás]],0),2),"NA")</f>
        <v>Kutatási és fejlesztési tevékenységet folytató egység vezetője</v>
      </c>
      <c r="L218" s="270">
        <f>IFERROR(
INDEX('Admin - FEOR'!$A$4:$F$465,MATCH(Bérköltség!H218,'Admin - FEOR'!$A$4:$A$465,0),
IF(J218="30 év alatt",3,
IF(J218="30–39 éves",4,
IF(J218="40–49 éves",5,
IF(J218="50 év és afelett",6
)))))*1,"NA")</f>
        <v>1275992</v>
      </c>
      <c r="M218" s="270">
        <f t="shared" si="536"/>
        <v>1309499</v>
      </c>
      <c r="N218" s="318">
        <f t="shared" si="537"/>
        <v>1.0262595690255112</v>
      </c>
      <c r="O218" s="270">
        <f>IFERROR(
INDEX('Admin - FEOR'!$A$4:$F$465,MATCH(Bérköltség!H218,'Admin - FEOR'!$A$4:$A$465,0),
IF(J218="30 év alatt",3,
IF(J218="30–39 éves",4,
IF(J218="40–49 éves",5,
IF(J218="50 év és afelett",6
)))))*1.5,"NA")</f>
        <v>1913988</v>
      </c>
      <c r="P218" s="270">
        <f t="shared" si="538"/>
        <v>890994.41379310342</v>
      </c>
      <c r="Q218" s="270">
        <f t="shared" si="539"/>
        <v>609594</v>
      </c>
      <c r="R218" s="275">
        <f t="shared" si="540"/>
        <v>0.46551724137931033</v>
      </c>
      <c r="S218" s="270">
        <f t="shared" si="541"/>
        <v>0</v>
      </c>
      <c r="T218" s="270">
        <f t="shared" si="542"/>
        <v>0</v>
      </c>
      <c r="U218" s="271">
        <f t="shared" si="543"/>
        <v>0</v>
      </c>
      <c r="V218" s="272">
        <f t="shared" si="544"/>
        <v>688841</v>
      </c>
      <c r="W218" s="273" t="str">
        <f t="shared" si="545"/>
        <v>Indoklás szükséges mivel a FEOR: 102,6%</v>
      </c>
      <c r="X218" s="372">
        <f t="shared" si="546"/>
        <v>0</v>
      </c>
      <c r="Y218" s="317">
        <f t="shared" si="547"/>
        <v>609594</v>
      </c>
      <c r="Z218" s="317">
        <f t="shared" si="548"/>
        <v>79247</v>
      </c>
      <c r="AA218" s="12">
        <v>2</v>
      </c>
      <c r="AB218" s="274">
        <v>8405472754</v>
      </c>
      <c r="AC218" s="40" t="s">
        <v>155</v>
      </c>
      <c r="AD218" s="82" t="s">
        <v>75</v>
      </c>
      <c r="AE218" s="41" t="s">
        <v>52</v>
      </c>
      <c r="AF218" s="11" t="s">
        <v>152</v>
      </c>
      <c r="AG218" s="11" t="s">
        <v>203</v>
      </c>
      <c r="AH218" s="14" t="s">
        <v>122</v>
      </c>
      <c r="AI218" s="86" t="s">
        <v>24</v>
      </c>
      <c r="AJ218" s="113" t="str">
        <f>IF(COUNTIFS(Admin!$A$29:$A$40,AI218)&gt;0,Admin!$A$28,IF(COUNTIFS(Admin!$B$29:$B$40,AI218)&gt;0,Admin!$B$28,IF(COUNTIFS(Admin!$C$29:$C$40,AI218)&gt;0,Admin!$C$28,IF(COUNTIFS(Admin!$D$29:$D$40,AI218)&gt;0,Admin!$D$28,"-"))))</f>
        <v>2. mérföldkő</v>
      </c>
      <c r="AK218" s="14" t="s">
        <v>7</v>
      </c>
      <c r="AL218" s="9" t="s">
        <v>56</v>
      </c>
      <c r="AM218" s="131">
        <v>1309499</v>
      </c>
      <c r="AN218" s="132">
        <f t="shared" si="368"/>
        <v>170235</v>
      </c>
      <c r="AO218" s="121">
        <v>174</v>
      </c>
      <c r="AP218" s="121">
        <v>81</v>
      </c>
      <c r="AQ218" s="354">
        <f t="shared" si="402"/>
        <v>0.46551724137931033</v>
      </c>
      <c r="AR218" s="133">
        <f t="shared" si="214"/>
        <v>609594</v>
      </c>
      <c r="AS218" s="133">
        <f t="shared" si="500"/>
        <v>79247</v>
      </c>
      <c r="AT218" s="123">
        <f t="shared" si="404"/>
        <v>2.764942664823522E-7</v>
      </c>
      <c r="AU218" s="124">
        <v>0.13</v>
      </c>
      <c r="AV218" s="394" t="s">
        <v>2776</v>
      </c>
      <c r="AW218" s="15">
        <v>44838</v>
      </c>
      <c r="AX218" s="12" t="s">
        <v>206</v>
      </c>
      <c r="BC218" s="1" t="s">
        <v>2833</v>
      </c>
      <c r="BD218" s="1" t="str">
        <f t="shared" si="549"/>
        <v>Kutató_VM_1 - Kutató</v>
      </c>
    </row>
    <row r="219" spans="1:56" s="1" customFormat="1" hidden="1" x14ac:dyDescent="0.25">
      <c r="A219" s="264" t="str">
        <f>Bérköltség!$B219</f>
        <v>FEOR</v>
      </c>
      <c r="B219" s="264" t="str">
        <f>IFERROR(
IF(AND(Bérköltség!$F219="",H219="NA"),"HIÁNYOS ADATOK",
IF(Bérköltség!$F219&lt;Bérköltség!$U219,Admin!$B$18,Admin!$B$17)),
"")</f>
        <v>FEOR</v>
      </c>
      <c r="C219" s="265">
        <f>IFERROR(INDEX('Historikus berek_2021-2'!$A$1:$F$903,MATCH(AB219,'Historikus berek_2021-2'!$A$1:$A$903,0),4),"")</f>
        <v>1163800</v>
      </c>
      <c r="D219" s="279">
        <f t="shared" si="531"/>
        <v>541768.96551724139</v>
      </c>
      <c r="E219" s="265">
        <f t="shared" si="532"/>
        <v>609594</v>
      </c>
      <c r="F219" s="266">
        <f t="shared" si="533"/>
        <v>76642.288965517306</v>
      </c>
      <c r="G219" s="267">
        <f t="shared" si="534"/>
        <v>612198.93103448267</v>
      </c>
      <c r="H219" s="268">
        <f>IFERROR(INDEX('FEOR kodok'!$A$2:$J$1126,MATCH(Bérköltség!AB219,'FEOR kodok'!$B$2:$B$1126,0),8),"NA")</f>
        <v>1413</v>
      </c>
      <c r="I219" s="269">
        <f>IFERROR(INDEX('FEOR kodok'!$A$2:$J$1126,MATCH(Bérköltség!AB219,'FEOR kodok'!$B$2:$B$1126,0),10),"NA")</f>
        <v>45</v>
      </c>
      <c r="J219" s="276" t="str">
        <f t="shared" si="535"/>
        <v>40–49 éves</v>
      </c>
      <c r="K219" s="269" t="str">
        <f>IFERROR(INDEX(admin_feor[#All],MATCH(Bérköltség!H219,admin_feor[[#All],[Foglalkozás]],0),2),"NA")</f>
        <v>Kutatási és fejlesztési tevékenységet folytató egység vezetője</v>
      </c>
      <c r="L219" s="270">
        <f>IFERROR(
INDEX('Admin - FEOR'!$A$4:$F$465,MATCH(Bérköltség!H219,'Admin - FEOR'!$A$4:$A$465,0),
IF(J219="30 év alatt",3,
IF(J219="30–39 éves",4,
IF(J219="40–49 éves",5,
IF(J219="50 év és afelett",6
)))))*1,"NA")</f>
        <v>1275992</v>
      </c>
      <c r="M219" s="270">
        <f t="shared" si="536"/>
        <v>1309499</v>
      </c>
      <c r="N219" s="318">
        <f t="shared" si="537"/>
        <v>1.0262595690255112</v>
      </c>
      <c r="O219" s="270">
        <f>IFERROR(
INDEX('Admin - FEOR'!$A$4:$F$465,MATCH(Bérköltség!H219,'Admin - FEOR'!$A$4:$A$465,0),
IF(J219="30 év alatt",3,
IF(J219="30–39 éves",4,
IF(J219="40–49 éves",5,
IF(J219="50 év és afelett",6
)))))*1.5,"NA")</f>
        <v>1913988</v>
      </c>
      <c r="P219" s="270">
        <f t="shared" si="538"/>
        <v>890994.41379310342</v>
      </c>
      <c r="Q219" s="270">
        <f t="shared" si="539"/>
        <v>609594</v>
      </c>
      <c r="R219" s="275">
        <f t="shared" si="540"/>
        <v>0.46551724137931033</v>
      </c>
      <c r="S219" s="270">
        <f t="shared" si="541"/>
        <v>0</v>
      </c>
      <c r="T219" s="270">
        <f t="shared" si="542"/>
        <v>0</v>
      </c>
      <c r="U219" s="271">
        <f t="shared" si="543"/>
        <v>0</v>
      </c>
      <c r="V219" s="272">
        <f t="shared" si="544"/>
        <v>688841</v>
      </c>
      <c r="W219" s="273" t="str">
        <f t="shared" si="545"/>
        <v>Indoklás szükséges mivel a FEOR: 102,6%</v>
      </c>
      <c r="X219" s="372">
        <f t="shared" si="546"/>
        <v>0</v>
      </c>
      <c r="Y219" s="317">
        <f t="shared" si="547"/>
        <v>609594</v>
      </c>
      <c r="Z219" s="317">
        <f t="shared" si="548"/>
        <v>79247</v>
      </c>
      <c r="AA219" s="12">
        <v>2</v>
      </c>
      <c r="AB219" s="274">
        <v>8405472754</v>
      </c>
      <c r="AC219" s="40" t="s">
        <v>155</v>
      </c>
      <c r="AD219" s="82" t="s">
        <v>75</v>
      </c>
      <c r="AE219" s="41" t="s">
        <v>52</v>
      </c>
      <c r="AF219" s="11" t="s">
        <v>152</v>
      </c>
      <c r="AG219" s="11" t="s">
        <v>203</v>
      </c>
      <c r="AH219" s="14" t="s">
        <v>122</v>
      </c>
      <c r="AI219" s="86" t="s">
        <v>25</v>
      </c>
      <c r="AJ219" s="113" t="str">
        <f>IF(COUNTIFS(Admin!$A$29:$A$40,AI219)&gt;0,Admin!$A$28,IF(COUNTIFS(Admin!$B$29:$B$40,AI219)&gt;0,Admin!$B$28,IF(COUNTIFS(Admin!$C$29:$C$40,AI219)&gt;0,Admin!$C$28,IF(COUNTIFS(Admin!$D$29:$D$40,AI219)&gt;0,Admin!$D$28,"-"))))</f>
        <v>2. mérföldkő</v>
      </c>
      <c r="AK219" s="14" t="s">
        <v>7</v>
      </c>
      <c r="AL219" s="9" t="s">
        <v>56</v>
      </c>
      <c r="AM219" s="131">
        <v>1309499</v>
      </c>
      <c r="AN219" s="132">
        <f t="shared" si="368"/>
        <v>170235</v>
      </c>
      <c r="AO219" s="121">
        <v>174</v>
      </c>
      <c r="AP219" s="121">
        <v>81</v>
      </c>
      <c r="AQ219" s="354">
        <f t="shared" si="402"/>
        <v>0.46551724137931033</v>
      </c>
      <c r="AR219" s="133">
        <f t="shared" si="214"/>
        <v>609594</v>
      </c>
      <c r="AS219" s="133">
        <f t="shared" si="500"/>
        <v>79247</v>
      </c>
      <c r="AT219" s="123">
        <f t="shared" si="404"/>
        <v>2.764942664823522E-7</v>
      </c>
      <c r="AU219" s="124">
        <v>0.13</v>
      </c>
      <c r="AV219" s="394" t="s">
        <v>2776</v>
      </c>
      <c r="AW219" s="15">
        <v>44838</v>
      </c>
      <c r="AX219" s="12" t="s">
        <v>206</v>
      </c>
      <c r="AZ219" s="1" t="s">
        <v>2668</v>
      </c>
      <c r="BA219" s="1" t="s">
        <v>2668</v>
      </c>
      <c r="BB219" s="1" t="s">
        <v>2668</v>
      </c>
      <c r="BC219" s="1" t="s">
        <v>2833</v>
      </c>
      <c r="BD219" s="1" t="str">
        <f t="shared" si="549"/>
        <v>Kutató_VM_1 - Kutató</v>
      </c>
    </row>
    <row r="220" spans="1:56" s="1" customFormat="1" hidden="1" x14ac:dyDescent="0.25">
      <c r="A220" s="264" t="str">
        <f>Bérköltség!$B220</f>
        <v>FEOR</v>
      </c>
      <c r="B220" s="264" t="str">
        <f>IFERROR(
IF(AND(Bérköltség!$F220="",H220="NA"),"HIÁNYOS ADATOK",
IF(Bérköltség!$F220&lt;Bérköltség!$U220,Admin!$B$18,Admin!$B$17)),
"")</f>
        <v>FEOR</v>
      </c>
      <c r="C220" s="265">
        <f>IFERROR(INDEX('Historikus berek_2021-2'!$A$1:$F$903,MATCH(AB220,'Historikus berek_2021-2'!$A$1:$A$903,0),4),"")</f>
        <v>1163800</v>
      </c>
      <c r="D220" s="279">
        <f t="shared" si="531"/>
        <v>541768.96551724139</v>
      </c>
      <c r="E220" s="265">
        <f t="shared" si="532"/>
        <v>609594</v>
      </c>
      <c r="F220" s="266">
        <f t="shared" si="533"/>
        <v>76642.288965517306</v>
      </c>
      <c r="G220" s="267">
        <f t="shared" si="534"/>
        <v>612198.93103448267</v>
      </c>
      <c r="H220" s="268">
        <f>IFERROR(INDEX('FEOR kodok'!$A$2:$J$1126,MATCH(Bérköltség!AB220,'FEOR kodok'!$B$2:$B$1126,0),8),"NA")</f>
        <v>1413</v>
      </c>
      <c r="I220" s="269">
        <f>IFERROR(INDEX('FEOR kodok'!$A$2:$J$1126,MATCH(Bérköltség!AB220,'FEOR kodok'!$B$2:$B$1126,0),10),"NA")</f>
        <v>45</v>
      </c>
      <c r="J220" s="276" t="str">
        <f t="shared" si="535"/>
        <v>40–49 éves</v>
      </c>
      <c r="K220" s="269" t="str">
        <f>IFERROR(INDEX(admin_feor[#All],MATCH(Bérköltség!H220,admin_feor[[#All],[Foglalkozás]],0),2),"NA")</f>
        <v>Kutatási és fejlesztési tevékenységet folytató egység vezetője</v>
      </c>
      <c r="L220" s="270">
        <f>IFERROR(
INDEX('Admin - FEOR'!$A$4:$F$465,MATCH(Bérköltség!H220,'Admin - FEOR'!$A$4:$A$465,0),
IF(J220="30 év alatt",3,
IF(J220="30–39 éves",4,
IF(J220="40–49 éves",5,
IF(J220="50 év és afelett",6
)))))*1,"NA")</f>
        <v>1275992</v>
      </c>
      <c r="M220" s="270">
        <f t="shared" si="536"/>
        <v>1309499</v>
      </c>
      <c r="N220" s="318">
        <f t="shared" si="537"/>
        <v>1.0262595690255112</v>
      </c>
      <c r="O220" s="270">
        <f>IFERROR(
INDEX('Admin - FEOR'!$A$4:$F$465,MATCH(Bérköltség!H220,'Admin - FEOR'!$A$4:$A$465,0),
IF(J220="30 év alatt",3,
IF(J220="30–39 éves",4,
IF(J220="40–49 éves",5,
IF(J220="50 év és afelett",6
)))))*1.5,"NA")</f>
        <v>1913988</v>
      </c>
      <c r="P220" s="270">
        <f t="shared" si="538"/>
        <v>890994.41379310342</v>
      </c>
      <c r="Q220" s="270">
        <f t="shared" si="539"/>
        <v>609594</v>
      </c>
      <c r="R220" s="275">
        <f t="shared" si="540"/>
        <v>0.46551724137931033</v>
      </c>
      <c r="S220" s="270">
        <f t="shared" si="541"/>
        <v>0</v>
      </c>
      <c r="T220" s="270">
        <f t="shared" si="542"/>
        <v>0</v>
      </c>
      <c r="U220" s="271">
        <f t="shared" si="543"/>
        <v>0</v>
      </c>
      <c r="V220" s="272">
        <f t="shared" si="544"/>
        <v>688841</v>
      </c>
      <c r="W220" s="273" t="str">
        <f t="shared" si="545"/>
        <v>Indoklás szükséges mivel a FEOR: 102,6%</v>
      </c>
      <c r="X220" s="372">
        <f t="shared" si="546"/>
        <v>0</v>
      </c>
      <c r="Y220" s="317">
        <f t="shared" si="547"/>
        <v>609594</v>
      </c>
      <c r="Z220" s="317">
        <f t="shared" si="548"/>
        <v>79247</v>
      </c>
      <c r="AA220" s="12">
        <v>2</v>
      </c>
      <c r="AB220" s="274">
        <v>8405472754</v>
      </c>
      <c r="AC220" s="40" t="s">
        <v>155</v>
      </c>
      <c r="AD220" s="82" t="s">
        <v>75</v>
      </c>
      <c r="AE220" s="41" t="s">
        <v>52</v>
      </c>
      <c r="AF220" s="11" t="s">
        <v>152</v>
      </c>
      <c r="AG220" s="11" t="s">
        <v>203</v>
      </c>
      <c r="AH220" s="14" t="s">
        <v>122</v>
      </c>
      <c r="AI220" s="86" t="s">
        <v>26</v>
      </c>
      <c r="AJ220" s="113" t="str">
        <f>IF(COUNTIFS(Admin!$A$29:$A$40,AI220)&gt;0,Admin!$A$28,IF(COUNTIFS(Admin!$B$29:$B$40,AI220)&gt;0,Admin!$B$28,IF(COUNTIFS(Admin!$C$29:$C$40,AI220)&gt;0,Admin!$C$28,IF(COUNTIFS(Admin!$D$29:$D$40,AI220)&gt;0,Admin!$D$28,"-"))))</f>
        <v>2. mérföldkő</v>
      </c>
      <c r="AK220" s="14" t="s">
        <v>7</v>
      </c>
      <c r="AL220" s="9" t="s">
        <v>56</v>
      </c>
      <c r="AM220" s="131">
        <v>1309499</v>
      </c>
      <c r="AN220" s="132">
        <f t="shared" si="368"/>
        <v>170235</v>
      </c>
      <c r="AO220" s="121">
        <v>174</v>
      </c>
      <c r="AP220" s="121">
        <v>81</v>
      </c>
      <c r="AQ220" s="354">
        <f t="shared" si="402"/>
        <v>0.46551724137931033</v>
      </c>
      <c r="AR220" s="133">
        <f t="shared" si="214"/>
        <v>609594</v>
      </c>
      <c r="AS220" s="133">
        <f t="shared" si="500"/>
        <v>79247</v>
      </c>
      <c r="AT220" s="123">
        <f t="shared" si="404"/>
        <v>2.764942664823522E-7</v>
      </c>
      <c r="AU220" s="124">
        <v>0.13</v>
      </c>
      <c r="AV220" s="394" t="s">
        <v>2776</v>
      </c>
      <c r="AW220" s="15">
        <v>44838</v>
      </c>
      <c r="AX220" s="12" t="s">
        <v>206</v>
      </c>
      <c r="AZ220" s="1" t="s">
        <v>2667</v>
      </c>
      <c r="BA220" s="1" t="s">
        <v>2668</v>
      </c>
      <c r="BB220" s="1" t="s">
        <v>2667</v>
      </c>
      <c r="BC220" s="1" t="s">
        <v>2833</v>
      </c>
      <c r="BD220" s="1" t="str">
        <f t="shared" si="549"/>
        <v>Kutató_VM_1 - Kutató</v>
      </c>
    </row>
    <row r="221" spans="1:56" s="1" customFormat="1" hidden="1" x14ac:dyDescent="0.25">
      <c r="A221" s="264" t="str">
        <f>Bérköltség!$B221</f>
        <v>FEOR</v>
      </c>
      <c r="B221" s="264" t="str">
        <f>IFERROR(
IF(AND(Bérköltség!$F221="",H221="NA"),"HIÁNYOS ADATOK",
IF(Bérköltség!$F221&lt;Bérköltség!$U221,Admin!$B$18,Admin!$B$17)),
"")</f>
        <v>FEOR</v>
      </c>
      <c r="C221" s="265">
        <f>IFERROR(INDEX('Historikus berek_2021-2'!$A$1:$F$903,MATCH(AB221,'Historikus berek_2021-2'!$A$1:$A$903,0),4),"")</f>
        <v>1163800</v>
      </c>
      <c r="D221" s="279">
        <f t="shared" si="531"/>
        <v>541768.96551724139</v>
      </c>
      <c r="E221" s="265">
        <f t="shared" si="532"/>
        <v>609595</v>
      </c>
      <c r="F221" s="266">
        <f t="shared" si="533"/>
        <v>76643.41896551731</v>
      </c>
      <c r="G221" s="267">
        <f t="shared" si="534"/>
        <v>612198.93103448267</v>
      </c>
      <c r="H221" s="268">
        <f>IFERROR(INDEX('FEOR kodok'!$A$2:$J$1126,MATCH(Bérköltség!AB221,'FEOR kodok'!$B$2:$B$1126,0),8),"NA")</f>
        <v>1413</v>
      </c>
      <c r="I221" s="269">
        <f>IFERROR(INDEX('FEOR kodok'!$A$2:$J$1126,MATCH(Bérköltség!AB221,'FEOR kodok'!$B$2:$B$1126,0),10),"NA")</f>
        <v>45</v>
      </c>
      <c r="J221" s="276" t="str">
        <f t="shared" si="535"/>
        <v>40–49 éves</v>
      </c>
      <c r="K221" s="269" t="str">
        <f>IFERROR(INDEX(admin_feor[#All],MATCH(Bérköltség!H221,admin_feor[[#All],[Foglalkozás]],0),2),"NA")</f>
        <v>Kutatási és fejlesztési tevékenységet folytató egység vezetője</v>
      </c>
      <c r="L221" s="270">
        <f>IFERROR(
INDEX('Admin - FEOR'!$A$4:$F$465,MATCH(Bérköltség!H221,'Admin - FEOR'!$A$4:$A$465,0),
IF(J221="30 év alatt",3,
IF(J221="30–39 éves",4,
IF(J221="40–49 éves",5,
IF(J221="50 év és afelett",6
)))))*1,"NA")</f>
        <v>1275992</v>
      </c>
      <c r="M221" s="270">
        <f t="shared" si="536"/>
        <v>1309500</v>
      </c>
      <c r="N221" s="318">
        <f t="shared" si="537"/>
        <v>1.0262603527294842</v>
      </c>
      <c r="O221" s="270">
        <f>IFERROR(
INDEX('Admin - FEOR'!$A$4:$F$465,MATCH(Bérköltség!H221,'Admin - FEOR'!$A$4:$A$465,0),
IF(J221="30 év alatt",3,
IF(J221="30–39 éves",4,
IF(J221="40–49 éves",5,
IF(J221="50 év és afelett",6
)))))*1.5,"NA")</f>
        <v>1913988</v>
      </c>
      <c r="P221" s="270">
        <f t="shared" si="538"/>
        <v>890994.41379310342</v>
      </c>
      <c r="Q221" s="270">
        <f t="shared" si="539"/>
        <v>609595</v>
      </c>
      <c r="R221" s="275">
        <f t="shared" si="540"/>
        <v>0.46551724137931033</v>
      </c>
      <c r="S221" s="270">
        <f t="shared" si="541"/>
        <v>0</v>
      </c>
      <c r="T221" s="270">
        <f t="shared" si="542"/>
        <v>0</v>
      </c>
      <c r="U221" s="271">
        <f t="shared" si="543"/>
        <v>0</v>
      </c>
      <c r="V221" s="272">
        <f t="shared" si="544"/>
        <v>688842</v>
      </c>
      <c r="W221" s="273" t="str">
        <f t="shared" si="545"/>
        <v>Indoklás szükséges mivel a FEOR: 102,6%</v>
      </c>
      <c r="X221" s="372">
        <f t="shared" si="546"/>
        <v>0</v>
      </c>
      <c r="Y221" s="317">
        <f t="shared" si="547"/>
        <v>609595</v>
      </c>
      <c r="Z221" s="317">
        <f t="shared" si="548"/>
        <v>79247</v>
      </c>
      <c r="AA221" s="12">
        <v>2</v>
      </c>
      <c r="AB221" s="274">
        <v>8405472754</v>
      </c>
      <c r="AC221" s="40" t="s">
        <v>155</v>
      </c>
      <c r="AD221" s="82" t="s">
        <v>75</v>
      </c>
      <c r="AE221" s="41" t="s">
        <v>52</v>
      </c>
      <c r="AF221" s="11" t="s">
        <v>152</v>
      </c>
      <c r="AG221" s="11" t="s">
        <v>203</v>
      </c>
      <c r="AH221" s="14" t="s">
        <v>122</v>
      </c>
      <c r="AI221" s="86" t="s">
        <v>32</v>
      </c>
      <c r="AJ221" s="113" t="str">
        <f>IF(COUNTIFS(Admin!$A$29:$A$40,AI221)&gt;0,Admin!$A$28,IF(COUNTIFS(Admin!$B$29:$B$40,AI221)&gt;0,Admin!$B$28,IF(COUNTIFS(Admin!$C$29:$C$40,AI221)&gt;0,Admin!$C$28,IF(COUNTIFS(Admin!$D$29:$D$40,AI221)&gt;0,Admin!$D$28,"-"))))</f>
        <v>2. mérföldkő</v>
      </c>
      <c r="AK221" s="14" t="s">
        <v>7</v>
      </c>
      <c r="AL221" s="9" t="s">
        <v>56</v>
      </c>
      <c r="AM221" s="131">
        <v>1309500</v>
      </c>
      <c r="AN221" s="132">
        <f t="shared" si="368"/>
        <v>170235</v>
      </c>
      <c r="AO221" s="121">
        <v>174</v>
      </c>
      <c r="AP221" s="121">
        <v>81</v>
      </c>
      <c r="AQ221" s="354">
        <f t="shared" si="402"/>
        <v>0.46551724137931033</v>
      </c>
      <c r="AR221" s="133">
        <f t="shared" si="214"/>
        <v>609595</v>
      </c>
      <c r="AS221" s="133">
        <f t="shared" si="500"/>
        <v>79247</v>
      </c>
      <c r="AT221" s="123">
        <f t="shared" si="404"/>
        <v>-1.3166383588947284E-7</v>
      </c>
      <c r="AU221" s="124">
        <v>0.13</v>
      </c>
      <c r="AV221" s="394" t="s">
        <v>2776</v>
      </c>
      <c r="AW221" s="15">
        <v>44939</v>
      </c>
      <c r="AX221" s="12" t="s">
        <v>206</v>
      </c>
      <c r="AZ221" s="1" t="s">
        <v>2667</v>
      </c>
      <c r="BA221" s="1">
        <v>0</v>
      </c>
      <c r="BB221" s="1">
        <v>0</v>
      </c>
      <c r="BC221" s="1" t="s">
        <v>2833</v>
      </c>
      <c r="BD221" s="1" t="str">
        <f t="shared" si="549"/>
        <v>Kutató_VM_1 - Kutató</v>
      </c>
    </row>
    <row r="222" spans="1:56" s="1" customFormat="1" hidden="1" x14ac:dyDescent="0.25">
      <c r="A222" s="264" t="str">
        <f>Bérköltség!$B222</f>
        <v>FEOR</v>
      </c>
      <c r="B222" s="264" t="str">
        <f>IFERROR(
IF(AND(Bérköltség!$F222="",H222="NA"),"HIÁNYOS ADATOK",
IF(Bérköltség!$F222&lt;Bérköltség!$U222,Admin!$B$18,Admin!$B$17)),
"")</f>
        <v>FEOR</v>
      </c>
      <c r="C222" s="265">
        <f>IFERROR(INDEX('Historikus berek_2021-2'!$A$1:$F$903,MATCH(AB222,'Historikus berek_2021-2'!$A$1:$A$903,0),4),"")</f>
        <v>1163800</v>
      </c>
      <c r="D222" s="279">
        <f t="shared" si="531"/>
        <v>541768.96551724139</v>
      </c>
      <c r="E222" s="265">
        <f t="shared" si="532"/>
        <v>609595</v>
      </c>
      <c r="F222" s="266">
        <f t="shared" si="533"/>
        <v>76643.41896551731</v>
      </c>
      <c r="G222" s="267">
        <f t="shared" si="534"/>
        <v>612198.93103448267</v>
      </c>
      <c r="H222" s="268">
        <f>IFERROR(INDEX('FEOR kodok'!$A$2:$J$1126,MATCH(Bérköltség!AB222,'FEOR kodok'!$B$2:$B$1126,0),8),"NA")</f>
        <v>1413</v>
      </c>
      <c r="I222" s="269">
        <f>IFERROR(INDEX('FEOR kodok'!$A$2:$J$1126,MATCH(Bérköltség!AB222,'FEOR kodok'!$B$2:$B$1126,0),10),"NA")</f>
        <v>45</v>
      </c>
      <c r="J222" s="276" t="str">
        <f t="shared" si="535"/>
        <v>40–49 éves</v>
      </c>
      <c r="K222" s="269" t="str">
        <f>IFERROR(INDEX(admin_feor[#All],MATCH(Bérköltség!H222,admin_feor[[#All],[Foglalkozás]],0),2),"NA")</f>
        <v>Kutatási és fejlesztési tevékenységet folytató egység vezetője</v>
      </c>
      <c r="L222" s="270">
        <f>IFERROR(
INDEX('Admin - FEOR'!$A$4:$F$465,MATCH(Bérköltség!H222,'Admin - FEOR'!$A$4:$A$465,0),
IF(J222="30 év alatt",3,
IF(J222="30–39 éves",4,
IF(J222="40–49 éves",5,
IF(J222="50 év és afelett",6
)))))*1,"NA")</f>
        <v>1275992</v>
      </c>
      <c r="M222" s="270">
        <f t="shared" si="536"/>
        <v>1309500</v>
      </c>
      <c r="N222" s="318">
        <f t="shared" si="537"/>
        <v>1.0262603527294842</v>
      </c>
      <c r="O222" s="270">
        <f>IFERROR(
INDEX('Admin - FEOR'!$A$4:$F$465,MATCH(Bérköltség!H222,'Admin - FEOR'!$A$4:$A$465,0),
IF(J222="30 év alatt",3,
IF(J222="30–39 éves",4,
IF(J222="40–49 éves",5,
IF(J222="50 év és afelett",6
)))))*1.5,"NA")</f>
        <v>1913988</v>
      </c>
      <c r="P222" s="270">
        <f t="shared" si="538"/>
        <v>890994.41379310342</v>
      </c>
      <c r="Q222" s="270">
        <f t="shared" si="539"/>
        <v>609595</v>
      </c>
      <c r="R222" s="275">
        <f t="shared" si="540"/>
        <v>0.46551724137931033</v>
      </c>
      <c r="S222" s="270">
        <f t="shared" si="541"/>
        <v>0</v>
      </c>
      <c r="T222" s="270">
        <f t="shared" si="542"/>
        <v>0</v>
      </c>
      <c r="U222" s="271">
        <f t="shared" si="543"/>
        <v>0</v>
      </c>
      <c r="V222" s="272">
        <f t="shared" si="544"/>
        <v>688842</v>
      </c>
      <c r="W222" s="273" t="str">
        <f t="shared" si="545"/>
        <v>Indoklás szükséges mivel a FEOR: 102,6%</v>
      </c>
      <c r="X222" s="372">
        <f t="shared" si="546"/>
        <v>0</v>
      </c>
      <c r="Y222" s="317">
        <f t="shared" si="547"/>
        <v>609595</v>
      </c>
      <c r="Z222" s="317">
        <f t="shared" si="548"/>
        <v>79247</v>
      </c>
      <c r="AA222" s="12">
        <v>2</v>
      </c>
      <c r="AB222" s="274">
        <v>8405472754</v>
      </c>
      <c r="AC222" s="40" t="s">
        <v>155</v>
      </c>
      <c r="AD222" s="82" t="s">
        <v>75</v>
      </c>
      <c r="AE222" s="41" t="s">
        <v>52</v>
      </c>
      <c r="AF222" s="11" t="s">
        <v>152</v>
      </c>
      <c r="AG222" s="11" t="s">
        <v>203</v>
      </c>
      <c r="AH222" s="14" t="s">
        <v>122</v>
      </c>
      <c r="AI222" s="86" t="s">
        <v>33</v>
      </c>
      <c r="AJ222" s="113" t="str">
        <f>IF(COUNTIFS(Admin!$A$29:$A$40,AI222)&gt;0,Admin!$A$28,IF(COUNTIFS(Admin!$B$29:$B$40,AI222)&gt;0,Admin!$B$28,IF(COUNTIFS(Admin!$C$29:$C$40,AI222)&gt;0,Admin!$C$28,IF(COUNTIFS(Admin!$D$29:$D$40,AI222)&gt;0,Admin!$D$28,"-"))))</f>
        <v>2. mérföldkő</v>
      </c>
      <c r="AK222" s="14" t="s">
        <v>7</v>
      </c>
      <c r="AL222" s="9" t="s">
        <v>56</v>
      </c>
      <c r="AM222" s="131">
        <v>1309500</v>
      </c>
      <c r="AN222" s="132">
        <f t="shared" si="368"/>
        <v>170235</v>
      </c>
      <c r="AO222" s="121">
        <v>174</v>
      </c>
      <c r="AP222" s="121">
        <v>81</v>
      </c>
      <c r="AQ222" s="354">
        <f t="shared" si="402"/>
        <v>0.46551724137931033</v>
      </c>
      <c r="AR222" s="133">
        <f t="shared" si="214"/>
        <v>609595</v>
      </c>
      <c r="AS222" s="133">
        <f t="shared" si="500"/>
        <v>79247</v>
      </c>
      <c r="AT222" s="123">
        <f t="shared" si="404"/>
        <v>-1.3166383588947284E-7</v>
      </c>
      <c r="AU222" s="124">
        <v>0.13</v>
      </c>
      <c r="AV222" s="394" t="s">
        <v>2776</v>
      </c>
      <c r="AW222" s="15">
        <v>44939</v>
      </c>
      <c r="AX222" s="12" t="s">
        <v>206</v>
      </c>
      <c r="AZ222" s="8" t="str">
        <f>IF(VLOOKUP(LEFT($AB222,10),'Havi béradatok'!$B:$E,2,FALSE)=AG222,"EGYEZIK","HIBÁS")</f>
        <v>EGYEZIK</v>
      </c>
      <c r="BA222" s="1">
        <f>VLOOKUP(LEFT($AB222,10),'Havi béradatok'!$B:$E,3,FALSE)-AM222</f>
        <v>0</v>
      </c>
      <c r="BB222" s="1">
        <f>VLOOKUP(LEFT($AB222,10),'Havi béradatok'!$B:$E,4,FALSE)-AN222</f>
        <v>136188</v>
      </c>
      <c r="BC222" s="1" t="s">
        <v>2833</v>
      </c>
      <c r="BD222" s="1" t="str">
        <f t="shared" si="549"/>
        <v>Kutató_VM_1 - Kutató</v>
      </c>
    </row>
    <row r="223" spans="1:56" s="1" customFormat="1" hidden="1" x14ac:dyDescent="0.25">
      <c r="A223" s="264" t="str">
        <f>Bérköltség!$B223</f>
        <v>FEOR</v>
      </c>
      <c r="B223" s="264" t="str">
        <f>IFERROR(
IF(AND(Bérköltség!$F223="",H223="NA"),"HIÁNYOS ADATOK",
IF(Bérköltség!$F223&lt;Bérköltség!$U223,Admin!$B$18,Admin!$B$17)),
"")</f>
        <v>FEOR</v>
      </c>
      <c r="C223" s="265">
        <f>IFERROR(INDEX('Historikus berek_2021-2'!$A$1:$F$903,MATCH(AB223,'Historikus berek_2021-2'!$A$1:$A$903,0),4),"")</f>
        <v>1163800</v>
      </c>
      <c r="D223" s="279">
        <f t="shared" si="531"/>
        <v>434752.8735632184</v>
      </c>
      <c r="E223" s="265">
        <f t="shared" si="532"/>
        <v>489181</v>
      </c>
      <c r="F223" s="266">
        <f t="shared" si="533"/>
        <v>61503.782873563177</v>
      </c>
      <c r="G223" s="267">
        <f t="shared" si="534"/>
        <v>491270.74712643673</v>
      </c>
      <c r="H223" s="268">
        <f>IFERROR(INDEX('FEOR kodok'!$A$2:$J$1126,MATCH(Bérköltség!AB223,'FEOR kodok'!$B$2:$B$1126,0),8),"NA")</f>
        <v>1413</v>
      </c>
      <c r="I223" s="269">
        <f>IFERROR(INDEX('FEOR kodok'!$A$2:$J$1126,MATCH(Bérköltség!AB223,'FEOR kodok'!$B$2:$B$1126,0),10),"NA")</f>
        <v>45</v>
      </c>
      <c r="J223" s="276" t="str">
        <f t="shared" si="535"/>
        <v>40–49 éves</v>
      </c>
      <c r="K223" s="269" t="str">
        <f>IFERROR(INDEX(admin_feor[#All],MATCH(Bérköltség!H223,admin_feor[[#All],[Foglalkozás]],0),2),"NA")</f>
        <v>Kutatási és fejlesztési tevékenységet folytató egység vezetője</v>
      </c>
      <c r="L223" s="270">
        <f>IFERROR(
INDEX('Admin - FEOR'!$A$4:$F$465,MATCH(Bérköltség!H223,'Admin - FEOR'!$A$4:$A$465,0),
IF(J223="30 év alatt",3,
IF(J223="30–39 éves",4,
IF(J223="40–49 éves",5,
IF(J223="50 év és afelett",6
)))))*1,"NA")</f>
        <v>1275992</v>
      </c>
      <c r="M223" s="270">
        <f t="shared" si="536"/>
        <v>1309500</v>
      </c>
      <c r="N223" s="318">
        <f t="shared" si="537"/>
        <v>1.0262603527294842</v>
      </c>
      <c r="O223" s="270">
        <f>IFERROR(
INDEX('Admin - FEOR'!$A$4:$F$465,MATCH(Bérköltség!H223,'Admin - FEOR'!$A$4:$A$465,0),
IF(J223="30 év alatt",3,
IF(J223="30–39 éves",4,
IF(J223="40–49 éves",5,
IF(J223="50 év és afelett",6
)))))*1.5,"NA")</f>
        <v>1913988</v>
      </c>
      <c r="P223" s="270">
        <f t="shared" si="538"/>
        <v>714995.51724137925</v>
      </c>
      <c r="Q223" s="270">
        <f t="shared" si="539"/>
        <v>489181</v>
      </c>
      <c r="R223" s="275">
        <f t="shared" si="540"/>
        <v>0.37356321839080459</v>
      </c>
      <c r="S223" s="270">
        <f t="shared" si="541"/>
        <v>0</v>
      </c>
      <c r="T223" s="270">
        <f t="shared" si="542"/>
        <v>0</v>
      </c>
      <c r="U223" s="271">
        <f t="shared" si="543"/>
        <v>0</v>
      </c>
      <c r="V223" s="272">
        <f t="shared" si="544"/>
        <v>552775</v>
      </c>
      <c r="W223" s="273" t="str">
        <f t="shared" si="545"/>
        <v>Indoklás szükséges mivel a FEOR: 102,6%</v>
      </c>
      <c r="X223" s="372">
        <f t="shared" si="546"/>
        <v>0</v>
      </c>
      <c r="Y223" s="317">
        <f t="shared" si="547"/>
        <v>489181</v>
      </c>
      <c r="Z223" s="317">
        <f t="shared" si="548"/>
        <v>63594</v>
      </c>
      <c r="AA223" s="12">
        <v>2</v>
      </c>
      <c r="AB223" s="274">
        <v>8405472754</v>
      </c>
      <c r="AC223" s="40" t="s">
        <v>155</v>
      </c>
      <c r="AD223" s="82" t="s">
        <v>75</v>
      </c>
      <c r="AE223" s="41" t="s">
        <v>52</v>
      </c>
      <c r="AF223" s="11" t="s">
        <v>152</v>
      </c>
      <c r="AG223" s="11" t="s">
        <v>203</v>
      </c>
      <c r="AH223" s="14" t="s">
        <v>122</v>
      </c>
      <c r="AI223" s="86" t="s">
        <v>34</v>
      </c>
      <c r="AJ223" s="113" t="str">
        <f>IF(COUNTIFS(Admin!$A$29:$A$40,AI223)&gt;0,Admin!$A$28,IF(COUNTIFS(Admin!$B$29:$B$40,AI223)&gt;0,Admin!$B$28,IF(COUNTIFS(Admin!$C$29:$C$40,AI223)&gt;0,Admin!$C$28,IF(COUNTIFS(Admin!$D$29:$D$40,AI223)&gt;0,Admin!$D$28,"-"))))</f>
        <v>2. mérföldkő</v>
      </c>
      <c r="AK223" s="14" t="s">
        <v>7</v>
      </c>
      <c r="AL223" s="9" t="s">
        <v>56</v>
      </c>
      <c r="AM223" s="131">
        <v>1309500</v>
      </c>
      <c r="AN223" s="132">
        <f t="shared" si="368"/>
        <v>170235</v>
      </c>
      <c r="AO223" s="121">
        <v>174</v>
      </c>
      <c r="AP223" s="121">
        <v>65</v>
      </c>
      <c r="AQ223" s="354">
        <f t="shared" si="402"/>
        <v>0.37356321839080459</v>
      </c>
      <c r="AR223" s="133">
        <f t="shared" si="214"/>
        <v>489181</v>
      </c>
      <c r="AS223" s="133">
        <f t="shared" si="500"/>
        <v>63594</v>
      </c>
      <c r="AT223" s="123">
        <f t="shared" si="404"/>
        <v>2.6332767188996797E-8</v>
      </c>
      <c r="AU223" s="124">
        <v>0.13</v>
      </c>
      <c r="AV223" s="394" t="s">
        <v>2776</v>
      </c>
      <c r="AW223" s="15">
        <v>44974</v>
      </c>
      <c r="AX223" s="12" t="s">
        <v>206</v>
      </c>
      <c r="BC223" s="1" t="s">
        <v>2833</v>
      </c>
      <c r="BD223" s="1" t="str">
        <f t="shared" si="549"/>
        <v>Kutató_VM_1 - Kutató</v>
      </c>
    </row>
    <row r="224" spans="1:56" s="1" customFormat="1" x14ac:dyDescent="0.25">
      <c r="A224" s="264" t="str">
        <f>Bérköltség!$B224</f>
        <v>FEOR</v>
      </c>
      <c r="B224" s="264" t="str">
        <f>IFERROR(
IF(AND(Bérköltség!$F224="",H224="NA"),"HIÁNYOS ADATOK",
IF(Bérköltség!$F224&lt;Bérköltség!$U224,Admin!$B$18,Admin!$B$17)),
"")</f>
        <v>FEOR</v>
      </c>
      <c r="C224" s="265">
        <f>IFERROR(INDEX('Historikus berek_2021-2'!$A$1:$F$903,MATCH(AB224,'Historikus berek_2021-2'!$A$1:$A$903,0),4),"")</f>
        <v>1163800</v>
      </c>
      <c r="D224" s="279">
        <f t="shared" si="531"/>
        <v>434752.8735632184</v>
      </c>
      <c r="E224" s="265">
        <f t="shared" si="532"/>
        <v>489181</v>
      </c>
      <c r="F224" s="266">
        <f t="shared" si="533"/>
        <v>61503.782873563177</v>
      </c>
      <c r="G224" s="267">
        <f t="shared" si="534"/>
        <v>491270.74712643673</v>
      </c>
      <c r="H224" s="268">
        <f>IFERROR(INDEX('FEOR kodok'!$A$2:$J$1126,MATCH(Bérköltség!AB224,'FEOR kodok'!$B$2:$B$1126,0),8),"NA")</f>
        <v>1413</v>
      </c>
      <c r="I224" s="269">
        <f>IFERROR(INDEX('FEOR kodok'!$A$2:$J$1126,MATCH(Bérköltség!AB224,'FEOR kodok'!$B$2:$B$1126,0),10),"NA")</f>
        <v>45</v>
      </c>
      <c r="J224" s="276" t="str">
        <f t="shared" si="535"/>
        <v>40–49 éves</v>
      </c>
      <c r="K224" s="269" t="str">
        <f>IFERROR(INDEX(admin_feor[#All],MATCH(Bérköltség!H224,admin_feor[[#All],[Foglalkozás]],0),2),"NA")</f>
        <v>Kutatási és fejlesztési tevékenységet folytató egység vezetője</v>
      </c>
      <c r="L224" s="270">
        <f>IFERROR(
INDEX('Admin - FEOR'!$A$4:$F$465,MATCH(Bérköltség!H224,'Admin - FEOR'!$A$4:$A$465,0),
IF(J224="30 év alatt",3,
IF(J224="30–39 éves",4,
IF(J224="40–49 éves",5,
IF(J224="50 év és afelett",6
)))))*1,"NA")</f>
        <v>1275992</v>
      </c>
      <c r="M224" s="270">
        <f t="shared" si="536"/>
        <v>1309500</v>
      </c>
      <c r="N224" s="318">
        <f t="shared" si="537"/>
        <v>1.0262603527294842</v>
      </c>
      <c r="O224" s="270">
        <f>IFERROR(
INDEX('Admin - FEOR'!$A$4:$F$465,MATCH(Bérköltség!H224,'Admin - FEOR'!$A$4:$A$465,0),
IF(J224="30 év alatt",3,
IF(J224="30–39 éves",4,
IF(J224="40–49 éves",5,
IF(J224="50 év és afelett",6
)))))*1.5,"NA")</f>
        <v>1913988</v>
      </c>
      <c r="P224" s="270">
        <f t="shared" si="538"/>
        <v>714995.51724137925</v>
      </c>
      <c r="Q224" s="270">
        <f t="shared" si="539"/>
        <v>489181</v>
      </c>
      <c r="R224" s="275">
        <f t="shared" si="540"/>
        <v>0.37356321839080459</v>
      </c>
      <c r="S224" s="270">
        <f t="shared" si="541"/>
        <v>0</v>
      </c>
      <c r="T224" s="270">
        <f t="shared" si="542"/>
        <v>0</v>
      </c>
      <c r="U224" s="271">
        <f t="shared" si="543"/>
        <v>0</v>
      </c>
      <c r="V224" s="272">
        <f t="shared" si="544"/>
        <v>552775</v>
      </c>
      <c r="W224" s="273" t="str">
        <f t="shared" si="545"/>
        <v>Indoklás szükséges mivel a FEOR: 102,6%</v>
      </c>
      <c r="X224" s="372">
        <f t="shared" si="546"/>
        <v>0</v>
      </c>
      <c r="Y224" s="317">
        <f t="shared" si="547"/>
        <v>489181</v>
      </c>
      <c r="Z224" s="317">
        <f t="shared" si="548"/>
        <v>63594</v>
      </c>
      <c r="AA224" s="36"/>
      <c r="AB224" s="274">
        <v>8405472754</v>
      </c>
      <c r="AC224" s="40" t="s">
        <v>155</v>
      </c>
      <c r="AD224" s="82" t="s">
        <v>75</v>
      </c>
      <c r="AE224" s="41" t="s">
        <v>52</v>
      </c>
      <c r="AF224" s="11" t="s">
        <v>152</v>
      </c>
      <c r="AG224" s="11" t="s">
        <v>203</v>
      </c>
      <c r="AH224" s="14" t="s">
        <v>122</v>
      </c>
      <c r="AI224" s="86" t="s">
        <v>35</v>
      </c>
      <c r="AJ224" s="113" t="str">
        <f>IF(COUNTIFS(Admin!$A$29:$A$40,AI224)&gt;0,Admin!$A$28,IF(COUNTIFS(Admin!$B$29:$B$40,AI224)&gt;0,Admin!$B$28,IF(COUNTIFS(Admin!$C$29:$C$40,AI224)&gt;0,Admin!$C$28,IF(COUNTIFS(Admin!$D$29:$D$40,AI224)&gt;0,Admin!$D$28,"-"))))</f>
        <v>3. mérföldkő</v>
      </c>
      <c r="AK224" s="14" t="s">
        <v>7</v>
      </c>
      <c r="AL224" s="9" t="s">
        <v>56</v>
      </c>
      <c r="AM224" s="131">
        <v>1309500</v>
      </c>
      <c r="AN224" s="132">
        <f t="shared" si="368"/>
        <v>170235</v>
      </c>
      <c r="AO224" s="121">
        <v>174</v>
      </c>
      <c r="AP224" s="121">
        <v>65</v>
      </c>
      <c r="AQ224" s="354">
        <f t="shared" si="402"/>
        <v>0.37356321839080459</v>
      </c>
      <c r="AR224" s="133">
        <f t="shared" si="214"/>
        <v>489181</v>
      </c>
      <c r="AS224" s="133">
        <f t="shared" si="500"/>
        <v>63594</v>
      </c>
      <c r="AT224" s="123">
        <f t="shared" si="404"/>
        <v>2.6332767188996797E-8</v>
      </c>
      <c r="AU224" s="124">
        <v>0.13</v>
      </c>
      <c r="AV224" s="394" t="s">
        <v>2776</v>
      </c>
      <c r="AW224" s="15">
        <v>44974</v>
      </c>
      <c r="AX224" s="12" t="s">
        <v>206</v>
      </c>
      <c r="AZ224" s="1" t="str">
        <f>IF(VLOOKUP(LEFT($AB224,10),'Havi béradatok'!$B:$E,2,FALSE)=AG224,"EGYEZIK","HIBÁS")</f>
        <v>EGYEZIK</v>
      </c>
      <c r="BA224" s="1">
        <f>VLOOKUP(LEFT($AB224,10),'Havi béradatok'!$B:$E,3,FALSE)-AM224</f>
        <v>0</v>
      </c>
      <c r="BB224" s="391">
        <f>VLOOKUP(LEFT($AB224,10),'Havi béradatok'!$B:$E,4,FALSE)-AN224</f>
        <v>136188</v>
      </c>
      <c r="BC224" s="400" t="s">
        <v>2833</v>
      </c>
      <c r="BD224" s="400"/>
    </row>
    <row r="225" spans="1:56" s="1" customFormat="1" hidden="1" x14ac:dyDescent="0.25">
      <c r="A225" s="264" t="str">
        <f>Bérköltség!$B225</f>
        <v>FEOR</v>
      </c>
      <c r="B225" s="264" t="str">
        <f>IFERROR(
IF(AND(Bérköltség!$F225="",H225="NA"),"HIÁNYOS ADATOK",
IF(Bérköltség!$F225&lt;Bérköltség!$U225,Admin!$B$18,Admin!$B$17)),
"")</f>
        <v>FEOR</v>
      </c>
      <c r="C225" s="265">
        <f>IFERROR(INDEX('Historikus berek_2021-2'!$A$1:$F$903,MATCH(AB225,'Historikus berek_2021-2'!$A$1:$A$903,0),4),"")</f>
        <v>1163800</v>
      </c>
      <c r="D225" s="279">
        <f t="shared" si="531"/>
        <v>434752.8735632184</v>
      </c>
      <c r="E225" s="265">
        <f t="shared" si="532"/>
        <v>489181</v>
      </c>
      <c r="F225" s="266">
        <f t="shared" si="533"/>
        <v>61503.782873563177</v>
      </c>
      <c r="G225" s="267">
        <f t="shared" si="534"/>
        <v>491270.74712643673</v>
      </c>
      <c r="H225" s="268">
        <f>IFERROR(INDEX('FEOR kodok'!$A$2:$J$1126,MATCH(Bérköltség!AB225,'FEOR kodok'!$B$2:$B$1126,0),8),"NA")</f>
        <v>1413</v>
      </c>
      <c r="I225" s="269">
        <f>IFERROR(INDEX('FEOR kodok'!$A$2:$J$1126,MATCH(Bérköltség!AB225,'FEOR kodok'!$B$2:$B$1126,0),10),"NA")</f>
        <v>45</v>
      </c>
      <c r="J225" s="276" t="str">
        <f t="shared" si="535"/>
        <v>40–49 éves</v>
      </c>
      <c r="K225" s="269" t="str">
        <f>IFERROR(INDEX(admin_feor[#All],MATCH(Bérköltség!H225,admin_feor[[#All],[Foglalkozás]],0),2),"NA")</f>
        <v>Kutatási és fejlesztési tevékenységet folytató egység vezetője</v>
      </c>
      <c r="L225" s="270">
        <f>IFERROR(
INDEX('Admin - FEOR'!$A$4:$F$465,MATCH(Bérköltség!H225,'Admin - FEOR'!$A$4:$A$465,0),
IF(J225="30 év alatt",3,
IF(J225="30–39 éves",4,
IF(J225="40–49 éves",5,
IF(J225="50 év és afelett",6
)))))*1,"NA")</f>
        <v>1275992</v>
      </c>
      <c r="M225" s="270">
        <f t="shared" si="536"/>
        <v>1309500</v>
      </c>
      <c r="N225" s="318">
        <f t="shared" si="537"/>
        <v>1.0262603527294842</v>
      </c>
      <c r="O225" s="270">
        <f>IFERROR(
INDEX('Admin - FEOR'!$A$4:$F$465,MATCH(Bérköltség!H225,'Admin - FEOR'!$A$4:$A$465,0),
IF(J225="30 év alatt",3,
IF(J225="30–39 éves",4,
IF(J225="40–49 éves",5,
IF(J225="50 év és afelett",6
)))))*1.5,"NA")</f>
        <v>1913988</v>
      </c>
      <c r="P225" s="270">
        <f t="shared" si="538"/>
        <v>714995.51724137925</v>
      </c>
      <c r="Q225" s="270">
        <f t="shared" si="539"/>
        <v>489181</v>
      </c>
      <c r="R225" s="275">
        <f t="shared" si="540"/>
        <v>0.37356321839080459</v>
      </c>
      <c r="S225" s="270">
        <f t="shared" si="541"/>
        <v>0</v>
      </c>
      <c r="T225" s="270">
        <f t="shared" si="542"/>
        <v>0</v>
      </c>
      <c r="U225" s="271">
        <f t="shared" si="543"/>
        <v>0</v>
      </c>
      <c r="V225" s="272">
        <f t="shared" si="544"/>
        <v>552775</v>
      </c>
      <c r="W225" s="273" t="str">
        <f t="shared" si="545"/>
        <v>Indoklás szükséges mivel a FEOR: 102,6%</v>
      </c>
      <c r="X225" s="372">
        <f t="shared" si="546"/>
        <v>0</v>
      </c>
      <c r="Y225" s="317">
        <f t="shared" si="547"/>
        <v>489181</v>
      </c>
      <c r="Z225" s="317">
        <f t="shared" si="548"/>
        <v>63594</v>
      </c>
      <c r="AA225" s="36"/>
      <c r="AB225" s="274">
        <v>8405472754</v>
      </c>
      <c r="AC225" s="40" t="s">
        <v>155</v>
      </c>
      <c r="AD225" s="82" t="s">
        <v>75</v>
      </c>
      <c r="AE225" s="41" t="s">
        <v>52</v>
      </c>
      <c r="AF225" s="11" t="s">
        <v>152</v>
      </c>
      <c r="AG225" s="11" t="s">
        <v>203</v>
      </c>
      <c r="AH225" s="14" t="s">
        <v>122</v>
      </c>
      <c r="AI225" s="86" t="s">
        <v>36</v>
      </c>
      <c r="AJ225" s="113" t="str">
        <f>IF(COUNTIFS(Admin!$A$29:$A$40,AI225)&gt;0,Admin!$A$28,IF(COUNTIFS(Admin!$B$29:$B$40,AI225)&gt;0,Admin!$B$28,IF(COUNTIFS(Admin!$C$29:$C$40,AI225)&gt;0,Admin!$C$28,IF(COUNTIFS(Admin!$D$29:$D$40,AI225)&gt;0,Admin!$D$28,"-"))))</f>
        <v>3. mérföldkő</v>
      </c>
      <c r="AK225" s="14" t="s">
        <v>141</v>
      </c>
      <c r="AL225" s="9" t="s">
        <v>56</v>
      </c>
      <c r="AM225" s="131">
        <v>1309500</v>
      </c>
      <c r="AN225" s="132">
        <f t="shared" si="368"/>
        <v>170235</v>
      </c>
      <c r="AO225" s="121">
        <v>174</v>
      </c>
      <c r="AP225" s="121">
        <v>65</v>
      </c>
      <c r="AQ225" s="354">
        <f t="shared" si="402"/>
        <v>0.37356321839080459</v>
      </c>
      <c r="AR225" s="133">
        <f t="shared" si="214"/>
        <v>489181</v>
      </c>
      <c r="AS225" s="133">
        <f t="shared" si="500"/>
        <v>63594</v>
      </c>
      <c r="AT225" s="123">
        <f t="shared" si="404"/>
        <v>2.6332767188996797E-8</v>
      </c>
      <c r="AU225" s="124">
        <v>0.13</v>
      </c>
      <c r="AV225" s="394" t="s">
        <v>2776</v>
      </c>
      <c r="AW225" s="15">
        <v>44974</v>
      </c>
      <c r="AX225" s="12" t="s">
        <v>206</v>
      </c>
      <c r="BC225" s="1" t="s">
        <v>2833</v>
      </c>
    </row>
    <row r="226" spans="1:56" s="1" customFormat="1" hidden="1" x14ac:dyDescent="0.25">
      <c r="A226" s="264" t="str">
        <f>Bérköltség!$B226</f>
        <v>FEOR</v>
      </c>
      <c r="B226" s="264" t="str">
        <f>IFERROR(
IF(AND(Bérköltség!$F226="",H226="NA"),"HIÁNYOS ADATOK",
IF(Bérköltség!$F226&lt;Bérköltség!$U226,Admin!$B$18,Admin!$B$17)),
"")</f>
        <v>FEOR</v>
      </c>
      <c r="C226" s="265">
        <f>IFERROR(INDEX('Historikus berek_2021-2'!$A$1:$F$903,MATCH(AB226,'Historikus berek_2021-2'!$A$1:$A$903,0),4),"")</f>
        <v>1163800</v>
      </c>
      <c r="D226" s="279">
        <f t="shared" si="531"/>
        <v>434752.8735632184</v>
      </c>
      <c r="E226" s="265">
        <f t="shared" si="532"/>
        <v>489181</v>
      </c>
      <c r="F226" s="266">
        <f t="shared" si="533"/>
        <v>61503.782873563177</v>
      </c>
      <c r="G226" s="267">
        <f t="shared" si="534"/>
        <v>491270.74712643673</v>
      </c>
      <c r="H226" s="268">
        <f>IFERROR(INDEX('FEOR kodok'!$A$2:$J$1126,MATCH(Bérköltség!AB226,'FEOR kodok'!$B$2:$B$1126,0),8),"NA")</f>
        <v>1413</v>
      </c>
      <c r="I226" s="269">
        <f>IFERROR(INDEX('FEOR kodok'!$A$2:$J$1126,MATCH(Bérköltség!AB226,'FEOR kodok'!$B$2:$B$1126,0),10),"NA")</f>
        <v>45</v>
      </c>
      <c r="J226" s="276" t="str">
        <f t="shared" si="535"/>
        <v>40–49 éves</v>
      </c>
      <c r="K226" s="269" t="str">
        <f>IFERROR(INDEX(admin_feor[#All],MATCH(Bérköltség!H226,admin_feor[[#All],[Foglalkozás]],0),2),"NA")</f>
        <v>Kutatási és fejlesztési tevékenységet folytató egység vezetője</v>
      </c>
      <c r="L226" s="270">
        <f>IFERROR(
INDEX('Admin - FEOR'!$A$4:$F$465,MATCH(Bérköltség!H226,'Admin - FEOR'!$A$4:$A$465,0),
IF(J226="30 év alatt",3,
IF(J226="30–39 éves",4,
IF(J226="40–49 éves",5,
IF(J226="50 év és afelett",6
)))))*1,"NA")</f>
        <v>1275992</v>
      </c>
      <c r="M226" s="270">
        <f t="shared" si="536"/>
        <v>1309500</v>
      </c>
      <c r="N226" s="318">
        <f t="shared" si="537"/>
        <v>1.0262603527294842</v>
      </c>
      <c r="O226" s="270">
        <f>IFERROR(
INDEX('Admin - FEOR'!$A$4:$F$465,MATCH(Bérköltség!H226,'Admin - FEOR'!$A$4:$A$465,0),
IF(J226="30 év alatt",3,
IF(J226="30–39 éves",4,
IF(J226="40–49 éves",5,
IF(J226="50 év és afelett",6
)))))*1.5,"NA")</f>
        <v>1913988</v>
      </c>
      <c r="P226" s="270">
        <f t="shared" si="538"/>
        <v>714995.51724137925</v>
      </c>
      <c r="Q226" s="270">
        <f t="shared" si="539"/>
        <v>489181</v>
      </c>
      <c r="R226" s="275">
        <f t="shared" si="540"/>
        <v>0.37356321839080459</v>
      </c>
      <c r="S226" s="270">
        <f t="shared" si="541"/>
        <v>0</v>
      </c>
      <c r="T226" s="270">
        <f t="shared" si="542"/>
        <v>0</v>
      </c>
      <c r="U226" s="271">
        <f t="shared" si="543"/>
        <v>0</v>
      </c>
      <c r="V226" s="272">
        <f t="shared" si="544"/>
        <v>552775</v>
      </c>
      <c r="W226" s="273" t="str">
        <f t="shared" si="545"/>
        <v>Indoklás szükséges mivel a FEOR: 102,6%</v>
      </c>
      <c r="X226" s="372">
        <f t="shared" si="546"/>
        <v>0</v>
      </c>
      <c r="Y226" s="317">
        <f t="shared" si="547"/>
        <v>489181</v>
      </c>
      <c r="Z226" s="317">
        <f t="shared" si="548"/>
        <v>63594</v>
      </c>
      <c r="AA226" s="36"/>
      <c r="AB226" s="274">
        <v>8405472754</v>
      </c>
      <c r="AC226" s="40" t="s">
        <v>155</v>
      </c>
      <c r="AD226" s="82" t="s">
        <v>75</v>
      </c>
      <c r="AE226" s="41" t="s">
        <v>52</v>
      </c>
      <c r="AF226" s="11" t="s">
        <v>152</v>
      </c>
      <c r="AG226" s="11" t="s">
        <v>203</v>
      </c>
      <c r="AH226" s="14" t="s">
        <v>122</v>
      </c>
      <c r="AI226" s="86" t="s">
        <v>37</v>
      </c>
      <c r="AJ226" s="113" t="str">
        <f>IF(COUNTIFS(Admin!$A$29:$A$40,AI226)&gt;0,Admin!$A$28,IF(COUNTIFS(Admin!$B$29:$B$40,AI226)&gt;0,Admin!$B$28,IF(COUNTIFS(Admin!$C$29:$C$40,AI226)&gt;0,Admin!$C$28,IF(COUNTIFS(Admin!$D$29:$D$40,AI226)&gt;0,Admin!$D$28,"-"))))</f>
        <v>3. mérföldkő</v>
      </c>
      <c r="AK226" s="14" t="s">
        <v>141</v>
      </c>
      <c r="AL226" s="9" t="s">
        <v>56</v>
      </c>
      <c r="AM226" s="131">
        <v>1309500</v>
      </c>
      <c r="AN226" s="132">
        <f t="shared" si="368"/>
        <v>170235</v>
      </c>
      <c r="AO226" s="121">
        <v>174</v>
      </c>
      <c r="AP226" s="121">
        <v>65</v>
      </c>
      <c r="AQ226" s="354">
        <f t="shared" si="402"/>
        <v>0.37356321839080459</v>
      </c>
      <c r="AR226" s="133">
        <f t="shared" si="214"/>
        <v>489181</v>
      </c>
      <c r="AS226" s="133">
        <f t="shared" si="500"/>
        <v>63594</v>
      </c>
      <c r="AT226" s="123">
        <f t="shared" si="404"/>
        <v>2.6332767188996797E-8</v>
      </c>
      <c r="AU226" s="124">
        <v>0.13</v>
      </c>
      <c r="AV226" s="394" t="s">
        <v>2776</v>
      </c>
      <c r="AW226" s="15">
        <v>44974</v>
      </c>
      <c r="AX226" s="12" t="s">
        <v>206</v>
      </c>
      <c r="BC226" s="1" t="s">
        <v>2833</v>
      </c>
    </row>
    <row r="227" spans="1:56" s="1" customFormat="1" hidden="1" x14ac:dyDescent="0.25">
      <c r="A227" s="264" t="str">
        <f>Bérköltség!$B227</f>
        <v>FEOR</v>
      </c>
      <c r="B227" s="264" t="str">
        <f>IFERROR(
IF(AND(Bérköltség!$F227="",H227="NA"),"HIÁNYOS ADATOK",
IF(Bérköltség!$F227&lt;Bérköltség!$U227,Admin!$B$18,Admin!$B$17)),
"")</f>
        <v>FEOR</v>
      </c>
      <c r="C227" s="265">
        <f>IFERROR(INDEX('Historikus berek_2021-2'!$A$1:$F$903,MATCH(AB227,'Historikus berek_2021-2'!$A$1:$A$903,0),4),"")</f>
        <v>698233.33333333337</v>
      </c>
      <c r="D227" s="279">
        <f t="shared" si="531"/>
        <v>208667.43295019161</v>
      </c>
      <c r="E227" s="265">
        <f t="shared" si="532"/>
        <v>239080</v>
      </c>
      <c r="F227" s="266">
        <f t="shared" si="533"/>
        <v>34366.200766283466</v>
      </c>
      <c r="G227" s="267">
        <f t="shared" si="534"/>
        <v>235794.1992337165</v>
      </c>
      <c r="H227" s="268">
        <f>IFERROR(INDEX('FEOR kodok'!$A$2:$J$1126,MATCH(Bérköltség!AB227,'FEOR kodok'!$B$2:$B$1126,0),8),"NA")</f>
        <v>2139</v>
      </c>
      <c r="I227" s="269">
        <f>IFERROR(INDEX('FEOR kodok'!$A$2:$J$1126,MATCH(Bérköltség!AB227,'FEOR kodok'!$B$2:$B$1126,0),10),"NA")</f>
        <v>47</v>
      </c>
      <c r="J227" s="276" t="str">
        <f t="shared" si="535"/>
        <v>40–49 éves</v>
      </c>
      <c r="K227" s="269" t="str">
        <f>IFERROR(INDEX(admin_feor[#All],MATCH(Bérköltség!H227,admin_feor[[#All],[Foglalkozás]],0),2),"NA")</f>
        <v>Egyéb, máshova nem sorolható mérnök</v>
      </c>
      <c r="L227" s="270">
        <f>IFERROR(
INDEX('Admin - FEOR'!$A$4:$F$465,MATCH(Bérköltség!H227,'Admin - FEOR'!$A$4:$A$465,0),
IF(J227="30 év alatt",3,
IF(J227="30–39 éves",4,
IF(J227="40–49 éves",5,
IF(J227="50 év és afelett",6
)))))*1,"NA")</f>
        <v>916594</v>
      </c>
      <c r="M227" s="270">
        <f t="shared" si="536"/>
        <v>800000</v>
      </c>
      <c r="N227" s="318">
        <f t="shared" si="537"/>
        <v>0.87279646168314429</v>
      </c>
      <c r="O227" s="270">
        <f>IFERROR(
INDEX('Admin - FEOR'!$A$4:$F$465,MATCH(Bérköltség!H227,'Admin - FEOR'!$A$4:$A$465,0),
IF(J227="30 év alatt",3,
IF(J227="30–39 éves",4,
IF(J227="40–49 éves",5,
IF(J227="50 év és afelett",6
)))))*1.5,"NA")</f>
        <v>1374891</v>
      </c>
      <c r="P227" s="270">
        <f t="shared" si="538"/>
        <v>410886.96551724139</v>
      </c>
      <c r="Q227" s="270">
        <f t="shared" si="539"/>
        <v>239080</v>
      </c>
      <c r="R227" s="275">
        <f t="shared" si="540"/>
        <v>0.2988505747126437</v>
      </c>
      <c r="S227" s="270">
        <f t="shared" si="541"/>
        <v>0</v>
      </c>
      <c r="T227" s="270">
        <f t="shared" si="542"/>
        <v>0</v>
      </c>
      <c r="U227" s="271">
        <f t="shared" si="543"/>
        <v>0</v>
      </c>
      <c r="V227" s="272">
        <f t="shared" si="544"/>
        <v>270160</v>
      </c>
      <c r="W227" s="273" t="str">
        <f t="shared" si="545"/>
        <v>Nem szükséges indoklás.</v>
      </c>
      <c r="X227" s="372">
        <f t="shared" si="546"/>
        <v>0</v>
      </c>
      <c r="Y227" s="317">
        <f t="shared" si="547"/>
        <v>239080</v>
      </c>
      <c r="Z227" s="317">
        <f t="shared" si="548"/>
        <v>31080</v>
      </c>
      <c r="AA227" s="12">
        <v>2</v>
      </c>
      <c r="AB227" s="274">
        <v>8399760935</v>
      </c>
      <c r="AC227" s="40" t="s">
        <v>256</v>
      </c>
      <c r="AD227" s="82" t="s">
        <v>75</v>
      </c>
      <c r="AE227" s="41" t="s">
        <v>52</v>
      </c>
      <c r="AF227" s="11" t="s">
        <v>151</v>
      </c>
      <c r="AG227" s="11" t="s">
        <v>170</v>
      </c>
      <c r="AH227" s="14" t="s">
        <v>122</v>
      </c>
      <c r="AI227" s="86" t="s">
        <v>25</v>
      </c>
      <c r="AJ227" s="113" t="str">
        <f>IF(COUNTIFS(Admin!$A$29:$A$40,AI227)&gt;0,Admin!$A$28,IF(COUNTIFS(Admin!$B$29:$B$40,AI227)&gt;0,Admin!$B$28,IF(COUNTIFS(Admin!$C$29:$C$40,AI227)&gt;0,Admin!$C$28,IF(COUNTIFS(Admin!$D$29:$D$40,AI227)&gt;0,Admin!$D$28,"-"))))</f>
        <v>2. mérföldkő</v>
      </c>
      <c r="AK227" s="14" t="s">
        <v>7</v>
      </c>
      <c r="AL227" s="9" t="s">
        <v>56</v>
      </c>
      <c r="AM227" s="131">
        <v>800000</v>
      </c>
      <c r="AN227" s="132">
        <f t="shared" si="368"/>
        <v>104000</v>
      </c>
      <c r="AO227" s="121">
        <v>174</v>
      </c>
      <c r="AP227" s="121">
        <v>52</v>
      </c>
      <c r="AQ227" s="354">
        <f t="shared" si="402"/>
        <v>0.2988505747126437</v>
      </c>
      <c r="AR227" s="133">
        <f t="shared" si="214"/>
        <v>239080</v>
      </c>
      <c r="AS227" s="133">
        <f t="shared" si="500"/>
        <v>31080</v>
      </c>
      <c r="AT227" s="123">
        <f t="shared" si="404"/>
        <v>5.747126436972394E-7</v>
      </c>
      <c r="AU227" s="124">
        <v>0.13</v>
      </c>
      <c r="AV227" s="394" t="s">
        <v>2777</v>
      </c>
      <c r="AW227" s="15">
        <v>44860</v>
      </c>
      <c r="AX227" s="12" t="s">
        <v>206</v>
      </c>
      <c r="AZ227" s="1" t="s">
        <v>2667</v>
      </c>
      <c r="BA227" s="1" t="s">
        <v>2667</v>
      </c>
      <c r="BB227" s="1" t="s">
        <v>2667</v>
      </c>
      <c r="BC227" s="1" t="s">
        <v>2834</v>
      </c>
      <c r="BD227" s="1" t="str">
        <f>CONCATENATE(BC227," - ",AE227)</f>
        <v>Kutató_BM_4 - Kutató</v>
      </c>
    </row>
    <row r="228" spans="1:56" s="1" customFormat="1" hidden="1" x14ac:dyDescent="0.25">
      <c r="A228" s="264" t="str">
        <f>Bérköltség!$B228</f>
        <v>FEOR</v>
      </c>
      <c r="B228" s="264" t="str">
        <f>IFERROR(
IF(AND(Bérköltség!$F228="",H228="NA"),"HIÁNYOS ADATOK",
IF(Bérköltség!$F228&lt;Bérköltség!$U228,Admin!$B$18,Admin!$B$17)),
"")</f>
        <v>FEOR</v>
      </c>
      <c r="C228" s="265">
        <f>IFERROR(INDEX('Historikus berek_2021-2'!$A$1:$F$903,MATCH(AB228,'Historikus berek_2021-2'!$A$1:$A$903,0),4),"")</f>
        <v>698233.33333333337</v>
      </c>
      <c r="D228" s="279">
        <f t="shared" si="531"/>
        <v>208667.43295019161</v>
      </c>
      <c r="E228" s="265">
        <f t="shared" si="532"/>
        <v>239080</v>
      </c>
      <c r="F228" s="266">
        <f t="shared" si="533"/>
        <v>34366.200766283466</v>
      </c>
      <c r="G228" s="267">
        <f t="shared" si="534"/>
        <v>235794.1992337165</v>
      </c>
      <c r="H228" s="268">
        <f>IFERROR(INDEX('FEOR kodok'!$A$2:$J$1126,MATCH(Bérköltség!AB228,'FEOR kodok'!$B$2:$B$1126,0),8),"NA")</f>
        <v>2139</v>
      </c>
      <c r="I228" s="269">
        <f>IFERROR(INDEX('FEOR kodok'!$A$2:$J$1126,MATCH(Bérköltség!AB228,'FEOR kodok'!$B$2:$B$1126,0),10),"NA")</f>
        <v>47</v>
      </c>
      <c r="J228" s="276" t="str">
        <f t="shared" si="535"/>
        <v>40–49 éves</v>
      </c>
      <c r="K228" s="269" t="str">
        <f>IFERROR(INDEX(admin_feor[#All],MATCH(Bérköltség!H228,admin_feor[[#All],[Foglalkozás]],0),2),"NA")</f>
        <v>Egyéb, máshova nem sorolható mérnök</v>
      </c>
      <c r="L228" s="270">
        <f>IFERROR(
INDEX('Admin - FEOR'!$A$4:$F$465,MATCH(Bérköltség!H228,'Admin - FEOR'!$A$4:$A$465,0),
IF(J228="30 év alatt",3,
IF(J228="30–39 éves",4,
IF(J228="40–49 éves",5,
IF(J228="50 év és afelett",6
)))))*1,"NA")</f>
        <v>916594</v>
      </c>
      <c r="M228" s="270">
        <f t="shared" si="536"/>
        <v>800000</v>
      </c>
      <c r="N228" s="318">
        <f t="shared" si="537"/>
        <v>0.87279646168314429</v>
      </c>
      <c r="O228" s="270">
        <f>IFERROR(
INDEX('Admin - FEOR'!$A$4:$F$465,MATCH(Bérköltség!H228,'Admin - FEOR'!$A$4:$A$465,0),
IF(J228="30 év alatt",3,
IF(J228="30–39 éves",4,
IF(J228="40–49 éves",5,
IF(J228="50 év és afelett",6
)))))*1.5,"NA")</f>
        <v>1374891</v>
      </c>
      <c r="P228" s="270">
        <f t="shared" si="538"/>
        <v>410886.96551724139</v>
      </c>
      <c r="Q228" s="270">
        <f t="shared" si="539"/>
        <v>239080</v>
      </c>
      <c r="R228" s="275">
        <f t="shared" si="540"/>
        <v>0.2988505747126437</v>
      </c>
      <c r="S228" s="270">
        <f t="shared" si="541"/>
        <v>0</v>
      </c>
      <c r="T228" s="270">
        <f t="shared" si="542"/>
        <v>0</v>
      </c>
      <c r="U228" s="271">
        <f t="shared" si="543"/>
        <v>0</v>
      </c>
      <c r="V228" s="272">
        <f t="shared" si="544"/>
        <v>270160</v>
      </c>
      <c r="W228" s="273" t="str">
        <f t="shared" si="545"/>
        <v>Nem szükséges indoklás.</v>
      </c>
      <c r="X228" s="372">
        <f t="shared" si="546"/>
        <v>0</v>
      </c>
      <c r="Y228" s="317">
        <f t="shared" si="547"/>
        <v>239080</v>
      </c>
      <c r="Z228" s="317">
        <f t="shared" si="548"/>
        <v>31080</v>
      </c>
      <c r="AA228" s="12">
        <v>2</v>
      </c>
      <c r="AB228" s="274">
        <v>8399760935</v>
      </c>
      <c r="AC228" s="40" t="s">
        <v>256</v>
      </c>
      <c r="AD228" s="82" t="s">
        <v>75</v>
      </c>
      <c r="AE228" s="41" t="s">
        <v>52</v>
      </c>
      <c r="AF228" s="11" t="s">
        <v>151</v>
      </c>
      <c r="AG228" s="11" t="s">
        <v>170</v>
      </c>
      <c r="AH228" s="14" t="s">
        <v>122</v>
      </c>
      <c r="AI228" s="86" t="s">
        <v>26</v>
      </c>
      <c r="AJ228" s="113" t="str">
        <f>IF(COUNTIFS(Admin!$A$29:$A$40,AI228)&gt;0,Admin!$A$28,IF(COUNTIFS(Admin!$B$29:$B$40,AI228)&gt;0,Admin!$B$28,IF(COUNTIFS(Admin!$C$29:$C$40,AI228)&gt;0,Admin!$C$28,IF(COUNTIFS(Admin!$D$29:$D$40,AI228)&gt;0,Admin!$D$28,"-"))))</f>
        <v>2. mérföldkő</v>
      </c>
      <c r="AK228" s="14" t="s">
        <v>7</v>
      </c>
      <c r="AL228" s="9" t="s">
        <v>56</v>
      </c>
      <c r="AM228" s="131">
        <v>800000</v>
      </c>
      <c r="AN228" s="132">
        <f t="shared" si="368"/>
        <v>104000</v>
      </c>
      <c r="AO228" s="121">
        <v>174</v>
      </c>
      <c r="AP228" s="121">
        <v>52</v>
      </c>
      <c r="AQ228" s="354">
        <f t="shared" si="402"/>
        <v>0.2988505747126437</v>
      </c>
      <c r="AR228" s="133">
        <f t="shared" si="214"/>
        <v>239080</v>
      </c>
      <c r="AS228" s="133">
        <f t="shared" si="500"/>
        <v>31080</v>
      </c>
      <c r="AT228" s="123">
        <f t="shared" si="404"/>
        <v>5.747126436972394E-7</v>
      </c>
      <c r="AU228" s="124">
        <v>0.13</v>
      </c>
      <c r="AV228" s="394" t="s">
        <v>2777</v>
      </c>
      <c r="AW228" s="15">
        <v>44860</v>
      </c>
      <c r="AX228" s="12" t="s">
        <v>206</v>
      </c>
      <c r="AZ228" s="1" t="s">
        <v>2667</v>
      </c>
      <c r="BA228" s="1" t="s">
        <v>2667</v>
      </c>
      <c r="BB228" s="1" t="s">
        <v>2667</v>
      </c>
      <c r="BC228" s="1" t="s">
        <v>2834</v>
      </c>
      <c r="BD228" s="1" t="str">
        <f>CONCATENATE(BC228," - ",AE228)</f>
        <v>Kutató_BM_4 - Kutató</v>
      </c>
    </row>
    <row r="229" spans="1:56" s="1" customFormat="1" hidden="1" x14ac:dyDescent="0.25">
      <c r="A229" s="264" t="str">
        <f>Bérköltség!$B229</f>
        <v>FEOR</v>
      </c>
      <c r="B229" s="264" t="str">
        <f>IFERROR(
IF(AND(Bérköltség!$F229="",H229="NA"),"HIÁNYOS ADATOK",
IF(Bérköltség!$F229&lt;Bérköltség!$U229,Admin!$B$18,Admin!$B$17)),
"")</f>
        <v>FEOR</v>
      </c>
      <c r="C229" s="265">
        <f>IFERROR(INDEX('Historikus berek_2021-2'!$A$1:$F$903,MATCH(AB229,'Historikus berek_2021-2'!$A$1:$A$903,0),4),"")</f>
        <v>698233.33333333337</v>
      </c>
      <c r="D229" s="279">
        <f t="shared" si="531"/>
        <v>208667.43295019161</v>
      </c>
      <c r="E229" s="265">
        <f t="shared" si="532"/>
        <v>239080</v>
      </c>
      <c r="F229" s="266">
        <f t="shared" si="533"/>
        <v>34366.200766283466</v>
      </c>
      <c r="G229" s="267">
        <f t="shared" si="534"/>
        <v>235794.1992337165</v>
      </c>
      <c r="H229" s="268">
        <f>IFERROR(INDEX('FEOR kodok'!$A$2:$J$1126,MATCH(Bérköltség!AB229,'FEOR kodok'!$B$2:$B$1126,0),8),"NA")</f>
        <v>2139</v>
      </c>
      <c r="I229" s="269">
        <f>IFERROR(INDEX('FEOR kodok'!$A$2:$J$1126,MATCH(Bérköltség!AB229,'FEOR kodok'!$B$2:$B$1126,0),10),"NA")</f>
        <v>47</v>
      </c>
      <c r="J229" s="276" t="str">
        <f t="shared" si="535"/>
        <v>40–49 éves</v>
      </c>
      <c r="K229" s="269" t="str">
        <f>IFERROR(INDEX(admin_feor[#All],MATCH(Bérköltség!H229,admin_feor[[#All],[Foglalkozás]],0),2),"NA")</f>
        <v>Egyéb, máshova nem sorolható mérnök</v>
      </c>
      <c r="L229" s="270">
        <f>IFERROR(
INDEX('Admin - FEOR'!$A$4:$F$465,MATCH(Bérköltség!H229,'Admin - FEOR'!$A$4:$A$465,0),
IF(J229="30 év alatt",3,
IF(J229="30–39 éves",4,
IF(J229="40–49 éves",5,
IF(J229="50 év és afelett",6
)))))*1,"NA")</f>
        <v>916594</v>
      </c>
      <c r="M229" s="270">
        <f t="shared" si="536"/>
        <v>800000</v>
      </c>
      <c r="N229" s="318">
        <f t="shared" si="537"/>
        <v>0.87279646168314429</v>
      </c>
      <c r="O229" s="270">
        <f>IFERROR(
INDEX('Admin - FEOR'!$A$4:$F$465,MATCH(Bérköltség!H229,'Admin - FEOR'!$A$4:$A$465,0),
IF(J229="30 év alatt",3,
IF(J229="30–39 éves",4,
IF(J229="40–49 éves",5,
IF(J229="50 év és afelett",6
)))))*1.5,"NA")</f>
        <v>1374891</v>
      </c>
      <c r="P229" s="270">
        <f t="shared" si="538"/>
        <v>410886.96551724139</v>
      </c>
      <c r="Q229" s="270">
        <f t="shared" si="539"/>
        <v>239080</v>
      </c>
      <c r="R229" s="275">
        <f t="shared" si="540"/>
        <v>0.2988505747126437</v>
      </c>
      <c r="S229" s="270">
        <f t="shared" si="541"/>
        <v>0</v>
      </c>
      <c r="T229" s="270">
        <f t="shared" si="542"/>
        <v>0</v>
      </c>
      <c r="U229" s="271">
        <f t="shared" si="543"/>
        <v>0</v>
      </c>
      <c r="V229" s="272">
        <f t="shared" si="544"/>
        <v>270160</v>
      </c>
      <c r="W229" s="273" t="str">
        <f t="shared" si="545"/>
        <v>Nem szükséges indoklás.</v>
      </c>
      <c r="X229" s="372">
        <f t="shared" si="546"/>
        <v>0</v>
      </c>
      <c r="Y229" s="317">
        <f t="shared" si="547"/>
        <v>239080</v>
      </c>
      <c r="Z229" s="317">
        <f t="shared" si="548"/>
        <v>31080</v>
      </c>
      <c r="AA229" s="12">
        <v>2</v>
      </c>
      <c r="AB229" s="274">
        <v>8399760935</v>
      </c>
      <c r="AC229" s="40" t="s">
        <v>256</v>
      </c>
      <c r="AD229" s="82" t="s">
        <v>75</v>
      </c>
      <c r="AE229" s="41" t="s">
        <v>52</v>
      </c>
      <c r="AF229" s="11" t="s">
        <v>151</v>
      </c>
      <c r="AG229" s="11" t="s">
        <v>170</v>
      </c>
      <c r="AH229" s="14" t="s">
        <v>122</v>
      </c>
      <c r="AI229" s="86" t="s">
        <v>32</v>
      </c>
      <c r="AJ229" s="113" t="str">
        <f>IF(COUNTIFS(Admin!$A$29:$A$40,AI229)&gt;0,Admin!$A$28,IF(COUNTIFS(Admin!$B$29:$B$40,AI229)&gt;0,Admin!$B$28,IF(COUNTIFS(Admin!$C$29:$C$40,AI229)&gt;0,Admin!$C$28,IF(COUNTIFS(Admin!$D$29:$D$40,AI229)&gt;0,Admin!$D$28,"-"))))</f>
        <v>2. mérföldkő</v>
      </c>
      <c r="AK229" s="14" t="s">
        <v>7</v>
      </c>
      <c r="AL229" s="9" t="s">
        <v>56</v>
      </c>
      <c r="AM229" s="131">
        <v>800000</v>
      </c>
      <c r="AN229" s="132">
        <f t="shared" si="368"/>
        <v>104000</v>
      </c>
      <c r="AO229" s="121">
        <v>174</v>
      </c>
      <c r="AP229" s="121">
        <v>52</v>
      </c>
      <c r="AQ229" s="354">
        <f t="shared" si="402"/>
        <v>0.2988505747126437</v>
      </c>
      <c r="AR229" s="133">
        <f t="shared" si="214"/>
        <v>239080</v>
      </c>
      <c r="AS229" s="133">
        <f t="shared" si="500"/>
        <v>31080</v>
      </c>
      <c r="AT229" s="123">
        <f t="shared" si="404"/>
        <v>5.747126436972394E-7</v>
      </c>
      <c r="AU229" s="124">
        <v>0.13</v>
      </c>
      <c r="AV229" s="394" t="s">
        <v>2777</v>
      </c>
      <c r="AW229" s="15">
        <v>44936</v>
      </c>
      <c r="AX229" s="12" t="s">
        <v>206</v>
      </c>
      <c r="AZ229" s="1" t="s">
        <v>2667</v>
      </c>
      <c r="BA229" s="1">
        <v>0</v>
      </c>
      <c r="BB229" s="1">
        <v>0</v>
      </c>
      <c r="BC229" s="1" t="s">
        <v>2834</v>
      </c>
      <c r="BD229" s="1" t="str">
        <f>CONCATENATE(BC229," - ",AE229)</f>
        <v>Kutató_BM_4 - Kutató</v>
      </c>
    </row>
    <row r="230" spans="1:56" s="1" customFormat="1" hidden="1" x14ac:dyDescent="0.25">
      <c r="A230" s="264" t="str">
        <f>Bérköltség!$B230</f>
        <v>FEOR</v>
      </c>
      <c r="B230" s="264" t="str">
        <f>IFERROR(
IF(AND(Bérköltség!$F230="",H230="NA"),"HIÁNYOS ADATOK",
IF(Bérköltség!$F230&lt;Bérköltség!$U230,Admin!$B$18,Admin!$B$17)),
"")</f>
        <v>FEOR</v>
      </c>
      <c r="C230" s="265">
        <f>IFERROR(INDEX('Historikus berek_2021-2'!$A$1:$F$903,MATCH(AB230,'Historikus berek_2021-2'!$A$1:$A$903,0),4),"")</f>
        <v>698233.33333333337</v>
      </c>
      <c r="D230" s="279">
        <f t="shared" si="531"/>
        <v>208667.43295019161</v>
      </c>
      <c r="E230" s="265">
        <f t="shared" si="532"/>
        <v>239080</v>
      </c>
      <c r="F230" s="266">
        <f t="shared" si="533"/>
        <v>34366.200766283466</v>
      </c>
      <c r="G230" s="267">
        <f t="shared" si="534"/>
        <v>235794.1992337165</v>
      </c>
      <c r="H230" s="268">
        <f>IFERROR(INDEX('FEOR kodok'!$A$2:$J$1126,MATCH(Bérköltség!AB230,'FEOR kodok'!$B$2:$B$1126,0),8),"NA")</f>
        <v>2139</v>
      </c>
      <c r="I230" s="269">
        <f>IFERROR(INDEX('FEOR kodok'!$A$2:$J$1126,MATCH(Bérköltség!AB230,'FEOR kodok'!$B$2:$B$1126,0),10),"NA")</f>
        <v>47</v>
      </c>
      <c r="J230" s="276" t="str">
        <f t="shared" si="535"/>
        <v>40–49 éves</v>
      </c>
      <c r="K230" s="269" t="str">
        <f>IFERROR(INDEX(admin_feor[#All],MATCH(Bérköltség!H230,admin_feor[[#All],[Foglalkozás]],0),2),"NA")</f>
        <v>Egyéb, máshova nem sorolható mérnök</v>
      </c>
      <c r="L230" s="270">
        <f>IFERROR(
INDEX('Admin - FEOR'!$A$4:$F$465,MATCH(Bérköltség!H230,'Admin - FEOR'!$A$4:$A$465,0),
IF(J230="30 év alatt",3,
IF(J230="30–39 éves",4,
IF(J230="40–49 éves",5,
IF(J230="50 év és afelett",6
)))))*1,"NA")</f>
        <v>916594</v>
      </c>
      <c r="M230" s="270">
        <f t="shared" si="536"/>
        <v>800000</v>
      </c>
      <c r="N230" s="318">
        <f t="shared" si="537"/>
        <v>0.87279646168314429</v>
      </c>
      <c r="O230" s="270">
        <f>IFERROR(
INDEX('Admin - FEOR'!$A$4:$F$465,MATCH(Bérköltség!H230,'Admin - FEOR'!$A$4:$A$465,0),
IF(J230="30 év alatt",3,
IF(J230="30–39 éves",4,
IF(J230="40–49 éves",5,
IF(J230="50 év és afelett",6
)))))*1.5,"NA")</f>
        <v>1374891</v>
      </c>
      <c r="P230" s="270">
        <f t="shared" si="538"/>
        <v>410886.96551724139</v>
      </c>
      <c r="Q230" s="270">
        <f t="shared" si="539"/>
        <v>239080</v>
      </c>
      <c r="R230" s="275">
        <f t="shared" si="540"/>
        <v>0.2988505747126437</v>
      </c>
      <c r="S230" s="270">
        <f t="shared" si="541"/>
        <v>0</v>
      </c>
      <c r="T230" s="270">
        <f t="shared" si="542"/>
        <v>0</v>
      </c>
      <c r="U230" s="271">
        <f t="shared" si="543"/>
        <v>0</v>
      </c>
      <c r="V230" s="272">
        <f t="shared" si="544"/>
        <v>270160</v>
      </c>
      <c r="W230" s="273" t="str">
        <f t="shared" si="545"/>
        <v>Nem szükséges indoklás.</v>
      </c>
      <c r="X230" s="372">
        <f t="shared" si="546"/>
        <v>0</v>
      </c>
      <c r="Y230" s="317">
        <f t="shared" si="547"/>
        <v>239080</v>
      </c>
      <c r="Z230" s="317">
        <f t="shared" si="548"/>
        <v>31080</v>
      </c>
      <c r="AA230" s="12">
        <v>2</v>
      </c>
      <c r="AB230" s="274">
        <v>8399760935</v>
      </c>
      <c r="AC230" s="40" t="s">
        <v>256</v>
      </c>
      <c r="AD230" s="82" t="s">
        <v>75</v>
      </c>
      <c r="AE230" s="41" t="s">
        <v>52</v>
      </c>
      <c r="AF230" s="11" t="s">
        <v>151</v>
      </c>
      <c r="AG230" s="11" t="s">
        <v>170</v>
      </c>
      <c r="AH230" s="14" t="s">
        <v>122</v>
      </c>
      <c r="AI230" s="86" t="s">
        <v>33</v>
      </c>
      <c r="AJ230" s="113" t="str">
        <f>IF(COUNTIFS(Admin!$A$29:$A$40,AI230)&gt;0,Admin!$A$28,IF(COUNTIFS(Admin!$B$29:$B$40,AI230)&gt;0,Admin!$B$28,IF(COUNTIFS(Admin!$C$29:$C$40,AI230)&gt;0,Admin!$C$28,IF(COUNTIFS(Admin!$D$29:$D$40,AI230)&gt;0,Admin!$D$28,"-"))))</f>
        <v>2. mérföldkő</v>
      </c>
      <c r="AK230" s="14" t="s">
        <v>7</v>
      </c>
      <c r="AL230" s="9" t="s">
        <v>56</v>
      </c>
      <c r="AM230" s="131">
        <v>800000</v>
      </c>
      <c r="AN230" s="132">
        <f t="shared" si="368"/>
        <v>104000</v>
      </c>
      <c r="AO230" s="121">
        <v>174</v>
      </c>
      <c r="AP230" s="121">
        <v>52</v>
      </c>
      <c r="AQ230" s="354">
        <f t="shared" si="402"/>
        <v>0.2988505747126437</v>
      </c>
      <c r="AR230" s="133">
        <f t="shared" si="214"/>
        <v>239080</v>
      </c>
      <c r="AS230" s="133">
        <f t="shared" si="500"/>
        <v>31080</v>
      </c>
      <c r="AT230" s="123">
        <f t="shared" si="404"/>
        <v>5.747126436972394E-7</v>
      </c>
      <c r="AU230" s="124">
        <v>0.13</v>
      </c>
      <c r="AV230" s="394" t="s">
        <v>2777</v>
      </c>
      <c r="AW230" s="15">
        <v>44936</v>
      </c>
      <c r="AX230" s="12" t="s">
        <v>206</v>
      </c>
      <c r="AZ230" s="8" t="str">
        <f>IF(VLOOKUP(LEFT($AB230,10),'Havi béradatok'!$B:$E,2,FALSE)=AG230,"EGYEZIK","HIBÁS")</f>
        <v>EGYEZIK</v>
      </c>
      <c r="BA230" s="1">
        <f>VLOOKUP(LEFT($AB230,10),'Havi béradatok'!$B:$E,3,FALSE)-AM230</f>
        <v>40000</v>
      </c>
      <c r="BB230" s="1">
        <f>VLOOKUP(LEFT($AB230,10),'Havi béradatok'!$B:$E,4,FALSE)-AN230</f>
        <v>71760</v>
      </c>
      <c r="BC230" s="1" t="s">
        <v>2834</v>
      </c>
      <c r="BD230" s="1" t="str">
        <f>CONCATENATE(BC230," - ",AE230)</f>
        <v>Kutató_BM_4 - Kutató</v>
      </c>
    </row>
    <row r="231" spans="1:56" s="1" customFormat="1" hidden="1" x14ac:dyDescent="0.25">
      <c r="A231" s="264" t="str">
        <f>Bérköltség!$B231</f>
        <v>FEOR</v>
      </c>
      <c r="B231" s="264" t="str">
        <f>IFERROR(
IF(AND(Bérköltség!$F231="",H231="NA"),"HIÁNYOS ADATOK",
IF(Bérköltség!$F231&lt;Bérköltség!$U231,Admin!$B$18,Admin!$B$17)),
"")</f>
        <v>FEOR</v>
      </c>
      <c r="C231" s="265">
        <f>IFERROR(INDEX('Historikus berek_2021-2'!$A$1:$F$903,MATCH(AB231,'Historikus berek_2021-2'!$A$1:$A$903,0),4),"")</f>
        <v>698233.33333333337</v>
      </c>
      <c r="D231" s="279">
        <f t="shared" si="531"/>
        <v>208667.43295019161</v>
      </c>
      <c r="E231" s="265">
        <f t="shared" si="532"/>
        <v>239080</v>
      </c>
      <c r="F231" s="266">
        <f t="shared" si="533"/>
        <v>34366.200766283466</v>
      </c>
      <c r="G231" s="267">
        <f t="shared" si="534"/>
        <v>235794.1992337165</v>
      </c>
      <c r="H231" s="268">
        <f>IFERROR(INDEX('FEOR kodok'!$A$2:$J$1126,MATCH(Bérköltség!AB231,'FEOR kodok'!$B$2:$B$1126,0),8),"NA")</f>
        <v>2139</v>
      </c>
      <c r="I231" s="269">
        <f>IFERROR(INDEX('FEOR kodok'!$A$2:$J$1126,MATCH(Bérköltség!AB231,'FEOR kodok'!$B$2:$B$1126,0),10),"NA")</f>
        <v>47</v>
      </c>
      <c r="J231" s="276" t="str">
        <f t="shared" si="535"/>
        <v>40–49 éves</v>
      </c>
      <c r="K231" s="269" t="str">
        <f>IFERROR(INDEX(admin_feor[#All],MATCH(Bérköltség!H231,admin_feor[[#All],[Foglalkozás]],0),2),"NA")</f>
        <v>Egyéb, máshova nem sorolható mérnök</v>
      </c>
      <c r="L231" s="270">
        <f>IFERROR(
INDEX('Admin - FEOR'!$A$4:$F$465,MATCH(Bérköltség!H231,'Admin - FEOR'!$A$4:$A$465,0),
IF(J231="30 év alatt",3,
IF(J231="30–39 éves",4,
IF(J231="40–49 éves",5,
IF(J231="50 év és afelett",6
)))))*1,"NA")</f>
        <v>916594</v>
      </c>
      <c r="M231" s="270">
        <f t="shared" si="536"/>
        <v>800000</v>
      </c>
      <c r="N231" s="318">
        <f t="shared" si="537"/>
        <v>0.87279646168314429</v>
      </c>
      <c r="O231" s="270">
        <f>IFERROR(
INDEX('Admin - FEOR'!$A$4:$F$465,MATCH(Bérköltség!H231,'Admin - FEOR'!$A$4:$A$465,0),
IF(J231="30 év alatt",3,
IF(J231="30–39 éves",4,
IF(J231="40–49 éves",5,
IF(J231="50 év és afelett",6
)))))*1.5,"NA")</f>
        <v>1374891</v>
      </c>
      <c r="P231" s="270">
        <f t="shared" si="538"/>
        <v>410886.96551724139</v>
      </c>
      <c r="Q231" s="270">
        <f t="shared" si="539"/>
        <v>239080</v>
      </c>
      <c r="R231" s="275">
        <f t="shared" si="540"/>
        <v>0.2988505747126437</v>
      </c>
      <c r="S231" s="270">
        <f t="shared" si="541"/>
        <v>0</v>
      </c>
      <c r="T231" s="270">
        <f t="shared" si="542"/>
        <v>0</v>
      </c>
      <c r="U231" s="271">
        <f t="shared" si="543"/>
        <v>0</v>
      </c>
      <c r="V231" s="272">
        <f t="shared" si="544"/>
        <v>270160</v>
      </c>
      <c r="W231" s="273" t="str">
        <f t="shared" si="545"/>
        <v>Nem szükséges indoklás.</v>
      </c>
      <c r="X231" s="372">
        <f t="shared" si="546"/>
        <v>0</v>
      </c>
      <c r="Y231" s="317">
        <f t="shared" si="547"/>
        <v>239080</v>
      </c>
      <c r="Z231" s="317">
        <f t="shared" si="548"/>
        <v>31080</v>
      </c>
      <c r="AA231" s="12">
        <v>2</v>
      </c>
      <c r="AB231" s="274">
        <v>8399760935</v>
      </c>
      <c r="AC231" s="40" t="s">
        <v>256</v>
      </c>
      <c r="AD231" s="82" t="s">
        <v>75</v>
      </c>
      <c r="AE231" s="41" t="s">
        <v>52</v>
      </c>
      <c r="AF231" s="11" t="s">
        <v>151</v>
      </c>
      <c r="AG231" s="11" t="s">
        <v>170</v>
      </c>
      <c r="AH231" s="14" t="s">
        <v>122</v>
      </c>
      <c r="AI231" s="86" t="s">
        <v>34</v>
      </c>
      <c r="AJ231" s="113" t="str">
        <f>IF(COUNTIFS(Admin!$A$29:$A$40,AI231)&gt;0,Admin!$A$28,IF(COUNTIFS(Admin!$B$29:$B$40,AI231)&gt;0,Admin!$B$28,IF(COUNTIFS(Admin!$C$29:$C$40,AI231)&gt;0,Admin!$C$28,IF(COUNTIFS(Admin!$D$29:$D$40,AI231)&gt;0,Admin!$D$28,"-"))))</f>
        <v>2. mérföldkő</v>
      </c>
      <c r="AK231" s="14" t="s">
        <v>7</v>
      </c>
      <c r="AL231" s="9" t="s">
        <v>56</v>
      </c>
      <c r="AM231" s="131">
        <v>800000</v>
      </c>
      <c r="AN231" s="132">
        <f t="shared" ref="AN231" si="550">IFERROR(ROUND(AM231*AU231,0),"")</f>
        <v>104000</v>
      </c>
      <c r="AO231" s="121">
        <v>174</v>
      </c>
      <c r="AP231" s="121">
        <v>52</v>
      </c>
      <c r="AQ231" s="354">
        <f t="shared" ref="AQ231" si="551">IFERROR(AP231/AO231,"")</f>
        <v>0.2988505747126437</v>
      </c>
      <c r="AR231" s="133">
        <f t="shared" ref="AR231" si="552">IFERROR(ROUND(AM231*AP231/AO231,0),"")</f>
        <v>239080</v>
      </c>
      <c r="AS231" s="133">
        <f t="shared" ref="AS231" si="553">IFERROR(ROUND(AR231*AU231,0),"")</f>
        <v>31080</v>
      </c>
      <c r="AT231" s="123">
        <f t="shared" ref="AT231" si="554">IFERROR(AP231/AO231-AR231/AM231,"")</f>
        <v>5.747126436972394E-7</v>
      </c>
      <c r="AU231" s="124">
        <v>0.13</v>
      </c>
      <c r="AV231" s="394" t="s">
        <v>2777</v>
      </c>
      <c r="AW231" s="15">
        <v>44981</v>
      </c>
      <c r="AX231" s="12" t="s">
        <v>206</v>
      </c>
      <c r="BC231" s="1" t="s">
        <v>2834</v>
      </c>
      <c r="BD231" s="1" t="str">
        <f>CONCATENATE(BC231," - ",AE231)</f>
        <v>Kutató_BM_4 - Kutató</v>
      </c>
    </row>
    <row r="232" spans="1:56" s="1" customFormat="1" x14ac:dyDescent="0.25">
      <c r="A232" s="264" t="str">
        <f>Bérköltség!$B232</f>
        <v>FEOR</v>
      </c>
      <c r="B232" s="264" t="str">
        <f>IFERROR(
IF(AND(Bérköltség!$F232="",H232="NA"),"HIÁNYOS ADATOK",
IF(Bérköltség!$F232&lt;Bérköltség!$U232,Admin!$B$18,Admin!$B$17)),
"")</f>
        <v>FEOR</v>
      </c>
      <c r="C232" s="265">
        <f>IFERROR(INDEX('Historikus berek_2021-2'!$A$1:$F$903,MATCH(AB232,'Historikus berek_2021-2'!$A$1:$A$903,0),4),"")</f>
        <v>698233.33333333337</v>
      </c>
      <c r="D232" s="279">
        <f t="shared" si="531"/>
        <v>208667.43295019161</v>
      </c>
      <c r="E232" s="265">
        <f t="shared" si="532"/>
        <v>251034</v>
      </c>
      <c r="F232" s="266">
        <f t="shared" si="533"/>
        <v>47874.220766283484</v>
      </c>
      <c r="G232" s="267">
        <f t="shared" si="534"/>
        <v>235794.1992337165</v>
      </c>
      <c r="H232" s="268">
        <f>IFERROR(INDEX('FEOR kodok'!$A$2:$J$1126,MATCH(Bérköltség!AB232,'FEOR kodok'!$B$2:$B$1126,0),8),"NA")</f>
        <v>2139</v>
      </c>
      <c r="I232" s="269">
        <f>IFERROR(INDEX('FEOR kodok'!$A$2:$J$1126,MATCH(Bérköltség!AB232,'FEOR kodok'!$B$2:$B$1126,0),10),"NA")</f>
        <v>47</v>
      </c>
      <c r="J232" s="276" t="str">
        <f t="shared" si="535"/>
        <v>40–49 éves</v>
      </c>
      <c r="K232" s="269" t="str">
        <f>IFERROR(INDEX(admin_feor[#All],MATCH(Bérköltség!H232,admin_feor[[#All],[Foglalkozás]],0),2),"NA")</f>
        <v>Egyéb, máshova nem sorolható mérnök</v>
      </c>
      <c r="L232" s="270">
        <f>IFERROR(
INDEX('Admin - FEOR'!$A$4:$F$465,MATCH(Bérköltség!H232,'Admin - FEOR'!$A$4:$A$465,0),
IF(J232="30 év alatt",3,
IF(J232="30–39 éves",4,
IF(J232="40–49 éves",5,
IF(J232="50 év és afelett",6
)))))*1,"NA")</f>
        <v>916594</v>
      </c>
      <c r="M232" s="270">
        <f t="shared" si="536"/>
        <v>840000</v>
      </c>
      <c r="N232" s="318">
        <f t="shared" si="537"/>
        <v>0.91643628476730155</v>
      </c>
      <c r="O232" s="270">
        <f>IFERROR(
INDEX('Admin - FEOR'!$A$4:$F$465,MATCH(Bérköltség!H232,'Admin - FEOR'!$A$4:$A$465,0),
IF(J232="30 év alatt",3,
IF(J232="30–39 éves",4,
IF(J232="40–49 éves",5,
IF(J232="50 év és afelett",6
)))))*1.5,"NA")</f>
        <v>1374891</v>
      </c>
      <c r="P232" s="270">
        <f t="shared" si="538"/>
        <v>410886.96551724139</v>
      </c>
      <c r="Q232" s="270">
        <f t="shared" si="539"/>
        <v>251034</v>
      </c>
      <c r="R232" s="275">
        <f t="shared" si="540"/>
        <v>0.2988505747126437</v>
      </c>
      <c r="S232" s="270">
        <f t="shared" si="541"/>
        <v>0</v>
      </c>
      <c r="T232" s="270">
        <f t="shared" si="542"/>
        <v>0</v>
      </c>
      <c r="U232" s="271">
        <f t="shared" si="543"/>
        <v>0</v>
      </c>
      <c r="V232" s="272">
        <f t="shared" si="544"/>
        <v>283668</v>
      </c>
      <c r="W232" s="273" t="str">
        <f t="shared" si="545"/>
        <v>Nem szükséges indoklás.</v>
      </c>
      <c r="X232" s="372">
        <f t="shared" si="546"/>
        <v>0</v>
      </c>
      <c r="Y232" s="317">
        <f t="shared" si="547"/>
        <v>251034</v>
      </c>
      <c r="Z232" s="317">
        <f t="shared" si="548"/>
        <v>32634</v>
      </c>
      <c r="AA232" s="36"/>
      <c r="AB232" s="274">
        <v>8399760935</v>
      </c>
      <c r="AC232" s="40" t="s">
        <v>256</v>
      </c>
      <c r="AD232" s="82" t="s">
        <v>75</v>
      </c>
      <c r="AE232" s="41" t="s">
        <v>52</v>
      </c>
      <c r="AF232" s="11" t="s">
        <v>151</v>
      </c>
      <c r="AG232" s="11" t="s">
        <v>170</v>
      </c>
      <c r="AH232" s="14" t="s">
        <v>122</v>
      </c>
      <c r="AI232" s="86" t="s">
        <v>35</v>
      </c>
      <c r="AJ232" s="113" t="str">
        <f>IF(COUNTIFS(Admin!$A$29:$A$40,AI232)&gt;0,Admin!$A$28,IF(COUNTIFS(Admin!$B$29:$B$40,AI232)&gt;0,Admin!$B$28,IF(COUNTIFS(Admin!$C$29:$C$40,AI232)&gt;0,Admin!$C$28,IF(COUNTIFS(Admin!$D$29:$D$40,AI232)&gt;0,Admin!$D$28,"-"))))</f>
        <v>3. mérföldkő</v>
      </c>
      <c r="AK232" s="14" t="s">
        <v>7</v>
      </c>
      <c r="AL232" s="9" t="s">
        <v>56</v>
      </c>
      <c r="AM232" s="131">
        <v>840000</v>
      </c>
      <c r="AN232" s="132">
        <f t="shared" ref="AN232" si="555">IFERROR(ROUND(AM232*AU232,0),"")</f>
        <v>109200</v>
      </c>
      <c r="AO232" s="121">
        <v>174</v>
      </c>
      <c r="AP232" s="121">
        <v>52</v>
      </c>
      <c r="AQ232" s="354">
        <f t="shared" ref="AQ232" si="556">IFERROR(AP232/AO232,"")</f>
        <v>0.2988505747126437</v>
      </c>
      <c r="AR232" s="133">
        <f t="shared" ref="AR232" si="557">IFERROR(ROUND(AM232*AP232/AO232,0),"")</f>
        <v>251034</v>
      </c>
      <c r="AS232" s="133">
        <f t="shared" ref="AS232" si="558">IFERROR(ROUND(AR232*AU232,0),"")</f>
        <v>32634</v>
      </c>
      <c r="AT232" s="123">
        <f t="shared" ref="AT232" si="559">IFERROR(AP232/AO232-AR232/AM232,"")</f>
        <v>5.747126436972394E-7</v>
      </c>
      <c r="AU232" s="124">
        <v>0.13</v>
      </c>
      <c r="AV232" s="394" t="s">
        <v>2777</v>
      </c>
      <c r="AW232" s="15">
        <v>45020</v>
      </c>
      <c r="AX232" s="12" t="s">
        <v>206</v>
      </c>
      <c r="AZ232" s="1" t="str">
        <f>IF(VLOOKUP(LEFT($AB232,10),'Havi béradatok'!$B:$E,2,FALSE)=AG232,"EGYEZIK","HIBÁS")</f>
        <v>EGYEZIK</v>
      </c>
      <c r="BA232" s="1">
        <f>VLOOKUP(LEFT($AB232,10),'Havi béradatok'!$B:$E,3,FALSE)-AM232</f>
        <v>0</v>
      </c>
      <c r="BB232" s="391">
        <f>VLOOKUP(LEFT($AB232,10),'Havi béradatok'!$B:$E,4,FALSE)-AN232</f>
        <v>66560</v>
      </c>
      <c r="BC232" s="400" t="s">
        <v>2834</v>
      </c>
      <c r="BD232" s="400"/>
    </row>
    <row r="233" spans="1:56" s="1" customFormat="1" hidden="1" x14ac:dyDescent="0.25">
      <c r="A233" s="264" t="str">
        <f>Bérköltség!$B233</f>
        <v>FEOR</v>
      </c>
      <c r="B233" s="264" t="str">
        <f>IFERROR(
IF(AND(Bérköltség!$F233="",H233="NA"),"HIÁNYOS ADATOK",
IF(Bérköltség!$F233&lt;Bérköltség!$U233,Admin!$B$18,Admin!$B$17)),
"")</f>
        <v>FEOR</v>
      </c>
      <c r="C233" s="265">
        <f>IFERROR(INDEX('Historikus berek_2021-2'!$A$1:$F$903,MATCH(AB233,'Historikus berek_2021-2'!$A$1:$A$903,0),4),"")</f>
        <v>698233.33333333337</v>
      </c>
      <c r="D233" s="279">
        <f t="shared" si="531"/>
        <v>208667.43295019161</v>
      </c>
      <c r="E233" s="265">
        <f t="shared" si="532"/>
        <v>251034</v>
      </c>
      <c r="F233" s="266">
        <f t="shared" si="533"/>
        <v>47874.220766283484</v>
      </c>
      <c r="G233" s="267">
        <f t="shared" si="534"/>
        <v>235794.1992337165</v>
      </c>
      <c r="H233" s="268">
        <f>IFERROR(INDEX('FEOR kodok'!$A$2:$J$1126,MATCH(Bérköltség!AB233,'FEOR kodok'!$B$2:$B$1126,0),8),"NA")</f>
        <v>2139</v>
      </c>
      <c r="I233" s="269">
        <f>IFERROR(INDEX('FEOR kodok'!$A$2:$J$1126,MATCH(Bérköltség!AB233,'FEOR kodok'!$B$2:$B$1126,0),10),"NA")</f>
        <v>47</v>
      </c>
      <c r="J233" s="276" t="str">
        <f t="shared" si="535"/>
        <v>40–49 éves</v>
      </c>
      <c r="K233" s="269" t="str">
        <f>IFERROR(INDEX(admin_feor[#All],MATCH(Bérköltség!H233,admin_feor[[#All],[Foglalkozás]],0),2),"NA")</f>
        <v>Egyéb, máshova nem sorolható mérnök</v>
      </c>
      <c r="L233" s="270">
        <f>IFERROR(
INDEX('Admin - FEOR'!$A$4:$F$465,MATCH(Bérköltség!H233,'Admin - FEOR'!$A$4:$A$465,0),
IF(J233="30 év alatt",3,
IF(J233="30–39 éves",4,
IF(J233="40–49 éves",5,
IF(J233="50 év és afelett",6
)))))*1,"NA")</f>
        <v>916594</v>
      </c>
      <c r="M233" s="270">
        <f t="shared" si="536"/>
        <v>840000</v>
      </c>
      <c r="N233" s="318">
        <f t="shared" si="537"/>
        <v>0.91643628476730155</v>
      </c>
      <c r="O233" s="270">
        <f>IFERROR(
INDEX('Admin - FEOR'!$A$4:$F$465,MATCH(Bérköltség!H233,'Admin - FEOR'!$A$4:$A$465,0),
IF(J233="30 év alatt",3,
IF(J233="30–39 éves",4,
IF(J233="40–49 éves",5,
IF(J233="50 év és afelett",6
)))))*1.5,"NA")</f>
        <v>1374891</v>
      </c>
      <c r="P233" s="270">
        <f t="shared" si="538"/>
        <v>410886.96551724139</v>
      </c>
      <c r="Q233" s="270">
        <f t="shared" si="539"/>
        <v>251034</v>
      </c>
      <c r="R233" s="275">
        <f t="shared" si="540"/>
        <v>0.2988505747126437</v>
      </c>
      <c r="S233" s="270">
        <f t="shared" si="541"/>
        <v>0</v>
      </c>
      <c r="T233" s="270">
        <f t="shared" si="542"/>
        <v>0</v>
      </c>
      <c r="U233" s="271">
        <f t="shared" si="543"/>
        <v>0</v>
      </c>
      <c r="V233" s="272">
        <f t="shared" si="544"/>
        <v>283668</v>
      </c>
      <c r="W233" s="273" t="str">
        <f t="shared" si="545"/>
        <v>Nem szükséges indoklás.</v>
      </c>
      <c r="X233" s="372">
        <f t="shared" si="546"/>
        <v>0</v>
      </c>
      <c r="Y233" s="317">
        <f t="shared" si="547"/>
        <v>251034</v>
      </c>
      <c r="Z233" s="317">
        <f t="shared" si="548"/>
        <v>32634</v>
      </c>
      <c r="AA233" s="36"/>
      <c r="AB233" s="274">
        <v>8399760935</v>
      </c>
      <c r="AC233" s="40" t="s">
        <v>256</v>
      </c>
      <c r="AD233" s="82" t="s">
        <v>75</v>
      </c>
      <c r="AE233" s="41" t="s">
        <v>52</v>
      </c>
      <c r="AF233" s="11" t="s">
        <v>151</v>
      </c>
      <c r="AG233" s="11" t="s">
        <v>170</v>
      </c>
      <c r="AH233" s="14" t="s">
        <v>122</v>
      </c>
      <c r="AI233" s="86" t="s">
        <v>36</v>
      </c>
      <c r="AJ233" s="113" t="str">
        <f>IF(COUNTIFS(Admin!$A$29:$A$40,AI233)&gt;0,Admin!$A$28,IF(COUNTIFS(Admin!$B$29:$B$40,AI233)&gt;0,Admin!$B$28,IF(COUNTIFS(Admin!$C$29:$C$40,AI233)&gt;0,Admin!$C$28,IF(COUNTIFS(Admin!$D$29:$D$40,AI233)&gt;0,Admin!$D$28,"-"))))</f>
        <v>3. mérföldkő</v>
      </c>
      <c r="AK233" s="14" t="s">
        <v>141</v>
      </c>
      <c r="AL233" s="9" t="s">
        <v>56</v>
      </c>
      <c r="AM233" s="131">
        <v>840000</v>
      </c>
      <c r="AN233" s="132">
        <f t="shared" ref="AN233:AN235" si="560">IFERROR(ROUND(AM233*AU233,0),"")</f>
        <v>109200</v>
      </c>
      <c r="AO233" s="121">
        <v>174</v>
      </c>
      <c r="AP233" s="121">
        <v>52</v>
      </c>
      <c r="AQ233" s="354">
        <f t="shared" ref="AQ233:AQ235" si="561">IFERROR(AP233/AO233,"")</f>
        <v>0.2988505747126437</v>
      </c>
      <c r="AR233" s="133">
        <f t="shared" ref="AR233:AR235" si="562">IFERROR(ROUND(AM233*AP233/AO233,0),"")</f>
        <v>251034</v>
      </c>
      <c r="AS233" s="133">
        <f t="shared" ref="AS233:AS235" si="563">IFERROR(ROUND(AR233*AU233,0),"")</f>
        <v>32634</v>
      </c>
      <c r="AT233" s="123">
        <f t="shared" ref="AT233:AT235" si="564">IFERROR(AP233/AO233-AR233/AM233,"")</f>
        <v>5.747126436972394E-7</v>
      </c>
      <c r="AU233" s="124">
        <v>0.13</v>
      </c>
      <c r="AV233" s="394" t="s">
        <v>2777</v>
      </c>
      <c r="AW233" s="15">
        <v>45020</v>
      </c>
      <c r="AX233" s="12" t="s">
        <v>206</v>
      </c>
      <c r="BC233" s="1" t="s">
        <v>2834</v>
      </c>
    </row>
    <row r="234" spans="1:56" s="1" customFormat="1" hidden="1" x14ac:dyDescent="0.25">
      <c r="A234" s="264" t="str">
        <f>Bérköltség!$B234</f>
        <v>FEOR</v>
      </c>
      <c r="B234" s="264" t="str">
        <f>IFERROR(
IF(AND(Bérköltség!$F234="",H234="NA"),"HIÁNYOS ADATOK",
IF(Bérköltség!$F234&lt;Bérköltség!$U234,Admin!$B$18,Admin!$B$17)),
"")</f>
        <v>FEOR</v>
      </c>
      <c r="C234" s="265">
        <f>IFERROR(INDEX('Historikus berek_2021-2'!$A$1:$F$903,MATCH(AB234,'Historikus berek_2021-2'!$A$1:$A$903,0),4),"")</f>
        <v>698233.33333333337</v>
      </c>
      <c r="D234" s="279">
        <f t="shared" ref="D234:D235" si="565">IFERROR(C234*AQ234,"")</f>
        <v>208667.43295019161</v>
      </c>
      <c r="E234" s="265">
        <f t="shared" ref="E234:E235" si="566">AR234</f>
        <v>251034</v>
      </c>
      <c r="F234" s="266">
        <f t="shared" ref="F234:F235" si="567">IFERROR(IF((E234*(1+AU234)-D234*(1+AU234))&lt;0,0,(E234*(1+AU234)-D234*(1+AU234))),"")</f>
        <v>47874.220766283484</v>
      </c>
      <c r="G234" s="267">
        <f t="shared" ref="G234:G235" si="568">IFERROR((E234*(1+AU234)-F234),"")</f>
        <v>235794.1992337165</v>
      </c>
      <c r="H234" s="268">
        <f>IFERROR(INDEX('FEOR kodok'!$A$2:$J$1126,MATCH(Bérköltség!AB234,'FEOR kodok'!$B$2:$B$1126,0),8),"NA")</f>
        <v>2139</v>
      </c>
      <c r="I234" s="269">
        <f>IFERROR(INDEX('FEOR kodok'!$A$2:$J$1126,MATCH(Bérköltség!AB234,'FEOR kodok'!$B$2:$B$1126,0),10),"NA")</f>
        <v>47</v>
      </c>
      <c r="J234" s="276" t="str">
        <f t="shared" ref="J234:J235" si="569">IF(I234="NA","NA",
IF(I234&lt;30,"30 év alatt",
IF(AND(I234&gt;=30,I234&lt;=39),"30–39 éves",
IF(AND(I234&gt;=40,I234&lt;=49),"40–49 éves",
IF(I234&gt;=50,"50 év és afelett",
"")))))</f>
        <v>40–49 éves</v>
      </c>
      <c r="K234" s="269" t="str">
        <f>IFERROR(INDEX(admin_feor[#All],MATCH(Bérköltség!H234,admin_feor[[#All],[Foglalkozás]],0),2),"NA")</f>
        <v>Egyéb, máshova nem sorolható mérnök</v>
      </c>
      <c r="L234" s="270">
        <f>IFERROR(
INDEX('Admin - FEOR'!$A$4:$F$465,MATCH(Bérköltség!H234,'Admin - FEOR'!$A$4:$A$465,0),
IF(J234="30 év alatt",3,
IF(J234="30–39 éves",4,
IF(J234="40–49 éves",5,
IF(J234="50 év és afelett",6
)))))*1,"NA")</f>
        <v>916594</v>
      </c>
      <c r="M234" s="270">
        <f t="shared" ref="M234:M235" si="570">AM234</f>
        <v>840000</v>
      </c>
      <c r="N234" s="318">
        <f t="shared" ref="N234:N235" si="571">IFERROR(
M234/L234,"NA")</f>
        <v>0.91643628476730155</v>
      </c>
      <c r="O234" s="270">
        <f>IFERROR(
INDEX('Admin - FEOR'!$A$4:$F$465,MATCH(Bérköltség!H234,'Admin - FEOR'!$A$4:$A$465,0),
IF(J234="30 év alatt",3,
IF(J234="30–39 éves",4,
IF(J234="40–49 éves",5,
IF(J234="50 év és afelett",6
)))))*1.5,"NA")</f>
        <v>1374891</v>
      </c>
      <c r="P234" s="270">
        <f t="shared" ref="P234:P235" si="572">IFERROR(
AQ234*O234,"NA")</f>
        <v>410886.96551724139</v>
      </c>
      <c r="Q234" s="270">
        <f t="shared" ref="Q234:Q235" si="573">IFERROR(AR234,"")</f>
        <v>251034</v>
      </c>
      <c r="R234" s="275">
        <f t="shared" ref="R234:R235" si="574">IFERROR(AQ234,"")</f>
        <v>0.2988505747126437</v>
      </c>
      <c r="S234" s="270">
        <f t="shared" ref="S234:S235" si="575">IFERROR(
IF(AR234-P234&lt;0,0,AR234-P234),"NA")</f>
        <v>0</v>
      </c>
      <c r="T234" s="270">
        <f t="shared" ref="T234:T235" si="576">IFERROR(
S234*AU234,"NA")</f>
        <v>0</v>
      </c>
      <c r="U234" s="271">
        <f t="shared" ref="U234:U235" si="577">IFERROR(
S234+T234,"NA")</f>
        <v>0</v>
      </c>
      <c r="V234" s="272">
        <f t="shared" ref="V234:V235" si="578">IFERROR(
IF(U234&gt;0,AR234+AS234-U234,AR234+AS234),"NA")</f>
        <v>283668</v>
      </c>
      <c r="W234" s="273" t="str">
        <f t="shared" ref="W234:W235" si="579">IF(P234="NA","FEOR hiányzik",
IF(AND(N234&gt;1,A234="FEOR"),CONCATENATE("Indoklás szükséges mivel a FEOR: ",ROUND(N234*100,1),"%"),"Nem szükséges indoklás.")
)</f>
        <v>Nem szükséges indoklás.</v>
      </c>
      <c r="X234" s="372">
        <f t="shared" ref="X234:X235" si="580">IF(A234="FEOR",U234,IF(A234="HIÁNYOS ADATOK","HIÁNYOS ADATOK",F234))</f>
        <v>0</v>
      </c>
      <c r="Y234" s="317">
        <f t="shared" ref="Y234:Y235" si="581">IF(A234="FEOR",ROUND((V234/(1+AU234)),0),IF(A234="HIÁNYOS ADATOK","HIÁNYOS ADATOK",ROUND(G234/(1+AU234),0)))</f>
        <v>251034</v>
      </c>
      <c r="Z234" s="317">
        <f t="shared" ref="Z234:Z235" si="582">IF(A234="FEOR",ROUND((V234-Y234),0),IF(A234="HIÁNYOS ADATOK","HIÁNYOS ADATOK",ROUND((G234-Y234),0)))</f>
        <v>32634</v>
      </c>
      <c r="AA234" s="36"/>
      <c r="AB234" s="274">
        <v>8399760935</v>
      </c>
      <c r="AC234" s="40" t="s">
        <v>256</v>
      </c>
      <c r="AD234" s="82" t="s">
        <v>75</v>
      </c>
      <c r="AE234" s="41" t="s">
        <v>52</v>
      </c>
      <c r="AF234" s="11" t="s">
        <v>151</v>
      </c>
      <c r="AG234" s="11" t="s">
        <v>170</v>
      </c>
      <c r="AH234" s="14" t="s">
        <v>122</v>
      </c>
      <c r="AI234" s="86" t="s">
        <v>37</v>
      </c>
      <c r="AJ234" s="113" t="str">
        <f>IF(COUNTIFS(Admin!$A$29:$A$40,AI234)&gt;0,Admin!$A$28,IF(COUNTIFS(Admin!$B$29:$B$40,AI234)&gt;0,Admin!$B$28,IF(COUNTIFS(Admin!$C$29:$C$40,AI234)&gt;0,Admin!$C$28,IF(COUNTIFS(Admin!$D$29:$D$40,AI234)&gt;0,Admin!$D$28,"-"))))</f>
        <v>3. mérföldkő</v>
      </c>
      <c r="AK234" s="14" t="s">
        <v>141</v>
      </c>
      <c r="AL234" s="9" t="s">
        <v>56</v>
      </c>
      <c r="AM234" s="131">
        <v>840000</v>
      </c>
      <c r="AN234" s="132">
        <f t="shared" si="560"/>
        <v>109200</v>
      </c>
      <c r="AO234" s="121">
        <v>174</v>
      </c>
      <c r="AP234" s="121">
        <v>52</v>
      </c>
      <c r="AQ234" s="354">
        <f t="shared" si="561"/>
        <v>0.2988505747126437</v>
      </c>
      <c r="AR234" s="133">
        <f t="shared" si="562"/>
        <v>251034</v>
      </c>
      <c r="AS234" s="133">
        <f t="shared" si="563"/>
        <v>32634</v>
      </c>
      <c r="AT234" s="123">
        <f t="shared" si="564"/>
        <v>5.747126436972394E-7</v>
      </c>
      <c r="AU234" s="124">
        <v>0.13</v>
      </c>
      <c r="AV234" s="394" t="s">
        <v>2777</v>
      </c>
      <c r="AW234" s="15">
        <v>45020</v>
      </c>
      <c r="AX234" s="12" t="s">
        <v>206</v>
      </c>
      <c r="BC234" s="1" t="s">
        <v>2834</v>
      </c>
    </row>
    <row r="235" spans="1:56" s="1" customFormat="1" hidden="1" x14ac:dyDescent="0.25">
      <c r="A235" s="264" t="str">
        <f>Bérköltség!$B235</f>
        <v>FEOR</v>
      </c>
      <c r="B235" s="264" t="str">
        <f>IFERROR(
IF(AND(Bérköltség!$F235="",H235="NA"),"HIÁNYOS ADATOK",
IF(Bérköltség!$F235&lt;Bérköltség!$U235,Admin!$B$18,Admin!$B$17)),
"")</f>
        <v>FEOR</v>
      </c>
      <c r="C235" s="265">
        <f>IFERROR(INDEX('Historikus berek_2021-2'!$A$1:$F$903,MATCH(AB235,'Historikus berek_2021-2'!$A$1:$A$903,0),4),"")</f>
        <v>698233.33333333337</v>
      </c>
      <c r="D235" s="279">
        <f t="shared" si="565"/>
        <v>208667.43295019161</v>
      </c>
      <c r="E235" s="265">
        <f t="shared" si="566"/>
        <v>251034</v>
      </c>
      <c r="F235" s="266">
        <f t="shared" si="567"/>
        <v>47874.220766283484</v>
      </c>
      <c r="G235" s="267">
        <f t="shared" si="568"/>
        <v>235794.1992337165</v>
      </c>
      <c r="H235" s="268">
        <f>IFERROR(INDEX('FEOR kodok'!$A$2:$J$1126,MATCH(Bérköltség!AB235,'FEOR kodok'!$B$2:$B$1126,0),8),"NA")</f>
        <v>2139</v>
      </c>
      <c r="I235" s="269">
        <f>IFERROR(INDEX('FEOR kodok'!$A$2:$J$1126,MATCH(Bérköltség!AB235,'FEOR kodok'!$B$2:$B$1126,0),10),"NA")</f>
        <v>47</v>
      </c>
      <c r="J235" s="276" t="str">
        <f t="shared" si="569"/>
        <v>40–49 éves</v>
      </c>
      <c r="K235" s="269" t="str">
        <f>IFERROR(INDEX(admin_feor[#All],MATCH(Bérköltség!H235,admin_feor[[#All],[Foglalkozás]],0),2),"NA")</f>
        <v>Egyéb, máshova nem sorolható mérnök</v>
      </c>
      <c r="L235" s="270">
        <f>IFERROR(
INDEX('Admin - FEOR'!$A$4:$F$465,MATCH(Bérköltség!H235,'Admin - FEOR'!$A$4:$A$465,0),
IF(J235="30 év alatt",3,
IF(J235="30–39 éves",4,
IF(J235="40–49 éves",5,
IF(J235="50 év és afelett",6
)))))*1,"NA")</f>
        <v>916594</v>
      </c>
      <c r="M235" s="270">
        <f t="shared" si="570"/>
        <v>840000</v>
      </c>
      <c r="N235" s="318">
        <f t="shared" si="571"/>
        <v>0.91643628476730155</v>
      </c>
      <c r="O235" s="270">
        <f>IFERROR(
INDEX('Admin - FEOR'!$A$4:$F$465,MATCH(Bérköltség!H235,'Admin - FEOR'!$A$4:$A$465,0),
IF(J235="30 év alatt",3,
IF(J235="30–39 éves",4,
IF(J235="40–49 éves",5,
IF(J235="50 év és afelett",6
)))))*1.5,"NA")</f>
        <v>1374891</v>
      </c>
      <c r="P235" s="270">
        <f t="shared" si="572"/>
        <v>410886.96551724139</v>
      </c>
      <c r="Q235" s="270">
        <f t="shared" si="573"/>
        <v>251034</v>
      </c>
      <c r="R235" s="275">
        <f t="shared" si="574"/>
        <v>0.2988505747126437</v>
      </c>
      <c r="S235" s="270">
        <f t="shared" si="575"/>
        <v>0</v>
      </c>
      <c r="T235" s="270">
        <f t="shared" si="576"/>
        <v>0</v>
      </c>
      <c r="U235" s="271">
        <f t="shared" si="577"/>
        <v>0</v>
      </c>
      <c r="V235" s="272">
        <f t="shared" si="578"/>
        <v>283668</v>
      </c>
      <c r="W235" s="273" t="str">
        <f t="shared" si="579"/>
        <v>Nem szükséges indoklás.</v>
      </c>
      <c r="X235" s="372">
        <f t="shared" si="580"/>
        <v>0</v>
      </c>
      <c r="Y235" s="317">
        <f t="shared" si="581"/>
        <v>251034</v>
      </c>
      <c r="Z235" s="317">
        <f t="shared" si="582"/>
        <v>32634</v>
      </c>
      <c r="AA235" s="36"/>
      <c r="AB235" s="274">
        <v>8399760935</v>
      </c>
      <c r="AC235" s="40" t="s">
        <v>256</v>
      </c>
      <c r="AD235" s="82" t="s">
        <v>75</v>
      </c>
      <c r="AE235" s="41" t="s">
        <v>52</v>
      </c>
      <c r="AF235" s="11" t="s">
        <v>151</v>
      </c>
      <c r="AG235" s="11" t="s">
        <v>170</v>
      </c>
      <c r="AH235" s="14" t="s">
        <v>122</v>
      </c>
      <c r="AI235" s="86" t="s">
        <v>38</v>
      </c>
      <c r="AJ235" s="113" t="str">
        <f>IF(COUNTIFS(Admin!$A$29:$A$40,AI235)&gt;0,Admin!$A$28,IF(COUNTIFS(Admin!$B$29:$B$40,AI235)&gt;0,Admin!$B$28,IF(COUNTIFS(Admin!$C$29:$C$40,AI235)&gt;0,Admin!$C$28,IF(COUNTIFS(Admin!$D$29:$D$40,AI235)&gt;0,Admin!$D$28,"-"))))</f>
        <v>3. mérföldkő</v>
      </c>
      <c r="AK235" s="14" t="s">
        <v>141</v>
      </c>
      <c r="AL235" s="9" t="s">
        <v>56</v>
      </c>
      <c r="AM235" s="131">
        <v>840000</v>
      </c>
      <c r="AN235" s="132">
        <f t="shared" si="560"/>
        <v>109200</v>
      </c>
      <c r="AO235" s="121">
        <v>174</v>
      </c>
      <c r="AP235" s="121">
        <v>52</v>
      </c>
      <c r="AQ235" s="354">
        <f t="shared" si="561"/>
        <v>0.2988505747126437</v>
      </c>
      <c r="AR235" s="133">
        <f t="shared" si="562"/>
        <v>251034</v>
      </c>
      <c r="AS235" s="133">
        <f t="shared" si="563"/>
        <v>32634</v>
      </c>
      <c r="AT235" s="123">
        <f t="shared" si="564"/>
        <v>5.747126436972394E-7</v>
      </c>
      <c r="AU235" s="124">
        <v>0.13</v>
      </c>
      <c r="AV235" s="394" t="s">
        <v>2777</v>
      </c>
      <c r="AW235" s="15">
        <v>45020</v>
      </c>
      <c r="AX235" s="12" t="s">
        <v>206</v>
      </c>
      <c r="BC235" s="1" t="s">
        <v>2834</v>
      </c>
    </row>
    <row r="236" spans="1:56" s="1" customFormat="1" hidden="1" x14ac:dyDescent="0.25">
      <c r="A236" s="264" t="str">
        <f>Bérköltség!$B236</f>
        <v>FEOR</v>
      </c>
      <c r="B236" s="264" t="str">
        <f>IFERROR(
IF(AND(Bérköltség!$F236="",H236="NA"),"HIÁNYOS ADATOK",
IF(Bérköltség!$F236&lt;Bérköltség!$U236,Admin!$B$18,Admin!$B$17)),
"")</f>
        <v>FEOR</v>
      </c>
      <c r="C236" s="265" t="str">
        <f>IFERROR(INDEX('Historikus berek_2021-2'!$A$1:$F$903,MATCH(AB236,'Historikus berek_2021-2'!$A$1:$A$903,0),4),"")</f>
        <v/>
      </c>
      <c r="D236" s="279" t="str">
        <f t="shared" si="531"/>
        <v/>
      </c>
      <c r="E236" s="265">
        <f t="shared" si="532"/>
        <v>75000</v>
      </c>
      <c r="F236" s="266" t="str">
        <f t="shared" si="533"/>
        <v/>
      </c>
      <c r="G236" s="267" t="str">
        <f t="shared" si="534"/>
        <v/>
      </c>
      <c r="H236" s="268">
        <f>IFERROR(INDEX('FEOR kodok'!$A$2:$J$1126,MATCH(Bérköltség!AB236,'FEOR kodok'!$B$2:$B$1126,0),8),"NA")</f>
        <v>2169</v>
      </c>
      <c r="I236" s="269">
        <f>IFERROR(INDEX('FEOR kodok'!$A$2:$J$1126,MATCH(Bérköltség!AB236,'FEOR kodok'!$B$2:$B$1126,0),10),"NA")</f>
        <v>41</v>
      </c>
      <c r="J236" s="276" t="str">
        <f t="shared" si="535"/>
        <v>40–49 éves</v>
      </c>
      <c r="K236" s="269" t="str">
        <f>IFERROR(INDEX(admin_feor[#All],MATCH(Bérköltség!H236,admin_feor[[#All],[Foglalkozás]],0),2),"NA")</f>
        <v>Egyéb természettudományi foglalkozású</v>
      </c>
      <c r="L236" s="270">
        <f>IFERROR(
INDEX('Admin - FEOR'!$A$4:$F$465,MATCH(Bérköltség!H236,'Admin - FEOR'!$A$4:$A$465,0),
IF(J236="30 év alatt",3,
IF(J236="30–39 éves",4,
IF(J236="40–49 éves",5,
IF(J236="50 év és afelett",6
)))))*1,"NA")</f>
        <v>758214</v>
      </c>
      <c r="M236" s="270">
        <f t="shared" si="536"/>
        <v>75000</v>
      </c>
      <c r="N236" s="318">
        <f t="shared" si="537"/>
        <v>9.8916664688333378E-2</v>
      </c>
      <c r="O236" s="270">
        <f>IFERROR(
INDEX('Admin - FEOR'!$A$4:$F$465,MATCH(Bérköltség!H236,'Admin - FEOR'!$A$4:$A$465,0),
IF(J236="30 év alatt",3,
IF(J236="30–39 éves",4,
IF(J236="40–49 éves",5,
IF(J236="50 év és afelett",6
)))))*1.5,"NA")</f>
        <v>1137321</v>
      </c>
      <c r="P236" s="270">
        <f t="shared" si="538"/>
        <v>1137321</v>
      </c>
      <c r="Q236" s="270">
        <f t="shared" si="539"/>
        <v>75000</v>
      </c>
      <c r="R236" s="275">
        <f t="shared" si="540"/>
        <v>1</v>
      </c>
      <c r="S236" s="270">
        <f t="shared" si="541"/>
        <v>0</v>
      </c>
      <c r="T236" s="270">
        <f t="shared" si="542"/>
        <v>0</v>
      </c>
      <c r="U236" s="271">
        <f t="shared" si="543"/>
        <v>0</v>
      </c>
      <c r="V236" s="272">
        <f t="shared" si="544"/>
        <v>84750</v>
      </c>
      <c r="W236" s="273" t="str">
        <f t="shared" si="545"/>
        <v>Nem szükséges indoklás.</v>
      </c>
      <c r="X236" s="372">
        <f t="shared" si="546"/>
        <v>0</v>
      </c>
      <c r="Y236" s="317">
        <f t="shared" si="547"/>
        <v>75000</v>
      </c>
      <c r="Z236" s="317">
        <f t="shared" si="548"/>
        <v>9750</v>
      </c>
      <c r="AA236" s="12">
        <v>2</v>
      </c>
      <c r="AB236" s="274">
        <v>8420512370</v>
      </c>
      <c r="AC236" s="40" t="s">
        <v>193</v>
      </c>
      <c r="AD236" s="82" t="s">
        <v>75</v>
      </c>
      <c r="AE236" s="41" t="s">
        <v>52</v>
      </c>
      <c r="AF236" s="11" t="s">
        <v>153</v>
      </c>
      <c r="AG236" s="11" t="s">
        <v>194</v>
      </c>
      <c r="AH236" s="14" t="s">
        <v>122</v>
      </c>
      <c r="AI236" s="86" t="s">
        <v>21</v>
      </c>
      <c r="AJ236" s="113" t="str">
        <f>IF(COUNTIFS(Admin!$A$29:$A$40,AI236)&gt;0,Admin!$A$28,IF(COUNTIFS(Admin!$B$29:$B$40,AI236)&gt;0,Admin!$B$28,IF(COUNTIFS(Admin!$C$29:$C$40,AI236)&gt;0,Admin!$C$28,IF(COUNTIFS(Admin!$D$29:$D$40,AI236)&gt;0,Admin!$D$28,"-"))))</f>
        <v>2. mérföldkő</v>
      </c>
      <c r="AK236" s="14" t="s">
        <v>7</v>
      </c>
      <c r="AL236" s="9" t="s">
        <v>56</v>
      </c>
      <c r="AM236" s="131">
        <v>75000</v>
      </c>
      <c r="AN236" s="132">
        <f t="shared" si="368"/>
        <v>9750</v>
      </c>
      <c r="AO236" s="121">
        <v>44</v>
      </c>
      <c r="AP236" s="121">
        <v>44</v>
      </c>
      <c r="AQ236" s="354">
        <f t="shared" si="402"/>
        <v>1</v>
      </c>
      <c r="AR236" s="133">
        <f t="shared" si="214"/>
        <v>75000</v>
      </c>
      <c r="AS236" s="133">
        <f t="shared" si="500"/>
        <v>9750</v>
      </c>
      <c r="AT236" s="123">
        <f t="shared" si="404"/>
        <v>0</v>
      </c>
      <c r="AU236" s="124">
        <v>0.13</v>
      </c>
      <c r="AV236" s="394" t="s">
        <v>2778</v>
      </c>
      <c r="AW236" s="15">
        <v>44736</v>
      </c>
      <c r="AX236" s="12" t="s">
        <v>206</v>
      </c>
      <c r="BC236" s="1" t="s">
        <v>2835</v>
      </c>
      <c r="BD236" s="1" t="str">
        <f t="shared" ref="BD236:BD243" si="583">CONCATENATE(BC236," - ",AE236)</f>
        <v>Kutató_MK_4 - Kutató</v>
      </c>
    </row>
    <row r="237" spans="1:56" s="1" customFormat="1" hidden="1" x14ac:dyDescent="0.25">
      <c r="A237" s="264" t="str">
        <f>Bérköltség!$B237</f>
        <v>FEOR</v>
      </c>
      <c r="B237" s="264" t="str">
        <f>IFERROR(
IF(AND(Bérköltség!$F237="",H237="NA"),"HIÁNYOS ADATOK",
IF(Bérköltség!$F237&lt;Bérköltség!$U237,Admin!$B$18,Admin!$B$17)),
"")</f>
        <v>FEOR</v>
      </c>
      <c r="C237" s="265" t="str">
        <f>IFERROR(INDEX('Historikus berek_2021-2'!$A$1:$F$903,MATCH(AB237,'Historikus berek_2021-2'!$A$1:$A$903,0),4),"")</f>
        <v/>
      </c>
      <c r="D237" s="279" t="str">
        <f t="shared" si="531"/>
        <v/>
      </c>
      <c r="E237" s="265">
        <f t="shared" si="532"/>
        <v>75000</v>
      </c>
      <c r="F237" s="266" t="str">
        <f t="shared" si="533"/>
        <v/>
      </c>
      <c r="G237" s="267" t="str">
        <f t="shared" si="534"/>
        <v/>
      </c>
      <c r="H237" s="268">
        <f>IFERROR(INDEX('FEOR kodok'!$A$2:$J$1126,MATCH(Bérköltség!AB237,'FEOR kodok'!$B$2:$B$1126,0),8),"NA")</f>
        <v>2169</v>
      </c>
      <c r="I237" s="269">
        <f>IFERROR(INDEX('FEOR kodok'!$A$2:$J$1126,MATCH(Bérköltség!AB237,'FEOR kodok'!$B$2:$B$1126,0),10),"NA")</f>
        <v>41</v>
      </c>
      <c r="J237" s="276" t="str">
        <f t="shared" si="535"/>
        <v>40–49 éves</v>
      </c>
      <c r="K237" s="269" t="str">
        <f>IFERROR(INDEX(admin_feor[#All],MATCH(Bérköltség!H237,admin_feor[[#All],[Foglalkozás]],0),2),"NA")</f>
        <v>Egyéb természettudományi foglalkozású</v>
      </c>
      <c r="L237" s="270">
        <f>IFERROR(
INDEX('Admin - FEOR'!$A$4:$F$465,MATCH(Bérköltség!H237,'Admin - FEOR'!$A$4:$A$465,0),
IF(J237="30 év alatt",3,
IF(J237="30–39 éves",4,
IF(J237="40–49 éves",5,
IF(J237="50 év és afelett",6
)))))*1,"NA")</f>
        <v>758214</v>
      </c>
      <c r="M237" s="270">
        <f t="shared" si="536"/>
        <v>75000</v>
      </c>
      <c r="N237" s="318">
        <f t="shared" si="537"/>
        <v>9.8916664688333378E-2</v>
      </c>
      <c r="O237" s="270">
        <f>IFERROR(
INDEX('Admin - FEOR'!$A$4:$F$465,MATCH(Bérköltség!H237,'Admin - FEOR'!$A$4:$A$465,0),
IF(J237="30 év alatt",3,
IF(J237="30–39 éves",4,
IF(J237="40–49 éves",5,
IF(J237="50 év és afelett",6
)))))*1.5,"NA")</f>
        <v>1137321</v>
      </c>
      <c r="P237" s="270">
        <f t="shared" si="538"/>
        <v>1137321</v>
      </c>
      <c r="Q237" s="270">
        <f t="shared" si="539"/>
        <v>75000</v>
      </c>
      <c r="R237" s="275">
        <f t="shared" si="540"/>
        <v>1</v>
      </c>
      <c r="S237" s="270">
        <f t="shared" si="541"/>
        <v>0</v>
      </c>
      <c r="T237" s="270">
        <f t="shared" si="542"/>
        <v>0</v>
      </c>
      <c r="U237" s="271">
        <f t="shared" si="543"/>
        <v>0</v>
      </c>
      <c r="V237" s="272">
        <f t="shared" si="544"/>
        <v>84750</v>
      </c>
      <c r="W237" s="273" t="str">
        <f t="shared" si="545"/>
        <v>Nem szükséges indoklás.</v>
      </c>
      <c r="X237" s="372">
        <f t="shared" si="546"/>
        <v>0</v>
      </c>
      <c r="Y237" s="317">
        <f t="shared" si="547"/>
        <v>75000</v>
      </c>
      <c r="Z237" s="317">
        <f t="shared" si="548"/>
        <v>9750</v>
      </c>
      <c r="AA237" s="12">
        <v>2</v>
      </c>
      <c r="AB237" s="274">
        <v>8420512370</v>
      </c>
      <c r="AC237" s="40" t="s">
        <v>193</v>
      </c>
      <c r="AD237" s="82" t="s">
        <v>75</v>
      </c>
      <c r="AE237" s="41" t="s">
        <v>52</v>
      </c>
      <c r="AF237" s="11" t="s">
        <v>153</v>
      </c>
      <c r="AG237" s="11" t="s">
        <v>194</v>
      </c>
      <c r="AH237" s="14" t="s">
        <v>122</v>
      </c>
      <c r="AI237" s="86" t="s">
        <v>22</v>
      </c>
      <c r="AJ237" s="113" t="str">
        <f>IF(COUNTIFS(Admin!$A$29:$A$40,AI237)&gt;0,Admin!$A$28,IF(COUNTIFS(Admin!$B$29:$B$40,AI237)&gt;0,Admin!$B$28,IF(COUNTIFS(Admin!$C$29:$C$40,AI237)&gt;0,Admin!$C$28,IF(COUNTIFS(Admin!$D$29:$D$40,AI237)&gt;0,Admin!$D$28,"-"))))</f>
        <v>2. mérföldkő</v>
      </c>
      <c r="AK237" s="14" t="s">
        <v>7</v>
      </c>
      <c r="AL237" s="9" t="s">
        <v>56</v>
      </c>
      <c r="AM237" s="131">
        <v>75000</v>
      </c>
      <c r="AN237" s="132">
        <f t="shared" si="368"/>
        <v>9750</v>
      </c>
      <c r="AO237" s="121">
        <v>44</v>
      </c>
      <c r="AP237" s="121">
        <v>44</v>
      </c>
      <c r="AQ237" s="354">
        <f t="shared" si="402"/>
        <v>1</v>
      </c>
      <c r="AR237" s="133">
        <f t="shared" si="214"/>
        <v>75000</v>
      </c>
      <c r="AS237" s="133">
        <f t="shared" si="500"/>
        <v>9750</v>
      </c>
      <c r="AT237" s="123">
        <f t="shared" si="404"/>
        <v>0</v>
      </c>
      <c r="AU237" s="124">
        <v>0.13</v>
      </c>
      <c r="AV237" s="394" t="s">
        <v>2778</v>
      </c>
      <c r="AW237" s="15">
        <v>44736</v>
      </c>
      <c r="AX237" s="12" t="s">
        <v>206</v>
      </c>
      <c r="BC237" s="1" t="s">
        <v>2835</v>
      </c>
      <c r="BD237" s="1" t="str">
        <f t="shared" si="583"/>
        <v>Kutató_MK_4 - Kutató</v>
      </c>
    </row>
    <row r="238" spans="1:56" s="1" customFormat="1" hidden="1" x14ac:dyDescent="0.25">
      <c r="A238" s="264" t="str">
        <f>Bérköltség!$B238</f>
        <v>FEOR</v>
      </c>
      <c r="B238" s="264" t="str">
        <f>IFERROR(
IF(AND(Bérköltség!$F238="",H238="NA"),"HIÁNYOS ADATOK",
IF(Bérköltség!$F238&lt;Bérköltség!$U238,Admin!$B$18,Admin!$B$17)),
"")</f>
        <v>FEOR</v>
      </c>
      <c r="C238" s="265" t="str">
        <f>IFERROR(INDEX('Historikus berek_2021-2'!$A$1:$F$903,MATCH(AB238,'Historikus berek_2021-2'!$A$1:$A$903,0),4),"")</f>
        <v/>
      </c>
      <c r="D238" s="279" t="str">
        <f t="shared" si="531"/>
        <v/>
      </c>
      <c r="E238" s="265">
        <f t="shared" si="532"/>
        <v>75000</v>
      </c>
      <c r="F238" s="266" t="str">
        <f t="shared" si="533"/>
        <v/>
      </c>
      <c r="G238" s="267" t="str">
        <f t="shared" si="534"/>
        <v/>
      </c>
      <c r="H238" s="268">
        <f>IFERROR(INDEX('FEOR kodok'!$A$2:$J$1126,MATCH(Bérköltség!AB238,'FEOR kodok'!$B$2:$B$1126,0),8),"NA")</f>
        <v>2169</v>
      </c>
      <c r="I238" s="269">
        <f>IFERROR(INDEX('FEOR kodok'!$A$2:$J$1126,MATCH(Bérköltség!AB238,'FEOR kodok'!$B$2:$B$1126,0),10),"NA")</f>
        <v>41</v>
      </c>
      <c r="J238" s="276" t="str">
        <f t="shared" si="535"/>
        <v>40–49 éves</v>
      </c>
      <c r="K238" s="269" t="str">
        <f>IFERROR(INDEX(admin_feor[#All],MATCH(Bérköltség!H238,admin_feor[[#All],[Foglalkozás]],0),2),"NA")</f>
        <v>Egyéb természettudományi foglalkozású</v>
      </c>
      <c r="L238" s="270">
        <f>IFERROR(
INDEX('Admin - FEOR'!$A$4:$F$465,MATCH(Bérköltség!H238,'Admin - FEOR'!$A$4:$A$465,0),
IF(J238="30 év alatt",3,
IF(J238="30–39 éves",4,
IF(J238="40–49 éves",5,
IF(J238="50 év és afelett",6
)))))*1,"NA")</f>
        <v>758214</v>
      </c>
      <c r="M238" s="270">
        <f t="shared" si="536"/>
        <v>75000</v>
      </c>
      <c r="N238" s="318">
        <f t="shared" si="537"/>
        <v>9.8916664688333378E-2</v>
      </c>
      <c r="O238" s="270">
        <f>IFERROR(
INDEX('Admin - FEOR'!$A$4:$F$465,MATCH(Bérköltség!H238,'Admin - FEOR'!$A$4:$A$465,0),
IF(J238="30 év alatt",3,
IF(J238="30–39 éves",4,
IF(J238="40–49 éves",5,
IF(J238="50 év és afelett",6
)))))*1.5,"NA")</f>
        <v>1137321</v>
      </c>
      <c r="P238" s="270">
        <f t="shared" si="538"/>
        <v>1137321</v>
      </c>
      <c r="Q238" s="270">
        <f t="shared" si="539"/>
        <v>75000</v>
      </c>
      <c r="R238" s="275">
        <f t="shared" si="540"/>
        <v>1</v>
      </c>
      <c r="S238" s="270">
        <f t="shared" si="541"/>
        <v>0</v>
      </c>
      <c r="T238" s="270">
        <f t="shared" si="542"/>
        <v>0</v>
      </c>
      <c r="U238" s="271">
        <f t="shared" si="543"/>
        <v>0</v>
      </c>
      <c r="V238" s="272">
        <f t="shared" si="544"/>
        <v>84750</v>
      </c>
      <c r="W238" s="273" t="str">
        <f t="shared" si="545"/>
        <v>Nem szükséges indoklás.</v>
      </c>
      <c r="X238" s="372">
        <f t="shared" si="546"/>
        <v>0</v>
      </c>
      <c r="Y238" s="317">
        <f t="shared" si="547"/>
        <v>75000</v>
      </c>
      <c r="Z238" s="317">
        <f t="shared" si="548"/>
        <v>9750</v>
      </c>
      <c r="AA238" s="12">
        <v>2</v>
      </c>
      <c r="AB238" s="274">
        <v>8420512370</v>
      </c>
      <c r="AC238" s="40" t="s">
        <v>193</v>
      </c>
      <c r="AD238" s="82" t="s">
        <v>75</v>
      </c>
      <c r="AE238" s="41" t="s">
        <v>52</v>
      </c>
      <c r="AF238" s="11" t="s">
        <v>153</v>
      </c>
      <c r="AG238" s="11" t="s">
        <v>194</v>
      </c>
      <c r="AH238" s="14" t="s">
        <v>122</v>
      </c>
      <c r="AI238" s="86" t="s">
        <v>23</v>
      </c>
      <c r="AJ238" s="113" t="str">
        <f>IF(COUNTIFS(Admin!$A$29:$A$40,AI238)&gt;0,Admin!$A$28,IF(COUNTIFS(Admin!$B$29:$B$40,AI238)&gt;0,Admin!$B$28,IF(COUNTIFS(Admin!$C$29:$C$40,AI238)&gt;0,Admin!$C$28,IF(COUNTIFS(Admin!$D$29:$D$40,AI238)&gt;0,Admin!$D$28,"-"))))</f>
        <v>2. mérföldkő</v>
      </c>
      <c r="AK238" s="14" t="s">
        <v>7</v>
      </c>
      <c r="AL238" s="9" t="s">
        <v>56</v>
      </c>
      <c r="AM238" s="131">
        <v>75000</v>
      </c>
      <c r="AN238" s="132">
        <f t="shared" ref="AN238:AN327" si="584">IFERROR(ROUND(AM238*AU238,0),"")</f>
        <v>9750</v>
      </c>
      <c r="AO238" s="121">
        <v>44</v>
      </c>
      <c r="AP238" s="121">
        <v>44</v>
      </c>
      <c r="AQ238" s="354">
        <f t="shared" si="402"/>
        <v>1</v>
      </c>
      <c r="AR238" s="133">
        <f t="shared" si="214"/>
        <v>75000</v>
      </c>
      <c r="AS238" s="133">
        <f t="shared" si="500"/>
        <v>9750</v>
      </c>
      <c r="AT238" s="123">
        <f t="shared" si="404"/>
        <v>0</v>
      </c>
      <c r="AU238" s="124">
        <v>0.13</v>
      </c>
      <c r="AV238" s="394" t="s">
        <v>2778</v>
      </c>
      <c r="AW238" s="15">
        <v>44736</v>
      </c>
      <c r="AX238" s="12" t="s">
        <v>206</v>
      </c>
      <c r="BC238" s="1" t="s">
        <v>2835</v>
      </c>
      <c r="BD238" s="1" t="str">
        <f t="shared" si="583"/>
        <v>Kutató_MK_4 - Kutató</v>
      </c>
    </row>
    <row r="239" spans="1:56" s="1" customFormat="1" hidden="1" x14ac:dyDescent="0.25">
      <c r="A239" s="264" t="str">
        <f>Bérköltség!$B239</f>
        <v>FEOR</v>
      </c>
      <c r="B239" s="264" t="str">
        <f>IFERROR(
IF(AND(Bérköltség!$F239="",H239="NA"),"HIÁNYOS ADATOK",
IF(Bérköltség!$F239&lt;Bérköltség!$U239,Admin!$B$18,Admin!$B$17)),
"")</f>
        <v>FEOR</v>
      </c>
      <c r="C239" s="265" t="str">
        <f>IFERROR(INDEX('Historikus berek_2021-2'!$A$1:$F$903,MATCH(AB239,'Historikus berek_2021-2'!$A$1:$A$903,0),4),"")</f>
        <v/>
      </c>
      <c r="D239" s="279" t="str">
        <f t="shared" si="531"/>
        <v/>
      </c>
      <c r="E239" s="265">
        <f t="shared" si="532"/>
        <v>75000</v>
      </c>
      <c r="F239" s="266" t="str">
        <f t="shared" si="533"/>
        <v/>
      </c>
      <c r="G239" s="267" t="str">
        <f t="shared" si="534"/>
        <v/>
      </c>
      <c r="H239" s="268">
        <f>IFERROR(INDEX('FEOR kodok'!$A$2:$J$1126,MATCH(Bérköltség!AB239,'FEOR kodok'!$B$2:$B$1126,0),8),"NA")</f>
        <v>2169</v>
      </c>
      <c r="I239" s="269">
        <f>IFERROR(INDEX('FEOR kodok'!$A$2:$J$1126,MATCH(Bérköltség!AB239,'FEOR kodok'!$B$2:$B$1126,0),10),"NA")</f>
        <v>41</v>
      </c>
      <c r="J239" s="276" t="str">
        <f t="shared" si="535"/>
        <v>40–49 éves</v>
      </c>
      <c r="K239" s="269" t="str">
        <f>IFERROR(INDEX(admin_feor[#All],MATCH(Bérköltség!H239,admin_feor[[#All],[Foglalkozás]],0),2),"NA")</f>
        <v>Egyéb természettudományi foglalkozású</v>
      </c>
      <c r="L239" s="270">
        <f>IFERROR(
INDEX('Admin - FEOR'!$A$4:$F$465,MATCH(Bérköltség!H239,'Admin - FEOR'!$A$4:$A$465,0),
IF(J239="30 év alatt",3,
IF(J239="30–39 éves",4,
IF(J239="40–49 éves",5,
IF(J239="50 év és afelett",6
)))))*1,"NA")</f>
        <v>758214</v>
      </c>
      <c r="M239" s="270">
        <f t="shared" si="536"/>
        <v>75000</v>
      </c>
      <c r="N239" s="318">
        <f t="shared" si="537"/>
        <v>9.8916664688333378E-2</v>
      </c>
      <c r="O239" s="270">
        <f>IFERROR(
INDEX('Admin - FEOR'!$A$4:$F$465,MATCH(Bérköltség!H239,'Admin - FEOR'!$A$4:$A$465,0),
IF(J239="30 év alatt",3,
IF(J239="30–39 éves",4,
IF(J239="40–49 éves",5,
IF(J239="50 év és afelett",6
)))))*1.5,"NA")</f>
        <v>1137321</v>
      </c>
      <c r="P239" s="270">
        <f t="shared" si="538"/>
        <v>1137321</v>
      </c>
      <c r="Q239" s="270">
        <f t="shared" si="539"/>
        <v>75000</v>
      </c>
      <c r="R239" s="275">
        <f t="shared" si="540"/>
        <v>1</v>
      </c>
      <c r="S239" s="270">
        <f t="shared" si="541"/>
        <v>0</v>
      </c>
      <c r="T239" s="270">
        <f t="shared" si="542"/>
        <v>0</v>
      </c>
      <c r="U239" s="271">
        <f t="shared" si="543"/>
        <v>0</v>
      </c>
      <c r="V239" s="272">
        <f t="shared" si="544"/>
        <v>84750</v>
      </c>
      <c r="W239" s="273" t="str">
        <f t="shared" si="545"/>
        <v>Nem szükséges indoklás.</v>
      </c>
      <c r="X239" s="372">
        <f t="shared" si="546"/>
        <v>0</v>
      </c>
      <c r="Y239" s="317">
        <f t="shared" si="547"/>
        <v>75000</v>
      </c>
      <c r="Z239" s="317">
        <f t="shared" si="548"/>
        <v>9750</v>
      </c>
      <c r="AA239" s="12">
        <v>2</v>
      </c>
      <c r="AB239" s="274">
        <v>8420512370</v>
      </c>
      <c r="AC239" s="40" t="s">
        <v>193</v>
      </c>
      <c r="AD239" s="82" t="s">
        <v>75</v>
      </c>
      <c r="AE239" s="41" t="s">
        <v>52</v>
      </c>
      <c r="AF239" s="11" t="s">
        <v>153</v>
      </c>
      <c r="AG239" s="11" t="s">
        <v>194</v>
      </c>
      <c r="AH239" s="14" t="s">
        <v>122</v>
      </c>
      <c r="AI239" s="86" t="s">
        <v>24</v>
      </c>
      <c r="AJ239" s="113" t="str">
        <f>IF(COUNTIFS(Admin!$A$29:$A$40,AI239)&gt;0,Admin!$A$28,IF(COUNTIFS(Admin!$B$29:$B$40,AI239)&gt;0,Admin!$B$28,IF(COUNTIFS(Admin!$C$29:$C$40,AI239)&gt;0,Admin!$C$28,IF(COUNTIFS(Admin!$D$29:$D$40,AI239)&gt;0,Admin!$D$28,"-"))))</f>
        <v>2. mérföldkő</v>
      </c>
      <c r="AK239" s="14" t="s">
        <v>7</v>
      </c>
      <c r="AL239" s="9" t="s">
        <v>56</v>
      </c>
      <c r="AM239" s="131">
        <v>75000</v>
      </c>
      <c r="AN239" s="132">
        <f t="shared" si="584"/>
        <v>9750</v>
      </c>
      <c r="AO239" s="121">
        <v>44</v>
      </c>
      <c r="AP239" s="121">
        <v>44</v>
      </c>
      <c r="AQ239" s="354">
        <f t="shared" si="402"/>
        <v>1</v>
      </c>
      <c r="AR239" s="133">
        <f t="shared" si="214"/>
        <v>75000</v>
      </c>
      <c r="AS239" s="133">
        <f t="shared" si="500"/>
        <v>9750</v>
      </c>
      <c r="AT239" s="123">
        <f t="shared" si="404"/>
        <v>0</v>
      </c>
      <c r="AU239" s="124">
        <v>0.13</v>
      </c>
      <c r="AV239" s="394" t="s">
        <v>2778</v>
      </c>
      <c r="AW239" s="15">
        <v>44736</v>
      </c>
      <c r="AX239" s="12" t="s">
        <v>206</v>
      </c>
      <c r="BC239" s="1" t="s">
        <v>2835</v>
      </c>
      <c r="BD239" s="1" t="str">
        <f t="shared" si="583"/>
        <v>Kutató_MK_4 - Kutató</v>
      </c>
    </row>
    <row r="240" spans="1:56" s="1" customFormat="1" hidden="1" x14ac:dyDescent="0.25">
      <c r="A240" s="264" t="str">
        <f>Bérköltség!$B240</f>
        <v>FEOR</v>
      </c>
      <c r="B240" s="264" t="str">
        <f>IFERROR(
IF(AND(Bérköltség!$F240="",H240="NA"),"HIÁNYOS ADATOK",
IF(Bérköltség!$F240&lt;Bérköltség!$U240,Admin!$B$18,Admin!$B$17)),
"")</f>
        <v>FEOR</v>
      </c>
      <c r="C240" s="265" t="str">
        <f>IFERROR(INDEX('Historikus berek_2021-2'!$A$1:$F$903,MATCH(AB240,'Historikus berek_2021-2'!$A$1:$A$903,0),4),"")</f>
        <v/>
      </c>
      <c r="D240" s="279" t="str">
        <f t="shared" si="531"/>
        <v/>
      </c>
      <c r="E240" s="265">
        <f t="shared" si="532"/>
        <v>75000</v>
      </c>
      <c r="F240" s="266" t="str">
        <f t="shared" si="533"/>
        <v/>
      </c>
      <c r="G240" s="267" t="str">
        <f t="shared" si="534"/>
        <v/>
      </c>
      <c r="H240" s="268">
        <f>IFERROR(INDEX('FEOR kodok'!$A$2:$J$1126,MATCH(Bérköltség!AB240,'FEOR kodok'!$B$2:$B$1126,0),8),"NA")</f>
        <v>2169</v>
      </c>
      <c r="I240" s="269">
        <f>IFERROR(INDEX('FEOR kodok'!$A$2:$J$1126,MATCH(Bérköltség!AB240,'FEOR kodok'!$B$2:$B$1126,0),10),"NA")</f>
        <v>41</v>
      </c>
      <c r="J240" s="276" t="str">
        <f t="shared" si="535"/>
        <v>40–49 éves</v>
      </c>
      <c r="K240" s="269" t="str">
        <f>IFERROR(INDEX(admin_feor[#All],MATCH(Bérköltség!H240,admin_feor[[#All],[Foglalkozás]],0),2),"NA")</f>
        <v>Egyéb természettudományi foglalkozású</v>
      </c>
      <c r="L240" s="270">
        <f>IFERROR(
INDEX('Admin - FEOR'!$A$4:$F$465,MATCH(Bérköltség!H240,'Admin - FEOR'!$A$4:$A$465,0),
IF(J240="30 év alatt",3,
IF(J240="30–39 éves",4,
IF(J240="40–49 éves",5,
IF(J240="50 év és afelett",6
)))))*1,"NA")</f>
        <v>758214</v>
      </c>
      <c r="M240" s="270">
        <f t="shared" si="536"/>
        <v>75000</v>
      </c>
      <c r="N240" s="318">
        <f t="shared" si="537"/>
        <v>9.8916664688333378E-2</v>
      </c>
      <c r="O240" s="270">
        <f>IFERROR(
INDEX('Admin - FEOR'!$A$4:$F$465,MATCH(Bérköltség!H240,'Admin - FEOR'!$A$4:$A$465,0),
IF(J240="30 év alatt",3,
IF(J240="30–39 éves",4,
IF(J240="40–49 éves",5,
IF(J240="50 év és afelett",6
)))))*1.5,"NA")</f>
        <v>1137321</v>
      </c>
      <c r="P240" s="270">
        <f t="shared" si="538"/>
        <v>1137321</v>
      </c>
      <c r="Q240" s="270">
        <f t="shared" si="539"/>
        <v>75000</v>
      </c>
      <c r="R240" s="275">
        <f t="shared" si="540"/>
        <v>1</v>
      </c>
      <c r="S240" s="270">
        <f t="shared" si="541"/>
        <v>0</v>
      </c>
      <c r="T240" s="270">
        <f t="shared" si="542"/>
        <v>0</v>
      </c>
      <c r="U240" s="271">
        <f t="shared" si="543"/>
        <v>0</v>
      </c>
      <c r="V240" s="272">
        <f t="shared" si="544"/>
        <v>84750</v>
      </c>
      <c r="W240" s="273" t="str">
        <f t="shared" si="545"/>
        <v>Nem szükséges indoklás.</v>
      </c>
      <c r="X240" s="372">
        <f t="shared" si="546"/>
        <v>0</v>
      </c>
      <c r="Y240" s="317">
        <f t="shared" si="547"/>
        <v>75000</v>
      </c>
      <c r="Z240" s="317">
        <f t="shared" si="548"/>
        <v>9750</v>
      </c>
      <c r="AA240" s="12">
        <v>2</v>
      </c>
      <c r="AB240" s="274">
        <v>8420512370</v>
      </c>
      <c r="AC240" s="40" t="s">
        <v>193</v>
      </c>
      <c r="AD240" s="82" t="s">
        <v>75</v>
      </c>
      <c r="AE240" s="41" t="s">
        <v>52</v>
      </c>
      <c r="AF240" s="11" t="s">
        <v>153</v>
      </c>
      <c r="AG240" s="11" t="s">
        <v>194</v>
      </c>
      <c r="AH240" s="14" t="s">
        <v>122</v>
      </c>
      <c r="AI240" s="86" t="s">
        <v>25</v>
      </c>
      <c r="AJ240" s="113" t="str">
        <f>IF(COUNTIFS(Admin!$A$29:$A$40,AI240)&gt;0,Admin!$A$28,IF(COUNTIFS(Admin!$B$29:$B$40,AI240)&gt;0,Admin!$B$28,IF(COUNTIFS(Admin!$C$29:$C$40,AI240)&gt;0,Admin!$C$28,IF(COUNTIFS(Admin!$D$29:$D$40,AI240)&gt;0,Admin!$D$28,"-"))))</f>
        <v>2. mérföldkő</v>
      </c>
      <c r="AK240" s="14" t="s">
        <v>7</v>
      </c>
      <c r="AL240" s="9" t="s">
        <v>56</v>
      </c>
      <c r="AM240" s="131">
        <v>75000</v>
      </c>
      <c r="AN240" s="132">
        <f t="shared" si="584"/>
        <v>9750</v>
      </c>
      <c r="AO240" s="121">
        <v>44</v>
      </c>
      <c r="AP240" s="121">
        <v>44</v>
      </c>
      <c r="AQ240" s="354">
        <f t="shared" ref="AQ240:AQ321" si="585">IFERROR(AP240/AO240,"")</f>
        <v>1</v>
      </c>
      <c r="AR240" s="133">
        <f t="shared" si="214"/>
        <v>75000</v>
      </c>
      <c r="AS240" s="133">
        <f t="shared" si="500"/>
        <v>9750</v>
      </c>
      <c r="AT240" s="123">
        <f t="shared" ref="AT240:AT321" si="586">IFERROR(AP240/AO240-AR240/AM240,"")</f>
        <v>0</v>
      </c>
      <c r="AU240" s="124">
        <v>0.13</v>
      </c>
      <c r="AV240" s="394" t="s">
        <v>2778</v>
      </c>
      <c r="AW240" s="15">
        <v>44736</v>
      </c>
      <c r="AX240" s="12" t="s">
        <v>206</v>
      </c>
      <c r="AZ240" s="1" t="s">
        <v>2667</v>
      </c>
      <c r="BA240" s="1" t="s">
        <v>2667</v>
      </c>
      <c r="BB240" s="1" t="s">
        <v>2667</v>
      </c>
      <c r="BC240" s="1" t="s">
        <v>2835</v>
      </c>
      <c r="BD240" s="1" t="str">
        <f t="shared" si="583"/>
        <v>Kutató_MK_4 - Kutató</v>
      </c>
    </row>
    <row r="241" spans="1:56" s="1" customFormat="1" hidden="1" x14ac:dyDescent="0.25">
      <c r="A241" s="264" t="str">
        <f>Bérköltség!$B241</f>
        <v>FEOR</v>
      </c>
      <c r="B241" s="264" t="str">
        <f>IFERROR(
IF(AND(Bérköltség!$F241="",H241="NA"),"HIÁNYOS ADATOK",
IF(Bérköltség!$F241&lt;Bérköltség!$U241,Admin!$B$18,Admin!$B$17)),
"")</f>
        <v>FEOR</v>
      </c>
      <c r="C241" s="265" t="str">
        <f>IFERROR(INDEX('Historikus berek_2021-2'!$A$1:$F$903,MATCH(AB241,'Historikus berek_2021-2'!$A$1:$A$903,0),4),"")</f>
        <v/>
      </c>
      <c r="D241" s="279" t="str">
        <f t="shared" si="531"/>
        <v/>
      </c>
      <c r="E241" s="265">
        <f t="shared" si="532"/>
        <v>75000</v>
      </c>
      <c r="F241" s="266" t="str">
        <f t="shared" si="533"/>
        <v/>
      </c>
      <c r="G241" s="267" t="str">
        <f t="shared" si="534"/>
        <v/>
      </c>
      <c r="H241" s="268">
        <f>IFERROR(INDEX('FEOR kodok'!$A$2:$J$1126,MATCH(Bérköltség!AB241,'FEOR kodok'!$B$2:$B$1126,0),8),"NA")</f>
        <v>2169</v>
      </c>
      <c r="I241" s="269">
        <f>IFERROR(INDEX('FEOR kodok'!$A$2:$J$1126,MATCH(Bérköltség!AB241,'FEOR kodok'!$B$2:$B$1126,0),10),"NA")</f>
        <v>41</v>
      </c>
      <c r="J241" s="276" t="str">
        <f t="shared" si="535"/>
        <v>40–49 éves</v>
      </c>
      <c r="K241" s="269" t="str">
        <f>IFERROR(INDEX(admin_feor[#All],MATCH(Bérköltség!H241,admin_feor[[#All],[Foglalkozás]],0),2),"NA")</f>
        <v>Egyéb természettudományi foglalkozású</v>
      </c>
      <c r="L241" s="270">
        <f>IFERROR(
INDEX('Admin - FEOR'!$A$4:$F$465,MATCH(Bérköltség!H241,'Admin - FEOR'!$A$4:$A$465,0),
IF(J241="30 év alatt",3,
IF(J241="30–39 éves",4,
IF(J241="40–49 éves",5,
IF(J241="50 év és afelett",6
)))))*1,"NA")</f>
        <v>758214</v>
      </c>
      <c r="M241" s="270">
        <f t="shared" si="536"/>
        <v>75000</v>
      </c>
      <c r="N241" s="318">
        <f t="shared" si="537"/>
        <v>9.8916664688333378E-2</v>
      </c>
      <c r="O241" s="270">
        <f>IFERROR(
INDEX('Admin - FEOR'!$A$4:$F$465,MATCH(Bérköltség!H241,'Admin - FEOR'!$A$4:$A$465,0),
IF(J241="30 év alatt",3,
IF(J241="30–39 éves",4,
IF(J241="40–49 éves",5,
IF(J241="50 év és afelett",6
)))))*1.5,"NA")</f>
        <v>1137321</v>
      </c>
      <c r="P241" s="270">
        <f t="shared" si="538"/>
        <v>1137321</v>
      </c>
      <c r="Q241" s="270">
        <f t="shared" si="539"/>
        <v>75000</v>
      </c>
      <c r="R241" s="275">
        <f t="shared" si="540"/>
        <v>1</v>
      </c>
      <c r="S241" s="270">
        <f t="shared" si="541"/>
        <v>0</v>
      </c>
      <c r="T241" s="270">
        <f t="shared" si="542"/>
        <v>0</v>
      </c>
      <c r="U241" s="271">
        <f t="shared" si="543"/>
        <v>0</v>
      </c>
      <c r="V241" s="272">
        <f t="shared" si="544"/>
        <v>84750</v>
      </c>
      <c r="W241" s="273" t="str">
        <f t="shared" si="545"/>
        <v>Nem szükséges indoklás.</v>
      </c>
      <c r="X241" s="372">
        <f t="shared" si="546"/>
        <v>0</v>
      </c>
      <c r="Y241" s="317">
        <f t="shared" si="547"/>
        <v>75000</v>
      </c>
      <c r="Z241" s="317">
        <f t="shared" si="548"/>
        <v>9750</v>
      </c>
      <c r="AA241" s="12">
        <v>2</v>
      </c>
      <c r="AB241" s="274">
        <v>8420512370</v>
      </c>
      <c r="AC241" s="40" t="s">
        <v>193</v>
      </c>
      <c r="AD241" s="82" t="s">
        <v>75</v>
      </c>
      <c r="AE241" s="41" t="s">
        <v>52</v>
      </c>
      <c r="AF241" s="11" t="s">
        <v>153</v>
      </c>
      <c r="AG241" s="11" t="s">
        <v>194</v>
      </c>
      <c r="AH241" s="14" t="s">
        <v>122</v>
      </c>
      <c r="AI241" s="86" t="s">
        <v>26</v>
      </c>
      <c r="AJ241" s="113" t="str">
        <f>IF(COUNTIFS(Admin!$A$29:$A$40,AI241)&gt;0,Admin!$A$28,IF(COUNTIFS(Admin!$B$29:$B$40,AI241)&gt;0,Admin!$B$28,IF(COUNTIFS(Admin!$C$29:$C$40,AI241)&gt;0,Admin!$C$28,IF(COUNTIFS(Admin!$D$29:$D$40,AI241)&gt;0,Admin!$D$28,"-"))))</f>
        <v>2. mérföldkő</v>
      </c>
      <c r="AK241" s="14" t="s">
        <v>7</v>
      </c>
      <c r="AL241" s="9" t="s">
        <v>56</v>
      </c>
      <c r="AM241" s="131">
        <v>75000</v>
      </c>
      <c r="AN241" s="132">
        <f t="shared" si="584"/>
        <v>9750</v>
      </c>
      <c r="AO241" s="121">
        <v>44</v>
      </c>
      <c r="AP241" s="121">
        <v>44</v>
      </c>
      <c r="AQ241" s="354">
        <f t="shared" si="585"/>
        <v>1</v>
      </c>
      <c r="AR241" s="133">
        <f t="shared" si="214"/>
        <v>75000</v>
      </c>
      <c r="AS241" s="133">
        <f t="shared" si="500"/>
        <v>9750</v>
      </c>
      <c r="AT241" s="123">
        <f t="shared" si="586"/>
        <v>0</v>
      </c>
      <c r="AU241" s="124">
        <v>0.13</v>
      </c>
      <c r="AV241" s="394" t="s">
        <v>2778</v>
      </c>
      <c r="AW241" s="15">
        <v>44883</v>
      </c>
      <c r="AX241" s="12" t="s">
        <v>206</v>
      </c>
      <c r="AZ241" s="1" t="s">
        <v>2667</v>
      </c>
      <c r="BA241" s="1" t="s">
        <v>2667</v>
      </c>
      <c r="BB241" s="1" t="s">
        <v>2667</v>
      </c>
      <c r="BC241" s="1" t="s">
        <v>2835</v>
      </c>
      <c r="BD241" s="1" t="str">
        <f t="shared" si="583"/>
        <v>Kutató_MK_4 - Kutató</v>
      </c>
    </row>
    <row r="242" spans="1:56" s="1" customFormat="1" hidden="1" x14ac:dyDescent="0.25">
      <c r="A242" s="264" t="str">
        <f>Bérköltség!$B242</f>
        <v>FEOR</v>
      </c>
      <c r="B242" s="264" t="str">
        <f>IFERROR(
IF(AND(Bérköltség!$F242="",H242="NA"),"HIÁNYOS ADATOK",
IF(Bérköltség!$F242&lt;Bérköltség!$U242,Admin!$B$18,Admin!$B$17)),
"")</f>
        <v>FEOR</v>
      </c>
      <c r="C242" s="265" t="str">
        <f>IFERROR(INDEX('Historikus berek_2021-2'!$A$1:$F$903,MATCH(AB242,'Historikus berek_2021-2'!$A$1:$A$903,0),4),"")</f>
        <v/>
      </c>
      <c r="D242" s="279" t="str">
        <f t="shared" si="531"/>
        <v/>
      </c>
      <c r="E242" s="265">
        <f t="shared" si="532"/>
        <v>75000</v>
      </c>
      <c r="F242" s="266" t="str">
        <f t="shared" si="533"/>
        <v/>
      </c>
      <c r="G242" s="267" t="str">
        <f t="shared" si="534"/>
        <v/>
      </c>
      <c r="H242" s="268">
        <f>IFERROR(INDEX('FEOR kodok'!$A$2:$J$1126,MATCH(Bérköltség!AB242,'FEOR kodok'!$B$2:$B$1126,0),8),"NA")</f>
        <v>2169</v>
      </c>
      <c r="I242" s="269">
        <f>IFERROR(INDEX('FEOR kodok'!$A$2:$J$1126,MATCH(Bérköltség!AB242,'FEOR kodok'!$B$2:$B$1126,0),10),"NA")</f>
        <v>41</v>
      </c>
      <c r="J242" s="276" t="str">
        <f t="shared" si="535"/>
        <v>40–49 éves</v>
      </c>
      <c r="K242" s="269" t="str">
        <f>IFERROR(INDEX(admin_feor[#All],MATCH(Bérköltség!H242,admin_feor[[#All],[Foglalkozás]],0),2),"NA")</f>
        <v>Egyéb természettudományi foglalkozású</v>
      </c>
      <c r="L242" s="270">
        <f>IFERROR(
INDEX('Admin - FEOR'!$A$4:$F$465,MATCH(Bérköltség!H242,'Admin - FEOR'!$A$4:$A$465,0),
IF(J242="30 év alatt",3,
IF(J242="30–39 éves",4,
IF(J242="40–49 éves",5,
IF(J242="50 év és afelett",6
)))))*1,"NA")</f>
        <v>758214</v>
      </c>
      <c r="M242" s="270">
        <f t="shared" si="536"/>
        <v>75000</v>
      </c>
      <c r="N242" s="318">
        <f t="shared" si="537"/>
        <v>9.8916664688333378E-2</v>
      </c>
      <c r="O242" s="270">
        <f>IFERROR(
INDEX('Admin - FEOR'!$A$4:$F$465,MATCH(Bérköltség!H242,'Admin - FEOR'!$A$4:$A$465,0),
IF(J242="30 év alatt",3,
IF(J242="30–39 éves",4,
IF(J242="40–49 éves",5,
IF(J242="50 év és afelett",6
)))))*1.5,"NA")</f>
        <v>1137321</v>
      </c>
      <c r="P242" s="270">
        <f t="shared" si="538"/>
        <v>1137321</v>
      </c>
      <c r="Q242" s="270">
        <f t="shared" si="539"/>
        <v>75000</v>
      </c>
      <c r="R242" s="275">
        <f t="shared" si="540"/>
        <v>1</v>
      </c>
      <c r="S242" s="270">
        <f t="shared" si="541"/>
        <v>0</v>
      </c>
      <c r="T242" s="270">
        <f t="shared" si="542"/>
        <v>0</v>
      </c>
      <c r="U242" s="271">
        <f t="shared" si="543"/>
        <v>0</v>
      </c>
      <c r="V242" s="272">
        <f t="shared" si="544"/>
        <v>84750</v>
      </c>
      <c r="W242" s="273" t="str">
        <f t="shared" si="545"/>
        <v>Nem szükséges indoklás.</v>
      </c>
      <c r="X242" s="372">
        <f t="shared" si="546"/>
        <v>0</v>
      </c>
      <c r="Y242" s="317">
        <f t="shared" si="547"/>
        <v>75000</v>
      </c>
      <c r="Z242" s="317">
        <f t="shared" si="548"/>
        <v>9750</v>
      </c>
      <c r="AA242" s="12">
        <v>2</v>
      </c>
      <c r="AB242" s="274">
        <v>8420512370</v>
      </c>
      <c r="AC242" s="40" t="s">
        <v>193</v>
      </c>
      <c r="AD242" s="82" t="s">
        <v>75</v>
      </c>
      <c r="AE242" s="41" t="s">
        <v>52</v>
      </c>
      <c r="AF242" s="11" t="s">
        <v>153</v>
      </c>
      <c r="AG242" s="11" t="s">
        <v>194</v>
      </c>
      <c r="AH242" s="14" t="s">
        <v>122</v>
      </c>
      <c r="AI242" s="86" t="s">
        <v>32</v>
      </c>
      <c r="AJ242" s="113" t="str">
        <f>IF(COUNTIFS(Admin!$A$29:$A$40,AI242)&gt;0,Admin!$A$28,IF(COUNTIFS(Admin!$B$29:$B$40,AI242)&gt;0,Admin!$B$28,IF(COUNTIFS(Admin!$C$29:$C$40,AI242)&gt;0,Admin!$C$28,IF(COUNTIFS(Admin!$D$29:$D$40,AI242)&gt;0,Admin!$D$28,"-"))))</f>
        <v>2. mérföldkő</v>
      </c>
      <c r="AK242" s="14" t="s">
        <v>7</v>
      </c>
      <c r="AL242" s="9" t="s">
        <v>56</v>
      </c>
      <c r="AM242" s="131">
        <v>75000</v>
      </c>
      <c r="AN242" s="132">
        <f t="shared" si="584"/>
        <v>9750</v>
      </c>
      <c r="AO242" s="121">
        <v>44</v>
      </c>
      <c r="AP242" s="121">
        <v>44</v>
      </c>
      <c r="AQ242" s="354">
        <f t="shared" si="585"/>
        <v>1</v>
      </c>
      <c r="AR242" s="133">
        <f t="shared" si="214"/>
        <v>75000</v>
      </c>
      <c r="AS242" s="133">
        <f t="shared" si="500"/>
        <v>9750</v>
      </c>
      <c r="AT242" s="123">
        <f t="shared" si="586"/>
        <v>0</v>
      </c>
      <c r="AU242" s="124">
        <v>0.13</v>
      </c>
      <c r="AV242" s="394" t="s">
        <v>2778</v>
      </c>
      <c r="AW242" s="15">
        <v>44883</v>
      </c>
      <c r="AX242" s="12" t="s">
        <v>206</v>
      </c>
      <c r="AZ242" s="1" t="s">
        <v>2667</v>
      </c>
      <c r="BA242" s="1">
        <v>0</v>
      </c>
      <c r="BB242" s="1">
        <v>0</v>
      </c>
      <c r="BC242" s="1" t="s">
        <v>2835</v>
      </c>
      <c r="BD242" s="1" t="str">
        <f t="shared" si="583"/>
        <v>Kutató_MK_4 - Kutató</v>
      </c>
    </row>
    <row r="243" spans="1:56" s="1" customFormat="1" hidden="1" x14ac:dyDescent="0.25">
      <c r="A243" s="264" t="str">
        <f>Bérköltség!$B243</f>
        <v>FEOR</v>
      </c>
      <c r="B243" s="264" t="str">
        <f>IFERROR(
IF(AND(Bérköltség!$F243="",H243="NA"),"HIÁNYOS ADATOK",
IF(Bérköltség!$F243&lt;Bérköltség!$U243,Admin!$B$18,Admin!$B$17)),
"")</f>
        <v>FEOR</v>
      </c>
      <c r="C243" s="265" t="str">
        <f>IFERROR(INDEX('Historikus berek_2021-2'!$A$1:$F$903,MATCH(AB243,'Historikus berek_2021-2'!$A$1:$A$903,0),4),"")</f>
        <v/>
      </c>
      <c r="D243" s="279" t="str">
        <f t="shared" si="531"/>
        <v/>
      </c>
      <c r="E243" s="265">
        <f t="shared" si="532"/>
        <v>75000</v>
      </c>
      <c r="F243" s="266" t="str">
        <f t="shared" si="533"/>
        <v/>
      </c>
      <c r="G243" s="267" t="str">
        <f t="shared" si="534"/>
        <v/>
      </c>
      <c r="H243" s="268">
        <f>IFERROR(INDEX('FEOR kodok'!$A$2:$J$1126,MATCH(Bérköltség!AB243,'FEOR kodok'!$B$2:$B$1126,0),8),"NA")</f>
        <v>2169</v>
      </c>
      <c r="I243" s="269">
        <f>IFERROR(INDEX('FEOR kodok'!$A$2:$J$1126,MATCH(Bérköltség!AB243,'FEOR kodok'!$B$2:$B$1126,0),10),"NA")</f>
        <v>41</v>
      </c>
      <c r="J243" s="276" t="str">
        <f t="shared" si="535"/>
        <v>40–49 éves</v>
      </c>
      <c r="K243" s="269" t="str">
        <f>IFERROR(INDEX(admin_feor[#All],MATCH(Bérköltség!H243,admin_feor[[#All],[Foglalkozás]],0),2),"NA")</f>
        <v>Egyéb természettudományi foglalkozású</v>
      </c>
      <c r="L243" s="270">
        <f>IFERROR(
INDEX('Admin - FEOR'!$A$4:$F$465,MATCH(Bérköltség!H243,'Admin - FEOR'!$A$4:$A$465,0),
IF(J243="30 év alatt",3,
IF(J243="30–39 éves",4,
IF(J243="40–49 éves",5,
IF(J243="50 év és afelett",6
)))))*1,"NA")</f>
        <v>758214</v>
      </c>
      <c r="M243" s="270">
        <f t="shared" si="536"/>
        <v>75000</v>
      </c>
      <c r="N243" s="318">
        <f t="shared" si="537"/>
        <v>9.8916664688333378E-2</v>
      </c>
      <c r="O243" s="270">
        <f>IFERROR(
INDEX('Admin - FEOR'!$A$4:$F$465,MATCH(Bérköltség!H243,'Admin - FEOR'!$A$4:$A$465,0),
IF(J243="30 év alatt",3,
IF(J243="30–39 éves",4,
IF(J243="40–49 éves",5,
IF(J243="50 év és afelett",6
)))))*1.5,"NA")</f>
        <v>1137321</v>
      </c>
      <c r="P243" s="270">
        <f t="shared" si="538"/>
        <v>1137321</v>
      </c>
      <c r="Q243" s="270">
        <f t="shared" si="539"/>
        <v>75000</v>
      </c>
      <c r="R243" s="275">
        <f t="shared" si="540"/>
        <v>1</v>
      </c>
      <c r="S243" s="270">
        <f t="shared" si="541"/>
        <v>0</v>
      </c>
      <c r="T243" s="270">
        <f t="shared" si="542"/>
        <v>0</v>
      </c>
      <c r="U243" s="271">
        <f t="shared" si="543"/>
        <v>0</v>
      </c>
      <c r="V243" s="272">
        <f t="shared" si="544"/>
        <v>84750</v>
      </c>
      <c r="W243" s="273" t="str">
        <f t="shared" si="545"/>
        <v>Nem szükséges indoklás.</v>
      </c>
      <c r="X243" s="372">
        <f t="shared" si="546"/>
        <v>0</v>
      </c>
      <c r="Y243" s="317">
        <f t="shared" si="547"/>
        <v>75000</v>
      </c>
      <c r="Z243" s="317">
        <f t="shared" si="548"/>
        <v>9750</v>
      </c>
      <c r="AA243" s="12">
        <v>2</v>
      </c>
      <c r="AB243" s="274">
        <v>8420512370</v>
      </c>
      <c r="AC243" s="40" t="s">
        <v>193</v>
      </c>
      <c r="AD243" s="82" t="s">
        <v>75</v>
      </c>
      <c r="AE243" s="41" t="s">
        <v>52</v>
      </c>
      <c r="AF243" s="11" t="s">
        <v>153</v>
      </c>
      <c r="AG243" s="11" t="s">
        <v>194</v>
      </c>
      <c r="AH243" s="14" t="s">
        <v>122</v>
      </c>
      <c r="AI243" s="86" t="s">
        <v>33</v>
      </c>
      <c r="AJ243" s="113" t="str">
        <f>IF(COUNTIFS(Admin!$A$29:$A$40,AI243)&gt;0,Admin!$A$28,IF(COUNTIFS(Admin!$B$29:$B$40,AI243)&gt;0,Admin!$B$28,IF(COUNTIFS(Admin!$C$29:$C$40,AI243)&gt;0,Admin!$C$28,IF(COUNTIFS(Admin!$D$29:$D$40,AI243)&gt;0,Admin!$D$28,"-"))))</f>
        <v>2. mérföldkő</v>
      </c>
      <c r="AK243" s="14" t="s">
        <v>7</v>
      </c>
      <c r="AL243" s="9" t="s">
        <v>56</v>
      </c>
      <c r="AM243" s="131">
        <v>75000</v>
      </c>
      <c r="AN243" s="132">
        <f t="shared" si="584"/>
        <v>9750</v>
      </c>
      <c r="AO243" s="121">
        <v>44</v>
      </c>
      <c r="AP243" s="121">
        <v>44</v>
      </c>
      <c r="AQ243" s="354">
        <f t="shared" si="585"/>
        <v>1</v>
      </c>
      <c r="AR243" s="133">
        <f t="shared" si="214"/>
        <v>75000</v>
      </c>
      <c r="AS243" s="133">
        <f t="shared" si="500"/>
        <v>9750</v>
      </c>
      <c r="AT243" s="123">
        <f t="shared" si="586"/>
        <v>0</v>
      </c>
      <c r="AU243" s="124">
        <v>0.13</v>
      </c>
      <c r="AV243" s="394" t="s">
        <v>2778</v>
      </c>
      <c r="AW243" s="15">
        <v>44883</v>
      </c>
      <c r="AX243" s="12" t="s">
        <v>206</v>
      </c>
      <c r="AZ243" s="8" t="e">
        <f>IF(VLOOKUP(LEFT($AB243,10),'Havi béradatok'!$B:$E,2,FALSE)=AG243,"EGYEZIK","HIBÁS")</f>
        <v>#N/A</v>
      </c>
      <c r="BA243" s="1" t="e">
        <f>VLOOKUP(LEFT($AB243,10),'Havi béradatok'!$B:$E,3,FALSE)-AM243</f>
        <v>#N/A</v>
      </c>
      <c r="BB243" s="1" t="e">
        <f>VLOOKUP(LEFT($AB243,10),'Havi béradatok'!$B:$E,4,FALSE)-AN243</f>
        <v>#N/A</v>
      </c>
      <c r="BC243" s="1" t="s">
        <v>2835</v>
      </c>
      <c r="BD243" s="1" t="str">
        <f t="shared" si="583"/>
        <v>Kutató_MK_4 - Kutató</v>
      </c>
    </row>
    <row r="244" spans="1:56" s="1" customFormat="1" hidden="1" x14ac:dyDescent="0.25">
      <c r="A244" s="264" t="str">
        <f>Bérköltség!$B244</f>
        <v>FEOR</v>
      </c>
      <c r="B244" s="264" t="str">
        <f>IFERROR(
IF(AND(Bérköltség!$F244="",H244="NA"),"HIÁNYOS ADATOK",
IF(Bérköltség!$F244&lt;Bérköltség!$U244,Admin!$B$18,Admin!$B$17)),
"")</f>
        <v>FEOR</v>
      </c>
      <c r="C244" s="265">
        <f>IFERROR(INDEX('Historikus berek_2021-2'!$A$1:$F$903,MATCH(AB244,'Historikus berek_2021-2'!$A$1:$A$903,0),4),"")</f>
        <v>300000</v>
      </c>
      <c r="D244" s="279">
        <f t="shared" si="531"/>
        <v>124137.93103448275</v>
      </c>
      <c r="E244" s="265">
        <f t="shared" si="532"/>
        <v>136552</v>
      </c>
      <c r="F244" s="266">
        <f t="shared" si="533"/>
        <v>13342.60370574714</v>
      </c>
      <c r="G244" s="267">
        <f t="shared" si="534"/>
        <v>133423.07210031347</v>
      </c>
      <c r="H244" s="268">
        <f>IFERROR(INDEX('FEOR kodok'!$A$2:$J$1126,MATCH(Bérköltség!AB244,'FEOR kodok'!$B$2:$B$1126,0),8),"NA")</f>
        <v>3910</v>
      </c>
      <c r="I244" s="269">
        <f>IFERROR(INDEX('FEOR kodok'!$A$2:$J$1126,MATCH(Bérköltség!AB244,'FEOR kodok'!$B$2:$B$1126,0),10),"NA")</f>
        <v>36</v>
      </c>
      <c r="J244" s="276" t="str">
        <f t="shared" si="535"/>
        <v>30–39 éves</v>
      </c>
      <c r="K244" s="269" t="str">
        <f>IFERROR(INDEX(admin_feor[#All],MATCH(Bérköltség!H244,admin_feor[[#All],[Foglalkozás]],0),2),"NA")</f>
        <v>Egyéb ügyintéző</v>
      </c>
      <c r="L244" s="270">
        <f>IFERROR(
INDEX('Admin - FEOR'!$A$4:$F$465,MATCH(Bérköltség!H244,'Admin - FEOR'!$A$4:$A$465,0),
IF(J244="30 év alatt",3,
IF(J244="30–39 éves",4,
IF(J244="40–49 éves",5,
IF(J244="50 év és afelett",6
)))))*1,"NA")</f>
        <v>408171</v>
      </c>
      <c r="M244" s="270">
        <f t="shared" si="536"/>
        <v>330000</v>
      </c>
      <c r="N244" s="318">
        <f t="shared" si="537"/>
        <v>0.80848467921532885</v>
      </c>
      <c r="O244" s="270">
        <f>IFERROR(
INDEX('Admin - FEOR'!$A$4:$F$465,MATCH(Bérköltség!H244,'Admin - FEOR'!$A$4:$A$465,0),
IF(J244="30 év alatt",3,
IF(J244="30–39 éves",4,
IF(J244="40–49 éves",5,
IF(J244="50 év és afelett",6
)))))*1.5,"NA")</f>
        <v>612256.5</v>
      </c>
      <c r="P244" s="270">
        <f t="shared" si="538"/>
        <v>253347.5172413793</v>
      </c>
      <c r="Q244" s="270">
        <f t="shared" si="539"/>
        <v>136552</v>
      </c>
      <c r="R244" s="275">
        <f t="shared" si="540"/>
        <v>0.41379310344827586</v>
      </c>
      <c r="S244" s="270">
        <f t="shared" si="541"/>
        <v>0</v>
      </c>
      <c r="T244" s="270">
        <f t="shared" si="542"/>
        <v>0</v>
      </c>
      <c r="U244" s="271">
        <f t="shared" si="543"/>
        <v>0</v>
      </c>
      <c r="V244" s="272">
        <f t="shared" si="544"/>
        <v>146766</v>
      </c>
      <c r="W244" s="273" t="str">
        <f t="shared" si="545"/>
        <v>Nem szükséges indoklás.</v>
      </c>
      <c r="X244" s="372">
        <f t="shared" si="546"/>
        <v>0</v>
      </c>
      <c r="Y244" s="317">
        <f t="shared" si="547"/>
        <v>136552</v>
      </c>
      <c r="Z244" s="317">
        <f t="shared" si="548"/>
        <v>10214</v>
      </c>
      <c r="AA244" s="12" t="s">
        <v>2800</v>
      </c>
      <c r="AB244" s="274">
        <v>8440502516</v>
      </c>
      <c r="AC244" s="40" t="s">
        <v>297</v>
      </c>
      <c r="AD244" s="82" t="s">
        <v>76</v>
      </c>
      <c r="AE244" s="41" t="s">
        <v>85</v>
      </c>
      <c r="AF244" s="11" t="s">
        <v>160</v>
      </c>
      <c r="AG244" s="11" t="s">
        <v>196</v>
      </c>
      <c r="AH244" s="14" t="s">
        <v>142</v>
      </c>
      <c r="AI244" s="86" t="s">
        <v>26</v>
      </c>
      <c r="AJ244" s="113" t="str">
        <f>IF(COUNTIFS(Admin!$A$29:$A$40,AI244)&gt;0,Admin!$A$28,IF(COUNTIFS(Admin!$B$29:$B$40,AI244)&gt;0,Admin!$B$28,IF(COUNTIFS(Admin!$C$29:$C$40,AI244)&gt;0,Admin!$C$28,IF(COUNTIFS(Admin!$D$29:$D$40,AI244)&gt;0,Admin!$D$28,"-"))))</f>
        <v>2. mérföldkő</v>
      </c>
      <c r="AK244" s="14" t="s">
        <v>7</v>
      </c>
      <c r="AL244" s="9" t="s">
        <v>56</v>
      </c>
      <c r="AM244" s="131">
        <v>330000</v>
      </c>
      <c r="AN244" s="132">
        <v>24683</v>
      </c>
      <c r="AO244" s="121">
        <v>174</v>
      </c>
      <c r="AP244" s="121">
        <v>72</v>
      </c>
      <c r="AQ244" s="354">
        <f t="shared" si="585"/>
        <v>0.41379310344827586</v>
      </c>
      <c r="AR244" s="133">
        <f t="shared" si="214"/>
        <v>136552</v>
      </c>
      <c r="AS244" s="133">
        <f>IFERROR(ROUND(AR244*AU244,0),"")</f>
        <v>10214</v>
      </c>
      <c r="AT244" s="123">
        <f t="shared" si="586"/>
        <v>-8.3594566352429567E-7</v>
      </c>
      <c r="AU244" s="393">
        <f>AN244/AM244</f>
        <v>7.4796969696969695E-2</v>
      </c>
      <c r="AV244" s="394" t="s">
        <v>2779</v>
      </c>
      <c r="AW244" s="15">
        <v>44887</v>
      </c>
      <c r="AX244" s="12" t="s">
        <v>206</v>
      </c>
      <c r="AZ244" s="1" t="s">
        <v>2667</v>
      </c>
      <c r="BA244" s="1" t="s">
        <v>2668</v>
      </c>
      <c r="BB244" s="1" t="s">
        <v>2668</v>
      </c>
    </row>
    <row r="245" spans="1:56" s="1" customFormat="1" hidden="1" x14ac:dyDescent="0.25">
      <c r="A245" s="264" t="str">
        <f>Bérköltség!$B245</f>
        <v>FEOR</v>
      </c>
      <c r="B245" s="264" t="str">
        <f>IFERROR(
IF(AND(Bérköltség!$F245="",H245="NA"),"HIÁNYOS ADATOK",
IF(Bérköltség!$F245&lt;Bérköltség!$U245,Admin!$B$18,Admin!$B$17)),
"")</f>
        <v>FEOR</v>
      </c>
      <c r="C245" s="265">
        <f>IFERROR(INDEX('Historikus berek_2021-2'!$A$1:$F$903,MATCH(AB245,'Historikus berek_2021-2'!$A$1:$A$903,0),4),"")</f>
        <v>300000</v>
      </c>
      <c r="D245" s="279">
        <f t="shared" si="531"/>
        <v>124137.93103448275</v>
      </c>
      <c r="E245" s="265">
        <f t="shared" si="532"/>
        <v>142759</v>
      </c>
      <c r="F245" s="266">
        <f t="shared" si="533"/>
        <v>19413.946386462252</v>
      </c>
      <c r="G245" s="267">
        <f t="shared" si="534"/>
        <v>129423.67283493132</v>
      </c>
      <c r="H245" s="268">
        <f>IFERROR(INDEX('FEOR kodok'!$A$2:$J$1126,MATCH(Bérköltség!AB245,'FEOR kodok'!$B$2:$B$1126,0),8),"NA")</f>
        <v>3910</v>
      </c>
      <c r="I245" s="269">
        <f>IFERROR(INDEX('FEOR kodok'!$A$2:$J$1126,MATCH(Bérköltség!AB245,'FEOR kodok'!$B$2:$B$1126,0),10),"NA")</f>
        <v>36</v>
      </c>
      <c r="J245" s="276" t="str">
        <f t="shared" si="535"/>
        <v>30–39 éves</v>
      </c>
      <c r="K245" s="269" t="str">
        <f>IFERROR(INDEX(admin_feor[#All],MATCH(Bérköltség!H245,admin_feor[[#All],[Foglalkozás]],0),2),"NA")</f>
        <v>Egyéb ügyintéző</v>
      </c>
      <c r="L245" s="270">
        <f>IFERROR(
INDEX('Admin - FEOR'!$A$4:$F$465,MATCH(Bérköltség!H245,'Admin - FEOR'!$A$4:$A$465,0),
IF(J245="30 év alatt",3,
IF(J245="30–39 éves",4,
IF(J245="40–49 éves",5,
IF(J245="50 év és afelett",6
)))))*1,"NA")</f>
        <v>408171</v>
      </c>
      <c r="M245" s="270">
        <f t="shared" si="536"/>
        <v>345001</v>
      </c>
      <c r="N245" s="318">
        <f t="shared" si="537"/>
        <v>0.84523643276959903</v>
      </c>
      <c r="O245" s="270">
        <f>IFERROR(
INDEX('Admin - FEOR'!$A$4:$F$465,MATCH(Bérköltség!H245,'Admin - FEOR'!$A$4:$A$465,0),
IF(J245="30 év alatt",3,
IF(J245="30–39 éves",4,
IF(J245="40–49 éves",5,
IF(J245="50 év és afelett",6
)))))*1.5,"NA")</f>
        <v>612256.5</v>
      </c>
      <c r="P245" s="270">
        <f t="shared" si="538"/>
        <v>253347.5172413793</v>
      </c>
      <c r="Q245" s="270">
        <f t="shared" si="539"/>
        <v>142759</v>
      </c>
      <c r="R245" s="275">
        <f t="shared" si="540"/>
        <v>0.41379310344827586</v>
      </c>
      <c r="S245" s="270">
        <f t="shared" si="541"/>
        <v>0</v>
      </c>
      <c r="T245" s="270">
        <f t="shared" si="542"/>
        <v>0</v>
      </c>
      <c r="U245" s="271">
        <f t="shared" si="543"/>
        <v>0</v>
      </c>
      <c r="V245" s="272">
        <f t="shared" si="544"/>
        <v>148838</v>
      </c>
      <c r="W245" s="273" t="str">
        <f t="shared" si="545"/>
        <v>Nem szükséges indoklás.</v>
      </c>
      <c r="X245" s="372">
        <f t="shared" si="546"/>
        <v>0</v>
      </c>
      <c r="Y245" s="317">
        <f t="shared" si="547"/>
        <v>142759</v>
      </c>
      <c r="Z245" s="317">
        <f t="shared" si="548"/>
        <v>6079</v>
      </c>
      <c r="AA245" s="12" t="s">
        <v>2800</v>
      </c>
      <c r="AB245" s="274">
        <v>8440502516</v>
      </c>
      <c r="AC245" s="40" t="s">
        <v>297</v>
      </c>
      <c r="AD245" s="82" t="s">
        <v>76</v>
      </c>
      <c r="AE245" s="41" t="s">
        <v>85</v>
      </c>
      <c r="AF245" s="11" t="s">
        <v>160</v>
      </c>
      <c r="AG245" s="11" t="s">
        <v>196</v>
      </c>
      <c r="AH245" s="14" t="s">
        <v>142</v>
      </c>
      <c r="AI245" s="86" t="s">
        <v>32</v>
      </c>
      <c r="AJ245" s="113" t="str">
        <f>IF(COUNTIFS(Admin!$A$29:$A$40,AI245)&gt;0,Admin!$A$28,IF(COUNTIFS(Admin!$B$29:$B$40,AI245)&gt;0,Admin!$B$28,IF(COUNTIFS(Admin!$C$29:$C$40,AI245)&gt;0,Admin!$C$28,IF(COUNTIFS(Admin!$D$29:$D$40,AI245)&gt;0,Admin!$D$28,"-"))))</f>
        <v>2. mérföldkő</v>
      </c>
      <c r="AK245" s="14" t="s">
        <v>7</v>
      </c>
      <c r="AL245" s="9" t="s">
        <v>56</v>
      </c>
      <c r="AM245" s="131">
        <v>345001</v>
      </c>
      <c r="AN245" s="132">
        <v>14690</v>
      </c>
      <c r="AO245" s="121">
        <v>174</v>
      </c>
      <c r="AP245" s="121">
        <v>72</v>
      </c>
      <c r="AQ245" s="354">
        <f t="shared" si="585"/>
        <v>0.41379310344827586</v>
      </c>
      <c r="AR245" s="133">
        <f t="shared" si="214"/>
        <v>142759</v>
      </c>
      <c r="AS245" s="133">
        <f>IFERROR(ROUND(AR245*AU245,0),"")</f>
        <v>6079</v>
      </c>
      <c r="AT245" s="123">
        <f t="shared" si="586"/>
        <v>9.9949735266058326E-8</v>
      </c>
      <c r="AU245" s="393">
        <f>AN245/AM245</f>
        <v>4.2579586725835575E-2</v>
      </c>
      <c r="AV245" s="394" t="s">
        <v>2779</v>
      </c>
      <c r="AW245" s="15">
        <v>44945</v>
      </c>
      <c r="AX245" s="12" t="s">
        <v>206</v>
      </c>
      <c r="AZ245" s="1" t="s">
        <v>2667</v>
      </c>
      <c r="BA245" s="1">
        <v>0</v>
      </c>
      <c r="BB245" s="1">
        <v>0</v>
      </c>
    </row>
    <row r="246" spans="1:56" s="1" customFormat="1" hidden="1" x14ac:dyDescent="0.25">
      <c r="A246" s="264" t="str">
        <f>Bérköltség!$B246</f>
        <v>FEOR</v>
      </c>
      <c r="B246" s="264" t="str">
        <f>IFERROR(
IF(AND(Bérköltség!$F246="",H246="NA"),"HIÁNYOS ADATOK",
IF(Bérköltség!$F246&lt;Bérköltség!$U246,Admin!$B$18,Admin!$B$17)),
"")</f>
        <v>FEOR</v>
      </c>
      <c r="C246" s="265">
        <f>IFERROR(INDEX('Historikus berek_2021-2'!$A$1:$F$903,MATCH(AB246,'Historikus berek_2021-2'!$A$1:$A$903,0),4),"")</f>
        <v>300000</v>
      </c>
      <c r="D246" s="279">
        <f t="shared" si="531"/>
        <v>124137.93103448275</v>
      </c>
      <c r="E246" s="265">
        <f t="shared" si="532"/>
        <v>9993</v>
      </c>
      <c r="F246" s="266">
        <f t="shared" si="533"/>
        <v>0</v>
      </c>
      <c r="G246" s="267">
        <f t="shared" si="534"/>
        <v>11292.089999999998</v>
      </c>
      <c r="H246" s="268">
        <f>IFERROR(INDEX('FEOR kodok'!$A$2:$J$1126,MATCH(Bérköltség!AB246,'FEOR kodok'!$B$2:$B$1126,0),8),"NA")</f>
        <v>3910</v>
      </c>
      <c r="I246" s="269">
        <f>IFERROR(INDEX('FEOR kodok'!$A$2:$J$1126,MATCH(Bérköltség!AB246,'FEOR kodok'!$B$2:$B$1126,0),10),"NA")</f>
        <v>36</v>
      </c>
      <c r="J246" s="276" t="str">
        <f t="shared" si="535"/>
        <v>30–39 éves</v>
      </c>
      <c r="K246" s="269" t="str">
        <f>IFERROR(INDEX(admin_feor[#All],MATCH(Bérköltség!H246,admin_feor[[#All],[Foglalkozás]],0),2),"NA")</f>
        <v>Egyéb ügyintéző</v>
      </c>
      <c r="L246" s="270">
        <f>IFERROR(
INDEX('Admin - FEOR'!$A$4:$F$465,MATCH(Bérköltség!H246,'Admin - FEOR'!$A$4:$A$465,0),
IF(J246="30 év alatt",3,
IF(J246="30–39 éves",4,
IF(J246="40–49 éves",5,
IF(J246="50 év és afelett",6
)))))*1,"NA")</f>
        <v>408171</v>
      </c>
      <c r="M246" s="270">
        <f t="shared" si="536"/>
        <v>24150</v>
      </c>
      <c r="N246" s="318">
        <f t="shared" si="537"/>
        <v>5.9166378797121798E-2</v>
      </c>
      <c r="O246" s="270">
        <f>IFERROR(
INDEX('Admin - FEOR'!$A$4:$F$465,MATCH(Bérköltség!H246,'Admin - FEOR'!$A$4:$A$465,0),
IF(J246="30 év alatt",3,
IF(J246="30–39 éves",4,
IF(J246="40–49 éves",5,
IF(J246="50 év és afelett",6
)))))*1.5,"NA")</f>
        <v>612256.5</v>
      </c>
      <c r="P246" s="270">
        <f t="shared" si="538"/>
        <v>253347.5172413793</v>
      </c>
      <c r="Q246" s="270">
        <f t="shared" si="539"/>
        <v>9993</v>
      </c>
      <c r="R246" s="275">
        <f t="shared" si="540"/>
        <v>0.41379310344827586</v>
      </c>
      <c r="S246" s="270">
        <f t="shared" si="541"/>
        <v>0</v>
      </c>
      <c r="T246" s="270">
        <f t="shared" si="542"/>
        <v>0</v>
      </c>
      <c r="U246" s="271">
        <f t="shared" si="543"/>
        <v>0</v>
      </c>
      <c r="V246" s="272">
        <f t="shared" si="544"/>
        <v>11292</v>
      </c>
      <c r="W246" s="273" t="str">
        <f t="shared" si="545"/>
        <v>Nem szükséges indoklás.</v>
      </c>
      <c r="X246" s="372">
        <f t="shared" si="546"/>
        <v>0</v>
      </c>
      <c r="Y246" s="317">
        <f t="shared" si="547"/>
        <v>9993</v>
      </c>
      <c r="Z246" s="317">
        <f t="shared" si="548"/>
        <v>1299</v>
      </c>
      <c r="AA246" s="12" t="s">
        <v>2800</v>
      </c>
      <c r="AB246" s="274">
        <v>8440502516</v>
      </c>
      <c r="AC246" s="40" t="s">
        <v>297</v>
      </c>
      <c r="AD246" s="82" t="s">
        <v>76</v>
      </c>
      <c r="AE246" s="41" t="s">
        <v>85</v>
      </c>
      <c r="AF246" s="11" t="s">
        <v>160</v>
      </c>
      <c r="AG246" s="11" t="s">
        <v>196</v>
      </c>
      <c r="AH246" s="14" t="s">
        <v>142</v>
      </c>
      <c r="AI246" s="86" t="s">
        <v>33</v>
      </c>
      <c r="AJ246" s="113" t="str">
        <f>IF(COUNTIFS(Admin!$A$29:$A$40,AI246)&gt;0,Admin!$A$28,IF(COUNTIFS(Admin!$B$29:$B$40,AI246)&gt;0,Admin!$B$28,IF(COUNTIFS(Admin!$C$29:$C$40,AI246)&gt;0,Admin!$C$28,IF(COUNTIFS(Admin!$D$29:$D$40,AI246)&gt;0,Admin!$D$28,"-"))))</f>
        <v>2. mérföldkő</v>
      </c>
      <c r="AK246" s="14" t="s">
        <v>7</v>
      </c>
      <c r="AL246" s="9" t="s">
        <v>56</v>
      </c>
      <c r="AM246" s="131">
        <v>24150</v>
      </c>
      <c r="AN246" s="132">
        <f t="shared" ref="AN246:AN250" si="587">IFERROR(ROUND(AM246*AU246,0),"")</f>
        <v>3140</v>
      </c>
      <c r="AO246" s="121">
        <v>174</v>
      </c>
      <c r="AP246" s="121">
        <v>72</v>
      </c>
      <c r="AQ246" s="354">
        <f t="shared" si="585"/>
        <v>0.41379310344827586</v>
      </c>
      <c r="AR246" s="133">
        <f t="shared" si="214"/>
        <v>9993</v>
      </c>
      <c r="AS246" s="133">
        <f t="shared" ref="AS246:AS250" si="588">IFERROR(ROUND(AR246*AU246,0),"")</f>
        <v>1299</v>
      </c>
      <c r="AT246" s="123">
        <f t="shared" si="586"/>
        <v>4.2835724994860769E-6</v>
      </c>
      <c r="AU246" s="124">
        <v>0.13</v>
      </c>
      <c r="AV246" s="394" t="s">
        <v>2779</v>
      </c>
      <c r="AW246" s="15">
        <v>44945</v>
      </c>
      <c r="AX246" s="12" t="s">
        <v>206</v>
      </c>
      <c r="AZ246" s="8" t="str">
        <f>IF(VLOOKUP(LEFT($AB246,10),'Havi béradatok'!$B:$E,2,FALSE)=AG246,"EGYEZIK","HIBÁS")</f>
        <v>HIBÁS</v>
      </c>
      <c r="BA246" s="1">
        <f>VLOOKUP(LEFT($AB246,10),'Havi béradatok'!$B:$E,3,FALSE)-AM246</f>
        <v>355350</v>
      </c>
      <c r="BB246" s="1">
        <f>VLOOKUP(LEFT($AB246,10),'Havi béradatok'!$B:$E,4,FALSE)-AN246</f>
        <v>41775</v>
      </c>
    </row>
    <row r="247" spans="1:56" s="1" customFormat="1" hidden="1" x14ac:dyDescent="0.25">
      <c r="A247" s="264" t="str">
        <f>Bérköltség!$B247</f>
        <v>FEOR</v>
      </c>
      <c r="B247" s="264" t="str">
        <f>IFERROR(
IF(AND(Bérköltség!$F247="",H247="NA"),"HIÁNYOS ADATOK",
IF(Bérköltség!$F247&lt;Bérköltség!$U247,Admin!$B$18,Admin!$B$17)),
"")</f>
        <v>FEOR</v>
      </c>
      <c r="C247" s="265">
        <f>IFERROR(INDEX('Historikus berek_2021-2'!$A$1:$F$903,MATCH(AB247,'Historikus berek_2021-2'!$A$1:$A$903,0),4),"")</f>
        <v>300000</v>
      </c>
      <c r="D247" s="279">
        <f t="shared" si="531"/>
        <v>124137.93103448275</v>
      </c>
      <c r="E247" s="265">
        <f t="shared" si="532"/>
        <v>143473</v>
      </c>
      <c r="F247" s="266">
        <f t="shared" si="533"/>
        <v>20083.988793297394</v>
      </c>
      <c r="G247" s="267">
        <f t="shared" si="534"/>
        <v>128946.2592642466</v>
      </c>
      <c r="H247" s="268">
        <f>IFERROR(INDEX('FEOR kodok'!$A$2:$J$1126,MATCH(Bérköltség!AB247,'FEOR kodok'!$B$2:$B$1126,0),8),"NA")</f>
        <v>3910</v>
      </c>
      <c r="I247" s="269">
        <f>IFERROR(INDEX('FEOR kodok'!$A$2:$J$1126,MATCH(Bérköltség!AB247,'FEOR kodok'!$B$2:$B$1126,0),10),"NA")</f>
        <v>36</v>
      </c>
      <c r="J247" s="276" t="str">
        <f t="shared" si="535"/>
        <v>30–39 éves</v>
      </c>
      <c r="K247" s="269" t="str">
        <f>IFERROR(INDEX(admin_feor[#All],MATCH(Bérköltség!H247,admin_feor[[#All],[Foglalkozás]],0),2),"NA")</f>
        <v>Egyéb ügyintéző</v>
      </c>
      <c r="L247" s="270">
        <f>IFERROR(
INDEX('Admin - FEOR'!$A$4:$F$465,MATCH(Bérköltség!H247,'Admin - FEOR'!$A$4:$A$465,0),
IF(J247="30 év alatt",3,
IF(J247="30–39 éves",4,
IF(J247="40–49 éves",5,
IF(J247="50 év és afelett",6
)))))*1,"NA")</f>
        <v>408171</v>
      </c>
      <c r="M247" s="270">
        <f t="shared" si="536"/>
        <v>346726</v>
      </c>
      <c r="N247" s="318">
        <f t="shared" si="537"/>
        <v>0.84946260268367912</v>
      </c>
      <c r="O247" s="270">
        <f>IFERROR(
INDEX('Admin - FEOR'!$A$4:$F$465,MATCH(Bérköltség!H247,'Admin - FEOR'!$A$4:$A$465,0),
IF(J247="30 év alatt",3,
IF(J247="30–39 éves",4,
IF(J247="40–49 éves",5,
IF(J247="50 év és afelett",6
)))))*1.5,"NA")</f>
        <v>612256.5</v>
      </c>
      <c r="P247" s="270">
        <f t="shared" si="538"/>
        <v>253347.5172413793</v>
      </c>
      <c r="Q247" s="270">
        <f t="shared" si="539"/>
        <v>143473</v>
      </c>
      <c r="R247" s="275">
        <f t="shared" si="540"/>
        <v>0.41379310344827586</v>
      </c>
      <c r="S247" s="270">
        <f t="shared" si="541"/>
        <v>0</v>
      </c>
      <c r="T247" s="270">
        <f t="shared" si="542"/>
        <v>0</v>
      </c>
      <c r="U247" s="271">
        <f t="shared" si="543"/>
        <v>0</v>
      </c>
      <c r="V247" s="272">
        <f t="shared" si="544"/>
        <v>149030</v>
      </c>
      <c r="W247" s="273" t="str">
        <f t="shared" si="545"/>
        <v>Nem szükséges indoklás.</v>
      </c>
      <c r="X247" s="372">
        <f t="shared" si="546"/>
        <v>0</v>
      </c>
      <c r="Y247" s="317">
        <f t="shared" si="547"/>
        <v>143473</v>
      </c>
      <c r="Z247" s="317">
        <f t="shared" si="548"/>
        <v>5557</v>
      </c>
      <c r="AA247" s="12" t="s">
        <v>2800</v>
      </c>
      <c r="AB247" s="274">
        <v>8440502516</v>
      </c>
      <c r="AC247" s="40" t="s">
        <v>297</v>
      </c>
      <c r="AD247" s="82" t="s">
        <v>76</v>
      </c>
      <c r="AE247" s="41" t="s">
        <v>85</v>
      </c>
      <c r="AF247" s="11" t="s">
        <v>160</v>
      </c>
      <c r="AG247" s="11" t="s">
        <v>2734</v>
      </c>
      <c r="AH247" s="14" t="s">
        <v>142</v>
      </c>
      <c r="AI247" s="86" t="s">
        <v>34</v>
      </c>
      <c r="AJ247" s="113" t="str">
        <f>IF(COUNTIFS(Admin!$A$29:$A$40,AI247)&gt;0,Admin!$A$28,IF(COUNTIFS(Admin!$B$29:$B$40,AI247)&gt;0,Admin!$B$28,IF(COUNTIFS(Admin!$C$29:$C$40,AI247)&gt;0,Admin!$C$28,IF(COUNTIFS(Admin!$D$29:$D$40,AI247)&gt;0,Admin!$D$28,"-"))))</f>
        <v>2. mérföldkő</v>
      </c>
      <c r="AK247" s="14" t="s">
        <v>7</v>
      </c>
      <c r="AL247" s="9" t="s">
        <v>56</v>
      </c>
      <c r="AM247" s="131">
        <v>346726</v>
      </c>
      <c r="AN247" s="132">
        <v>13430</v>
      </c>
      <c r="AO247" s="121">
        <v>174</v>
      </c>
      <c r="AP247" s="121">
        <v>72</v>
      </c>
      <c r="AQ247" s="354">
        <f t="shared" si="585"/>
        <v>0.41379310344827586</v>
      </c>
      <c r="AR247" s="133">
        <f t="shared" si="214"/>
        <v>143473</v>
      </c>
      <c r="AS247" s="133">
        <f t="shared" si="588"/>
        <v>5557</v>
      </c>
      <c r="AT247" s="123">
        <f t="shared" si="586"/>
        <v>-4.9726237172365018E-7</v>
      </c>
      <c r="AU247" s="393">
        <f>AN247/AM247</f>
        <v>3.8733755184208858E-2</v>
      </c>
      <c r="AV247" s="394" t="s">
        <v>2779</v>
      </c>
      <c r="AW247" s="15">
        <v>44945</v>
      </c>
      <c r="AX247" s="12" t="s">
        <v>206</v>
      </c>
    </row>
    <row r="248" spans="1:56" s="1" customFormat="1" x14ac:dyDescent="0.25">
      <c r="A248" s="264" t="str">
        <f>Bérköltség!$B248</f>
        <v>FEOR</v>
      </c>
      <c r="B248" s="264" t="str">
        <f>IFERROR(
IF(AND(Bérköltség!$F248="",H248="NA"),"HIÁNYOS ADATOK",
IF(Bérköltség!$F248&lt;Bérköltség!$U248,Admin!$B$18,Admin!$B$17)),
"")</f>
        <v>FEOR</v>
      </c>
      <c r="C248" s="265">
        <f>IFERROR(INDEX('Historikus berek_2021-2'!$A$1:$F$903,MATCH(AB248,'Historikus berek_2021-2'!$A$1:$A$903,0),4),"")</f>
        <v>300000</v>
      </c>
      <c r="D248" s="279">
        <f t="shared" si="531"/>
        <v>124137.93103448275</v>
      </c>
      <c r="E248" s="265">
        <f t="shared" si="532"/>
        <v>157034</v>
      </c>
      <c r="F248" s="266">
        <f t="shared" si="533"/>
        <v>35403.191502248868</v>
      </c>
      <c r="G248" s="267">
        <f t="shared" si="534"/>
        <v>133598.90963609103</v>
      </c>
      <c r="H248" s="268">
        <f>IFERROR(INDEX('FEOR kodok'!$A$2:$J$1126,MATCH(Bérköltség!AB248,'FEOR kodok'!$B$2:$B$1126,0),8),"NA")</f>
        <v>3910</v>
      </c>
      <c r="I248" s="269">
        <f>IFERROR(INDEX('FEOR kodok'!$A$2:$J$1126,MATCH(Bérköltség!AB248,'FEOR kodok'!$B$2:$B$1126,0),10),"NA")</f>
        <v>36</v>
      </c>
      <c r="J248" s="276" t="str">
        <f t="shared" si="535"/>
        <v>30–39 éves</v>
      </c>
      <c r="K248" s="269" t="str">
        <f>IFERROR(INDEX(admin_feor[#All],MATCH(Bérköltség!H248,admin_feor[[#All],[Foglalkozás]],0),2),"NA")</f>
        <v>Egyéb ügyintéző</v>
      </c>
      <c r="L248" s="270">
        <f>IFERROR(
INDEX('Admin - FEOR'!$A$4:$F$465,MATCH(Bérköltség!H248,'Admin - FEOR'!$A$4:$A$465,0),
IF(J248="30 év alatt",3,
IF(J248="30–39 éves",4,
IF(J248="40–49 éves",5,
IF(J248="50 év és afelett",6
)))))*1,"NA")</f>
        <v>408171</v>
      </c>
      <c r="M248" s="270">
        <f t="shared" si="536"/>
        <v>379500</v>
      </c>
      <c r="N248" s="318">
        <f t="shared" si="537"/>
        <v>0.92975738109762818</v>
      </c>
      <c r="O248" s="270">
        <f>IFERROR(
INDEX('Admin - FEOR'!$A$4:$F$465,MATCH(Bérköltség!H248,'Admin - FEOR'!$A$4:$A$465,0),
IF(J248="30 év alatt",3,
IF(J248="30–39 éves",4,
IF(J248="40–49 éves",5,
IF(J248="50 év és afelett",6
)))))*1.5,"NA")</f>
        <v>612256.5</v>
      </c>
      <c r="P248" s="270">
        <f t="shared" si="538"/>
        <v>253347.5172413793</v>
      </c>
      <c r="Q248" s="270">
        <f t="shared" si="539"/>
        <v>157034</v>
      </c>
      <c r="R248" s="275">
        <f t="shared" si="540"/>
        <v>0.41379310344827586</v>
      </c>
      <c r="S248" s="270">
        <f t="shared" si="541"/>
        <v>0</v>
      </c>
      <c r="T248" s="270">
        <f t="shared" si="542"/>
        <v>0</v>
      </c>
      <c r="U248" s="271">
        <f t="shared" si="543"/>
        <v>0</v>
      </c>
      <c r="V248" s="272">
        <f t="shared" si="544"/>
        <v>169002</v>
      </c>
      <c r="W248" s="273" t="str">
        <f t="shared" si="545"/>
        <v>Nem szükséges indoklás.</v>
      </c>
      <c r="X248" s="372">
        <f t="shared" si="546"/>
        <v>0</v>
      </c>
      <c r="Y248" s="317">
        <f t="shared" si="547"/>
        <v>157034</v>
      </c>
      <c r="Z248" s="317">
        <f t="shared" si="548"/>
        <v>11968</v>
      </c>
      <c r="AA248" s="36"/>
      <c r="AB248" s="274">
        <v>8440502516</v>
      </c>
      <c r="AC248" s="40" t="s">
        <v>297</v>
      </c>
      <c r="AD248" s="82" t="s">
        <v>76</v>
      </c>
      <c r="AE248" s="41" t="s">
        <v>85</v>
      </c>
      <c r="AF248" s="11" t="s">
        <v>160</v>
      </c>
      <c r="AG248" s="11" t="s">
        <v>2734</v>
      </c>
      <c r="AH248" s="14" t="s">
        <v>142</v>
      </c>
      <c r="AI248" s="86" t="s">
        <v>35</v>
      </c>
      <c r="AJ248" s="113" t="str">
        <f>IF(COUNTIFS(Admin!$A$29:$A$40,AI248)&gt;0,Admin!$A$28,IF(COUNTIFS(Admin!$B$29:$B$40,AI248)&gt;0,Admin!$B$28,IF(COUNTIFS(Admin!$C$29:$C$40,AI248)&gt;0,Admin!$C$28,IF(COUNTIFS(Admin!$D$29:$D$40,AI248)&gt;0,Admin!$D$28,"-"))))</f>
        <v>3. mérföldkő</v>
      </c>
      <c r="AK248" s="14" t="s">
        <v>7</v>
      </c>
      <c r="AL248" s="9" t="s">
        <v>56</v>
      </c>
      <c r="AM248" s="131">
        <v>379500</v>
      </c>
      <c r="AN248" s="132">
        <v>28923</v>
      </c>
      <c r="AO248" s="121">
        <v>174</v>
      </c>
      <c r="AP248" s="121">
        <v>72</v>
      </c>
      <c r="AQ248" s="354">
        <f t="shared" si="585"/>
        <v>0.41379310344827586</v>
      </c>
      <c r="AR248" s="133">
        <f t="shared" si="214"/>
        <v>157034</v>
      </c>
      <c r="AS248" s="133">
        <f t="shared" si="588"/>
        <v>11968</v>
      </c>
      <c r="AT248" s="123">
        <f t="shared" si="586"/>
        <v>1.2720912271335649E-6</v>
      </c>
      <c r="AU248" s="393">
        <f>AN248/AM248</f>
        <v>7.6213438735177871E-2</v>
      </c>
      <c r="AV248" s="394" t="s">
        <v>2779</v>
      </c>
      <c r="AW248" s="15">
        <v>44945</v>
      </c>
      <c r="AX248" s="12" t="s">
        <v>206</v>
      </c>
      <c r="AZ248" s="1" t="str">
        <f>IF(VLOOKUP(LEFT($AB248,10),'Havi béradatok'!$B:$E,2,FALSE)=AG248,"EGYEZIK","HIBÁS")</f>
        <v>EGYEZIK</v>
      </c>
      <c r="BA248" s="1">
        <f>VLOOKUP(LEFT($AB248,10),'Havi béradatok'!$B:$E,3,FALSE)-AM248</f>
        <v>0</v>
      </c>
      <c r="BB248" s="391">
        <f>VLOOKUP(LEFT($AB248,10),'Havi béradatok'!$B:$E,4,FALSE)-AN248</f>
        <v>15992</v>
      </c>
      <c r="BC248" s="400"/>
      <c r="BD248" s="400"/>
    </row>
    <row r="249" spans="1:56" s="1" customFormat="1" hidden="1" x14ac:dyDescent="0.25">
      <c r="A249" s="264" t="str">
        <f>Bérköltség!$B249</f>
        <v>FEOR</v>
      </c>
      <c r="B249" s="264" t="str">
        <f>IFERROR(
IF(AND(Bérköltség!$F249="",H249="NA"),"HIÁNYOS ADATOK",
IF(Bérköltség!$F249&lt;Bérköltség!$U249,Admin!$B$18,Admin!$B$17)),
"")</f>
        <v>FEOR</v>
      </c>
      <c r="C249" s="265">
        <f>IFERROR(INDEX('Historikus berek_2021-2'!$A$1:$F$903,MATCH(AB249,'Historikus berek_2021-2'!$A$1:$A$903,0),4),"")</f>
        <v>300000</v>
      </c>
      <c r="D249" s="279">
        <f t="shared" si="531"/>
        <v>124137.93103448275</v>
      </c>
      <c r="E249" s="265">
        <f t="shared" si="532"/>
        <v>157034</v>
      </c>
      <c r="F249" s="266">
        <f t="shared" si="533"/>
        <v>37172.557931034476</v>
      </c>
      <c r="G249" s="267">
        <f t="shared" si="534"/>
        <v>140275.86206896551</v>
      </c>
      <c r="H249" s="268">
        <f>IFERROR(INDEX('FEOR kodok'!$A$2:$J$1126,MATCH(Bérköltség!AB249,'FEOR kodok'!$B$2:$B$1126,0),8),"NA")</f>
        <v>3910</v>
      </c>
      <c r="I249" s="269">
        <f>IFERROR(INDEX('FEOR kodok'!$A$2:$J$1126,MATCH(Bérköltség!AB249,'FEOR kodok'!$B$2:$B$1126,0),10),"NA")</f>
        <v>36</v>
      </c>
      <c r="J249" s="276" t="str">
        <f t="shared" si="535"/>
        <v>30–39 éves</v>
      </c>
      <c r="K249" s="269" t="str">
        <f>IFERROR(INDEX(admin_feor[#All],MATCH(Bérköltség!H249,admin_feor[[#All],[Foglalkozás]],0),2),"NA")</f>
        <v>Egyéb ügyintéző</v>
      </c>
      <c r="L249" s="270">
        <f>IFERROR(
INDEX('Admin - FEOR'!$A$4:$F$465,MATCH(Bérköltség!H249,'Admin - FEOR'!$A$4:$A$465,0),
IF(J249="30 év alatt",3,
IF(J249="30–39 éves",4,
IF(J249="40–49 éves",5,
IF(J249="50 év és afelett",6
)))))*1,"NA")</f>
        <v>408171</v>
      </c>
      <c r="M249" s="270">
        <f t="shared" si="536"/>
        <v>379500</v>
      </c>
      <c r="N249" s="318">
        <f t="shared" si="537"/>
        <v>0.92975738109762818</v>
      </c>
      <c r="O249" s="270">
        <f>IFERROR(
INDEX('Admin - FEOR'!$A$4:$F$465,MATCH(Bérköltség!H249,'Admin - FEOR'!$A$4:$A$465,0),
IF(J249="30 év alatt",3,
IF(J249="30–39 éves",4,
IF(J249="40–49 éves",5,
IF(J249="50 év és afelett",6
)))))*1.5,"NA")</f>
        <v>612256.5</v>
      </c>
      <c r="P249" s="270">
        <f t="shared" si="538"/>
        <v>253347.5172413793</v>
      </c>
      <c r="Q249" s="270">
        <f t="shared" si="539"/>
        <v>157034</v>
      </c>
      <c r="R249" s="275">
        <f t="shared" si="540"/>
        <v>0.41379310344827586</v>
      </c>
      <c r="S249" s="270">
        <f t="shared" si="541"/>
        <v>0</v>
      </c>
      <c r="T249" s="270">
        <f t="shared" si="542"/>
        <v>0</v>
      </c>
      <c r="U249" s="271">
        <f t="shared" si="543"/>
        <v>0</v>
      </c>
      <c r="V249" s="272">
        <f t="shared" si="544"/>
        <v>177448</v>
      </c>
      <c r="W249" s="273" t="str">
        <f t="shared" si="545"/>
        <v>Nem szükséges indoklás.</v>
      </c>
      <c r="X249" s="372">
        <f t="shared" si="546"/>
        <v>0</v>
      </c>
      <c r="Y249" s="317">
        <f t="shared" si="547"/>
        <v>157034</v>
      </c>
      <c r="Z249" s="317">
        <f t="shared" si="548"/>
        <v>20414</v>
      </c>
      <c r="AA249" s="36"/>
      <c r="AB249" s="274">
        <v>8440502516</v>
      </c>
      <c r="AC249" s="40" t="s">
        <v>297</v>
      </c>
      <c r="AD249" s="82" t="s">
        <v>76</v>
      </c>
      <c r="AE249" s="41" t="s">
        <v>85</v>
      </c>
      <c r="AF249" s="11" t="s">
        <v>160</v>
      </c>
      <c r="AG249" s="11" t="s">
        <v>2734</v>
      </c>
      <c r="AH249" s="14" t="s">
        <v>142</v>
      </c>
      <c r="AI249" s="86" t="s">
        <v>36</v>
      </c>
      <c r="AJ249" s="113" t="str">
        <f>IF(COUNTIFS(Admin!$A$29:$A$40,AI249)&gt;0,Admin!$A$28,IF(COUNTIFS(Admin!$B$29:$B$40,AI249)&gt;0,Admin!$B$28,IF(COUNTIFS(Admin!$C$29:$C$40,AI249)&gt;0,Admin!$C$28,IF(COUNTIFS(Admin!$D$29:$D$40,AI249)&gt;0,Admin!$D$28,"-"))))</f>
        <v>3. mérföldkő</v>
      </c>
      <c r="AK249" s="14" t="s">
        <v>141</v>
      </c>
      <c r="AL249" s="9" t="s">
        <v>56</v>
      </c>
      <c r="AM249" s="131">
        <v>379500</v>
      </c>
      <c r="AN249" s="132">
        <f t="shared" si="587"/>
        <v>49335</v>
      </c>
      <c r="AO249" s="121">
        <v>174</v>
      </c>
      <c r="AP249" s="121">
        <v>72</v>
      </c>
      <c r="AQ249" s="354">
        <f t="shared" si="585"/>
        <v>0.41379310344827586</v>
      </c>
      <c r="AR249" s="133">
        <f t="shared" si="214"/>
        <v>157034</v>
      </c>
      <c r="AS249" s="133">
        <f t="shared" si="588"/>
        <v>20414</v>
      </c>
      <c r="AT249" s="123">
        <f t="shared" si="586"/>
        <v>1.2720912271335649E-6</v>
      </c>
      <c r="AU249" s="124">
        <v>0.13</v>
      </c>
      <c r="AV249" s="394" t="s">
        <v>2779</v>
      </c>
      <c r="AW249" s="15">
        <v>44945</v>
      </c>
      <c r="AX249" s="12" t="s">
        <v>206</v>
      </c>
    </row>
    <row r="250" spans="1:56" s="1" customFormat="1" hidden="1" x14ac:dyDescent="0.25">
      <c r="A250" s="264" t="str">
        <f>Bérköltség!$B250</f>
        <v>FEOR</v>
      </c>
      <c r="B250" s="264" t="str">
        <f>IFERROR(
IF(AND(Bérköltség!$F250="",H250="NA"),"HIÁNYOS ADATOK",
IF(Bérköltség!$F250&lt;Bérköltség!$U250,Admin!$B$18,Admin!$B$17)),
"")</f>
        <v>FEOR</v>
      </c>
      <c r="C250" s="265">
        <f>IFERROR(INDEX('Historikus berek_2021-2'!$A$1:$F$903,MATCH(AB250,'Historikus berek_2021-2'!$A$1:$A$903,0),4),"")</f>
        <v>300000</v>
      </c>
      <c r="D250" s="279">
        <f t="shared" si="531"/>
        <v>124137.93103448275</v>
      </c>
      <c r="E250" s="265">
        <f t="shared" si="532"/>
        <v>157034</v>
      </c>
      <c r="F250" s="266">
        <f t="shared" si="533"/>
        <v>37172.557931034476</v>
      </c>
      <c r="G250" s="267">
        <f t="shared" si="534"/>
        <v>140275.86206896551</v>
      </c>
      <c r="H250" s="268">
        <f>IFERROR(INDEX('FEOR kodok'!$A$2:$J$1126,MATCH(Bérköltség!AB250,'FEOR kodok'!$B$2:$B$1126,0),8),"NA")</f>
        <v>3910</v>
      </c>
      <c r="I250" s="269">
        <f>IFERROR(INDEX('FEOR kodok'!$A$2:$J$1126,MATCH(Bérköltség!AB250,'FEOR kodok'!$B$2:$B$1126,0),10),"NA")</f>
        <v>36</v>
      </c>
      <c r="J250" s="276" t="str">
        <f t="shared" si="535"/>
        <v>30–39 éves</v>
      </c>
      <c r="K250" s="269" t="str">
        <f>IFERROR(INDEX(admin_feor[#All],MATCH(Bérköltség!H250,admin_feor[[#All],[Foglalkozás]],0),2),"NA")</f>
        <v>Egyéb ügyintéző</v>
      </c>
      <c r="L250" s="270">
        <f>IFERROR(
INDEX('Admin - FEOR'!$A$4:$F$465,MATCH(Bérköltség!H250,'Admin - FEOR'!$A$4:$A$465,0),
IF(J250="30 év alatt",3,
IF(J250="30–39 éves",4,
IF(J250="40–49 éves",5,
IF(J250="50 év és afelett",6
)))))*1,"NA")</f>
        <v>408171</v>
      </c>
      <c r="M250" s="270">
        <f t="shared" si="536"/>
        <v>379500</v>
      </c>
      <c r="N250" s="318">
        <f t="shared" si="537"/>
        <v>0.92975738109762818</v>
      </c>
      <c r="O250" s="270">
        <f>IFERROR(
INDEX('Admin - FEOR'!$A$4:$F$465,MATCH(Bérköltség!H250,'Admin - FEOR'!$A$4:$A$465,0),
IF(J250="30 év alatt",3,
IF(J250="30–39 éves",4,
IF(J250="40–49 éves",5,
IF(J250="50 év és afelett",6
)))))*1.5,"NA")</f>
        <v>612256.5</v>
      </c>
      <c r="P250" s="270">
        <f t="shared" si="538"/>
        <v>253347.5172413793</v>
      </c>
      <c r="Q250" s="270">
        <f t="shared" si="539"/>
        <v>157034</v>
      </c>
      <c r="R250" s="275">
        <f t="shared" si="540"/>
        <v>0.41379310344827586</v>
      </c>
      <c r="S250" s="270">
        <f t="shared" si="541"/>
        <v>0</v>
      </c>
      <c r="T250" s="270">
        <f t="shared" si="542"/>
        <v>0</v>
      </c>
      <c r="U250" s="271">
        <f t="shared" si="543"/>
        <v>0</v>
      </c>
      <c r="V250" s="272">
        <f t="shared" si="544"/>
        <v>177448</v>
      </c>
      <c r="W250" s="273" t="str">
        <f t="shared" si="545"/>
        <v>Nem szükséges indoklás.</v>
      </c>
      <c r="X250" s="372">
        <f t="shared" si="546"/>
        <v>0</v>
      </c>
      <c r="Y250" s="317">
        <f t="shared" si="547"/>
        <v>157034</v>
      </c>
      <c r="Z250" s="317">
        <f t="shared" si="548"/>
        <v>20414</v>
      </c>
      <c r="AA250" s="36"/>
      <c r="AB250" s="274">
        <v>8440502516</v>
      </c>
      <c r="AC250" s="40" t="s">
        <v>297</v>
      </c>
      <c r="AD250" s="82" t="s">
        <v>76</v>
      </c>
      <c r="AE250" s="41" t="s">
        <v>85</v>
      </c>
      <c r="AF250" s="11" t="s">
        <v>160</v>
      </c>
      <c r="AG250" s="11" t="s">
        <v>2734</v>
      </c>
      <c r="AH250" s="14" t="s">
        <v>142</v>
      </c>
      <c r="AI250" s="86" t="s">
        <v>37</v>
      </c>
      <c r="AJ250" s="113" t="str">
        <f>IF(COUNTIFS(Admin!$A$29:$A$40,AI250)&gt;0,Admin!$A$28,IF(COUNTIFS(Admin!$B$29:$B$40,AI250)&gt;0,Admin!$B$28,IF(COUNTIFS(Admin!$C$29:$C$40,AI250)&gt;0,Admin!$C$28,IF(COUNTIFS(Admin!$D$29:$D$40,AI250)&gt;0,Admin!$D$28,"-"))))</f>
        <v>3. mérföldkő</v>
      </c>
      <c r="AK250" s="14" t="s">
        <v>141</v>
      </c>
      <c r="AL250" s="9" t="s">
        <v>56</v>
      </c>
      <c r="AM250" s="131">
        <v>379500</v>
      </c>
      <c r="AN250" s="132">
        <f t="shared" si="587"/>
        <v>49335</v>
      </c>
      <c r="AO250" s="121">
        <v>174</v>
      </c>
      <c r="AP250" s="121">
        <v>72</v>
      </c>
      <c r="AQ250" s="354">
        <f t="shared" si="585"/>
        <v>0.41379310344827586</v>
      </c>
      <c r="AR250" s="133">
        <f t="shared" si="214"/>
        <v>157034</v>
      </c>
      <c r="AS250" s="133">
        <f t="shared" si="588"/>
        <v>20414</v>
      </c>
      <c r="AT250" s="123">
        <f t="shared" si="586"/>
        <v>1.2720912271335649E-6</v>
      </c>
      <c r="AU250" s="124">
        <v>0.13</v>
      </c>
      <c r="AV250" s="394" t="s">
        <v>2779</v>
      </c>
      <c r="AW250" s="15">
        <v>44945</v>
      </c>
      <c r="AX250" s="12" t="s">
        <v>206</v>
      </c>
    </row>
    <row r="251" spans="1:56" s="1" customFormat="1" hidden="1" x14ac:dyDescent="0.25">
      <c r="A251" s="264" t="str">
        <f>Bérköltség!$B251</f>
        <v>FEOR</v>
      </c>
      <c r="B251" s="264" t="str">
        <f>IFERROR(
IF(AND(Bérköltség!$F251="",H251="NA"),"HIÁNYOS ADATOK",
IF(Bérköltség!$F251&lt;Bérköltség!$U251,Admin!$B$18,Admin!$B$17)),
"")</f>
        <v>FEOR</v>
      </c>
      <c r="C251" s="265">
        <f>IFERROR(INDEX('Historikus berek_2021-2'!$A$1:$F$903,MATCH(AB251,'Historikus berek_2021-2'!$A$1:$A$903,0),4),"")</f>
        <v>880000</v>
      </c>
      <c r="D251" s="279">
        <f t="shared" si="531"/>
        <v>237701.14942528735</v>
      </c>
      <c r="E251" s="265">
        <f t="shared" si="532"/>
        <v>256609</v>
      </c>
      <c r="F251" s="266">
        <f t="shared" si="533"/>
        <v>21365.871149425278</v>
      </c>
      <c r="G251" s="267">
        <f t="shared" si="534"/>
        <v>268602.29885057471</v>
      </c>
      <c r="H251" s="268">
        <f>IFERROR(INDEX('FEOR kodok'!$A$2:$J$1126,MATCH(Bérköltség!AB251,'FEOR kodok'!$B$2:$B$1126,0),8),"NA")</f>
        <v>2910</v>
      </c>
      <c r="I251" s="269">
        <f>IFERROR(INDEX('FEOR kodok'!$A$2:$J$1126,MATCH(Bérköltség!AB251,'FEOR kodok'!$B$2:$B$1126,0),10),"NA")</f>
        <v>44</v>
      </c>
      <c r="J251" s="276" t="str">
        <f t="shared" si="535"/>
        <v>40–49 éves</v>
      </c>
      <c r="K251" s="269" t="str">
        <f>IFERROR(INDEX(admin_feor[#All],MATCH(Bérköltség!H251,admin_feor[[#All],[Foglalkozás]],0),2),"NA")</f>
        <v>Egyéb magasan képzett ügyintéző</v>
      </c>
      <c r="L251" s="270">
        <f>IFERROR(
INDEX('Admin - FEOR'!$A$4:$F$465,MATCH(Bérköltség!H251,'Admin - FEOR'!$A$4:$A$465,0),
IF(J251="30 év alatt",3,
IF(J251="30–39 éves",4,
IF(J251="40–49 éves",5,
IF(J251="50 év és afelett",6
)))))*1,"NA")</f>
        <v>657296</v>
      </c>
      <c r="M251" s="270">
        <f t="shared" si="536"/>
        <v>950000</v>
      </c>
      <c r="N251" s="318">
        <f t="shared" si="537"/>
        <v>1.4453153525960907</v>
      </c>
      <c r="O251" s="270">
        <f>IFERROR(
INDEX('Admin - FEOR'!$A$4:$F$465,MATCH(Bérköltség!H251,'Admin - FEOR'!$A$4:$A$465,0),
IF(J251="30 év alatt",3,
IF(J251="30–39 éves",4,
IF(J251="40–49 éves",5,
IF(J251="50 év és afelett",6
)))))*1.5,"NA")</f>
        <v>985944</v>
      </c>
      <c r="P251" s="270">
        <f t="shared" si="538"/>
        <v>266318.20689655171</v>
      </c>
      <c r="Q251" s="270">
        <f t="shared" si="539"/>
        <v>256609</v>
      </c>
      <c r="R251" s="275">
        <f t="shared" si="540"/>
        <v>0.27011494252873564</v>
      </c>
      <c r="S251" s="270">
        <f t="shared" si="541"/>
        <v>0</v>
      </c>
      <c r="T251" s="270">
        <f t="shared" si="542"/>
        <v>0</v>
      </c>
      <c r="U251" s="271">
        <f t="shared" si="543"/>
        <v>0</v>
      </c>
      <c r="V251" s="272">
        <f t="shared" si="544"/>
        <v>289968</v>
      </c>
      <c r="W251" s="273" t="str">
        <f t="shared" si="545"/>
        <v>Indoklás szükséges mivel a FEOR: 144,5%</v>
      </c>
      <c r="X251" s="372">
        <f t="shared" si="546"/>
        <v>0</v>
      </c>
      <c r="Y251" s="317">
        <f t="shared" si="547"/>
        <v>256609</v>
      </c>
      <c r="Z251" s="317">
        <f t="shared" si="548"/>
        <v>33359</v>
      </c>
      <c r="AA251" s="12" t="s">
        <v>2800</v>
      </c>
      <c r="AB251" s="274">
        <v>8409092557</v>
      </c>
      <c r="AC251" s="40" t="s">
        <v>195</v>
      </c>
      <c r="AD251" s="82" t="s">
        <v>76</v>
      </c>
      <c r="AE251" s="41" t="s">
        <v>86</v>
      </c>
      <c r="AF251" s="11" t="s">
        <v>160</v>
      </c>
      <c r="AG251" s="11" t="s">
        <v>2734</v>
      </c>
      <c r="AH251" s="14" t="s">
        <v>142</v>
      </c>
      <c r="AI251" s="86" t="s">
        <v>21</v>
      </c>
      <c r="AJ251" s="113" t="str">
        <f>IF(COUNTIFS(Admin!$A$29:$A$40,AI251)&gt;0,Admin!$A$28,IF(COUNTIFS(Admin!$B$29:$B$40,AI251)&gt;0,Admin!$B$28,IF(COUNTIFS(Admin!$C$29:$C$40,AI251)&gt;0,Admin!$C$28,IF(COUNTIFS(Admin!$D$29:$D$40,AI251)&gt;0,Admin!$D$28,"-"))))</f>
        <v>2. mérföldkő</v>
      </c>
      <c r="AK251" s="14" t="s">
        <v>7</v>
      </c>
      <c r="AL251" s="9" t="s">
        <v>56</v>
      </c>
      <c r="AM251" s="131">
        <v>950000</v>
      </c>
      <c r="AN251" s="132">
        <f t="shared" si="584"/>
        <v>123500</v>
      </c>
      <c r="AO251" s="121">
        <v>174</v>
      </c>
      <c r="AP251" s="121">
        <v>47</v>
      </c>
      <c r="AQ251" s="354">
        <f t="shared" si="585"/>
        <v>0.27011494252873564</v>
      </c>
      <c r="AR251" s="133">
        <f t="shared" si="214"/>
        <v>256609</v>
      </c>
      <c r="AS251" s="133">
        <f t="shared" si="500"/>
        <v>33359</v>
      </c>
      <c r="AT251" s="123">
        <f t="shared" si="586"/>
        <v>2.0568663039455259E-7</v>
      </c>
      <c r="AU251" s="124">
        <v>0.13</v>
      </c>
      <c r="AV251" s="394" t="s">
        <v>2780</v>
      </c>
      <c r="AW251" s="15">
        <v>44736</v>
      </c>
      <c r="AX251" s="12" t="s">
        <v>206</v>
      </c>
    </row>
    <row r="252" spans="1:56" s="1" customFormat="1" hidden="1" x14ac:dyDescent="0.25">
      <c r="A252" s="264" t="str">
        <f>Bérköltség!$B252</f>
        <v>FEOR</v>
      </c>
      <c r="B252" s="264" t="str">
        <f>IFERROR(
IF(AND(Bérköltség!$F252="",H252="NA"),"HIÁNYOS ADATOK",
IF(Bérköltség!$F252&lt;Bérköltség!$U252,Admin!$B$18,Admin!$B$17)),
"")</f>
        <v>FEOR</v>
      </c>
      <c r="C252" s="265">
        <f>IFERROR(INDEX('Historikus berek_2021-2'!$A$1:$F$903,MATCH(AB252,'Historikus berek_2021-2'!$A$1:$A$903,0),4),"")</f>
        <v>880000</v>
      </c>
      <c r="D252" s="279">
        <f t="shared" si="531"/>
        <v>237701.14942528735</v>
      </c>
      <c r="E252" s="265">
        <f t="shared" si="532"/>
        <v>234296</v>
      </c>
      <c r="F252" s="266">
        <f t="shared" si="533"/>
        <v>0</v>
      </c>
      <c r="G252" s="267">
        <f t="shared" si="534"/>
        <v>264754.48</v>
      </c>
      <c r="H252" s="268">
        <f>IFERROR(INDEX('FEOR kodok'!$A$2:$J$1126,MATCH(Bérköltség!AB252,'FEOR kodok'!$B$2:$B$1126,0),8),"NA")</f>
        <v>2910</v>
      </c>
      <c r="I252" s="269">
        <f>IFERROR(INDEX('FEOR kodok'!$A$2:$J$1126,MATCH(Bérköltség!AB252,'FEOR kodok'!$B$2:$B$1126,0),10),"NA")</f>
        <v>44</v>
      </c>
      <c r="J252" s="276" t="str">
        <f t="shared" si="535"/>
        <v>40–49 éves</v>
      </c>
      <c r="K252" s="269" t="str">
        <f>IFERROR(INDEX(admin_feor[#All],MATCH(Bérköltség!H252,admin_feor[[#All],[Foglalkozás]],0),2),"NA")</f>
        <v>Egyéb magasan képzett ügyintéző</v>
      </c>
      <c r="L252" s="270">
        <f>IFERROR(
INDEX('Admin - FEOR'!$A$4:$F$465,MATCH(Bérköltség!H252,'Admin - FEOR'!$A$4:$A$465,0),
IF(J252="30 év alatt",3,
IF(J252="30–39 éves",4,
IF(J252="40–49 éves",5,
IF(J252="50 év és afelett",6
)))))*1,"NA")</f>
        <v>657296</v>
      </c>
      <c r="M252" s="270">
        <f t="shared" si="536"/>
        <v>867394</v>
      </c>
      <c r="N252" s="318">
        <f t="shared" si="537"/>
        <v>1.3196398578418247</v>
      </c>
      <c r="O252" s="270">
        <f>IFERROR(
INDEX('Admin - FEOR'!$A$4:$F$465,MATCH(Bérköltség!H252,'Admin - FEOR'!$A$4:$A$465,0),
IF(J252="30 év alatt",3,
IF(J252="30–39 éves",4,
IF(J252="40–49 éves",5,
IF(J252="50 év és afelett",6
)))))*1.5,"NA")</f>
        <v>985944</v>
      </c>
      <c r="P252" s="270">
        <f t="shared" si="538"/>
        <v>266318.20689655171</v>
      </c>
      <c r="Q252" s="270">
        <f t="shared" si="539"/>
        <v>234296</v>
      </c>
      <c r="R252" s="275">
        <f t="shared" si="540"/>
        <v>0.27011494252873564</v>
      </c>
      <c r="S252" s="270">
        <f t="shared" si="541"/>
        <v>0</v>
      </c>
      <c r="T252" s="270">
        <f t="shared" si="542"/>
        <v>0</v>
      </c>
      <c r="U252" s="271">
        <f t="shared" si="543"/>
        <v>0</v>
      </c>
      <c r="V252" s="272">
        <f t="shared" si="544"/>
        <v>264754</v>
      </c>
      <c r="W252" s="273" t="str">
        <f t="shared" si="545"/>
        <v>Indoklás szükséges mivel a FEOR: 132%</v>
      </c>
      <c r="X252" s="372">
        <f t="shared" si="546"/>
        <v>0</v>
      </c>
      <c r="Y252" s="317">
        <f t="shared" si="547"/>
        <v>234296</v>
      </c>
      <c r="Z252" s="317">
        <f t="shared" si="548"/>
        <v>30458</v>
      </c>
      <c r="AA252" s="12" t="s">
        <v>2800</v>
      </c>
      <c r="AB252" s="274">
        <v>8409092557</v>
      </c>
      <c r="AC252" s="40" t="s">
        <v>195</v>
      </c>
      <c r="AD252" s="82" t="s">
        <v>76</v>
      </c>
      <c r="AE252" s="41" t="s">
        <v>86</v>
      </c>
      <c r="AF252" s="11" t="s">
        <v>160</v>
      </c>
      <c r="AG252" s="11" t="s">
        <v>2734</v>
      </c>
      <c r="AH252" s="14" t="s">
        <v>142</v>
      </c>
      <c r="AI252" s="86" t="s">
        <v>22</v>
      </c>
      <c r="AJ252" s="113" t="str">
        <f>IF(COUNTIFS(Admin!$A$29:$A$40,AI252)&gt;0,Admin!$A$28,IF(COUNTIFS(Admin!$B$29:$B$40,AI252)&gt;0,Admin!$B$28,IF(COUNTIFS(Admin!$C$29:$C$40,AI252)&gt;0,Admin!$C$28,IF(COUNTIFS(Admin!$D$29:$D$40,AI252)&gt;0,Admin!$D$28,"-"))))</f>
        <v>2. mérföldkő</v>
      </c>
      <c r="AK252" s="14" t="s">
        <v>7</v>
      </c>
      <c r="AL252" s="9" t="s">
        <v>56</v>
      </c>
      <c r="AM252" s="131">
        <v>867394</v>
      </c>
      <c r="AN252" s="132">
        <f t="shared" si="584"/>
        <v>112761</v>
      </c>
      <c r="AO252" s="121">
        <v>174</v>
      </c>
      <c r="AP252" s="121">
        <v>47</v>
      </c>
      <c r="AQ252" s="354">
        <f t="shared" si="585"/>
        <v>0.27011494252873564</v>
      </c>
      <c r="AR252" s="133">
        <f t="shared" si="214"/>
        <v>234296</v>
      </c>
      <c r="AS252" s="133">
        <f t="shared" si="500"/>
        <v>30458</v>
      </c>
      <c r="AT252" s="123">
        <f t="shared" si="586"/>
        <v>9.2760348957554584E-8</v>
      </c>
      <c r="AU252" s="124">
        <v>0.13</v>
      </c>
      <c r="AV252" s="394" t="s">
        <v>2780</v>
      </c>
      <c r="AW252" s="15">
        <v>44736</v>
      </c>
      <c r="AX252" s="12" t="s">
        <v>206</v>
      </c>
    </row>
    <row r="253" spans="1:56" s="1" customFormat="1" hidden="1" x14ac:dyDescent="0.25">
      <c r="A253" s="264" t="str">
        <f>Bérköltség!$B253</f>
        <v>FEOR</v>
      </c>
      <c r="B253" s="264" t="str">
        <f>IFERROR(
IF(AND(Bérköltség!$F253="",H253="NA"),"HIÁNYOS ADATOK",
IF(Bérköltség!$F253&lt;Bérköltség!$U253,Admin!$B$18,Admin!$B$17)),
"")</f>
        <v>FEOR</v>
      </c>
      <c r="C253" s="265">
        <f>IFERROR(INDEX('Historikus berek_2021-2'!$A$1:$F$903,MATCH(AB253,'Historikus berek_2021-2'!$A$1:$A$903,0),4),"")</f>
        <v>1012000</v>
      </c>
      <c r="D253" s="279">
        <f t="shared" si="531"/>
        <v>145402.29885057471</v>
      </c>
      <c r="E253" s="265">
        <f t="shared" si="532"/>
        <v>194684</v>
      </c>
      <c r="F253" s="266">
        <f t="shared" si="533"/>
        <v>55688.322298850573</v>
      </c>
      <c r="G253" s="267">
        <f t="shared" si="534"/>
        <v>164304.59770114941</v>
      </c>
      <c r="H253" s="268">
        <f>IFERROR(INDEX('FEOR kodok'!$A$2:$J$1126,MATCH(Bérköltség!AB253,'FEOR kodok'!$B$2:$B$1126,0),8),"NA")</f>
        <v>1413</v>
      </c>
      <c r="I253" s="269">
        <f>IFERROR(INDEX('FEOR kodok'!$A$2:$J$1126,MATCH(Bérköltség!AB253,'FEOR kodok'!$B$2:$B$1126,0),10),"NA")</f>
        <v>41</v>
      </c>
      <c r="J253" s="276" t="str">
        <f t="shared" si="535"/>
        <v>40–49 éves</v>
      </c>
      <c r="K253" s="269" t="str">
        <f>IFERROR(INDEX(admin_feor[#All],MATCH(Bérköltség!H253,admin_feor[[#All],[Foglalkozás]],0),2),"NA")</f>
        <v>Kutatási és fejlesztési tevékenységet folytató egység vezetője</v>
      </c>
      <c r="L253" s="270">
        <f>IFERROR(
INDEX('Admin - FEOR'!$A$4:$F$465,MATCH(Bérköltség!H253,'Admin - FEOR'!$A$4:$A$465,0),
IF(J253="30 év alatt",3,
IF(J253="30–39 éves",4,
IF(J253="40–49 éves",5,
IF(J253="50 év és afelett",6
)))))*1,"NA")</f>
        <v>1275992</v>
      </c>
      <c r="M253" s="270">
        <f t="shared" si="536"/>
        <v>1355000</v>
      </c>
      <c r="N253" s="318">
        <f t="shared" si="537"/>
        <v>1.0619188835039719</v>
      </c>
      <c r="O253" s="270">
        <f>IFERROR(
INDEX('Admin - FEOR'!$A$4:$F$465,MATCH(Bérköltség!H253,'Admin - FEOR'!$A$4:$A$465,0),
IF(J253="30 év alatt",3,
IF(J253="30–39 éves",4,
IF(J253="40–49 éves",5,
IF(J253="50 év és afelett",6
)))))*1.5,"NA")</f>
        <v>1913988</v>
      </c>
      <c r="P253" s="270">
        <f t="shared" si="538"/>
        <v>274998.27586206893</v>
      </c>
      <c r="Q253" s="270">
        <f t="shared" si="539"/>
        <v>194684</v>
      </c>
      <c r="R253" s="275">
        <f t="shared" si="540"/>
        <v>0.14367816091954022</v>
      </c>
      <c r="S253" s="270">
        <f t="shared" si="541"/>
        <v>0</v>
      </c>
      <c r="T253" s="270">
        <f t="shared" si="542"/>
        <v>0</v>
      </c>
      <c r="U253" s="271">
        <f t="shared" si="543"/>
        <v>0</v>
      </c>
      <c r="V253" s="272">
        <f t="shared" si="544"/>
        <v>219993</v>
      </c>
      <c r="W253" s="273" t="str">
        <f t="shared" si="545"/>
        <v>Indoklás szükséges mivel a FEOR: 106,2%</v>
      </c>
      <c r="X253" s="372">
        <f t="shared" si="546"/>
        <v>0</v>
      </c>
      <c r="Y253" s="317">
        <f t="shared" si="547"/>
        <v>194684</v>
      </c>
      <c r="Z253" s="317">
        <f t="shared" si="548"/>
        <v>25309</v>
      </c>
      <c r="AA253" s="12">
        <v>2</v>
      </c>
      <c r="AB253" s="274">
        <v>8421732463</v>
      </c>
      <c r="AC253" s="40" t="s">
        <v>157</v>
      </c>
      <c r="AD253" s="82" t="s">
        <v>75</v>
      </c>
      <c r="AE253" s="41" t="s">
        <v>52</v>
      </c>
      <c r="AF253" s="11" t="s">
        <v>159</v>
      </c>
      <c r="AG253" s="11" t="s">
        <v>211</v>
      </c>
      <c r="AH253" s="14" t="s">
        <v>122</v>
      </c>
      <c r="AI253" s="86" t="s">
        <v>23</v>
      </c>
      <c r="AJ253" s="113" t="str">
        <f>IF(COUNTIFS(Admin!$A$29:$A$40,AI253)&gt;0,Admin!$A$28,IF(COUNTIFS(Admin!$B$29:$B$40,AI253)&gt;0,Admin!$B$28,IF(COUNTIFS(Admin!$C$29:$C$40,AI253)&gt;0,Admin!$C$28,IF(COUNTIFS(Admin!$D$29:$D$40,AI253)&gt;0,Admin!$D$28,"-"))))</f>
        <v>2. mérföldkő</v>
      </c>
      <c r="AK253" s="14" t="s">
        <v>7</v>
      </c>
      <c r="AL253" s="9" t="s">
        <v>56</v>
      </c>
      <c r="AM253" s="131">
        <v>1355000</v>
      </c>
      <c r="AN253" s="132">
        <f t="shared" si="584"/>
        <v>176150</v>
      </c>
      <c r="AO253" s="121">
        <v>174</v>
      </c>
      <c r="AP253" s="121">
        <v>25</v>
      </c>
      <c r="AQ253" s="354">
        <f t="shared" si="585"/>
        <v>0.14367816091954022</v>
      </c>
      <c r="AR253" s="133">
        <f t="shared" si="214"/>
        <v>194684</v>
      </c>
      <c r="AS253" s="133">
        <f t="shared" si="500"/>
        <v>25309</v>
      </c>
      <c r="AT253" s="123">
        <f t="shared" si="586"/>
        <v>-6.7862747588076644E-8</v>
      </c>
      <c r="AU253" s="124">
        <v>0.13</v>
      </c>
      <c r="AV253" s="394" t="s">
        <v>2781</v>
      </c>
      <c r="AW253" s="15">
        <v>44762</v>
      </c>
      <c r="AX253" s="12" t="s">
        <v>206</v>
      </c>
      <c r="BC253" s="1" t="s">
        <v>2836</v>
      </c>
      <c r="BD253" s="1" t="str">
        <f t="shared" ref="BD253:BD259" si="589">CONCATENATE(BC253," - ",AE253)</f>
        <v>Kutató_NK_3 - Kutató</v>
      </c>
    </row>
    <row r="254" spans="1:56" s="1" customFormat="1" hidden="1" x14ac:dyDescent="0.25">
      <c r="A254" s="264" t="str">
        <f>Bérköltség!$B254</f>
        <v>FEOR</v>
      </c>
      <c r="B254" s="264" t="str">
        <f>IFERROR(
IF(AND(Bérköltség!$F254="",H254="NA"),"HIÁNYOS ADATOK",
IF(Bérköltség!$F254&lt;Bérköltség!$U254,Admin!$B$18,Admin!$B$17)),
"")</f>
        <v>FEOR</v>
      </c>
      <c r="C254" s="265">
        <f>IFERROR(INDEX('Historikus berek_2021-2'!$A$1:$F$903,MATCH(AB254,'Historikus berek_2021-2'!$A$1:$A$903,0),4),"")</f>
        <v>1012000</v>
      </c>
      <c r="D254" s="279">
        <f t="shared" si="531"/>
        <v>145402.29885057471</v>
      </c>
      <c r="E254" s="265">
        <f t="shared" si="532"/>
        <v>194684</v>
      </c>
      <c r="F254" s="266">
        <f t="shared" si="533"/>
        <v>55688.322298850573</v>
      </c>
      <c r="G254" s="267">
        <f t="shared" si="534"/>
        <v>164304.59770114941</v>
      </c>
      <c r="H254" s="268">
        <f>IFERROR(INDEX('FEOR kodok'!$A$2:$J$1126,MATCH(Bérköltség!AB254,'FEOR kodok'!$B$2:$B$1126,0),8),"NA")</f>
        <v>1413</v>
      </c>
      <c r="I254" s="269">
        <f>IFERROR(INDEX('FEOR kodok'!$A$2:$J$1126,MATCH(Bérköltség!AB254,'FEOR kodok'!$B$2:$B$1126,0),10),"NA")</f>
        <v>41</v>
      </c>
      <c r="J254" s="276" t="str">
        <f t="shared" si="535"/>
        <v>40–49 éves</v>
      </c>
      <c r="K254" s="269" t="str">
        <f>IFERROR(INDEX(admin_feor[#All],MATCH(Bérköltség!H254,admin_feor[[#All],[Foglalkozás]],0),2),"NA")</f>
        <v>Kutatási és fejlesztési tevékenységet folytató egység vezetője</v>
      </c>
      <c r="L254" s="270">
        <f>IFERROR(
INDEX('Admin - FEOR'!$A$4:$F$465,MATCH(Bérköltség!H254,'Admin - FEOR'!$A$4:$A$465,0),
IF(J254="30 év alatt",3,
IF(J254="30–39 éves",4,
IF(J254="40–49 éves",5,
IF(J254="50 év és afelett",6
)))))*1,"NA")</f>
        <v>1275992</v>
      </c>
      <c r="M254" s="270">
        <f t="shared" si="536"/>
        <v>1355000</v>
      </c>
      <c r="N254" s="318">
        <f t="shared" si="537"/>
        <v>1.0619188835039719</v>
      </c>
      <c r="O254" s="270">
        <f>IFERROR(
INDEX('Admin - FEOR'!$A$4:$F$465,MATCH(Bérköltség!H254,'Admin - FEOR'!$A$4:$A$465,0),
IF(J254="30 év alatt",3,
IF(J254="30–39 éves",4,
IF(J254="40–49 éves",5,
IF(J254="50 év és afelett",6
)))))*1.5,"NA")</f>
        <v>1913988</v>
      </c>
      <c r="P254" s="270">
        <f t="shared" si="538"/>
        <v>274998.27586206893</v>
      </c>
      <c r="Q254" s="270">
        <f t="shared" si="539"/>
        <v>194684</v>
      </c>
      <c r="R254" s="275">
        <f t="shared" si="540"/>
        <v>0.14367816091954022</v>
      </c>
      <c r="S254" s="270">
        <f t="shared" si="541"/>
        <v>0</v>
      </c>
      <c r="T254" s="270">
        <f t="shared" si="542"/>
        <v>0</v>
      </c>
      <c r="U254" s="271">
        <f t="shared" si="543"/>
        <v>0</v>
      </c>
      <c r="V254" s="272">
        <f t="shared" si="544"/>
        <v>219993</v>
      </c>
      <c r="W254" s="273" t="str">
        <f t="shared" si="545"/>
        <v>Indoklás szükséges mivel a FEOR: 106,2%</v>
      </c>
      <c r="X254" s="372">
        <f t="shared" si="546"/>
        <v>0</v>
      </c>
      <c r="Y254" s="317">
        <f t="shared" si="547"/>
        <v>194684</v>
      </c>
      <c r="Z254" s="317">
        <f t="shared" si="548"/>
        <v>25309</v>
      </c>
      <c r="AA254" s="12">
        <v>2</v>
      </c>
      <c r="AB254" s="274">
        <v>8421732463</v>
      </c>
      <c r="AC254" s="40" t="s">
        <v>157</v>
      </c>
      <c r="AD254" s="82" t="s">
        <v>75</v>
      </c>
      <c r="AE254" s="41" t="s">
        <v>52</v>
      </c>
      <c r="AF254" s="11" t="s">
        <v>159</v>
      </c>
      <c r="AG254" s="11" t="s">
        <v>211</v>
      </c>
      <c r="AH254" s="14" t="s">
        <v>122</v>
      </c>
      <c r="AI254" s="86" t="s">
        <v>24</v>
      </c>
      <c r="AJ254" s="113" t="str">
        <f>IF(COUNTIFS(Admin!$A$29:$A$40,AI254)&gt;0,Admin!$A$28,IF(COUNTIFS(Admin!$B$29:$B$40,AI254)&gt;0,Admin!$B$28,IF(COUNTIFS(Admin!$C$29:$C$40,AI254)&gt;0,Admin!$C$28,IF(COUNTIFS(Admin!$D$29:$D$40,AI254)&gt;0,Admin!$D$28,"-"))))</f>
        <v>2. mérföldkő</v>
      </c>
      <c r="AK254" s="14" t="s">
        <v>7</v>
      </c>
      <c r="AL254" s="9" t="s">
        <v>56</v>
      </c>
      <c r="AM254" s="131">
        <v>1355000</v>
      </c>
      <c r="AN254" s="132">
        <f t="shared" si="584"/>
        <v>176150</v>
      </c>
      <c r="AO254" s="121">
        <v>174</v>
      </c>
      <c r="AP254" s="121">
        <v>25</v>
      </c>
      <c r="AQ254" s="354">
        <f t="shared" si="585"/>
        <v>0.14367816091954022</v>
      </c>
      <c r="AR254" s="133">
        <f t="shared" si="214"/>
        <v>194684</v>
      </c>
      <c r="AS254" s="133">
        <f t="shared" si="500"/>
        <v>25309</v>
      </c>
      <c r="AT254" s="123">
        <f t="shared" si="586"/>
        <v>-6.7862747588076644E-8</v>
      </c>
      <c r="AU254" s="124">
        <v>0.13</v>
      </c>
      <c r="AV254" s="394" t="s">
        <v>2781</v>
      </c>
      <c r="AW254" s="15">
        <v>44823</v>
      </c>
      <c r="AX254" s="12" t="s">
        <v>206</v>
      </c>
      <c r="BC254" s="1" t="s">
        <v>2836</v>
      </c>
      <c r="BD254" s="1" t="str">
        <f t="shared" si="589"/>
        <v>Kutató_NK_3 - Kutató</v>
      </c>
    </row>
    <row r="255" spans="1:56" s="1" customFormat="1" hidden="1" x14ac:dyDescent="0.25">
      <c r="A255" s="264" t="str">
        <f>Bérköltség!$B255</f>
        <v>FEOR</v>
      </c>
      <c r="B255" s="264" t="str">
        <f>IFERROR(
IF(AND(Bérköltség!$F255="",H255="NA"),"HIÁNYOS ADATOK",
IF(Bérköltség!$F255&lt;Bérköltség!$U255,Admin!$B$18,Admin!$B$17)),
"")</f>
        <v>FEOR</v>
      </c>
      <c r="C255" s="265">
        <f>IFERROR(INDEX('Historikus berek_2021-2'!$A$1:$F$903,MATCH(AB255,'Historikus berek_2021-2'!$A$1:$A$903,0),4),"")</f>
        <v>1012000</v>
      </c>
      <c r="D255" s="279">
        <f t="shared" si="531"/>
        <v>215195.40229885056</v>
      </c>
      <c r="E255" s="265">
        <f t="shared" si="532"/>
        <v>288132</v>
      </c>
      <c r="F255" s="266">
        <f t="shared" si="533"/>
        <v>82418.355402298854</v>
      </c>
      <c r="G255" s="267">
        <f t="shared" si="534"/>
        <v>243170.80459770112</v>
      </c>
      <c r="H255" s="268">
        <f>IFERROR(INDEX('FEOR kodok'!$A$2:$J$1126,MATCH(Bérköltség!AB255,'FEOR kodok'!$B$2:$B$1126,0),8),"NA")</f>
        <v>1413</v>
      </c>
      <c r="I255" s="269">
        <f>IFERROR(INDEX('FEOR kodok'!$A$2:$J$1126,MATCH(Bérköltség!AB255,'FEOR kodok'!$B$2:$B$1126,0),10),"NA")</f>
        <v>41</v>
      </c>
      <c r="J255" s="276" t="str">
        <f t="shared" si="535"/>
        <v>40–49 éves</v>
      </c>
      <c r="K255" s="269" t="str">
        <f>IFERROR(INDEX(admin_feor[#All],MATCH(Bérköltség!H255,admin_feor[[#All],[Foglalkozás]],0),2),"NA")</f>
        <v>Kutatási és fejlesztési tevékenységet folytató egység vezetője</v>
      </c>
      <c r="L255" s="270">
        <f>IFERROR(
INDEX('Admin - FEOR'!$A$4:$F$465,MATCH(Bérköltség!H255,'Admin - FEOR'!$A$4:$A$465,0),
IF(J255="30 év alatt",3,
IF(J255="30–39 éves",4,
IF(J255="40–49 éves",5,
IF(J255="50 év és afelett",6
)))))*1,"NA")</f>
        <v>1275992</v>
      </c>
      <c r="M255" s="270">
        <f t="shared" si="536"/>
        <v>1355000</v>
      </c>
      <c r="N255" s="318">
        <f t="shared" si="537"/>
        <v>1.0619188835039719</v>
      </c>
      <c r="O255" s="270">
        <f>IFERROR(
INDEX('Admin - FEOR'!$A$4:$F$465,MATCH(Bérköltség!H255,'Admin - FEOR'!$A$4:$A$465,0),
IF(J255="30 év alatt",3,
IF(J255="30–39 éves",4,
IF(J255="40–49 éves",5,
IF(J255="50 év és afelett",6
)))))*1.5,"NA")</f>
        <v>1913988</v>
      </c>
      <c r="P255" s="270">
        <f t="shared" si="538"/>
        <v>406997.44827586203</v>
      </c>
      <c r="Q255" s="270">
        <f t="shared" si="539"/>
        <v>288132</v>
      </c>
      <c r="R255" s="275">
        <f t="shared" si="540"/>
        <v>0.21264367816091953</v>
      </c>
      <c r="S255" s="270">
        <f t="shared" si="541"/>
        <v>0</v>
      </c>
      <c r="T255" s="270">
        <f t="shared" si="542"/>
        <v>0</v>
      </c>
      <c r="U255" s="271">
        <f t="shared" si="543"/>
        <v>0</v>
      </c>
      <c r="V255" s="272">
        <f t="shared" si="544"/>
        <v>325589</v>
      </c>
      <c r="W255" s="273" t="str">
        <f t="shared" si="545"/>
        <v>Indoklás szükséges mivel a FEOR: 106,2%</v>
      </c>
      <c r="X255" s="372">
        <f t="shared" si="546"/>
        <v>0</v>
      </c>
      <c r="Y255" s="317">
        <f t="shared" si="547"/>
        <v>288132</v>
      </c>
      <c r="Z255" s="317">
        <f t="shared" si="548"/>
        <v>37457</v>
      </c>
      <c r="AA255" s="12">
        <v>2</v>
      </c>
      <c r="AB255" s="274">
        <v>8421732463</v>
      </c>
      <c r="AC255" s="40" t="s">
        <v>157</v>
      </c>
      <c r="AD255" s="82" t="s">
        <v>75</v>
      </c>
      <c r="AE255" s="41" t="s">
        <v>52</v>
      </c>
      <c r="AF255" s="11" t="s">
        <v>159</v>
      </c>
      <c r="AG255" s="11" t="s">
        <v>211</v>
      </c>
      <c r="AH255" s="14" t="s">
        <v>122</v>
      </c>
      <c r="AI255" s="86" t="s">
        <v>25</v>
      </c>
      <c r="AJ255" s="113" t="str">
        <f>IF(COUNTIFS(Admin!$A$29:$A$40,AI255)&gt;0,Admin!$A$28,IF(COUNTIFS(Admin!$B$29:$B$40,AI255)&gt;0,Admin!$B$28,IF(COUNTIFS(Admin!$C$29:$C$40,AI255)&gt;0,Admin!$C$28,IF(COUNTIFS(Admin!$D$29:$D$40,AI255)&gt;0,Admin!$D$28,"-"))))</f>
        <v>2. mérföldkő</v>
      </c>
      <c r="AK255" s="14" t="s">
        <v>7</v>
      </c>
      <c r="AL255" s="9" t="s">
        <v>56</v>
      </c>
      <c r="AM255" s="131">
        <v>1355000</v>
      </c>
      <c r="AN255" s="132">
        <f t="shared" si="584"/>
        <v>176150</v>
      </c>
      <c r="AO255" s="121">
        <v>174</v>
      </c>
      <c r="AP255" s="121">
        <v>37</v>
      </c>
      <c r="AQ255" s="354">
        <f t="shared" si="585"/>
        <v>0.21264367816091953</v>
      </c>
      <c r="AR255" s="133">
        <f t="shared" si="214"/>
        <v>288132</v>
      </c>
      <c r="AS255" s="133">
        <f t="shared" si="500"/>
        <v>37457</v>
      </c>
      <c r="AT255" s="123">
        <f t="shared" si="586"/>
        <v>1.3572549517615329E-7</v>
      </c>
      <c r="AU255" s="124">
        <v>0.13</v>
      </c>
      <c r="AV255" s="394" t="s">
        <v>2781</v>
      </c>
      <c r="AW255" s="15">
        <v>44858</v>
      </c>
      <c r="AX255" s="12" t="s">
        <v>206</v>
      </c>
      <c r="AZ255" s="1" t="s">
        <v>2667</v>
      </c>
      <c r="BA255" s="1" t="s">
        <v>2668</v>
      </c>
      <c r="BB255" s="1" t="s">
        <v>2667</v>
      </c>
      <c r="BC255" s="1" t="s">
        <v>2836</v>
      </c>
      <c r="BD255" s="1" t="str">
        <f t="shared" si="589"/>
        <v>Kutató_NK_3 - Kutató</v>
      </c>
    </row>
    <row r="256" spans="1:56" s="1" customFormat="1" hidden="1" x14ac:dyDescent="0.25">
      <c r="A256" s="264" t="str">
        <f>Bérköltség!$B256</f>
        <v>FEOR</v>
      </c>
      <c r="B256" s="264" t="str">
        <f>IFERROR(
IF(AND(Bérköltség!$F256="",H256="NA"),"HIÁNYOS ADATOK",
IF(Bérköltség!$F256&lt;Bérköltség!$U256,Admin!$B$18,Admin!$B$17)),
"")</f>
        <v>FEOR</v>
      </c>
      <c r="C256" s="265">
        <f>IFERROR(INDEX('Historikus berek_2021-2'!$A$1:$F$903,MATCH(AB256,'Historikus berek_2021-2'!$A$1:$A$903,0),4),"")</f>
        <v>1012000</v>
      </c>
      <c r="D256" s="279">
        <f t="shared" si="531"/>
        <v>215195.40229885056</v>
      </c>
      <c r="E256" s="265">
        <f t="shared" si="532"/>
        <v>288132</v>
      </c>
      <c r="F256" s="266">
        <f t="shared" si="533"/>
        <v>82418.355402298854</v>
      </c>
      <c r="G256" s="267">
        <f t="shared" si="534"/>
        <v>243170.80459770112</v>
      </c>
      <c r="H256" s="268">
        <f>IFERROR(INDEX('FEOR kodok'!$A$2:$J$1126,MATCH(Bérköltség!AB256,'FEOR kodok'!$B$2:$B$1126,0),8),"NA")</f>
        <v>1413</v>
      </c>
      <c r="I256" s="269">
        <f>IFERROR(INDEX('FEOR kodok'!$A$2:$J$1126,MATCH(Bérköltség!AB256,'FEOR kodok'!$B$2:$B$1126,0),10),"NA")</f>
        <v>41</v>
      </c>
      <c r="J256" s="276" t="str">
        <f t="shared" si="535"/>
        <v>40–49 éves</v>
      </c>
      <c r="K256" s="269" t="str">
        <f>IFERROR(INDEX(admin_feor[#All],MATCH(Bérköltség!H256,admin_feor[[#All],[Foglalkozás]],0),2),"NA")</f>
        <v>Kutatási és fejlesztési tevékenységet folytató egység vezetője</v>
      </c>
      <c r="L256" s="270">
        <f>IFERROR(
INDEX('Admin - FEOR'!$A$4:$F$465,MATCH(Bérköltség!H256,'Admin - FEOR'!$A$4:$A$465,0),
IF(J256="30 év alatt",3,
IF(J256="30–39 éves",4,
IF(J256="40–49 éves",5,
IF(J256="50 év és afelett",6
)))))*1,"NA")</f>
        <v>1275992</v>
      </c>
      <c r="M256" s="270">
        <f t="shared" si="536"/>
        <v>1355000</v>
      </c>
      <c r="N256" s="318">
        <f t="shared" si="537"/>
        <v>1.0619188835039719</v>
      </c>
      <c r="O256" s="270">
        <f>IFERROR(
INDEX('Admin - FEOR'!$A$4:$F$465,MATCH(Bérköltség!H256,'Admin - FEOR'!$A$4:$A$465,0),
IF(J256="30 év alatt",3,
IF(J256="30–39 éves",4,
IF(J256="40–49 éves",5,
IF(J256="50 év és afelett",6
)))))*1.5,"NA")</f>
        <v>1913988</v>
      </c>
      <c r="P256" s="270">
        <f t="shared" si="538"/>
        <v>406997.44827586203</v>
      </c>
      <c r="Q256" s="270">
        <f t="shared" si="539"/>
        <v>288132</v>
      </c>
      <c r="R256" s="275">
        <f t="shared" si="540"/>
        <v>0.21264367816091953</v>
      </c>
      <c r="S256" s="270">
        <f t="shared" si="541"/>
        <v>0</v>
      </c>
      <c r="T256" s="270">
        <f t="shared" si="542"/>
        <v>0</v>
      </c>
      <c r="U256" s="271">
        <f t="shared" si="543"/>
        <v>0</v>
      </c>
      <c r="V256" s="272">
        <f t="shared" si="544"/>
        <v>325589</v>
      </c>
      <c r="W256" s="273" t="str">
        <f t="shared" si="545"/>
        <v>Indoklás szükséges mivel a FEOR: 106,2%</v>
      </c>
      <c r="X256" s="372">
        <f t="shared" si="546"/>
        <v>0</v>
      </c>
      <c r="Y256" s="317">
        <f t="shared" si="547"/>
        <v>288132</v>
      </c>
      <c r="Z256" s="317">
        <f t="shared" si="548"/>
        <v>37457</v>
      </c>
      <c r="AA256" s="12">
        <v>2</v>
      </c>
      <c r="AB256" s="274">
        <v>8421732463</v>
      </c>
      <c r="AC256" s="40" t="s">
        <v>157</v>
      </c>
      <c r="AD256" s="82" t="s">
        <v>75</v>
      </c>
      <c r="AE256" s="41" t="s">
        <v>52</v>
      </c>
      <c r="AF256" s="11" t="s">
        <v>159</v>
      </c>
      <c r="AG256" s="11" t="s">
        <v>211</v>
      </c>
      <c r="AH256" s="14" t="s">
        <v>122</v>
      </c>
      <c r="AI256" s="86" t="s">
        <v>26</v>
      </c>
      <c r="AJ256" s="113" t="str">
        <f>IF(COUNTIFS(Admin!$A$29:$A$40,AI256)&gt;0,Admin!$A$28,IF(COUNTIFS(Admin!$B$29:$B$40,AI256)&gt;0,Admin!$B$28,IF(COUNTIFS(Admin!$C$29:$C$40,AI256)&gt;0,Admin!$C$28,IF(COUNTIFS(Admin!$D$29:$D$40,AI256)&gt;0,Admin!$D$28,"-"))))</f>
        <v>2. mérföldkő</v>
      </c>
      <c r="AK256" s="14" t="s">
        <v>7</v>
      </c>
      <c r="AL256" s="9" t="s">
        <v>56</v>
      </c>
      <c r="AM256" s="131">
        <v>1355000</v>
      </c>
      <c r="AN256" s="132">
        <f t="shared" si="584"/>
        <v>176150</v>
      </c>
      <c r="AO256" s="121">
        <v>174</v>
      </c>
      <c r="AP256" s="121">
        <v>37</v>
      </c>
      <c r="AQ256" s="354">
        <f t="shared" si="585"/>
        <v>0.21264367816091953</v>
      </c>
      <c r="AR256" s="133">
        <f t="shared" si="214"/>
        <v>288132</v>
      </c>
      <c r="AS256" s="133">
        <f t="shared" si="500"/>
        <v>37457</v>
      </c>
      <c r="AT256" s="123">
        <f t="shared" si="586"/>
        <v>1.3572549517615329E-7</v>
      </c>
      <c r="AU256" s="124">
        <v>0.13</v>
      </c>
      <c r="AV256" s="394" t="s">
        <v>2781</v>
      </c>
      <c r="AW256" s="15">
        <v>44858</v>
      </c>
      <c r="AX256" s="12" t="s">
        <v>206</v>
      </c>
      <c r="AZ256" s="1" t="s">
        <v>2667</v>
      </c>
      <c r="BA256" s="1" t="s">
        <v>2667</v>
      </c>
      <c r="BB256" s="1" t="s">
        <v>2667</v>
      </c>
      <c r="BC256" s="1" t="s">
        <v>2836</v>
      </c>
      <c r="BD256" s="1" t="str">
        <f t="shared" si="589"/>
        <v>Kutató_NK_3 - Kutató</v>
      </c>
    </row>
    <row r="257" spans="1:56" s="1" customFormat="1" hidden="1" x14ac:dyDescent="0.25">
      <c r="A257" s="264" t="str">
        <f>Bérköltség!$B257</f>
        <v>FEOR</v>
      </c>
      <c r="B257" s="264" t="str">
        <f>IFERROR(
IF(AND(Bérköltség!$F257="",H257="NA"),"HIÁNYOS ADATOK",
IF(Bérköltség!$F257&lt;Bérköltség!$U257,Admin!$B$18,Admin!$B$17)),
"")</f>
        <v>FEOR</v>
      </c>
      <c r="C257" s="265">
        <f>IFERROR(INDEX('Historikus berek_2021-2'!$A$1:$F$903,MATCH(AB257,'Historikus berek_2021-2'!$A$1:$A$903,0),4),"")</f>
        <v>1012000</v>
      </c>
      <c r="D257" s="279">
        <f t="shared" si="531"/>
        <v>215195.40229885056</v>
      </c>
      <c r="E257" s="265">
        <f t="shared" si="532"/>
        <v>282284</v>
      </c>
      <c r="F257" s="266">
        <f t="shared" si="533"/>
        <v>75810.115402298863</v>
      </c>
      <c r="G257" s="267">
        <f t="shared" si="534"/>
        <v>243170.80459770112</v>
      </c>
      <c r="H257" s="268">
        <f>IFERROR(INDEX('FEOR kodok'!$A$2:$J$1126,MATCH(Bérköltség!AB257,'FEOR kodok'!$B$2:$B$1126,0),8),"NA")</f>
        <v>1413</v>
      </c>
      <c r="I257" s="269">
        <f>IFERROR(INDEX('FEOR kodok'!$A$2:$J$1126,MATCH(Bérköltség!AB257,'FEOR kodok'!$B$2:$B$1126,0),10),"NA")</f>
        <v>41</v>
      </c>
      <c r="J257" s="276" t="str">
        <f t="shared" si="535"/>
        <v>40–49 éves</v>
      </c>
      <c r="K257" s="269" t="str">
        <f>IFERROR(INDEX(admin_feor[#All],MATCH(Bérköltség!H257,admin_feor[[#All],[Foglalkozás]],0),2),"NA")</f>
        <v>Kutatási és fejlesztési tevékenységet folytató egység vezetője</v>
      </c>
      <c r="L257" s="270">
        <f>IFERROR(
INDEX('Admin - FEOR'!$A$4:$F$465,MATCH(Bérköltség!H257,'Admin - FEOR'!$A$4:$A$465,0),
IF(J257="30 év alatt",3,
IF(J257="30–39 éves",4,
IF(J257="40–49 éves",5,
IF(J257="50 év és afelett",6
)))))*1,"NA")</f>
        <v>1275992</v>
      </c>
      <c r="M257" s="270">
        <f t="shared" si="536"/>
        <v>1355000</v>
      </c>
      <c r="N257" s="318">
        <f t="shared" si="537"/>
        <v>1.0619188835039719</v>
      </c>
      <c r="O257" s="270">
        <f>IFERROR(
INDEX('Admin - FEOR'!$A$4:$F$465,MATCH(Bérköltség!H257,'Admin - FEOR'!$A$4:$A$465,0),
IF(J257="30 év alatt",3,
IF(J257="30–39 éves",4,
IF(J257="40–49 éves",5,
IF(J257="50 év és afelett",6
)))))*1.5,"NA")</f>
        <v>1913988</v>
      </c>
      <c r="P257" s="270">
        <f t="shared" si="538"/>
        <v>406997.44827586203</v>
      </c>
      <c r="Q257" s="270">
        <f t="shared" si="539"/>
        <v>282284</v>
      </c>
      <c r="R257" s="275">
        <f t="shared" si="540"/>
        <v>0.21264367816091953</v>
      </c>
      <c r="S257" s="270">
        <f t="shared" si="541"/>
        <v>0</v>
      </c>
      <c r="T257" s="270">
        <f t="shared" si="542"/>
        <v>0</v>
      </c>
      <c r="U257" s="271">
        <f t="shared" si="543"/>
        <v>0</v>
      </c>
      <c r="V257" s="272">
        <f t="shared" si="544"/>
        <v>318981</v>
      </c>
      <c r="W257" s="273" t="str">
        <f t="shared" si="545"/>
        <v>Indoklás szükséges mivel a FEOR: 106,2%</v>
      </c>
      <c r="X257" s="372">
        <f t="shared" si="546"/>
        <v>0</v>
      </c>
      <c r="Y257" s="317">
        <f t="shared" si="547"/>
        <v>282284</v>
      </c>
      <c r="Z257" s="317">
        <f t="shared" si="548"/>
        <v>36697</v>
      </c>
      <c r="AA257" s="12">
        <v>2</v>
      </c>
      <c r="AB257" s="274">
        <v>8421732463</v>
      </c>
      <c r="AC257" s="40" t="s">
        <v>157</v>
      </c>
      <c r="AD257" s="82" t="s">
        <v>75</v>
      </c>
      <c r="AE257" s="41" t="s">
        <v>52</v>
      </c>
      <c r="AF257" s="11" t="s">
        <v>159</v>
      </c>
      <c r="AG257" s="11" t="s">
        <v>211</v>
      </c>
      <c r="AH257" s="14" t="s">
        <v>122</v>
      </c>
      <c r="AI257" s="86" t="s">
        <v>32</v>
      </c>
      <c r="AJ257" s="113" t="str">
        <f>IF(COUNTIFS(Admin!$A$29:$A$40,AI257)&gt;0,Admin!$A$28,IF(COUNTIFS(Admin!$B$29:$B$40,AI257)&gt;0,Admin!$B$28,IF(COUNTIFS(Admin!$C$29:$C$40,AI257)&gt;0,Admin!$C$28,IF(COUNTIFS(Admin!$D$29:$D$40,AI257)&gt;0,Admin!$D$28,"-"))))</f>
        <v>2. mérföldkő</v>
      </c>
      <c r="AK257" s="14" t="s">
        <v>7</v>
      </c>
      <c r="AL257" s="9" t="s">
        <v>56</v>
      </c>
      <c r="AM257" s="131">
        <v>1355000</v>
      </c>
      <c r="AN257" s="132">
        <f t="shared" si="584"/>
        <v>176150</v>
      </c>
      <c r="AO257" s="121">
        <v>174</v>
      </c>
      <c r="AP257" s="121">
        <v>37</v>
      </c>
      <c r="AQ257" s="354">
        <f t="shared" si="585"/>
        <v>0.21264367816091953</v>
      </c>
      <c r="AR257" s="133">
        <v>282284</v>
      </c>
      <c r="AS257" s="133">
        <f t="shared" si="500"/>
        <v>36697</v>
      </c>
      <c r="AT257" s="123">
        <f t="shared" si="586"/>
        <v>4.316002884166753E-3</v>
      </c>
      <c r="AU257" s="124">
        <v>0.13</v>
      </c>
      <c r="AV257" s="394" t="s">
        <v>2781</v>
      </c>
      <c r="AW257" s="15">
        <v>44936</v>
      </c>
      <c r="AX257" s="12" t="s">
        <v>206</v>
      </c>
      <c r="AZ257" s="1" t="s">
        <v>2667</v>
      </c>
      <c r="BA257" s="1">
        <v>0</v>
      </c>
      <c r="BB257" s="1">
        <v>0</v>
      </c>
      <c r="BC257" s="1" t="s">
        <v>2836</v>
      </c>
      <c r="BD257" s="1" t="str">
        <f t="shared" si="589"/>
        <v>Kutató_NK_3 - Kutató</v>
      </c>
    </row>
    <row r="258" spans="1:56" s="1" customFormat="1" hidden="1" x14ac:dyDescent="0.25">
      <c r="A258" s="264" t="str">
        <f>Bérköltség!$B258</f>
        <v>FEOR</v>
      </c>
      <c r="B258" s="264" t="str">
        <f>IFERROR(
IF(AND(Bérköltség!$F258="",H258="NA"),"HIÁNYOS ADATOK",
IF(Bérköltség!$F258&lt;Bérköltség!$U258,Admin!$B$18,Admin!$B$17)),
"")</f>
        <v>FEOR</v>
      </c>
      <c r="C258" s="265">
        <f>IFERROR(INDEX('Historikus berek_2021-2'!$A$1:$F$903,MATCH(AB258,'Historikus berek_2021-2'!$A$1:$A$903,0),4),"")</f>
        <v>1012000</v>
      </c>
      <c r="D258" s="279">
        <f t="shared" si="531"/>
        <v>215195.40229885056</v>
      </c>
      <c r="E258" s="265">
        <f t="shared" si="532"/>
        <v>282284</v>
      </c>
      <c r="F258" s="266">
        <f t="shared" si="533"/>
        <v>75810.115402298863</v>
      </c>
      <c r="G258" s="267">
        <f t="shared" si="534"/>
        <v>243170.80459770112</v>
      </c>
      <c r="H258" s="268">
        <f>IFERROR(INDEX('FEOR kodok'!$A$2:$J$1126,MATCH(Bérköltség!AB258,'FEOR kodok'!$B$2:$B$1126,0),8),"NA")</f>
        <v>1413</v>
      </c>
      <c r="I258" s="269">
        <f>IFERROR(INDEX('FEOR kodok'!$A$2:$J$1126,MATCH(Bérköltség!AB258,'FEOR kodok'!$B$2:$B$1126,0),10),"NA")</f>
        <v>41</v>
      </c>
      <c r="J258" s="276" t="str">
        <f t="shared" si="535"/>
        <v>40–49 éves</v>
      </c>
      <c r="K258" s="269" t="str">
        <f>IFERROR(INDEX(admin_feor[#All],MATCH(Bérköltség!H258,admin_feor[[#All],[Foglalkozás]],0),2),"NA")</f>
        <v>Kutatási és fejlesztési tevékenységet folytató egység vezetője</v>
      </c>
      <c r="L258" s="270">
        <f>IFERROR(
INDEX('Admin - FEOR'!$A$4:$F$465,MATCH(Bérköltség!H258,'Admin - FEOR'!$A$4:$A$465,0),
IF(J258="30 év alatt",3,
IF(J258="30–39 éves",4,
IF(J258="40–49 éves",5,
IF(J258="50 év és afelett",6
)))))*1,"NA")</f>
        <v>1275992</v>
      </c>
      <c r="M258" s="270">
        <f t="shared" si="536"/>
        <v>1355000</v>
      </c>
      <c r="N258" s="318">
        <f t="shared" si="537"/>
        <v>1.0619188835039719</v>
      </c>
      <c r="O258" s="270">
        <f>IFERROR(
INDEX('Admin - FEOR'!$A$4:$F$465,MATCH(Bérköltség!H258,'Admin - FEOR'!$A$4:$A$465,0),
IF(J258="30 év alatt",3,
IF(J258="30–39 éves",4,
IF(J258="40–49 éves",5,
IF(J258="50 év és afelett",6
)))))*1.5,"NA")</f>
        <v>1913988</v>
      </c>
      <c r="P258" s="270">
        <f t="shared" si="538"/>
        <v>406997.44827586203</v>
      </c>
      <c r="Q258" s="270">
        <f t="shared" si="539"/>
        <v>282284</v>
      </c>
      <c r="R258" s="275">
        <f t="shared" si="540"/>
        <v>0.21264367816091953</v>
      </c>
      <c r="S258" s="270">
        <f t="shared" si="541"/>
        <v>0</v>
      </c>
      <c r="T258" s="270">
        <f t="shared" si="542"/>
        <v>0</v>
      </c>
      <c r="U258" s="271">
        <f t="shared" si="543"/>
        <v>0</v>
      </c>
      <c r="V258" s="272">
        <f t="shared" si="544"/>
        <v>318981</v>
      </c>
      <c r="W258" s="273" t="str">
        <f t="shared" si="545"/>
        <v>Indoklás szükséges mivel a FEOR: 106,2%</v>
      </c>
      <c r="X258" s="372">
        <f t="shared" si="546"/>
        <v>0</v>
      </c>
      <c r="Y258" s="317">
        <f t="shared" si="547"/>
        <v>282284</v>
      </c>
      <c r="Z258" s="317">
        <f t="shared" si="548"/>
        <v>36697</v>
      </c>
      <c r="AA258" s="12">
        <v>2</v>
      </c>
      <c r="AB258" s="274">
        <v>8421732463</v>
      </c>
      <c r="AC258" s="40" t="s">
        <v>157</v>
      </c>
      <c r="AD258" s="82" t="s">
        <v>75</v>
      </c>
      <c r="AE258" s="41" t="s">
        <v>52</v>
      </c>
      <c r="AF258" s="11" t="s">
        <v>159</v>
      </c>
      <c r="AG258" s="11" t="s">
        <v>211</v>
      </c>
      <c r="AH258" s="14" t="s">
        <v>122</v>
      </c>
      <c r="AI258" s="86" t="s">
        <v>33</v>
      </c>
      <c r="AJ258" s="113" t="str">
        <f>IF(COUNTIFS(Admin!$A$29:$A$40,AI258)&gt;0,Admin!$A$28,IF(COUNTIFS(Admin!$B$29:$B$40,AI258)&gt;0,Admin!$B$28,IF(COUNTIFS(Admin!$C$29:$C$40,AI258)&gt;0,Admin!$C$28,IF(COUNTIFS(Admin!$D$29:$D$40,AI258)&gt;0,Admin!$D$28,"-"))))</f>
        <v>2. mérföldkő</v>
      </c>
      <c r="AK258" s="14" t="s">
        <v>7</v>
      </c>
      <c r="AL258" s="9" t="s">
        <v>56</v>
      </c>
      <c r="AM258" s="131">
        <v>1355000</v>
      </c>
      <c r="AN258" s="132">
        <f t="shared" si="584"/>
        <v>176150</v>
      </c>
      <c r="AO258" s="121">
        <v>174</v>
      </c>
      <c r="AP258" s="121">
        <v>37</v>
      </c>
      <c r="AQ258" s="354">
        <f t="shared" si="585"/>
        <v>0.21264367816091953</v>
      </c>
      <c r="AR258" s="133">
        <v>282284</v>
      </c>
      <c r="AS258" s="133">
        <f t="shared" si="500"/>
        <v>36697</v>
      </c>
      <c r="AT258" s="123">
        <f t="shared" si="586"/>
        <v>4.316002884166753E-3</v>
      </c>
      <c r="AU258" s="124">
        <v>0.13</v>
      </c>
      <c r="AV258" s="394" t="s">
        <v>2781</v>
      </c>
      <c r="AW258" s="15">
        <v>44936</v>
      </c>
      <c r="AX258" s="12" t="s">
        <v>206</v>
      </c>
      <c r="AZ258" s="8" t="str">
        <f>IF(VLOOKUP(LEFT($AB258,10),'Havi béradatok'!$B:$E,2,FALSE)=AG258,"EGYEZIK","HIBÁS")</f>
        <v>EGYEZIK</v>
      </c>
      <c r="BA258" s="1">
        <f>VLOOKUP(LEFT($AB258,10),'Havi béradatok'!$B:$E,3,FALSE)-AM258</f>
        <v>0</v>
      </c>
      <c r="BB258" s="1">
        <f>VLOOKUP(LEFT($AB258,10),'Havi béradatok'!$B:$E,4,FALSE)-AN258</f>
        <v>140920</v>
      </c>
      <c r="BC258" s="1" t="s">
        <v>2836</v>
      </c>
      <c r="BD258" s="1" t="str">
        <f t="shared" si="589"/>
        <v>Kutató_NK_3 - Kutató</v>
      </c>
    </row>
    <row r="259" spans="1:56" s="1" customFormat="1" hidden="1" x14ac:dyDescent="0.25">
      <c r="A259" s="264" t="str">
        <f>Bérköltség!$B259</f>
        <v>FEOR</v>
      </c>
      <c r="B259" s="264" t="str">
        <f>IFERROR(
IF(AND(Bérköltség!$F259="",H259="NA"),"HIÁNYOS ADATOK",
IF(Bérköltség!$F259&lt;Bérköltség!$U259,Admin!$B$18,Admin!$B$17)),
"")</f>
        <v>FEOR</v>
      </c>
      <c r="C259" s="265">
        <f>IFERROR(INDEX('Historikus berek_2021-2'!$A$1:$F$903,MATCH(AB259,'Historikus berek_2021-2'!$A$1:$A$903,0),4),"")</f>
        <v>1012000</v>
      </c>
      <c r="D259" s="279">
        <f t="shared" si="531"/>
        <v>215195.40229885056</v>
      </c>
      <c r="E259" s="265">
        <f t="shared" si="532"/>
        <v>282284</v>
      </c>
      <c r="F259" s="266">
        <f t="shared" si="533"/>
        <v>75810.115402298863</v>
      </c>
      <c r="G259" s="267">
        <f t="shared" si="534"/>
        <v>243170.80459770112</v>
      </c>
      <c r="H259" s="268">
        <f>IFERROR(INDEX('FEOR kodok'!$A$2:$J$1126,MATCH(Bérköltség!AB259,'FEOR kodok'!$B$2:$B$1126,0),8),"NA")</f>
        <v>1413</v>
      </c>
      <c r="I259" s="269">
        <f>IFERROR(INDEX('FEOR kodok'!$A$2:$J$1126,MATCH(Bérköltség!AB259,'FEOR kodok'!$B$2:$B$1126,0),10),"NA")</f>
        <v>41</v>
      </c>
      <c r="J259" s="276" t="str">
        <f t="shared" si="535"/>
        <v>40–49 éves</v>
      </c>
      <c r="K259" s="269" t="str">
        <f>IFERROR(INDEX(admin_feor[#All],MATCH(Bérköltség!H259,admin_feor[[#All],[Foglalkozás]],0),2),"NA")</f>
        <v>Kutatási és fejlesztési tevékenységet folytató egység vezetője</v>
      </c>
      <c r="L259" s="270">
        <f>IFERROR(
INDEX('Admin - FEOR'!$A$4:$F$465,MATCH(Bérköltség!H259,'Admin - FEOR'!$A$4:$A$465,0),
IF(J259="30 év alatt",3,
IF(J259="30–39 éves",4,
IF(J259="40–49 éves",5,
IF(J259="50 év és afelett",6
)))))*1,"NA")</f>
        <v>1275992</v>
      </c>
      <c r="M259" s="270">
        <f t="shared" si="536"/>
        <v>1355000</v>
      </c>
      <c r="N259" s="318">
        <f t="shared" si="537"/>
        <v>1.0619188835039719</v>
      </c>
      <c r="O259" s="270">
        <f>IFERROR(
INDEX('Admin - FEOR'!$A$4:$F$465,MATCH(Bérköltség!H259,'Admin - FEOR'!$A$4:$A$465,0),
IF(J259="30 év alatt",3,
IF(J259="30–39 éves",4,
IF(J259="40–49 éves",5,
IF(J259="50 év és afelett",6
)))))*1.5,"NA")</f>
        <v>1913988</v>
      </c>
      <c r="P259" s="270">
        <f t="shared" si="538"/>
        <v>406997.44827586203</v>
      </c>
      <c r="Q259" s="270">
        <f t="shared" si="539"/>
        <v>282284</v>
      </c>
      <c r="R259" s="275">
        <f t="shared" si="540"/>
        <v>0.21264367816091953</v>
      </c>
      <c r="S259" s="270">
        <f t="shared" si="541"/>
        <v>0</v>
      </c>
      <c r="T259" s="270">
        <f t="shared" si="542"/>
        <v>0</v>
      </c>
      <c r="U259" s="271">
        <f t="shared" si="543"/>
        <v>0</v>
      </c>
      <c r="V259" s="272">
        <f t="shared" si="544"/>
        <v>318981</v>
      </c>
      <c r="W259" s="273" t="str">
        <f t="shared" si="545"/>
        <v>Indoklás szükséges mivel a FEOR: 106,2%</v>
      </c>
      <c r="X259" s="372">
        <f t="shared" si="546"/>
        <v>0</v>
      </c>
      <c r="Y259" s="317">
        <f t="shared" si="547"/>
        <v>282284</v>
      </c>
      <c r="Z259" s="317">
        <f t="shared" si="548"/>
        <v>36697</v>
      </c>
      <c r="AA259" s="12">
        <v>2</v>
      </c>
      <c r="AB259" s="274">
        <v>8421732463</v>
      </c>
      <c r="AC259" s="40" t="s">
        <v>157</v>
      </c>
      <c r="AD259" s="82" t="s">
        <v>75</v>
      </c>
      <c r="AE259" s="41" t="s">
        <v>52</v>
      </c>
      <c r="AF259" s="11" t="s">
        <v>159</v>
      </c>
      <c r="AG259" s="11" t="s">
        <v>211</v>
      </c>
      <c r="AH259" s="14" t="s">
        <v>122</v>
      </c>
      <c r="AI259" s="86" t="s">
        <v>34</v>
      </c>
      <c r="AJ259" s="113" t="str">
        <f>IF(COUNTIFS(Admin!$A$29:$A$40,AI259)&gt;0,Admin!$A$28,IF(COUNTIFS(Admin!$B$29:$B$40,AI259)&gt;0,Admin!$B$28,IF(COUNTIFS(Admin!$C$29:$C$40,AI259)&gt;0,Admin!$C$28,IF(COUNTIFS(Admin!$D$29:$D$40,AI259)&gt;0,Admin!$D$28,"-"))))</f>
        <v>2. mérföldkő</v>
      </c>
      <c r="AK259" s="14" t="s">
        <v>7</v>
      </c>
      <c r="AL259" s="9" t="s">
        <v>56</v>
      </c>
      <c r="AM259" s="131">
        <v>1355000</v>
      </c>
      <c r="AN259" s="132">
        <f t="shared" si="584"/>
        <v>176150</v>
      </c>
      <c r="AO259" s="121">
        <v>174</v>
      </c>
      <c r="AP259" s="121">
        <v>37</v>
      </c>
      <c r="AQ259" s="354">
        <f t="shared" si="585"/>
        <v>0.21264367816091953</v>
      </c>
      <c r="AR259" s="133">
        <v>282284</v>
      </c>
      <c r="AS259" s="133">
        <f t="shared" si="500"/>
        <v>36697</v>
      </c>
      <c r="AT259" s="123">
        <f t="shared" si="586"/>
        <v>4.316002884166753E-3</v>
      </c>
      <c r="AU259" s="124">
        <v>0.13</v>
      </c>
      <c r="AV259" s="394" t="s">
        <v>2781</v>
      </c>
      <c r="AW259" s="15">
        <v>44936</v>
      </c>
      <c r="AX259" s="12" t="s">
        <v>206</v>
      </c>
      <c r="BC259" s="1" t="s">
        <v>2836</v>
      </c>
      <c r="BD259" s="1" t="str">
        <f t="shared" si="589"/>
        <v>Kutató_NK_3 - Kutató</v>
      </c>
    </row>
    <row r="260" spans="1:56" s="1" customFormat="1" x14ac:dyDescent="0.25">
      <c r="A260" s="264" t="str">
        <f>Bérköltség!$B260</f>
        <v>FEOR</v>
      </c>
      <c r="B260" s="264" t="str">
        <f>IFERROR(
IF(AND(Bérköltség!$F260="",H260="NA"),"HIÁNYOS ADATOK",
IF(Bérköltség!$F260&lt;Bérköltség!$U260,Admin!$B$18,Admin!$B$17)),
"")</f>
        <v>FEOR</v>
      </c>
      <c r="C260" s="265">
        <f>IFERROR(INDEX('Historikus berek_2021-2'!$A$1:$F$903,MATCH(AB260,'Historikus berek_2021-2'!$A$1:$A$903,0),4),"")</f>
        <v>1012000</v>
      </c>
      <c r="D260" s="279">
        <f t="shared" ref="D260:D262" si="590">IFERROR(C260*AQ260,"")</f>
        <v>215195.40229885056</v>
      </c>
      <c r="E260" s="265">
        <f t="shared" ref="E260:E262" si="591">AR260</f>
        <v>288132</v>
      </c>
      <c r="F260" s="266">
        <f t="shared" ref="F260:F262" si="592">IFERROR(IF((E260*(1+AU260)-D260*(1+AU260))&lt;0,0,(E260*(1+AU260)-D260*(1+AU260))),"")</f>
        <v>82418.355402298854</v>
      </c>
      <c r="G260" s="267">
        <f t="shared" ref="G260:G262" si="593">IFERROR((E260*(1+AU260)-F260),"")</f>
        <v>243170.80459770112</v>
      </c>
      <c r="H260" s="268">
        <f>IFERROR(INDEX('FEOR kodok'!$A$2:$J$1126,MATCH(Bérköltség!AB260,'FEOR kodok'!$B$2:$B$1126,0),8),"NA")</f>
        <v>1413</v>
      </c>
      <c r="I260" s="269">
        <f>IFERROR(INDEX('FEOR kodok'!$A$2:$J$1126,MATCH(Bérköltség!AB260,'FEOR kodok'!$B$2:$B$1126,0),10),"NA")</f>
        <v>41</v>
      </c>
      <c r="J260" s="276" t="str">
        <f t="shared" ref="J260:J262" si="594">IF(I260="NA","NA",
IF(I260&lt;30,"30 év alatt",
IF(AND(I260&gt;=30,I260&lt;=39),"30–39 éves",
IF(AND(I260&gt;=40,I260&lt;=49),"40–49 éves",
IF(I260&gt;=50,"50 év és afelett",
"")))))</f>
        <v>40–49 éves</v>
      </c>
      <c r="K260" s="269" t="str">
        <f>IFERROR(INDEX(admin_feor[#All],MATCH(Bérköltség!H260,admin_feor[[#All],[Foglalkozás]],0),2),"NA")</f>
        <v>Kutatási és fejlesztési tevékenységet folytató egység vezetője</v>
      </c>
      <c r="L260" s="270">
        <f>IFERROR(
INDEX('Admin - FEOR'!$A$4:$F$465,MATCH(Bérköltség!H260,'Admin - FEOR'!$A$4:$A$465,0),
IF(J260="30 év alatt",3,
IF(J260="30–39 éves",4,
IF(J260="40–49 éves",5,
IF(J260="50 év és afelett",6
)))))*1,"NA")</f>
        <v>1275992</v>
      </c>
      <c r="M260" s="270">
        <f t="shared" ref="M260:M262" si="595">AM260</f>
        <v>1355000</v>
      </c>
      <c r="N260" s="318">
        <f t="shared" ref="N260:N262" si="596">IFERROR(
M260/L260,"NA")</f>
        <v>1.0619188835039719</v>
      </c>
      <c r="O260" s="270">
        <f>IFERROR(
INDEX('Admin - FEOR'!$A$4:$F$465,MATCH(Bérköltség!H260,'Admin - FEOR'!$A$4:$A$465,0),
IF(J260="30 év alatt",3,
IF(J260="30–39 éves",4,
IF(J260="40–49 éves",5,
IF(J260="50 év és afelett",6
)))))*1.5,"NA")</f>
        <v>1913988</v>
      </c>
      <c r="P260" s="270">
        <f t="shared" ref="P260:P262" si="597">IFERROR(
AQ260*O260,"NA")</f>
        <v>406997.44827586203</v>
      </c>
      <c r="Q260" s="270">
        <f t="shared" ref="Q260:Q262" si="598">IFERROR(AR260,"")</f>
        <v>288132</v>
      </c>
      <c r="R260" s="275">
        <f t="shared" ref="R260:R262" si="599">IFERROR(AQ260,"")</f>
        <v>0.21264367816091953</v>
      </c>
      <c r="S260" s="270">
        <f t="shared" ref="S260:S262" si="600">IFERROR(
IF(AR260-P260&lt;0,0,AR260-P260),"NA")</f>
        <v>0</v>
      </c>
      <c r="T260" s="270">
        <f t="shared" ref="T260:T262" si="601">IFERROR(
S260*AU260,"NA")</f>
        <v>0</v>
      </c>
      <c r="U260" s="271">
        <f t="shared" ref="U260:U262" si="602">IFERROR(
S260+T260,"NA")</f>
        <v>0</v>
      </c>
      <c r="V260" s="272">
        <f t="shared" ref="V260:V262" si="603">IFERROR(
IF(U260&gt;0,AR260+AS260-U260,AR260+AS260),"NA")</f>
        <v>325589</v>
      </c>
      <c r="W260" s="273" t="str">
        <f t="shared" ref="W260:W262" si="604">IF(P260="NA","FEOR hiányzik",
IF(AND(N260&gt;1,A260="FEOR"),CONCATENATE("Indoklás szükséges mivel a FEOR: ",ROUND(N260*100,1),"%"),"Nem szükséges indoklás.")
)</f>
        <v>Indoklás szükséges mivel a FEOR: 106,2%</v>
      </c>
      <c r="X260" s="372">
        <f t="shared" ref="X260:X262" si="605">IF(A260="FEOR",U260,IF(A260="HIÁNYOS ADATOK","HIÁNYOS ADATOK",F260))</f>
        <v>0</v>
      </c>
      <c r="Y260" s="317">
        <f t="shared" ref="Y260:Y262" si="606">IF(A260="FEOR",ROUND((V260/(1+AU260)),0),IF(A260="HIÁNYOS ADATOK","HIÁNYOS ADATOK",ROUND(G260/(1+AU260),0)))</f>
        <v>288132</v>
      </c>
      <c r="Z260" s="317">
        <f t="shared" ref="Z260:Z262" si="607">IF(A260="FEOR",ROUND((V260-Y260),0),IF(A260="HIÁNYOS ADATOK","HIÁNYOS ADATOK",ROUND((G260-Y260),0)))</f>
        <v>37457</v>
      </c>
      <c r="AA260" s="36"/>
      <c r="AB260" s="274">
        <v>8421732463</v>
      </c>
      <c r="AC260" s="40" t="s">
        <v>157</v>
      </c>
      <c r="AD260" s="82" t="s">
        <v>75</v>
      </c>
      <c r="AE260" s="41" t="s">
        <v>52</v>
      </c>
      <c r="AF260" s="11" t="s">
        <v>159</v>
      </c>
      <c r="AG260" s="11" t="s">
        <v>211</v>
      </c>
      <c r="AH260" s="14" t="s">
        <v>122</v>
      </c>
      <c r="AI260" s="86" t="s">
        <v>35</v>
      </c>
      <c r="AJ260" s="113" t="str">
        <f>IF(COUNTIFS(Admin!$A$29:$A$40,AI260)&gt;0,Admin!$A$28,IF(COUNTIFS(Admin!$B$29:$B$40,AI260)&gt;0,Admin!$B$28,IF(COUNTIFS(Admin!$C$29:$C$40,AI260)&gt;0,Admin!$C$28,IF(COUNTIFS(Admin!$D$29:$D$40,AI260)&gt;0,Admin!$D$28,"-"))))</f>
        <v>3. mérföldkő</v>
      </c>
      <c r="AK260" s="14" t="s">
        <v>7</v>
      </c>
      <c r="AL260" s="9" t="s">
        <v>56</v>
      </c>
      <c r="AM260" s="131">
        <v>1355000</v>
      </c>
      <c r="AN260" s="132">
        <f t="shared" ref="AN260" si="608">IFERROR(ROUND(AM260*AU260,0),"")</f>
        <v>176150</v>
      </c>
      <c r="AO260" s="121">
        <v>174</v>
      </c>
      <c r="AP260" s="121">
        <v>37</v>
      </c>
      <c r="AQ260" s="354">
        <f t="shared" ref="AQ260" si="609">IFERROR(AP260/AO260,"")</f>
        <v>0.21264367816091953</v>
      </c>
      <c r="AR260" s="133">
        <f t="shared" si="214"/>
        <v>288132</v>
      </c>
      <c r="AS260" s="133">
        <f t="shared" ref="AS260" si="610">IFERROR(ROUND(AR260*AU260,0),"")</f>
        <v>37457</v>
      </c>
      <c r="AT260" s="123">
        <f t="shared" ref="AT260" si="611">IFERROR(AP260/AO260-AR260/AM260,"")</f>
        <v>1.3572549517615329E-7</v>
      </c>
      <c r="AU260" s="124">
        <v>0.13</v>
      </c>
      <c r="AV260" s="394" t="s">
        <v>2781</v>
      </c>
      <c r="AW260" s="15">
        <v>45002</v>
      </c>
      <c r="AX260" s="12" t="s">
        <v>206</v>
      </c>
      <c r="AZ260" s="1" t="str">
        <f>IF(VLOOKUP(LEFT($AB260,10),'Havi béradatok'!$B:$E,2,FALSE)=AG260,"EGYEZIK","HIBÁS")</f>
        <v>EGYEZIK</v>
      </c>
      <c r="BA260" s="1">
        <f>VLOOKUP(LEFT($AB260,10),'Havi béradatok'!$B:$E,3,FALSE)-AM260</f>
        <v>0</v>
      </c>
      <c r="BB260" s="391">
        <f>VLOOKUP(LEFT($AB260,10),'Havi béradatok'!$B:$E,4,FALSE)-AN260</f>
        <v>140920</v>
      </c>
      <c r="BC260" s="400" t="s">
        <v>2836</v>
      </c>
      <c r="BD260" s="400"/>
    </row>
    <row r="261" spans="1:56" s="1" customFormat="1" hidden="1" x14ac:dyDescent="0.25">
      <c r="A261" s="264" t="str">
        <f>Bérköltség!$B261</f>
        <v>FEOR</v>
      </c>
      <c r="B261" s="264" t="str">
        <f>IFERROR(
IF(AND(Bérköltség!$F261="",H261="NA"),"HIÁNYOS ADATOK",
IF(Bérköltség!$F261&lt;Bérköltség!$U261,Admin!$B$18,Admin!$B$17)),
"")</f>
        <v>FEOR</v>
      </c>
      <c r="C261" s="265">
        <f>IFERROR(INDEX('Historikus berek_2021-2'!$A$1:$F$903,MATCH(AB261,'Historikus berek_2021-2'!$A$1:$A$903,0),4),"")</f>
        <v>1012000</v>
      </c>
      <c r="D261" s="279">
        <f t="shared" si="590"/>
        <v>215195.40229885056</v>
      </c>
      <c r="E261" s="265">
        <f t="shared" si="591"/>
        <v>288132</v>
      </c>
      <c r="F261" s="266">
        <f t="shared" si="592"/>
        <v>82418.355402298854</v>
      </c>
      <c r="G261" s="267">
        <f t="shared" si="593"/>
        <v>243170.80459770112</v>
      </c>
      <c r="H261" s="268">
        <f>IFERROR(INDEX('FEOR kodok'!$A$2:$J$1126,MATCH(Bérköltség!AB261,'FEOR kodok'!$B$2:$B$1126,0),8),"NA")</f>
        <v>1413</v>
      </c>
      <c r="I261" s="269">
        <f>IFERROR(INDEX('FEOR kodok'!$A$2:$J$1126,MATCH(Bérköltség!AB261,'FEOR kodok'!$B$2:$B$1126,0),10),"NA")</f>
        <v>41</v>
      </c>
      <c r="J261" s="276" t="str">
        <f t="shared" si="594"/>
        <v>40–49 éves</v>
      </c>
      <c r="K261" s="269" t="str">
        <f>IFERROR(INDEX(admin_feor[#All],MATCH(Bérköltség!H261,admin_feor[[#All],[Foglalkozás]],0),2),"NA")</f>
        <v>Kutatási és fejlesztési tevékenységet folytató egység vezetője</v>
      </c>
      <c r="L261" s="270">
        <f>IFERROR(
INDEX('Admin - FEOR'!$A$4:$F$465,MATCH(Bérköltség!H261,'Admin - FEOR'!$A$4:$A$465,0),
IF(J261="30 év alatt",3,
IF(J261="30–39 éves",4,
IF(J261="40–49 éves",5,
IF(J261="50 év és afelett",6
)))))*1,"NA")</f>
        <v>1275992</v>
      </c>
      <c r="M261" s="270">
        <f t="shared" si="595"/>
        <v>1355000</v>
      </c>
      <c r="N261" s="318">
        <f t="shared" si="596"/>
        <v>1.0619188835039719</v>
      </c>
      <c r="O261" s="270">
        <f>IFERROR(
INDEX('Admin - FEOR'!$A$4:$F$465,MATCH(Bérköltség!H261,'Admin - FEOR'!$A$4:$A$465,0),
IF(J261="30 év alatt",3,
IF(J261="30–39 éves",4,
IF(J261="40–49 éves",5,
IF(J261="50 év és afelett",6
)))))*1.5,"NA")</f>
        <v>1913988</v>
      </c>
      <c r="P261" s="270">
        <f t="shared" si="597"/>
        <v>406997.44827586203</v>
      </c>
      <c r="Q261" s="270">
        <f t="shared" si="598"/>
        <v>288132</v>
      </c>
      <c r="R261" s="275">
        <f t="shared" si="599"/>
        <v>0.21264367816091953</v>
      </c>
      <c r="S261" s="270">
        <f t="shared" si="600"/>
        <v>0</v>
      </c>
      <c r="T261" s="270">
        <f t="shared" si="601"/>
        <v>0</v>
      </c>
      <c r="U261" s="271">
        <f t="shared" si="602"/>
        <v>0</v>
      </c>
      <c r="V261" s="272">
        <f t="shared" si="603"/>
        <v>325589</v>
      </c>
      <c r="W261" s="273" t="str">
        <f t="shared" si="604"/>
        <v>Indoklás szükséges mivel a FEOR: 106,2%</v>
      </c>
      <c r="X261" s="372">
        <f t="shared" si="605"/>
        <v>0</v>
      </c>
      <c r="Y261" s="317">
        <f t="shared" si="606"/>
        <v>288132</v>
      </c>
      <c r="Z261" s="317">
        <f t="shared" si="607"/>
        <v>37457</v>
      </c>
      <c r="AA261" s="36"/>
      <c r="AB261" s="274">
        <v>8421732463</v>
      </c>
      <c r="AC261" s="40" t="s">
        <v>157</v>
      </c>
      <c r="AD261" s="82" t="s">
        <v>75</v>
      </c>
      <c r="AE261" s="41" t="s">
        <v>52</v>
      </c>
      <c r="AF261" s="11" t="s">
        <v>159</v>
      </c>
      <c r="AG261" s="11" t="s">
        <v>211</v>
      </c>
      <c r="AH261" s="14" t="s">
        <v>122</v>
      </c>
      <c r="AI261" s="86" t="s">
        <v>36</v>
      </c>
      <c r="AJ261" s="113" t="str">
        <f>IF(COUNTIFS(Admin!$A$29:$A$40,AI261)&gt;0,Admin!$A$28,IF(COUNTIFS(Admin!$B$29:$B$40,AI261)&gt;0,Admin!$B$28,IF(COUNTIFS(Admin!$C$29:$C$40,AI261)&gt;0,Admin!$C$28,IF(COUNTIFS(Admin!$D$29:$D$40,AI261)&gt;0,Admin!$D$28,"-"))))</f>
        <v>3. mérföldkő</v>
      </c>
      <c r="AK261" s="14" t="s">
        <v>141</v>
      </c>
      <c r="AL261" s="9" t="s">
        <v>56</v>
      </c>
      <c r="AM261" s="131">
        <v>1355000</v>
      </c>
      <c r="AN261" s="132">
        <f t="shared" ref="AN261:AN262" si="612">IFERROR(ROUND(AM261*AU261,0),"")</f>
        <v>176150</v>
      </c>
      <c r="AO261" s="121">
        <v>174</v>
      </c>
      <c r="AP261" s="121">
        <v>37</v>
      </c>
      <c r="AQ261" s="354">
        <f t="shared" ref="AQ261:AQ262" si="613">IFERROR(AP261/AO261,"")</f>
        <v>0.21264367816091953</v>
      </c>
      <c r="AR261" s="133">
        <f t="shared" ref="AR261:AR262" si="614">IFERROR(ROUND(AM261*AP261/AO261,0),"")</f>
        <v>288132</v>
      </c>
      <c r="AS261" s="133">
        <f t="shared" ref="AS261:AS262" si="615">IFERROR(ROUND(AR261*AU261,0),"")</f>
        <v>37457</v>
      </c>
      <c r="AT261" s="123">
        <f t="shared" ref="AT261:AT265" si="616">IFERROR(AP261/AO261-AR261/AM261,"")</f>
        <v>1.3572549517615329E-7</v>
      </c>
      <c r="AU261" s="124">
        <v>0.13</v>
      </c>
      <c r="AV261" s="394" t="s">
        <v>2781</v>
      </c>
      <c r="AW261" s="15">
        <v>45002</v>
      </c>
      <c r="AX261" s="12" t="s">
        <v>206</v>
      </c>
      <c r="BC261" s="1" t="s">
        <v>2836</v>
      </c>
    </row>
    <row r="262" spans="1:56" s="1" customFormat="1" hidden="1" x14ac:dyDescent="0.25">
      <c r="A262" s="264" t="str">
        <f>Bérköltség!$B262</f>
        <v>FEOR</v>
      </c>
      <c r="B262" s="264" t="str">
        <f>IFERROR(
IF(AND(Bérköltség!$F262="",H262="NA"),"HIÁNYOS ADATOK",
IF(Bérköltség!$F262&lt;Bérköltség!$U262,Admin!$B$18,Admin!$B$17)),
"")</f>
        <v>FEOR</v>
      </c>
      <c r="C262" s="265">
        <f>IFERROR(INDEX('Historikus berek_2021-2'!$A$1:$F$903,MATCH(AB262,'Historikus berek_2021-2'!$A$1:$A$903,0),4),"")</f>
        <v>1012000</v>
      </c>
      <c r="D262" s="279">
        <f t="shared" si="590"/>
        <v>215195.40229885056</v>
      </c>
      <c r="E262" s="265">
        <f t="shared" si="591"/>
        <v>288132</v>
      </c>
      <c r="F262" s="266">
        <f t="shared" si="592"/>
        <v>82418.355402298854</v>
      </c>
      <c r="G262" s="267">
        <f t="shared" si="593"/>
        <v>243170.80459770112</v>
      </c>
      <c r="H262" s="268">
        <f>IFERROR(INDEX('FEOR kodok'!$A$2:$J$1126,MATCH(Bérköltség!AB262,'FEOR kodok'!$B$2:$B$1126,0),8),"NA")</f>
        <v>1413</v>
      </c>
      <c r="I262" s="269">
        <f>IFERROR(INDEX('FEOR kodok'!$A$2:$J$1126,MATCH(Bérköltség!AB262,'FEOR kodok'!$B$2:$B$1126,0),10),"NA")</f>
        <v>41</v>
      </c>
      <c r="J262" s="276" t="str">
        <f t="shared" si="594"/>
        <v>40–49 éves</v>
      </c>
      <c r="K262" s="269" t="str">
        <f>IFERROR(INDEX(admin_feor[#All],MATCH(Bérköltség!H262,admin_feor[[#All],[Foglalkozás]],0),2),"NA")</f>
        <v>Kutatási és fejlesztési tevékenységet folytató egység vezetője</v>
      </c>
      <c r="L262" s="270">
        <f>IFERROR(
INDEX('Admin - FEOR'!$A$4:$F$465,MATCH(Bérköltség!H262,'Admin - FEOR'!$A$4:$A$465,0),
IF(J262="30 év alatt",3,
IF(J262="30–39 éves",4,
IF(J262="40–49 éves",5,
IF(J262="50 év és afelett",6
)))))*1,"NA")</f>
        <v>1275992</v>
      </c>
      <c r="M262" s="270">
        <f t="shared" si="595"/>
        <v>1355000</v>
      </c>
      <c r="N262" s="318">
        <f t="shared" si="596"/>
        <v>1.0619188835039719</v>
      </c>
      <c r="O262" s="270">
        <f>IFERROR(
INDEX('Admin - FEOR'!$A$4:$F$465,MATCH(Bérköltség!H262,'Admin - FEOR'!$A$4:$A$465,0),
IF(J262="30 év alatt",3,
IF(J262="30–39 éves",4,
IF(J262="40–49 éves",5,
IF(J262="50 év és afelett",6
)))))*1.5,"NA")</f>
        <v>1913988</v>
      </c>
      <c r="P262" s="270">
        <f t="shared" si="597"/>
        <v>406997.44827586203</v>
      </c>
      <c r="Q262" s="270">
        <f t="shared" si="598"/>
        <v>288132</v>
      </c>
      <c r="R262" s="275">
        <f t="shared" si="599"/>
        <v>0.21264367816091953</v>
      </c>
      <c r="S262" s="270">
        <f t="shared" si="600"/>
        <v>0</v>
      </c>
      <c r="T262" s="270">
        <f t="shared" si="601"/>
        <v>0</v>
      </c>
      <c r="U262" s="271">
        <f t="shared" si="602"/>
        <v>0</v>
      </c>
      <c r="V262" s="272">
        <f t="shared" si="603"/>
        <v>325589</v>
      </c>
      <c r="W262" s="273" t="str">
        <f t="shared" si="604"/>
        <v>Indoklás szükséges mivel a FEOR: 106,2%</v>
      </c>
      <c r="X262" s="372">
        <f t="shared" si="605"/>
        <v>0</v>
      </c>
      <c r="Y262" s="317">
        <f t="shared" si="606"/>
        <v>288132</v>
      </c>
      <c r="Z262" s="317">
        <f t="shared" si="607"/>
        <v>37457</v>
      </c>
      <c r="AA262" s="36"/>
      <c r="AB262" s="274">
        <v>8421732463</v>
      </c>
      <c r="AC262" s="40" t="s">
        <v>157</v>
      </c>
      <c r="AD262" s="82" t="s">
        <v>75</v>
      </c>
      <c r="AE262" s="41" t="s">
        <v>52</v>
      </c>
      <c r="AF262" s="11" t="s">
        <v>159</v>
      </c>
      <c r="AG262" s="11" t="s">
        <v>211</v>
      </c>
      <c r="AH262" s="14" t="s">
        <v>122</v>
      </c>
      <c r="AI262" s="86" t="s">
        <v>37</v>
      </c>
      <c r="AJ262" s="113" t="str">
        <f>IF(COUNTIFS(Admin!$A$29:$A$40,AI262)&gt;0,Admin!$A$28,IF(COUNTIFS(Admin!$B$29:$B$40,AI262)&gt;0,Admin!$B$28,IF(COUNTIFS(Admin!$C$29:$C$40,AI262)&gt;0,Admin!$C$28,IF(COUNTIFS(Admin!$D$29:$D$40,AI262)&gt;0,Admin!$D$28,"-"))))</f>
        <v>3. mérföldkő</v>
      </c>
      <c r="AK262" s="14" t="s">
        <v>141</v>
      </c>
      <c r="AL262" s="9" t="s">
        <v>56</v>
      </c>
      <c r="AM262" s="131">
        <v>1355000</v>
      </c>
      <c r="AN262" s="132">
        <f t="shared" si="612"/>
        <v>176150</v>
      </c>
      <c r="AO262" s="121">
        <v>174</v>
      </c>
      <c r="AP262" s="121">
        <v>37</v>
      </c>
      <c r="AQ262" s="354">
        <f t="shared" si="613"/>
        <v>0.21264367816091953</v>
      </c>
      <c r="AR262" s="133">
        <f t="shared" si="614"/>
        <v>288132</v>
      </c>
      <c r="AS262" s="133">
        <f t="shared" si="615"/>
        <v>37457</v>
      </c>
      <c r="AT262" s="123">
        <f t="shared" si="616"/>
        <v>1.3572549517615329E-7</v>
      </c>
      <c r="AU262" s="124">
        <v>0.13</v>
      </c>
      <c r="AV262" s="394" t="s">
        <v>2781</v>
      </c>
      <c r="AW262" s="15">
        <v>45002</v>
      </c>
      <c r="AX262" s="12" t="s">
        <v>206</v>
      </c>
      <c r="BC262" s="1" t="s">
        <v>2836</v>
      </c>
    </row>
    <row r="263" spans="1:56" s="1" customFormat="1" hidden="1" x14ac:dyDescent="0.25">
      <c r="A263" s="264" t="str">
        <f>Bérköltség!$B263</f>
        <v>FEOR</v>
      </c>
      <c r="B263" s="264" t="str">
        <f>IFERROR(
IF(AND(Bérköltség!$F263="",H263="NA"),"HIÁNYOS ADATOK",
IF(Bérköltség!$F263&lt;Bérköltség!$U263,Admin!$B$18,Admin!$B$17)),
"")</f>
        <v>FEOR</v>
      </c>
      <c r="C263" s="265">
        <f>IFERROR(INDEX('Historikus berek_2021-2'!$A$1:$F$903,MATCH(AB263,'Historikus berek_2021-2'!$A$1:$A$903,0),4),"")</f>
        <v>339260</v>
      </c>
      <c r="D263" s="279">
        <f t="shared" si="531"/>
        <v>169630</v>
      </c>
      <c r="E263" s="265">
        <f t="shared" si="532"/>
        <v>195000</v>
      </c>
      <c r="F263" s="266">
        <f t="shared" si="533"/>
        <v>25370</v>
      </c>
      <c r="G263" s="267">
        <f t="shared" si="534"/>
        <v>169630</v>
      </c>
      <c r="H263" s="268">
        <f>IFERROR(INDEX('FEOR kodok'!$A$2:$J$1126,MATCH(Bérköltség!AB263,'FEOR kodok'!$B$2:$B$1126,0),8),"NA")</f>
        <v>3910</v>
      </c>
      <c r="I263" s="269">
        <f>IFERROR(INDEX('FEOR kodok'!$A$2:$J$1126,MATCH(Bérköltség!AB263,'FEOR kodok'!$B$2:$B$1126,0),10),"NA")</f>
        <v>60</v>
      </c>
      <c r="J263" s="276" t="str">
        <f t="shared" si="535"/>
        <v>50 év és afelett</v>
      </c>
      <c r="K263" s="269" t="str">
        <f>IFERROR(INDEX(admin_feor[#All],MATCH(Bérköltség!H263,admin_feor[[#All],[Foglalkozás]],0),2),"NA")</f>
        <v>Egyéb ügyintéző</v>
      </c>
      <c r="L263" s="270">
        <f>IFERROR(
INDEX('Admin - FEOR'!$A$4:$F$465,MATCH(Bérköltség!H263,'Admin - FEOR'!$A$4:$A$465,0),
IF(J263="30 év alatt",3,
IF(J263="30–39 éves",4,
IF(J263="40–49 éves",5,
IF(J263="50 év és afelett",6
)))))*1,"NA")</f>
        <v>399150</v>
      </c>
      <c r="M263" s="270">
        <f t="shared" si="536"/>
        <v>390000</v>
      </c>
      <c r="N263" s="318">
        <f t="shared" si="537"/>
        <v>0.97707628711010897</v>
      </c>
      <c r="O263" s="270">
        <f>IFERROR(
INDEX('Admin - FEOR'!$A$4:$F$465,MATCH(Bérköltség!H263,'Admin - FEOR'!$A$4:$A$465,0),
IF(J263="30 év alatt",3,
IF(J263="30–39 éves",4,
IF(J263="40–49 éves",5,
IF(J263="50 év és afelett",6
)))))*1.5,"NA")</f>
        <v>598725</v>
      </c>
      <c r="P263" s="270">
        <f t="shared" si="538"/>
        <v>299362.5</v>
      </c>
      <c r="Q263" s="270">
        <f t="shared" si="539"/>
        <v>195000</v>
      </c>
      <c r="R263" s="275">
        <f t="shared" si="540"/>
        <v>0.5</v>
      </c>
      <c r="S263" s="270">
        <f t="shared" si="541"/>
        <v>0</v>
      </c>
      <c r="T263" s="270">
        <f t="shared" si="542"/>
        <v>0</v>
      </c>
      <c r="U263" s="271">
        <f t="shared" si="543"/>
        <v>0</v>
      </c>
      <c r="V263" s="272">
        <f t="shared" si="544"/>
        <v>195000</v>
      </c>
      <c r="W263" s="273" t="str">
        <f t="shared" si="545"/>
        <v>Nem szükséges indoklás.</v>
      </c>
      <c r="X263" s="372">
        <f t="shared" si="546"/>
        <v>0</v>
      </c>
      <c r="Y263" s="317">
        <f t="shared" si="547"/>
        <v>195000</v>
      </c>
      <c r="Z263" s="317">
        <f t="shared" si="548"/>
        <v>0</v>
      </c>
      <c r="AA263" s="12" t="s">
        <v>2800</v>
      </c>
      <c r="AB263" s="274">
        <v>8351331759</v>
      </c>
      <c r="AC263" s="40" t="s">
        <v>296</v>
      </c>
      <c r="AD263" s="82" t="s">
        <v>76</v>
      </c>
      <c r="AE263" s="41" t="s">
        <v>85</v>
      </c>
      <c r="AF263" s="11" t="s">
        <v>160</v>
      </c>
      <c r="AG263" s="11" t="s">
        <v>196</v>
      </c>
      <c r="AH263" s="14" t="s">
        <v>142</v>
      </c>
      <c r="AI263" s="86" t="s">
        <v>26</v>
      </c>
      <c r="AJ263" s="113" t="str">
        <f>IF(COUNTIFS(Admin!$A$29:$A$40,AI263)&gt;0,Admin!$A$28,IF(COUNTIFS(Admin!$B$29:$B$40,AI263)&gt;0,Admin!$B$28,IF(COUNTIFS(Admin!$C$29:$C$40,AI263)&gt;0,Admin!$C$28,IF(COUNTIFS(Admin!$D$29:$D$40,AI263)&gt;0,Admin!$D$28,"-"))))</f>
        <v>2. mérföldkő</v>
      </c>
      <c r="AK263" s="14" t="s">
        <v>7</v>
      </c>
      <c r="AL263" s="9" t="s">
        <v>56</v>
      </c>
      <c r="AM263" s="131">
        <v>390000</v>
      </c>
      <c r="AN263" s="132">
        <v>0</v>
      </c>
      <c r="AO263" s="121">
        <v>174</v>
      </c>
      <c r="AP263" s="121">
        <v>87</v>
      </c>
      <c r="AQ263" s="354">
        <f t="shared" si="585"/>
        <v>0.5</v>
      </c>
      <c r="AR263" s="133">
        <f t="shared" ref="AR263:AR266" si="617">IFERROR(ROUND(AM263*AP263/AO263,0),"")</f>
        <v>195000</v>
      </c>
      <c r="AS263" s="133">
        <f>IFERROR(ROUND(AR263*AU263,0),"")</f>
        <v>0</v>
      </c>
      <c r="AT263" s="123">
        <f t="shared" si="616"/>
        <v>0</v>
      </c>
      <c r="AU263" s="393">
        <f>AN263/AM263</f>
        <v>0</v>
      </c>
      <c r="AV263" s="394" t="s">
        <v>2782</v>
      </c>
      <c r="AW263" s="15">
        <v>44886</v>
      </c>
      <c r="AX263" s="12" t="s">
        <v>206</v>
      </c>
      <c r="AZ263" s="1" t="s">
        <v>2667</v>
      </c>
      <c r="BA263" s="1" t="s">
        <v>2668</v>
      </c>
      <c r="BB263" s="1" t="s">
        <v>2667</v>
      </c>
    </row>
    <row r="264" spans="1:56" s="1" customFormat="1" hidden="1" x14ac:dyDescent="0.25">
      <c r="A264" s="264" t="str">
        <f>Bérköltség!$B264</f>
        <v>FEOR</v>
      </c>
      <c r="B264" s="264" t="str">
        <f>IFERROR(
IF(AND(Bérköltség!$F264="",H264="NA"),"HIÁNYOS ADATOK",
IF(Bérköltség!$F264&lt;Bérköltség!$U264,Admin!$B$18,Admin!$B$17)),
"")</f>
        <v>FEOR</v>
      </c>
      <c r="C264" s="265">
        <f>IFERROR(INDEX('Historikus berek_2021-2'!$A$1:$F$903,MATCH(AB264,'Historikus berek_2021-2'!$A$1:$A$903,0),4),"")</f>
        <v>339260</v>
      </c>
      <c r="D264" s="279">
        <f t="shared" si="531"/>
        <v>169630</v>
      </c>
      <c r="E264" s="265">
        <f t="shared" si="532"/>
        <v>224250</v>
      </c>
      <c r="F264" s="266">
        <f t="shared" si="533"/>
        <v>54620</v>
      </c>
      <c r="G264" s="267">
        <f t="shared" si="534"/>
        <v>169630</v>
      </c>
      <c r="H264" s="268">
        <f>IFERROR(INDEX('FEOR kodok'!$A$2:$J$1126,MATCH(Bérköltség!AB264,'FEOR kodok'!$B$2:$B$1126,0),8),"NA")</f>
        <v>3910</v>
      </c>
      <c r="I264" s="269">
        <f>IFERROR(INDEX('FEOR kodok'!$A$2:$J$1126,MATCH(Bérköltség!AB264,'FEOR kodok'!$B$2:$B$1126,0),10),"NA")</f>
        <v>60</v>
      </c>
      <c r="J264" s="276" t="str">
        <f t="shared" si="535"/>
        <v>50 év és afelett</v>
      </c>
      <c r="K264" s="269" t="str">
        <f>IFERROR(INDEX(admin_feor[#All],MATCH(Bérköltség!H264,admin_feor[[#All],[Foglalkozás]],0),2),"NA")</f>
        <v>Egyéb ügyintéző</v>
      </c>
      <c r="L264" s="270">
        <f>IFERROR(
INDEX('Admin - FEOR'!$A$4:$F$465,MATCH(Bérköltség!H264,'Admin - FEOR'!$A$4:$A$465,0),
IF(J264="30 év alatt",3,
IF(J264="30–39 éves",4,
IF(J264="40–49 éves",5,
IF(J264="50 év és afelett",6
)))))*1,"NA")</f>
        <v>399150</v>
      </c>
      <c r="M264" s="270">
        <f t="shared" si="536"/>
        <v>448500</v>
      </c>
      <c r="N264" s="318">
        <f t="shared" si="537"/>
        <v>1.1236377301766254</v>
      </c>
      <c r="O264" s="270">
        <f>IFERROR(
INDEX('Admin - FEOR'!$A$4:$F$465,MATCH(Bérköltség!H264,'Admin - FEOR'!$A$4:$A$465,0),
IF(J264="30 év alatt",3,
IF(J264="30–39 éves",4,
IF(J264="40–49 éves",5,
IF(J264="50 év és afelett",6
)))))*1.5,"NA")</f>
        <v>598725</v>
      </c>
      <c r="P264" s="270">
        <f t="shared" si="538"/>
        <v>299362.5</v>
      </c>
      <c r="Q264" s="270">
        <f t="shared" si="539"/>
        <v>224250</v>
      </c>
      <c r="R264" s="275">
        <f t="shared" si="540"/>
        <v>0.5</v>
      </c>
      <c r="S264" s="270">
        <f t="shared" si="541"/>
        <v>0</v>
      </c>
      <c r="T264" s="270">
        <f t="shared" si="542"/>
        <v>0</v>
      </c>
      <c r="U264" s="271">
        <f t="shared" si="543"/>
        <v>0</v>
      </c>
      <c r="V264" s="272">
        <f t="shared" si="544"/>
        <v>224250</v>
      </c>
      <c r="W264" s="273" t="str">
        <f t="shared" si="545"/>
        <v>Indoklás szükséges mivel a FEOR: 112,4%</v>
      </c>
      <c r="X264" s="372">
        <f t="shared" si="546"/>
        <v>0</v>
      </c>
      <c r="Y264" s="317">
        <f t="shared" si="547"/>
        <v>224250</v>
      </c>
      <c r="Z264" s="317">
        <f t="shared" si="548"/>
        <v>0</v>
      </c>
      <c r="AA264" s="12" t="s">
        <v>2800</v>
      </c>
      <c r="AB264" s="274">
        <v>8351331759</v>
      </c>
      <c r="AC264" s="40" t="s">
        <v>296</v>
      </c>
      <c r="AD264" s="82" t="s">
        <v>76</v>
      </c>
      <c r="AE264" s="41" t="s">
        <v>85</v>
      </c>
      <c r="AF264" s="11" t="s">
        <v>160</v>
      </c>
      <c r="AG264" s="11" t="s">
        <v>196</v>
      </c>
      <c r="AH264" s="14" t="s">
        <v>142</v>
      </c>
      <c r="AI264" s="86" t="s">
        <v>32</v>
      </c>
      <c r="AJ264" s="113" t="str">
        <f>IF(COUNTIFS(Admin!$A$29:$A$40,AI264)&gt;0,Admin!$A$28,IF(COUNTIFS(Admin!$B$29:$B$40,AI264)&gt;0,Admin!$B$28,IF(COUNTIFS(Admin!$C$29:$C$40,AI264)&gt;0,Admin!$C$28,IF(COUNTIFS(Admin!$D$29:$D$40,AI264)&gt;0,Admin!$D$28,"-"))))</f>
        <v>2. mérföldkő</v>
      </c>
      <c r="AK264" s="14" t="s">
        <v>7</v>
      </c>
      <c r="AL264" s="9" t="s">
        <v>56</v>
      </c>
      <c r="AM264" s="131">
        <v>448500</v>
      </c>
      <c r="AN264" s="132">
        <v>0</v>
      </c>
      <c r="AO264" s="121">
        <v>174</v>
      </c>
      <c r="AP264" s="121">
        <v>87</v>
      </c>
      <c r="AQ264" s="354">
        <f t="shared" si="585"/>
        <v>0.5</v>
      </c>
      <c r="AR264" s="133">
        <f t="shared" si="617"/>
        <v>224250</v>
      </c>
      <c r="AS264" s="133">
        <f>IFERROR(ROUND(AR264*AU264,0),"")</f>
        <v>0</v>
      </c>
      <c r="AT264" s="123">
        <f t="shared" si="616"/>
        <v>0</v>
      </c>
      <c r="AU264" s="393">
        <f>AN264/AM264</f>
        <v>0</v>
      </c>
      <c r="AV264" s="394" t="s">
        <v>2782</v>
      </c>
      <c r="AW264" s="15">
        <v>44946</v>
      </c>
      <c r="AX264" s="12" t="s">
        <v>206</v>
      </c>
      <c r="AZ264" s="1" t="s">
        <v>2667</v>
      </c>
      <c r="BA264" s="1">
        <v>0</v>
      </c>
      <c r="BB264" s="1">
        <v>0</v>
      </c>
    </row>
    <row r="265" spans="1:56" s="1" customFormat="1" hidden="1" x14ac:dyDescent="0.25">
      <c r="A265" s="264" t="str">
        <f>Bérköltség!$B265</f>
        <v>FEOR</v>
      </c>
      <c r="B265" s="264" t="str">
        <f>IFERROR(
IF(AND(Bérköltség!$F265="",H265="NA"),"HIÁNYOS ADATOK",
IF(Bérköltség!$F265&lt;Bérköltség!$U265,Admin!$B$18,Admin!$B$17)),
"")</f>
        <v>FEOR</v>
      </c>
      <c r="C265" s="265">
        <f>IFERROR(INDEX('Historikus berek_2021-2'!$A$1:$F$903,MATCH(AB265,'Historikus berek_2021-2'!$A$1:$A$903,0),4),"")</f>
        <v>339260</v>
      </c>
      <c r="D265" s="279">
        <f t="shared" si="531"/>
        <v>169630</v>
      </c>
      <c r="E265" s="265">
        <f t="shared" si="532"/>
        <v>224250</v>
      </c>
      <c r="F265" s="266">
        <f t="shared" si="533"/>
        <v>54620</v>
      </c>
      <c r="G265" s="267">
        <f t="shared" si="534"/>
        <v>169630</v>
      </c>
      <c r="H265" s="268">
        <f>IFERROR(INDEX('FEOR kodok'!$A$2:$J$1126,MATCH(Bérköltség!AB265,'FEOR kodok'!$B$2:$B$1126,0),8),"NA")</f>
        <v>3910</v>
      </c>
      <c r="I265" s="269">
        <f>IFERROR(INDEX('FEOR kodok'!$A$2:$J$1126,MATCH(Bérköltség!AB265,'FEOR kodok'!$B$2:$B$1126,0),10),"NA")</f>
        <v>60</v>
      </c>
      <c r="J265" s="276" t="str">
        <f t="shared" si="535"/>
        <v>50 év és afelett</v>
      </c>
      <c r="K265" s="269" t="str">
        <f>IFERROR(INDEX(admin_feor[#All],MATCH(Bérköltség!H265,admin_feor[[#All],[Foglalkozás]],0),2),"NA")</f>
        <v>Egyéb ügyintéző</v>
      </c>
      <c r="L265" s="270">
        <f>IFERROR(
INDEX('Admin - FEOR'!$A$4:$F$465,MATCH(Bérköltség!H265,'Admin - FEOR'!$A$4:$A$465,0),
IF(J265="30 év alatt",3,
IF(J265="30–39 éves",4,
IF(J265="40–49 éves",5,
IF(J265="50 év és afelett",6
)))))*1,"NA")</f>
        <v>399150</v>
      </c>
      <c r="M265" s="270">
        <f t="shared" si="536"/>
        <v>448500</v>
      </c>
      <c r="N265" s="318">
        <f t="shared" si="537"/>
        <v>1.1236377301766254</v>
      </c>
      <c r="O265" s="270">
        <f>IFERROR(
INDEX('Admin - FEOR'!$A$4:$F$465,MATCH(Bérköltség!H265,'Admin - FEOR'!$A$4:$A$465,0),
IF(J265="30 év alatt",3,
IF(J265="30–39 éves",4,
IF(J265="40–49 éves",5,
IF(J265="50 év és afelett",6
)))))*1.5,"NA")</f>
        <v>598725</v>
      </c>
      <c r="P265" s="270">
        <f t="shared" si="538"/>
        <v>299362.5</v>
      </c>
      <c r="Q265" s="270">
        <f t="shared" si="539"/>
        <v>224250</v>
      </c>
      <c r="R265" s="275">
        <f t="shared" si="540"/>
        <v>0.5</v>
      </c>
      <c r="S265" s="270">
        <f t="shared" si="541"/>
        <v>0</v>
      </c>
      <c r="T265" s="270">
        <f t="shared" si="542"/>
        <v>0</v>
      </c>
      <c r="U265" s="271">
        <f t="shared" si="543"/>
        <v>0</v>
      </c>
      <c r="V265" s="272">
        <f t="shared" si="544"/>
        <v>224250</v>
      </c>
      <c r="W265" s="273" t="str">
        <f t="shared" si="545"/>
        <v>Indoklás szükséges mivel a FEOR: 112,4%</v>
      </c>
      <c r="X265" s="372">
        <f t="shared" si="546"/>
        <v>0</v>
      </c>
      <c r="Y265" s="317">
        <f t="shared" si="547"/>
        <v>224250</v>
      </c>
      <c r="Z265" s="317">
        <f t="shared" si="548"/>
        <v>0</v>
      </c>
      <c r="AA265" s="12" t="s">
        <v>2800</v>
      </c>
      <c r="AB265" s="274">
        <v>8351331759</v>
      </c>
      <c r="AC265" s="40" t="s">
        <v>296</v>
      </c>
      <c r="AD265" s="82" t="s">
        <v>76</v>
      </c>
      <c r="AE265" s="41" t="s">
        <v>85</v>
      </c>
      <c r="AF265" s="11" t="s">
        <v>160</v>
      </c>
      <c r="AG265" s="11" t="s">
        <v>2734</v>
      </c>
      <c r="AH265" s="14" t="s">
        <v>142</v>
      </c>
      <c r="AI265" s="86" t="s">
        <v>33</v>
      </c>
      <c r="AJ265" s="113" t="str">
        <f>IF(COUNTIFS(Admin!$A$29:$A$40,AI265)&gt;0,Admin!$A$28,IF(COUNTIFS(Admin!$B$29:$B$40,AI265)&gt;0,Admin!$B$28,IF(COUNTIFS(Admin!$C$29:$C$40,AI265)&gt;0,Admin!$C$28,IF(COUNTIFS(Admin!$D$29:$D$40,AI265)&gt;0,Admin!$D$28,"-"))))</f>
        <v>2. mérföldkő</v>
      </c>
      <c r="AK265" s="14" t="s">
        <v>7</v>
      </c>
      <c r="AL265" s="9" t="s">
        <v>56</v>
      </c>
      <c r="AM265" s="131">
        <v>448500</v>
      </c>
      <c r="AN265" s="132">
        <v>0</v>
      </c>
      <c r="AO265" s="121">
        <v>174</v>
      </c>
      <c r="AP265" s="121">
        <v>87</v>
      </c>
      <c r="AQ265" s="354">
        <f t="shared" si="585"/>
        <v>0.5</v>
      </c>
      <c r="AR265" s="133">
        <f t="shared" si="617"/>
        <v>224250</v>
      </c>
      <c r="AS265" s="133">
        <f>IFERROR(ROUND(AR265*AU265,0),"")</f>
        <v>0</v>
      </c>
      <c r="AT265" s="123">
        <f t="shared" si="616"/>
        <v>0</v>
      </c>
      <c r="AU265" s="393">
        <f>AN265/AM265</f>
        <v>0</v>
      </c>
      <c r="AV265" s="394" t="s">
        <v>2782</v>
      </c>
      <c r="AW265" s="15">
        <v>44946</v>
      </c>
      <c r="AX265" s="12" t="s">
        <v>206</v>
      </c>
      <c r="AZ265" s="8" t="str">
        <f>IF(VLOOKUP(LEFT($AB265,10),'Havi béradatok'!$B:$E,2,FALSE)=AG265,"EGYEZIK","HIBÁS")</f>
        <v>EGYEZIK</v>
      </c>
      <c r="BA265" s="1">
        <f>VLOOKUP(LEFT($AB265,10),'Havi béradatok'!$B:$E,3,FALSE)-AM265</f>
        <v>0</v>
      </c>
      <c r="BB265" s="1">
        <f>VLOOKUP(LEFT($AB265,10),'Havi béradatok'!$B:$E,4,FALSE)-AN265</f>
        <v>0</v>
      </c>
    </row>
    <row r="266" spans="1:56" s="1" customFormat="1" hidden="1" x14ac:dyDescent="0.25">
      <c r="A266" s="264" t="str">
        <f>Bérköltség!$B266</f>
        <v>FEOR</v>
      </c>
      <c r="B266" s="264" t="str">
        <f>IFERROR(
IF(AND(Bérköltség!$F266="",H266="NA"),"HIÁNYOS ADATOK",
IF(Bérköltség!$F266&lt;Bérköltség!$U266,Admin!$B$18,Admin!$B$17)),
"")</f>
        <v>FEOR</v>
      </c>
      <c r="C266" s="265">
        <f>IFERROR(INDEX('Historikus berek_2021-2'!$A$1:$F$903,MATCH(AB266,'Historikus berek_2021-2'!$A$1:$A$903,0),4),"")</f>
        <v>339260</v>
      </c>
      <c r="D266" s="279">
        <f t="shared" si="531"/>
        <v>169630</v>
      </c>
      <c r="E266" s="265">
        <f t="shared" si="532"/>
        <v>224250</v>
      </c>
      <c r="F266" s="266">
        <f t="shared" si="533"/>
        <v>54620</v>
      </c>
      <c r="G266" s="267">
        <f t="shared" si="534"/>
        <v>169630</v>
      </c>
      <c r="H266" s="268">
        <f>IFERROR(INDEX('FEOR kodok'!$A$2:$J$1126,MATCH(Bérköltség!AB266,'FEOR kodok'!$B$2:$B$1126,0),8),"NA")</f>
        <v>3910</v>
      </c>
      <c r="I266" s="269">
        <f>IFERROR(INDEX('FEOR kodok'!$A$2:$J$1126,MATCH(Bérköltség!AB266,'FEOR kodok'!$B$2:$B$1126,0),10),"NA")</f>
        <v>60</v>
      </c>
      <c r="J266" s="276" t="str">
        <f t="shared" si="535"/>
        <v>50 év és afelett</v>
      </c>
      <c r="K266" s="269" t="str">
        <f>IFERROR(INDEX(admin_feor[#All],MATCH(Bérköltség!H266,admin_feor[[#All],[Foglalkozás]],0),2),"NA")</f>
        <v>Egyéb ügyintéző</v>
      </c>
      <c r="L266" s="270">
        <f>IFERROR(
INDEX('Admin - FEOR'!$A$4:$F$465,MATCH(Bérköltség!H266,'Admin - FEOR'!$A$4:$A$465,0),
IF(J266="30 év alatt",3,
IF(J266="30–39 éves",4,
IF(J266="40–49 éves",5,
IF(J266="50 év és afelett",6
)))))*1,"NA")</f>
        <v>399150</v>
      </c>
      <c r="M266" s="270">
        <f t="shared" si="536"/>
        <v>448500</v>
      </c>
      <c r="N266" s="318">
        <f t="shared" si="537"/>
        <v>1.1236377301766254</v>
      </c>
      <c r="O266" s="270">
        <f>IFERROR(
INDEX('Admin - FEOR'!$A$4:$F$465,MATCH(Bérköltség!H266,'Admin - FEOR'!$A$4:$A$465,0),
IF(J266="30 év alatt",3,
IF(J266="30–39 éves",4,
IF(J266="40–49 éves",5,
IF(J266="50 év és afelett",6
)))))*1.5,"NA")</f>
        <v>598725</v>
      </c>
      <c r="P266" s="270">
        <f t="shared" si="538"/>
        <v>299362.5</v>
      </c>
      <c r="Q266" s="270">
        <f t="shared" si="539"/>
        <v>224250</v>
      </c>
      <c r="R266" s="275">
        <f t="shared" si="540"/>
        <v>0.5</v>
      </c>
      <c r="S266" s="270">
        <f t="shared" si="541"/>
        <v>0</v>
      </c>
      <c r="T266" s="270">
        <f t="shared" si="542"/>
        <v>0</v>
      </c>
      <c r="U266" s="271">
        <f t="shared" si="543"/>
        <v>0</v>
      </c>
      <c r="V266" s="272">
        <f t="shared" si="544"/>
        <v>224250</v>
      </c>
      <c r="W266" s="273" t="str">
        <f t="shared" si="545"/>
        <v>Indoklás szükséges mivel a FEOR: 112,4%</v>
      </c>
      <c r="X266" s="372">
        <f t="shared" si="546"/>
        <v>0</v>
      </c>
      <c r="Y266" s="317">
        <f t="shared" si="547"/>
        <v>224250</v>
      </c>
      <c r="Z266" s="317">
        <f t="shared" si="548"/>
        <v>0</v>
      </c>
      <c r="AA266" s="12" t="s">
        <v>2800</v>
      </c>
      <c r="AB266" s="274">
        <v>8351331759</v>
      </c>
      <c r="AC266" s="40" t="s">
        <v>296</v>
      </c>
      <c r="AD266" s="82" t="s">
        <v>76</v>
      </c>
      <c r="AE266" s="41" t="s">
        <v>85</v>
      </c>
      <c r="AF266" s="11" t="s">
        <v>160</v>
      </c>
      <c r="AG266" s="11" t="s">
        <v>2734</v>
      </c>
      <c r="AH266" s="14" t="s">
        <v>142</v>
      </c>
      <c r="AI266" s="86" t="s">
        <v>34</v>
      </c>
      <c r="AJ266" s="113" t="str">
        <f>IF(COUNTIFS(Admin!$A$29:$A$40,AI266)&gt;0,Admin!$A$28,IF(COUNTIFS(Admin!$B$29:$B$40,AI266)&gt;0,Admin!$B$28,IF(COUNTIFS(Admin!$C$29:$C$40,AI266)&gt;0,Admin!$C$28,IF(COUNTIFS(Admin!$D$29:$D$40,AI266)&gt;0,Admin!$D$28,"-"))))</f>
        <v>2. mérföldkő</v>
      </c>
      <c r="AK266" s="14" t="s">
        <v>7</v>
      </c>
      <c r="AL266" s="9" t="s">
        <v>56</v>
      </c>
      <c r="AM266" s="131">
        <v>448500</v>
      </c>
      <c r="AN266" s="132">
        <v>0</v>
      </c>
      <c r="AO266" s="121">
        <v>174</v>
      </c>
      <c r="AP266" s="121">
        <v>87</v>
      </c>
      <c r="AQ266" s="354">
        <f t="shared" si="585"/>
        <v>0.5</v>
      </c>
      <c r="AR266" s="133">
        <f t="shared" si="617"/>
        <v>224250</v>
      </c>
      <c r="AS266" s="133">
        <f t="shared" si="500"/>
        <v>0</v>
      </c>
      <c r="AT266" s="123">
        <f t="shared" si="586"/>
        <v>0</v>
      </c>
      <c r="AU266" s="393">
        <f>AN266/AM266</f>
        <v>0</v>
      </c>
      <c r="AV266" s="394" t="s">
        <v>2782</v>
      </c>
      <c r="AW266" s="15">
        <v>44946</v>
      </c>
      <c r="AX266" s="12" t="s">
        <v>206</v>
      </c>
    </row>
    <row r="267" spans="1:56" s="1" customFormat="1" x14ac:dyDescent="0.25">
      <c r="A267" s="264" t="str">
        <f>Bérköltség!$B267</f>
        <v>FEOR</v>
      </c>
      <c r="B267" s="264" t="str">
        <f>IFERROR(
IF(AND(Bérköltség!$F267="",H267="NA"),"HIÁNYOS ADATOK",
IF(Bérköltség!$F267&lt;Bérköltség!$U267,Admin!$B$18,Admin!$B$17)),
"")</f>
        <v>FEOR</v>
      </c>
      <c r="C267" s="265">
        <f>IFERROR(INDEX('Historikus berek_2021-2'!$A$1:$F$903,MATCH(AB267,'Historikus berek_2021-2'!$A$1:$A$903,0),4),"")</f>
        <v>339260</v>
      </c>
      <c r="D267" s="279">
        <f t="shared" ref="D267:D269" si="618">IFERROR(C267*AQ267,"")</f>
        <v>148182.52873563219</v>
      </c>
      <c r="E267" s="265">
        <f t="shared" ref="E267:E269" si="619">AR267</f>
        <v>195897</v>
      </c>
      <c r="F267" s="266">
        <f t="shared" ref="F267:F269" si="620">IFERROR(IF((E267*(1+AU267)-D267*(1+AU267))&lt;0,0,(E267*(1+AU267)-D267*(1+AU267))),"")</f>
        <v>47714.471264367807</v>
      </c>
      <c r="G267" s="267">
        <f t="shared" ref="G267:G269" si="621">IFERROR((E267*(1+AU267)-F267),"")</f>
        <v>148182.52873563219</v>
      </c>
      <c r="H267" s="268">
        <f>IFERROR(INDEX('FEOR kodok'!$A$2:$J$1126,MATCH(Bérköltség!AB267,'FEOR kodok'!$B$2:$B$1126,0),8),"NA")</f>
        <v>3910</v>
      </c>
      <c r="I267" s="269">
        <f>IFERROR(INDEX('FEOR kodok'!$A$2:$J$1126,MATCH(Bérköltség!AB267,'FEOR kodok'!$B$2:$B$1126,0),10),"NA")</f>
        <v>60</v>
      </c>
      <c r="J267" s="276" t="str">
        <f t="shared" ref="J267:J269" si="622">IF(I267="NA","NA",
IF(I267&lt;30,"30 év alatt",
IF(AND(I267&gt;=30,I267&lt;=39),"30–39 éves",
IF(AND(I267&gt;=40,I267&lt;=49),"40–49 éves",
IF(I267&gt;=50,"50 év és afelett",
"")))))</f>
        <v>50 év és afelett</v>
      </c>
      <c r="K267" s="269" t="str">
        <f>IFERROR(INDEX(admin_feor[#All],MATCH(Bérköltség!H267,admin_feor[[#All],[Foglalkozás]],0),2),"NA")</f>
        <v>Egyéb ügyintéző</v>
      </c>
      <c r="L267" s="270">
        <f>IFERROR(
INDEX('Admin - FEOR'!$A$4:$F$465,MATCH(Bérköltség!H267,'Admin - FEOR'!$A$4:$A$465,0),
IF(J267="30 év alatt",3,
IF(J267="30–39 éves",4,
IF(J267="40–49 éves",5,
IF(J267="50 év és afelett",6
)))))*1,"NA")</f>
        <v>399150</v>
      </c>
      <c r="M267" s="270">
        <f t="shared" ref="M267:M269" si="623">AM267</f>
        <v>448500</v>
      </c>
      <c r="N267" s="318">
        <f t="shared" ref="N267:N269" si="624">IFERROR(
M267/L267,"NA")</f>
        <v>1.1236377301766254</v>
      </c>
      <c r="O267" s="270">
        <f>IFERROR(
INDEX('Admin - FEOR'!$A$4:$F$465,MATCH(Bérköltség!H267,'Admin - FEOR'!$A$4:$A$465,0),
IF(J267="30 év alatt",3,
IF(J267="30–39 éves",4,
IF(J267="40–49 éves",5,
IF(J267="50 év és afelett",6
)))))*1.5,"NA")</f>
        <v>598725</v>
      </c>
      <c r="P267" s="270">
        <f t="shared" ref="P267:P269" si="625">IFERROR(
AQ267*O267,"NA")</f>
        <v>261512.06896551725</v>
      </c>
      <c r="Q267" s="270">
        <f t="shared" ref="Q267:Q269" si="626">IFERROR(AR267,"")</f>
        <v>195897</v>
      </c>
      <c r="R267" s="275">
        <f t="shared" ref="R267:R269" si="627">IFERROR(AQ267,"")</f>
        <v>0.43678160919540232</v>
      </c>
      <c r="S267" s="270">
        <f t="shared" ref="S267:S269" si="628">IFERROR(
IF(AR267-P267&lt;0,0,AR267-P267),"NA")</f>
        <v>0</v>
      </c>
      <c r="T267" s="270">
        <f t="shared" ref="T267:T269" si="629">IFERROR(
S267*AU267,"NA")</f>
        <v>0</v>
      </c>
      <c r="U267" s="271">
        <f t="shared" ref="U267:U269" si="630">IFERROR(
S267+T267,"NA")</f>
        <v>0</v>
      </c>
      <c r="V267" s="272">
        <f t="shared" ref="V267:V269" si="631">IFERROR(
IF(U267&gt;0,AR267+AS267-U267,AR267+AS267),"NA")</f>
        <v>195897</v>
      </c>
      <c r="W267" s="273" t="str">
        <f t="shared" ref="W267:W269" si="632">IF(P267="NA","FEOR hiányzik",
IF(AND(N267&gt;1,A267="FEOR"),CONCATENATE("Indoklás szükséges mivel a FEOR: ",ROUND(N267*100,1),"%"),"Nem szükséges indoklás.")
)</f>
        <v>Indoklás szükséges mivel a FEOR: 112,4%</v>
      </c>
      <c r="X267" s="372">
        <f t="shared" ref="X267:X269" si="633">IF(A267="FEOR",U267,IF(A267="HIÁNYOS ADATOK","HIÁNYOS ADATOK",F267))</f>
        <v>0</v>
      </c>
      <c r="Y267" s="317">
        <f t="shared" ref="Y267:Y269" si="634">IF(A267="FEOR",ROUND((V267/(1+AU267)),0),IF(A267="HIÁNYOS ADATOK","HIÁNYOS ADATOK",ROUND(G267/(1+AU267),0)))</f>
        <v>195897</v>
      </c>
      <c r="Z267" s="317">
        <f t="shared" ref="Z267:Z269" si="635">IF(A267="FEOR",ROUND((V267-Y267),0),IF(A267="HIÁNYOS ADATOK","HIÁNYOS ADATOK",ROUND((G267-Y267),0)))</f>
        <v>0</v>
      </c>
      <c r="AA267" s="36"/>
      <c r="AB267" s="274">
        <v>8351331759</v>
      </c>
      <c r="AC267" s="40" t="s">
        <v>296</v>
      </c>
      <c r="AD267" s="82" t="s">
        <v>76</v>
      </c>
      <c r="AE267" s="41" t="s">
        <v>85</v>
      </c>
      <c r="AF267" s="11" t="s">
        <v>160</v>
      </c>
      <c r="AG267" s="11" t="s">
        <v>2734</v>
      </c>
      <c r="AH267" s="14" t="s">
        <v>142</v>
      </c>
      <c r="AI267" s="86" t="s">
        <v>35</v>
      </c>
      <c r="AJ267" s="113" t="str">
        <f>IF(COUNTIFS(Admin!$A$29:$A$40,AI267)&gt;0,Admin!$A$28,IF(COUNTIFS(Admin!$B$29:$B$40,AI267)&gt;0,Admin!$B$28,IF(COUNTIFS(Admin!$C$29:$C$40,AI267)&gt;0,Admin!$C$28,IF(COUNTIFS(Admin!$D$29:$D$40,AI267)&gt;0,Admin!$D$28,"-"))))</f>
        <v>3. mérföldkő</v>
      </c>
      <c r="AK267" s="14" t="s">
        <v>7</v>
      </c>
      <c r="AL267" s="9" t="s">
        <v>56</v>
      </c>
      <c r="AM267" s="131">
        <v>448500</v>
      </c>
      <c r="AN267" s="132">
        <v>0</v>
      </c>
      <c r="AO267" s="121">
        <v>174</v>
      </c>
      <c r="AP267" s="121">
        <v>76</v>
      </c>
      <c r="AQ267" s="354">
        <f t="shared" ref="AQ267" si="636">IFERROR(AP267/AO267,"")</f>
        <v>0.43678160919540232</v>
      </c>
      <c r="AR267" s="133">
        <f t="shared" ref="AR267" si="637">IFERROR(ROUND(AM267*AP267/AO267,0),"")</f>
        <v>195897</v>
      </c>
      <c r="AS267" s="133">
        <f t="shared" si="500"/>
        <v>0</v>
      </c>
      <c r="AT267" s="123">
        <f t="shared" ref="AT267" si="638">IFERROR(AP267/AO267-AR267/AM267,"")</f>
        <v>-9.9950024984307717E-7</v>
      </c>
      <c r="AU267" s="393">
        <f>AN267/AM267</f>
        <v>0</v>
      </c>
      <c r="AV267" s="394" t="s">
        <v>2782</v>
      </c>
      <c r="AW267" s="15">
        <v>45008</v>
      </c>
      <c r="AX267" s="12" t="s">
        <v>206</v>
      </c>
      <c r="AZ267" s="1" t="str">
        <f>IF(VLOOKUP(LEFT($AB267,10),'Havi béradatok'!$B:$E,2,FALSE)=AG267,"EGYEZIK","HIBÁS")</f>
        <v>EGYEZIK</v>
      </c>
      <c r="BA267" s="1">
        <f>VLOOKUP(LEFT($AB267,10),'Havi béradatok'!$B:$E,3,FALSE)-AM267</f>
        <v>0</v>
      </c>
      <c r="BB267" s="1">
        <f>VLOOKUP(LEFT($AB267,10),'Havi béradatok'!$B:$E,4,FALSE)-AN267</f>
        <v>0</v>
      </c>
      <c r="BC267" s="400"/>
      <c r="BD267" s="400"/>
    </row>
    <row r="268" spans="1:56" s="1" customFormat="1" hidden="1" x14ac:dyDescent="0.25">
      <c r="A268" s="264" t="str">
        <f>Bérköltség!$B268</f>
        <v>FEOR</v>
      </c>
      <c r="B268" s="264" t="str">
        <f>IFERROR(
IF(AND(Bérköltség!$F268="",H268="NA"),"HIÁNYOS ADATOK",
IF(Bérköltség!$F268&lt;Bérköltség!$U268,Admin!$B$18,Admin!$B$17)),
"")</f>
        <v>FEOR</v>
      </c>
      <c r="C268" s="265">
        <f>IFERROR(INDEX('Historikus berek_2021-2'!$A$1:$F$903,MATCH(AB268,'Historikus berek_2021-2'!$A$1:$A$903,0),4),"")</f>
        <v>339260</v>
      </c>
      <c r="D268" s="279">
        <f t="shared" si="618"/>
        <v>148182.52873563219</v>
      </c>
      <c r="E268" s="265">
        <f t="shared" si="619"/>
        <v>195897</v>
      </c>
      <c r="F268" s="266">
        <f t="shared" si="620"/>
        <v>47714.471264367807</v>
      </c>
      <c r="G268" s="267">
        <f t="shared" si="621"/>
        <v>148182.52873563219</v>
      </c>
      <c r="H268" s="268">
        <f>IFERROR(INDEX('FEOR kodok'!$A$2:$J$1126,MATCH(Bérköltség!AB268,'FEOR kodok'!$B$2:$B$1126,0),8),"NA")</f>
        <v>3910</v>
      </c>
      <c r="I268" s="269">
        <f>IFERROR(INDEX('FEOR kodok'!$A$2:$J$1126,MATCH(Bérköltség!AB268,'FEOR kodok'!$B$2:$B$1126,0),10),"NA")</f>
        <v>60</v>
      </c>
      <c r="J268" s="276" t="str">
        <f t="shared" si="622"/>
        <v>50 év és afelett</v>
      </c>
      <c r="K268" s="269" t="str">
        <f>IFERROR(INDEX(admin_feor[#All],MATCH(Bérköltség!H268,admin_feor[[#All],[Foglalkozás]],0),2),"NA")</f>
        <v>Egyéb ügyintéző</v>
      </c>
      <c r="L268" s="270">
        <f>IFERROR(
INDEX('Admin - FEOR'!$A$4:$F$465,MATCH(Bérköltség!H268,'Admin - FEOR'!$A$4:$A$465,0),
IF(J268="30 év alatt",3,
IF(J268="30–39 éves",4,
IF(J268="40–49 éves",5,
IF(J268="50 év és afelett",6
)))))*1,"NA")</f>
        <v>399150</v>
      </c>
      <c r="M268" s="270">
        <f t="shared" si="623"/>
        <v>448500</v>
      </c>
      <c r="N268" s="318">
        <f t="shared" si="624"/>
        <v>1.1236377301766254</v>
      </c>
      <c r="O268" s="270">
        <f>IFERROR(
INDEX('Admin - FEOR'!$A$4:$F$465,MATCH(Bérköltség!H268,'Admin - FEOR'!$A$4:$A$465,0),
IF(J268="30 év alatt",3,
IF(J268="30–39 éves",4,
IF(J268="40–49 éves",5,
IF(J268="50 év és afelett",6
)))))*1.5,"NA")</f>
        <v>598725</v>
      </c>
      <c r="P268" s="270">
        <f t="shared" si="625"/>
        <v>261512.06896551725</v>
      </c>
      <c r="Q268" s="270">
        <f t="shared" si="626"/>
        <v>195897</v>
      </c>
      <c r="R268" s="275">
        <f t="shared" si="627"/>
        <v>0.43678160919540232</v>
      </c>
      <c r="S268" s="270">
        <f t="shared" si="628"/>
        <v>0</v>
      </c>
      <c r="T268" s="270">
        <f t="shared" si="629"/>
        <v>0</v>
      </c>
      <c r="U268" s="271">
        <f t="shared" si="630"/>
        <v>0</v>
      </c>
      <c r="V268" s="272">
        <f t="shared" si="631"/>
        <v>195897</v>
      </c>
      <c r="W268" s="273" t="str">
        <f t="shared" si="632"/>
        <v>Indoklás szükséges mivel a FEOR: 112,4%</v>
      </c>
      <c r="X268" s="372">
        <f t="shared" si="633"/>
        <v>0</v>
      </c>
      <c r="Y268" s="317">
        <f t="shared" si="634"/>
        <v>195897</v>
      </c>
      <c r="Z268" s="317">
        <f t="shared" si="635"/>
        <v>0</v>
      </c>
      <c r="AA268" s="36"/>
      <c r="AB268" s="274">
        <v>8351331759</v>
      </c>
      <c r="AC268" s="40" t="s">
        <v>296</v>
      </c>
      <c r="AD268" s="82" t="s">
        <v>76</v>
      </c>
      <c r="AE268" s="41" t="s">
        <v>85</v>
      </c>
      <c r="AF268" s="11" t="s">
        <v>160</v>
      </c>
      <c r="AG268" s="11" t="s">
        <v>2734</v>
      </c>
      <c r="AH268" s="14" t="s">
        <v>142</v>
      </c>
      <c r="AI268" s="86" t="s">
        <v>36</v>
      </c>
      <c r="AJ268" s="113" t="str">
        <f>IF(COUNTIFS(Admin!$A$29:$A$40,AI268)&gt;0,Admin!$A$28,IF(COUNTIFS(Admin!$B$29:$B$40,AI268)&gt;0,Admin!$B$28,IF(COUNTIFS(Admin!$C$29:$C$40,AI268)&gt;0,Admin!$C$28,IF(COUNTIFS(Admin!$D$29:$D$40,AI268)&gt;0,Admin!$D$28,"-"))))</f>
        <v>3. mérföldkő</v>
      </c>
      <c r="AK268" s="14" t="s">
        <v>141</v>
      </c>
      <c r="AL268" s="9" t="s">
        <v>56</v>
      </c>
      <c r="AM268" s="131">
        <v>448500</v>
      </c>
      <c r="AN268" s="132">
        <v>0</v>
      </c>
      <c r="AO268" s="121">
        <v>174</v>
      </c>
      <c r="AP268" s="121">
        <v>76</v>
      </c>
      <c r="AQ268" s="354">
        <f t="shared" ref="AQ268:AQ269" si="639">IFERROR(AP268/AO268,"")</f>
        <v>0.43678160919540232</v>
      </c>
      <c r="AR268" s="133">
        <f t="shared" ref="AR268:AR269" si="640">IFERROR(ROUND(AM268*AP268/AO268,0),"")</f>
        <v>195897</v>
      </c>
      <c r="AS268" s="133">
        <f t="shared" si="500"/>
        <v>0</v>
      </c>
      <c r="AT268" s="123">
        <f t="shared" ref="AT268:AT269" si="641">IFERROR(AP268/AO268-AR268/AM268,"")</f>
        <v>-9.9950024984307717E-7</v>
      </c>
      <c r="AU268" s="393">
        <f t="shared" ref="AU268:AU269" si="642">AN268/AM268</f>
        <v>0</v>
      </c>
      <c r="AV268" s="394" t="s">
        <v>2782</v>
      </c>
      <c r="AW268" s="15">
        <v>45008</v>
      </c>
      <c r="AX268" s="12" t="s">
        <v>206</v>
      </c>
    </row>
    <row r="269" spans="1:56" s="1" customFormat="1" hidden="1" x14ac:dyDescent="0.25">
      <c r="A269" s="264" t="str">
        <f>Bérköltség!$B269</f>
        <v>FEOR</v>
      </c>
      <c r="B269" s="264" t="str">
        <f>IFERROR(
IF(AND(Bérköltség!$F269="",H269="NA"),"HIÁNYOS ADATOK",
IF(Bérköltség!$F269&lt;Bérköltség!$U269,Admin!$B$18,Admin!$B$17)),
"")</f>
        <v>FEOR</v>
      </c>
      <c r="C269" s="265">
        <f>IFERROR(INDEX('Historikus berek_2021-2'!$A$1:$F$903,MATCH(AB269,'Historikus berek_2021-2'!$A$1:$A$903,0),4),"")</f>
        <v>339260</v>
      </c>
      <c r="D269" s="279">
        <f t="shared" si="618"/>
        <v>148182.52873563219</v>
      </c>
      <c r="E269" s="265">
        <f t="shared" si="619"/>
        <v>195897</v>
      </c>
      <c r="F269" s="266">
        <f t="shared" si="620"/>
        <v>47714.471264367807</v>
      </c>
      <c r="G269" s="267">
        <f t="shared" si="621"/>
        <v>148182.52873563219</v>
      </c>
      <c r="H269" s="268">
        <f>IFERROR(INDEX('FEOR kodok'!$A$2:$J$1126,MATCH(Bérköltség!AB269,'FEOR kodok'!$B$2:$B$1126,0),8),"NA")</f>
        <v>3910</v>
      </c>
      <c r="I269" s="269">
        <f>IFERROR(INDEX('FEOR kodok'!$A$2:$J$1126,MATCH(Bérköltség!AB269,'FEOR kodok'!$B$2:$B$1126,0),10),"NA")</f>
        <v>60</v>
      </c>
      <c r="J269" s="276" t="str">
        <f t="shared" si="622"/>
        <v>50 év és afelett</v>
      </c>
      <c r="K269" s="269" t="str">
        <f>IFERROR(INDEX(admin_feor[#All],MATCH(Bérköltség!H269,admin_feor[[#All],[Foglalkozás]],0),2),"NA")</f>
        <v>Egyéb ügyintéző</v>
      </c>
      <c r="L269" s="270">
        <f>IFERROR(
INDEX('Admin - FEOR'!$A$4:$F$465,MATCH(Bérköltség!H269,'Admin - FEOR'!$A$4:$A$465,0),
IF(J269="30 év alatt",3,
IF(J269="30–39 éves",4,
IF(J269="40–49 éves",5,
IF(J269="50 év és afelett",6
)))))*1,"NA")</f>
        <v>399150</v>
      </c>
      <c r="M269" s="270">
        <f t="shared" si="623"/>
        <v>448500</v>
      </c>
      <c r="N269" s="318">
        <f t="shared" si="624"/>
        <v>1.1236377301766254</v>
      </c>
      <c r="O269" s="270">
        <f>IFERROR(
INDEX('Admin - FEOR'!$A$4:$F$465,MATCH(Bérköltség!H269,'Admin - FEOR'!$A$4:$A$465,0),
IF(J269="30 év alatt",3,
IF(J269="30–39 éves",4,
IF(J269="40–49 éves",5,
IF(J269="50 év és afelett",6
)))))*1.5,"NA")</f>
        <v>598725</v>
      </c>
      <c r="P269" s="270">
        <f t="shared" si="625"/>
        <v>261512.06896551725</v>
      </c>
      <c r="Q269" s="270">
        <f t="shared" si="626"/>
        <v>195897</v>
      </c>
      <c r="R269" s="275">
        <f t="shared" si="627"/>
        <v>0.43678160919540232</v>
      </c>
      <c r="S269" s="270">
        <f t="shared" si="628"/>
        <v>0</v>
      </c>
      <c r="T269" s="270">
        <f t="shared" si="629"/>
        <v>0</v>
      </c>
      <c r="U269" s="271">
        <f t="shared" si="630"/>
        <v>0</v>
      </c>
      <c r="V269" s="272">
        <f t="shared" si="631"/>
        <v>195897</v>
      </c>
      <c r="W269" s="273" t="str">
        <f t="shared" si="632"/>
        <v>Indoklás szükséges mivel a FEOR: 112,4%</v>
      </c>
      <c r="X269" s="372">
        <f t="shared" si="633"/>
        <v>0</v>
      </c>
      <c r="Y269" s="317">
        <f t="shared" si="634"/>
        <v>195897</v>
      </c>
      <c r="Z269" s="317">
        <f t="shared" si="635"/>
        <v>0</v>
      </c>
      <c r="AA269" s="36"/>
      <c r="AB269" s="274">
        <v>8351331759</v>
      </c>
      <c r="AC269" s="40" t="s">
        <v>296</v>
      </c>
      <c r="AD269" s="82" t="s">
        <v>76</v>
      </c>
      <c r="AE269" s="41" t="s">
        <v>85</v>
      </c>
      <c r="AF269" s="11" t="s">
        <v>160</v>
      </c>
      <c r="AG269" s="11" t="s">
        <v>2734</v>
      </c>
      <c r="AH269" s="14" t="s">
        <v>142</v>
      </c>
      <c r="AI269" s="86" t="s">
        <v>37</v>
      </c>
      <c r="AJ269" s="113" t="str">
        <f>IF(COUNTIFS(Admin!$A$29:$A$40,AI269)&gt;0,Admin!$A$28,IF(COUNTIFS(Admin!$B$29:$B$40,AI269)&gt;0,Admin!$B$28,IF(COUNTIFS(Admin!$C$29:$C$40,AI269)&gt;0,Admin!$C$28,IF(COUNTIFS(Admin!$D$29:$D$40,AI269)&gt;0,Admin!$D$28,"-"))))</f>
        <v>3. mérföldkő</v>
      </c>
      <c r="AK269" s="14" t="s">
        <v>141</v>
      </c>
      <c r="AL269" s="9" t="s">
        <v>56</v>
      </c>
      <c r="AM269" s="131">
        <v>448500</v>
      </c>
      <c r="AN269" s="132">
        <v>0</v>
      </c>
      <c r="AO269" s="121">
        <v>174</v>
      </c>
      <c r="AP269" s="121">
        <v>76</v>
      </c>
      <c r="AQ269" s="354">
        <f t="shared" si="639"/>
        <v>0.43678160919540232</v>
      </c>
      <c r="AR269" s="133">
        <f t="shared" si="640"/>
        <v>195897</v>
      </c>
      <c r="AS269" s="133">
        <f t="shared" si="500"/>
        <v>0</v>
      </c>
      <c r="AT269" s="123">
        <f t="shared" si="641"/>
        <v>-9.9950024984307717E-7</v>
      </c>
      <c r="AU269" s="393">
        <f t="shared" si="642"/>
        <v>0</v>
      </c>
      <c r="AV269" s="394" t="s">
        <v>2782</v>
      </c>
      <c r="AW269" s="15">
        <v>45008</v>
      </c>
      <c r="AX269" s="12" t="s">
        <v>206</v>
      </c>
    </row>
    <row r="270" spans="1:56" s="1" customFormat="1" hidden="1" x14ac:dyDescent="0.25">
      <c r="A270" s="264" t="str">
        <f>Bérköltség!$B270</f>
        <v>FEOR</v>
      </c>
      <c r="B270" s="264" t="str">
        <f>IFERROR(
IF(AND(Bérköltség!$F270="",H270="NA"),"HIÁNYOS ADATOK",
IF(Bérköltség!$F270&lt;Bérköltség!$U270,Admin!$B$18,Admin!$B$17)),
"")</f>
        <v>FEOR</v>
      </c>
      <c r="C270" s="265">
        <f>IFERROR(INDEX('Historikus berek_2021-2'!$A$1:$F$903,MATCH(AB270,'Historikus berek_2021-2'!$A$1:$A$903,0),4),"")</f>
        <v>340933.33333333331</v>
      </c>
      <c r="D270" s="279">
        <f t="shared" si="531"/>
        <v>340933.33333333331</v>
      </c>
      <c r="E270" s="265">
        <f t="shared" si="532"/>
        <v>500000</v>
      </c>
      <c r="F270" s="266">
        <f t="shared" si="533"/>
        <v>179745.33333333337</v>
      </c>
      <c r="G270" s="267">
        <f t="shared" si="534"/>
        <v>385254.66666666663</v>
      </c>
      <c r="H270" s="268">
        <f>IFERROR(INDEX('FEOR kodok'!$A$2:$J$1126,MATCH(Bérköltség!AB270,'FEOR kodok'!$B$2:$B$1126,0),8),"NA")</f>
        <v>2139</v>
      </c>
      <c r="I270" s="269">
        <f>IFERROR(INDEX('FEOR kodok'!$A$2:$J$1126,MATCH(Bérköltség!AB270,'FEOR kodok'!$B$2:$B$1126,0),10),"NA")</f>
        <v>35</v>
      </c>
      <c r="J270" s="276" t="str">
        <f t="shared" si="535"/>
        <v>30–39 éves</v>
      </c>
      <c r="K270" s="269" t="str">
        <f>IFERROR(INDEX(admin_feor[#All],MATCH(Bérköltség!H270,admin_feor[[#All],[Foglalkozás]],0),2),"NA")</f>
        <v>Egyéb, máshova nem sorolható mérnök</v>
      </c>
      <c r="L270" s="270">
        <f>IFERROR(
INDEX('Admin - FEOR'!$A$4:$F$465,MATCH(Bérköltség!H270,'Admin - FEOR'!$A$4:$A$465,0),
IF(J270="30 év alatt",3,
IF(J270="30–39 éves",4,
IF(J270="40–49 éves",5,
IF(J270="50 év és afelett",6
)))))*1,"NA")</f>
        <v>845378</v>
      </c>
      <c r="M270" s="270">
        <f t="shared" si="536"/>
        <v>500000</v>
      </c>
      <c r="N270" s="318">
        <f t="shared" si="537"/>
        <v>0.59145139807281477</v>
      </c>
      <c r="O270" s="270">
        <f>IFERROR(
INDEX('Admin - FEOR'!$A$4:$F$465,MATCH(Bérköltség!H270,'Admin - FEOR'!$A$4:$A$465,0),
IF(J270="30 év alatt",3,
IF(J270="30–39 éves",4,
IF(J270="40–49 éves",5,
IF(J270="50 év és afelett",6
)))))*1.5,"NA")</f>
        <v>1268067</v>
      </c>
      <c r="P270" s="270">
        <f t="shared" si="538"/>
        <v>1268067</v>
      </c>
      <c r="Q270" s="270">
        <f t="shared" si="539"/>
        <v>500000</v>
      </c>
      <c r="R270" s="275">
        <f t="shared" si="540"/>
        <v>1</v>
      </c>
      <c r="S270" s="270">
        <f t="shared" si="541"/>
        <v>0</v>
      </c>
      <c r="T270" s="270">
        <f t="shared" si="542"/>
        <v>0</v>
      </c>
      <c r="U270" s="271">
        <f t="shared" si="543"/>
        <v>0</v>
      </c>
      <c r="V270" s="272">
        <f t="shared" si="544"/>
        <v>565000</v>
      </c>
      <c r="W270" s="273" t="str">
        <f t="shared" si="545"/>
        <v>Nem szükséges indoklás.</v>
      </c>
      <c r="X270" s="372">
        <f t="shared" si="546"/>
        <v>0</v>
      </c>
      <c r="Y270" s="317">
        <f t="shared" si="547"/>
        <v>500000</v>
      </c>
      <c r="Z270" s="317">
        <f t="shared" si="548"/>
        <v>65000</v>
      </c>
      <c r="AA270" s="12">
        <v>2</v>
      </c>
      <c r="AB270" s="274">
        <v>8442990062</v>
      </c>
      <c r="AC270" s="40" t="s">
        <v>197</v>
      </c>
      <c r="AD270" s="82" t="s">
        <v>75</v>
      </c>
      <c r="AE270" s="41" t="s">
        <v>52</v>
      </c>
      <c r="AF270" s="11" t="s">
        <v>151</v>
      </c>
      <c r="AG270" s="11" t="s">
        <v>170</v>
      </c>
      <c r="AH270" s="14" t="s">
        <v>122</v>
      </c>
      <c r="AI270" s="86" t="s">
        <v>21</v>
      </c>
      <c r="AJ270" s="113" t="str">
        <f>IF(COUNTIFS(Admin!$A$29:$A$40,AI270)&gt;0,Admin!$A$28,IF(COUNTIFS(Admin!$B$29:$B$40,AI270)&gt;0,Admin!$B$28,IF(COUNTIFS(Admin!$C$29:$C$40,AI270)&gt;0,Admin!$C$28,IF(COUNTIFS(Admin!$D$29:$D$40,AI270)&gt;0,Admin!$D$28,"-"))))</f>
        <v>2. mérföldkő</v>
      </c>
      <c r="AK270" s="14" t="s">
        <v>7</v>
      </c>
      <c r="AL270" s="9" t="s">
        <v>56</v>
      </c>
      <c r="AM270" s="131">
        <v>500000</v>
      </c>
      <c r="AN270" s="132">
        <f t="shared" si="584"/>
        <v>65000</v>
      </c>
      <c r="AO270" s="121">
        <v>174</v>
      </c>
      <c r="AP270" s="121">
        <v>174</v>
      </c>
      <c r="AQ270" s="354">
        <f t="shared" si="585"/>
        <v>1</v>
      </c>
      <c r="AR270" s="133">
        <f t="shared" si="214"/>
        <v>500000</v>
      </c>
      <c r="AS270" s="133">
        <f t="shared" si="500"/>
        <v>65000</v>
      </c>
      <c r="AT270" s="123">
        <f t="shared" si="586"/>
        <v>0</v>
      </c>
      <c r="AU270" s="124">
        <v>0.13</v>
      </c>
      <c r="AV270" s="394" t="s">
        <v>2783</v>
      </c>
      <c r="AW270" s="15">
        <v>44736</v>
      </c>
      <c r="AX270" s="12" t="s">
        <v>206</v>
      </c>
      <c r="BC270" s="1" t="s">
        <v>2837</v>
      </c>
      <c r="BD270" s="1" t="str">
        <f t="shared" ref="BD270:BD278" si="643">CONCATENATE(BC270," - ",AE270)</f>
        <v>Kutató_BM_5 - Kutató</v>
      </c>
    </row>
    <row r="271" spans="1:56" s="1" customFormat="1" hidden="1" x14ac:dyDescent="0.25">
      <c r="A271" s="264" t="str">
        <f>Bérköltség!$B271</f>
        <v>FEOR</v>
      </c>
      <c r="B271" s="264" t="str">
        <f>IFERROR(
IF(AND(Bérköltség!$F271="",H271="NA"),"HIÁNYOS ADATOK",
IF(Bérköltség!$F271&lt;Bérköltség!$U271,Admin!$B$18,Admin!$B$17)),
"")</f>
        <v>FEOR</v>
      </c>
      <c r="C271" s="265">
        <f>IFERROR(INDEX('Historikus berek_2021-2'!$A$1:$F$903,MATCH(AB271,'Historikus berek_2021-2'!$A$1:$A$903,0),4),"")</f>
        <v>340933.33333333331</v>
      </c>
      <c r="D271" s="279">
        <f t="shared" si="531"/>
        <v>340933.33333333331</v>
      </c>
      <c r="E271" s="265">
        <f t="shared" si="532"/>
        <v>413043</v>
      </c>
      <c r="F271" s="266">
        <f t="shared" si="533"/>
        <v>81483.92333333334</v>
      </c>
      <c r="G271" s="267">
        <f t="shared" si="534"/>
        <v>385254.66666666663</v>
      </c>
      <c r="H271" s="268">
        <f>IFERROR(INDEX('FEOR kodok'!$A$2:$J$1126,MATCH(Bérköltség!AB271,'FEOR kodok'!$B$2:$B$1126,0),8),"NA")</f>
        <v>2139</v>
      </c>
      <c r="I271" s="269">
        <f>IFERROR(INDEX('FEOR kodok'!$A$2:$J$1126,MATCH(Bérköltség!AB271,'FEOR kodok'!$B$2:$B$1126,0),10),"NA")</f>
        <v>35</v>
      </c>
      <c r="J271" s="276" t="str">
        <f t="shared" si="535"/>
        <v>30–39 éves</v>
      </c>
      <c r="K271" s="269" t="str">
        <f>IFERROR(INDEX(admin_feor[#All],MATCH(Bérköltség!H271,admin_feor[[#All],[Foglalkozás]],0),2),"NA")</f>
        <v>Egyéb, máshova nem sorolható mérnök</v>
      </c>
      <c r="L271" s="270">
        <f>IFERROR(
INDEX('Admin - FEOR'!$A$4:$F$465,MATCH(Bérköltség!H271,'Admin - FEOR'!$A$4:$A$465,0),
IF(J271="30 év alatt",3,
IF(J271="30–39 éves",4,
IF(J271="40–49 éves",5,
IF(J271="50 év és afelett",6
)))))*1,"NA")</f>
        <v>845378</v>
      </c>
      <c r="M271" s="270">
        <f t="shared" si="536"/>
        <v>413043</v>
      </c>
      <c r="N271" s="318">
        <f t="shared" si="537"/>
        <v>0.48858971962837927</v>
      </c>
      <c r="O271" s="270">
        <f>IFERROR(
INDEX('Admin - FEOR'!$A$4:$F$465,MATCH(Bérköltség!H271,'Admin - FEOR'!$A$4:$A$465,0),
IF(J271="30 év alatt",3,
IF(J271="30–39 éves",4,
IF(J271="40–49 éves",5,
IF(J271="50 év és afelett",6
)))))*1.5,"NA")</f>
        <v>1268067</v>
      </c>
      <c r="P271" s="270">
        <f t="shared" si="538"/>
        <v>1268067</v>
      </c>
      <c r="Q271" s="270">
        <f t="shared" si="539"/>
        <v>413043</v>
      </c>
      <c r="R271" s="275">
        <f t="shared" si="540"/>
        <v>1</v>
      </c>
      <c r="S271" s="270">
        <f t="shared" si="541"/>
        <v>0</v>
      </c>
      <c r="T271" s="270">
        <f t="shared" si="542"/>
        <v>0</v>
      </c>
      <c r="U271" s="271">
        <f t="shared" si="543"/>
        <v>0</v>
      </c>
      <c r="V271" s="272">
        <f t="shared" si="544"/>
        <v>466739</v>
      </c>
      <c r="W271" s="273" t="str">
        <f t="shared" si="545"/>
        <v>Nem szükséges indoklás.</v>
      </c>
      <c r="X271" s="372">
        <f t="shared" si="546"/>
        <v>0</v>
      </c>
      <c r="Y271" s="317">
        <f t="shared" si="547"/>
        <v>413043</v>
      </c>
      <c r="Z271" s="317">
        <f t="shared" si="548"/>
        <v>53696</v>
      </c>
      <c r="AA271" s="12">
        <v>2</v>
      </c>
      <c r="AB271" s="274">
        <v>8442990062</v>
      </c>
      <c r="AC271" s="40" t="s">
        <v>197</v>
      </c>
      <c r="AD271" s="82" t="s">
        <v>75</v>
      </c>
      <c r="AE271" s="41" t="s">
        <v>52</v>
      </c>
      <c r="AF271" s="11" t="s">
        <v>151</v>
      </c>
      <c r="AG271" s="11" t="s">
        <v>170</v>
      </c>
      <c r="AH271" s="14" t="s">
        <v>122</v>
      </c>
      <c r="AI271" s="86" t="s">
        <v>22</v>
      </c>
      <c r="AJ271" s="113" t="str">
        <f>IF(COUNTIFS(Admin!$A$29:$A$40,AI271)&gt;0,Admin!$A$28,IF(COUNTIFS(Admin!$B$29:$B$40,AI271)&gt;0,Admin!$B$28,IF(COUNTIFS(Admin!$C$29:$C$40,AI271)&gt;0,Admin!$C$28,IF(COUNTIFS(Admin!$D$29:$D$40,AI271)&gt;0,Admin!$D$28,"-"))))</f>
        <v>2. mérföldkő</v>
      </c>
      <c r="AK271" s="14" t="s">
        <v>7</v>
      </c>
      <c r="AL271" s="9" t="s">
        <v>56</v>
      </c>
      <c r="AM271" s="131">
        <v>413043</v>
      </c>
      <c r="AN271" s="132">
        <f t="shared" si="584"/>
        <v>53696</v>
      </c>
      <c r="AO271" s="121">
        <v>174</v>
      </c>
      <c r="AP271" s="121">
        <v>174</v>
      </c>
      <c r="AQ271" s="354">
        <f t="shared" si="585"/>
        <v>1</v>
      </c>
      <c r="AR271" s="133">
        <f t="shared" si="214"/>
        <v>413043</v>
      </c>
      <c r="AS271" s="133">
        <f t="shared" si="500"/>
        <v>53696</v>
      </c>
      <c r="AT271" s="123">
        <f t="shared" si="586"/>
        <v>0</v>
      </c>
      <c r="AU271" s="124">
        <v>0.13</v>
      </c>
      <c r="AV271" s="394" t="s">
        <v>2783</v>
      </c>
      <c r="AW271" s="15">
        <v>44736</v>
      </c>
      <c r="AX271" s="12" t="s">
        <v>206</v>
      </c>
      <c r="BC271" s="1" t="s">
        <v>2837</v>
      </c>
      <c r="BD271" s="1" t="str">
        <f t="shared" si="643"/>
        <v>Kutató_BM_5 - Kutató</v>
      </c>
    </row>
    <row r="272" spans="1:56" s="1" customFormat="1" hidden="1" x14ac:dyDescent="0.25">
      <c r="A272" s="264" t="str">
        <f>Bérköltség!$B272</f>
        <v>FEOR</v>
      </c>
      <c r="B272" s="264" t="str">
        <f>IFERROR(
IF(AND(Bérköltség!$F272="",H272="NA"),"HIÁNYOS ADATOK",
IF(Bérköltség!$F272&lt;Bérköltség!$U272,Admin!$B$18,Admin!$B$17)),
"")</f>
        <v>FEOR</v>
      </c>
      <c r="C272" s="265">
        <f>IFERROR(INDEX('Historikus berek_2021-2'!$A$1:$F$903,MATCH(AB272,'Historikus berek_2021-2'!$A$1:$A$903,0),4),"")</f>
        <v>340933.33333333331</v>
      </c>
      <c r="D272" s="279">
        <f t="shared" si="531"/>
        <v>340933.33333333331</v>
      </c>
      <c r="E272" s="265">
        <f t="shared" si="532"/>
        <v>500000</v>
      </c>
      <c r="F272" s="266">
        <f t="shared" si="533"/>
        <v>179745.33333333337</v>
      </c>
      <c r="G272" s="267">
        <f t="shared" si="534"/>
        <v>385254.66666666663</v>
      </c>
      <c r="H272" s="268">
        <f>IFERROR(INDEX('FEOR kodok'!$A$2:$J$1126,MATCH(Bérköltség!AB272,'FEOR kodok'!$B$2:$B$1126,0),8),"NA")</f>
        <v>2139</v>
      </c>
      <c r="I272" s="269">
        <f>IFERROR(INDEX('FEOR kodok'!$A$2:$J$1126,MATCH(Bérköltség!AB272,'FEOR kodok'!$B$2:$B$1126,0),10),"NA")</f>
        <v>35</v>
      </c>
      <c r="J272" s="276" t="str">
        <f t="shared" si="535"/>
        <v>30–39 éves</v>
      </c>
      <c r="K272" s="269" t="str">
        <f>IFERROR(INDEX(admin_feor[#All],MATCH(Bérköltség!H272,admin_feor[[#All],[Foglalkozás]],0),2),"NA")</f>
        <v>Egyéb, máshova nem sorolható mérnök</v>
      </c>
      <c r="L272" s="270">
        <f>IFERROR(
INDEX('Admin - FEOR'!$A$4:$F$465,MATCH(Bérköltség!H272,'Admin - FEOR'!$A$4:$A$465,0),
IF(J272="30 év alatt",3,
IF(J272="30–39 éves",4,
IF(J272="40–49 éves",5,
IF(J272="50 év és afelett",6
)))))*1,"NA")</f>
        <v>845378</v>
      </c>
      <c r="M272" s="270">
        <f t="shared" si="536"/>
        <v>500000</v>
      </c>
      <c r="N272" s="318">
        <f t="shared" si="537"/>
        <v>0.59145139807281477</v>
      </c>
      <c r="O272" s="270">
        <f>IFERROR(
INDEX('Admin - FEOR'!$A$4:$F$465,MATCH(Bérköltség!H272,'Admin - FEOR'!$A$4:$A$465,0),
IF(J272="30 év alatt",3,
IF(J272="30–39 éves",4,
IF(J272="40–49 éves",5,
IF(J272="50 év és afelett",6
)))))*1.5,"NA")</f>
        <v>1268067</v>
      </c>
      <c r="P272" s="270">
        <f t="shared" si="538"/>
        <v>1268067</v>
      </c>
      <c r="Q272" s="270">
        <f t="shared" si="539"/>
        <v>500000</v>
      </c>
      <c r="R272" s="275">
        <f t="shared" si="540"/>
        <v>1</v>
      </c>
      <c r="S272" s="270">
        <f t="shared" si="541"/>
        <v>0</v>
      </c>
      <c r="T272" s="270">
        <f t="shared" si="542"/>
        <v>0</v>
      </c>
      <c r="U272" s="271">
        <f t="shared" si="543"/>
        <v>0</v>
      </c>
      <c r="V272" s="272">
        <f t="shared" si="544"/>
        <v>565000</v>
      </c>
      <c r="W272" s="273" t="str">
        <f t="shared" si="545"/>
        <v>Nem szükséges indoklás.</v>
      </c>
      <c r="X272" s="372">
        <f t="shared" si="546"/>
        <v>0</v>
      </c>
      <c r="Y272" s="317">
        <f t="shared" si="547"/>
        <v>500000</v>
      </c>
      <c r="Z272" s="317">
        <f t="shared" si="548"/>
        <v>65000</v>
      </c>
      <c r="AA272" s="12">
        <v>2</v>
      </c>
      <c r="AB272" s="274">
        <v>8442990062</v>
      </c>
      <c r="AC272" s="40" t="s">
        <v>197</v>
      </c>
      <c r="AD272" s="82" t="s">
        <v>75</v>
      </c>
      <c r="AE272" s="41" t="s">
        <v>52</v>
      </c>
      <c r="AF272" s="11" t="s">
        <v>151</v>
      </c>
      <c r="AG272" s="11" t="s">
        <v>170</v>
      </c>
      <c r="AH272" s="14" t="s">
        <v>122</v>
      </c>
      <c r="AI272" s="86" t="s">
        <v>23</v>
      </c>
      <c r="AJ272" s="113" t="str">
        <f>IF(COUNTIFS(Admin!$A$29:$A$40,AI272)&gt;0,Admin!$A$28,IF(COUNTIFS(Admin!$B$29:$B$40,AI272)&gt;0,Admin!$B$28,IF(COUNTIFS(Admin!$C$29:$C$40,AI272)&gt;0,Admin!$C$28,IF(COUNTIFS(Admin!$D$29:$D$40,AI272)&gt;0,Admin!$D$28,"-"))))</f>
        <v>2. mérföldkő</v>
      </c>
      <c r="AK272" s="14" t="s">
        <v>7</v>
      </c>
      <c r="AL272" s="9" t="s">
        <v>56</v>
      </c>
      <c r="AM272" s="131">
        <v>500000</v>
      </c>
      <c r="AN272" s="132">
        <f t="shared" si="584"/>
        <v>65000</v>
      </c>
      <c r="AO272" s="121">
        <v>174</v>
      </c>
      <c r="AP272" s="121">
        <v>174</v>
      </c>
      <c r="AQ272" s="354">
        <f t="shared" si="585"/>
        <v>1</v>
      </c>
      <c r="AR272" s="133">
        <f t="shared" si="214"/>
        <v>500000</v>
      </c>
      <c r="AS272" s="133">
        <f t="shared" si="500"/>
        <v>65000</v>
      </c>
      <c r="AT272" s="123">
        <f t="shared" si="586"/>
        <v>0</v>
      </c>
      <c r="AU272" s="124">
        <v>0.13</v>
      </c>
      <c r="AV272" s="394" t="s">
        <v>2783</v>
      </c>
      <c r="AW272" s="15">
        <v>44736</v>
      </c>
      <c r="AX272" s="12" t="s">
        <v>206</v>
      </c>
      <c r="BC272" s="1" t="s">
        <v>2837</v>
      </c>
      <c r="BD272" s="1" t="str">
        <f t="shared" si="643"/>
        <v>Kutató_BM_5 - Kutató</v>
      </c>
    </row>
    <row r="273" spans="1:56" s="1" customFormat="1" hidden="1" x14ac:dyDescent="0.25">
      <c r="A273" s="264" t="str">
        <f>Bérköltség!$B273</f>
        <v>FEOR</v>
      </c>
      <c r="B273" s="264" t="str">
        <f>IFERROR(
IF(AND(Bérköltség!$F273="",H273="NA"),"HIÁNYOS ADATOK",
IF(Bérköltség!$F273&lt;Bérköltség!$U273,Admin!$B$18,Admin!$B$17)),
"")</f>
        <v>FEOR</v>
      </c>
      <c r="C273" s="265">
        <f>IFERROR(INDEX('Historikus berek_2021-2'!$A$1:$F$903,MATCH(AB273,'Historikus berek_2021-2'!$A$1:$A$903,0),4),"")</f>
        <v>340933.33333333331</v>
      </c>
      <c r="D273" s="279">
        <f t="shared" si="531"/>
        <v>340933.33333333331</v>
      </c>
      <c r="E273" s="265">
        <f t="shared" si="532"/>
        <v>500000</v>
      </c>
      <c r="F273" s="266">
        <f t="shared" si="533"/>
        <v>179745.33333333337</v>
      </c>
      <c r="G273" s="267">
        <f t="shared" si="534"/>
        <v>385254.66666666663</v>
      </c>
      <c r="H273" s="268">
        <f>IFERROR(INDEX('FEOR kodok'!$A$2:$J$1126,MATCH(Bérköltség!AB273,'FEOR kodok'!$B$2:$B$1126,0),8),"NA")</f>
        <v>2139</v>
      </c>
      <c r="I273" s="269">
        <f>IFERROR(INDEX('FEOR kodok'!$A$2:$J$1126,MATCH(Bérköltség!AB273,'FEOR kodok'!$B$2:$B$1126,0),10),"NA")</f>
        <v>35</v>
      </c>
      <c r="J273" s="276" t="str">
        <f t="shared" si="535"/>
        <v>30–39 éves</v>
      </c>
      <c r="K273" s="269" t="str">
        <f>IFERROR(INDEX(admin_feor[#All],MATCH(Bérköltség!H273,admin_feor[[#All],[Foglalkozás]],0),2),"NA")</f>
        <v>Egyéb, máshova nem sorolható mérnök</v>
      </c>
      <c r="L273" s="270">
        <f>IFERROR(
INDEX('Admin - FEOR'!$A$4:$F$465,MATCH(Bérköltség!H273,'Admin - FEOR'!$A$4:$A$465,0),
IF(J273="30 év alatt",3,
IF(J273="30–39 éves",4,
IF(J273="40–49 éves",5,
IF(J273="50 év és afelett",6
)))))*1,"NA")</f>
        <v>845378</v>
      </c>
      <c r="M273" s="270">
        <f t="shared" si="536"/>
        <v>500000</v>
      </c>
      <c r="N273" s="318">
        <f t="shared" si="537"/>
        <v>0.59145139807281477</v>
      </c>
      <c r="O273" s="270">
        <f>IFERROR(
INDEX('Admin - FEOR'!$A$4:$F$465,MATCH(Bérköltség!H273,'Admin - FEOR'!$A$4:$A$465,0),
IF(J273="30 év alatt",3,
IF(J273="30–39 éves",4,
IF(J273="40–49 éves",5,
IF(J273="50 év és afelett",6
)))))*1.5,"NA")</f>
        <v>1268067</v>
      </c>
      <c r="P273" s="270">
        <f t="shared" si="538"/>
        <v>1268067</v>
      </c>
      <c r="Q273" s="270">
        <f t="shared" si="539"/>
        <v>500000</v>
      </c>
      <c r="R273" s="275">
        <f t="shared" si="540"/>
        <v>1</v>
      </c>
      <c r="S273" s="270">
        <f t="shared" si="541"/>
        <v>0</v>
      </c>
      <c r="T273" s="270">
        <f t="shared" si="542"/>
        <v>0</v>
      </c>
      <c r="U273" s="271">
        <f t="shared" si="543"/>
        <v>0</v>
      </c>
      <c r="V273" s="272">
        <f t="shared" si="544"/>
        <v>565000</v>
      </c>
      <c r="W273" s="273" t="str">
        <f t="shared" si="545"/>
        <v>Nem szükséges indoklás.</v>
      </c>
      <c r="X273" s="372">
        <f t="shared" si="546"/>
        <v>0</v>
      </c>
      <c r="Y273" s="317">
        <f t="shared" si="547"/>
        <v>500000</v>
      </c>
      <c r="Z273" s="317">
        <f t="shared" si="548"/>
        <v>65000</v>
      </c>
      <c r="AA273" s="12">
        <v>2</v>
      </c>
      <c r="AB273" s="274">
        <v>8442990062</v>
      </c>
      <c r="AC273" s="40" t="s">
        <v>197</v>
      </c>
      <c r="AD273" s="82" t="s">
        <v>75</v>
      </c>
      <c r="AE273" s="41" t="s">
        <v>52</v>
      </c>
      <c r="AF273" s="11" t="s">
        <v>151</v>
      </c>
      <c r="AG273" s="11" t="s">
        <v>170</v>
      </c>
      <c r="AH273" s="14" t="s">
        <v>122</v>
      </c>
      <c r="AI273" s="86" t="s">
        <v>24</v>
      </c>
      <c r="AJ273" s="113" t="str">
        <f>IF(COUNTIFS(Admin!$A$29:$A$40,AI273)&gt;0,Admin!$A$28,IF(COUNTIFS(Admin!$B$29:$B$40,AI273)&gt;0,Admin!$B$28,IF(COUNTIFS(Admin!$C$29:$C$40,AI273)&gt;0,Admin!$C$28,IF(COUNTIFS(Admin!$D$29:$D$40,AI273)&gt;0,Admin!$D$28,"-"))))</f>
        <v>2. mérföldkő</v>
      </c>
      <c r="AK273" s="14" t="s">
        <v>7</v>
      </c>
      <c r="AL273" s="9" t="s">
        <v>56</v>
      </c>
      <c r="AM273" s="131">
        <v>500000</v>
      </c>
      <c r="AN273" s="132">
        <f t="shared" si="584"/>
        <v>65000</v>
      </c>
      <c r="AO273" s="121">
        <v>174</v>
      </c>
      <c r="AP273" s="121">
        <v>174</v>
      </c>
      <c r="AQ273" s="354">
        <f t="shared" si="585"/>
        <v>1</v>
      </c>
      <c r="AR273" s="133">
        <f t="shared" si="214"/>
        <v>500000</v>
      </c>
      <c r="AS273" s="133">
        <f t="shared" si="500"/>
        <v>65000</v>
      </c>
      <c r="AT273" s="123">
        <f t="shared" si="586"/>
        <v>0</v>
      </c>
      <c r="AU273" s="124">
        <v>0.13</v>
      </c>
      <c r="AV273" s="394" t="s">
        <v>2783</v>
      </c>
      <c r="AW273" s="15">
        <v>44736</v>
      </c>
      <c r="AX273" s="12" t="s">
        <v>206</v>
      </c>
      <c r="BC273" s="1" t="s">
        <v>2837</v>
      </c>
      <c r="BD273" s="1" t="str">
        <f t="shared" si="643"/>
        <v>Kutató_BM_5 - Kutató</v>
      </c>
    </row>
    <row r="274" spans="1:56" s="1" customFormat="1" hidden="1" x14ac:dyDescent="0.25">
      <c r="A274" s="264" t="str">
        <f>Bérköltség!$B274</f>
        <v>FEOR</v>
      </c>
      <c r="B274" s="264" t="str">
        <f>IFERROR(
IF(AND(Bérköltség!$F274="",H274="NA"),"HIÁNYOS ADATOK",
IF(Bérköltség!$F274&lt;Bérköltség!$U274,Admin!$B$18,Admin!$B$17)),
"")</f>
        <v>FEOR</v>
      </c>
      <c r="C274" s="265">
        <f>IFERROR(INDEX('Historikus berek_2021-2'!$A$1:$F$903,MATCH(AB274,'Historikus berek_2021-2'!$A$1:$A$903,0),4),"")</f>
        <v>340933.33333333331</v>
      </c>
      <c r="D274" s="279">
        <f t="shared" si="531"/>
        <v>340933.33333333331</v>
      </c>
      <c r="E274" s="265">
        <f t="shared" si="532"/>
        <v>500000</v>
      </c>
      <c r="F274" s="266">
        <f t="shared" si="533"/>
        <v>179745.33333333337</v>
      </c>
      <c r="G274" s="267">
        <f t="shared" si="534"/>
        <v>385254.66666666663</v>
      </c>
      <c r="H274" s="268">
        <f>IFERROR(INDEX('FEOR kodok'!$A$2:$J$1126,MATCH(Bérköltség!AB274,'FEOR kodok'!$B$2:$B$1126,0),8),"NA")</f>
        <v>2139</v>
      </c>
      <c r="I274" s="269">
        <f>IFERROR(INDEX('FEOR kodok'!$A$2:$J$1126,MATCH(Bérköltség!AB274,'FEOR kodok'!$B$2:$B$1126,0),10),"NA")</f>
        <v>35</v>
      </c>
      <c r="J274" s="276" t="str">
        <f t="shared" si="535"/>
        <v>30–39 éves</v>
      </c>
      <c r="K274" s="269" t="str">
        <f>IFERROR(INDEX(admin_feor[#All],MATCH(Bérköltség!H274,admin_feor[[#All],[Foglalkozás]],0),2),"NA")</f>
        <v>Egyéb, máshova nem sorolható mérnök</v>
      </c>
      <c r="L274" s="270">
        <f>IFERROR(
INDEX('Admin - FEOR'!$A$4:$F$465,MATCH(Bérköltség!H274,'Admin - FEOR'!$A$4:$A$465,0),
IF(J274="30 év alatt",3,
IF(J274="30–39 éves",4,
IF(J274="40–49 éves",5,
IF(J274="50 év és afelett",6
)))))*1,"NA")</f>
        <v>845378</v>
      </c>
      <c r="M274" s="270">
        <f t="shared" si="536"/>
        <v>500000</v>
      </c>
      <c r="N274" s="318">
        <f t="shared" si="537"/>
        <v>0.59145139807281477</v>
      </c>
      <c r="O274" s="270">
        <f>IFERROR(
INDEX('Admin - FEOR'!$A$4:$F$465,MATCH(Bérköltség!H274,'Admin - FEOR'!$A$4:$A$465,0),
IF(J274="30 év alatt",3,
IF(J274="30–39 éves",4,
IF(J274="40–49 éves",5,
IF(J274="50 év és afelett",6
)))))*1.5,"NA")</f>
        <v>1268067</v>
      </c>
      <c r="P274" s="270">
        <f t="shared" si="538"/>
        <v>1268067</v>
      </c>
      <c r="Q274" s="270">
        <f t="shared" si="539"/>
        <v>500000</v>
      </c>
      <c r="R274" s="275">
        <f t="shared" si="540"/>
        <v>1</v>
      </c>
      <c r="S274" s="270">
        <f t="shared" si="541"/>
        <v>0</v>
      </c>
      <c r="T274" s="270">
        <f t="shared" si="542"/>
        <v>0</v>
      </c>
      <c r="U274" s="271">
        <f t="shared" si="543"/>
        <v>0</v>
      </c>
      <c r="V274" s="272">
        <f t="shared" si="544"/>
        <v>565000</v>
      </c>
      <c r="W274" s="273" t="str">
        <f t="shared" si="545"/>
        <v>Nem szükséges indoklás.</v>
      </c>
      <c r="X274" s="372">
        <f t="shared" si="546"/>
        <v>0</v>
      </c>
      <c r="Y274" s="317">
        <f t="shared" si="547"/>
        <v>500000</v>
      </c>
      <c r="Z274" s="317">
        <f t="shared" si="548"/>
        <v>65000</v>
      </c>
      <c r="AA274" s="12">
        <v>2</v>
      </c>
      <c r="AB274" s="274">
        <v>8442990062</v>
      </c>
      <c r="AC274" s="40" t="s">
        <v>197</v>
      </c>
      <c r="AD274" s="82" t="s">
        <v>75</v>
      </c>
      <c r="AE274" s="41" t="s">
        <v>52</v>
      </c>
      <c r="AF274" s="11" t="s">
        <v>151</v>
      </c>
      <c r="AG274" s="11" t="s">
        <v>170</v>
      </c>
      <c r="AH274" s="14" t="s">
        <v>122</v>
      </c>
      <c r="AI274" s="86" t="s">
        <v>25</v>
      </c>
      <c r="AJ274" s="113" t="str">
        <f>IF(COUNTIFS(Admin!$A$29:$A$40,AI274)&gt;0,Admin!$A$28,IF(COUNTIFS(Admin!$B$29:$B$40,AI274)&gt;0,Admin!$B$28,IF(COUNTIFS(Admin!$C$29:$C$40,AI274)&gt;0,Admin!$C$28,IF(COUNTIFS(Admin!$D$29:$D$40,AI274)&gt;0,Admin!$D$28,"-"))))</f>
        <v>2. mérföldkő</v>
      </c>
      <c r="AK274" s="14" t="s">
        <v>7</v>
      </c>
      <c r="AL274" s="9" t="s">
        <v>56</v>
      </c>
      <c r="AM274" s="131">
        <v>500000</v>
      </c>
      <c r="AN274" s="132">
        <f t="shared" si="584"/>
        <v>65000</v>
      </c>
      <c r="AO274" s="121">
        <v>174</v>
      </c>
      <c r="AP274" s="121">
        <v>174</v>
      </c>
      <c r="AQ274" s="354">
        <f t="shared" si="585"/>
        <v>1</v>
      </c>
      <c r="AR274" s="133">
        <f t="shared" si="214"/>
        <v>500000</v>
      </c>
      <c r="AS274" s="133">
        <f t="shared" si="500"/>
        <v>65000</v>
      </c>
      <c r="AT274" s="123">
        <f t="shared" si="586"/>
        <v>0</v>
      </c>
      <c r="AU274" s="124">
        <v>0.13</v>
      </c>
      <c r="AV274" s="394" t="s">
        <v>2783</v>
      </c>
      <c r="AW274" s="15">
        <v>44736</v>
      </c>
      <c r="AX274" s="12" t="s">
        <v>206</v>
      </c>
      <c r="AZ274" s="1" t="s">
        <v>2667</v>
      </c>
      <c r="BA274" s="1" t="s">
        <v>2668</v>
      </c>
      <c r="BB274" s="1" t="s">
        <v>2667</v>
      </c>
      <c r="BC274" s="1" t="s">
        <v>2837</v>
      </c>
      <c r="BD274" s="1" t="str">
        <f t="shared" si="643"/>
        <v>Kutató_BM_5 - Kutató</v>
      </c>
    </row>
    <row r="275" spans="1:56" s="1" customFormat="1" hidden="1" x14ac:dyDescent="0.25">
      <c r="A275" s="264" t="str">
        <f>Bérköltség!$B275</f>
        <v>FEOR</v>
      </c>
      <c r="B275" s="264" t="str">
        <f>IFERROR(
IF(AND(Bérköltség!$F275="",H275="NA"),"HIÁNYOS ADATOK",
IF(Bérköltség!$F275&lt;Bérköltség!$U275,Admin!$B$18,Admin!$B$17)),
"")</f>
        <v>FEOR</v>
      </c>
      <c r="C275" s="265">
        <f>IFERROR(INDEX('Historikus berek_2021-2'!$A$1:$F$903,MATCH(AB275,'Historikus berek_2021-2'!$A$1:$A$903,0),4),"")</f>
        <v>340933.33333333331</v>
      </c>
      <c r="D275" s="279">
        <f t="shared" si="531"/>
        <v>340933.33333333331</v>
      </c>
      <c r="E275" s="265">
        <f t="shared" si="532"/>
        <v>500000</v>
      </c>
      <c r="F275" s="266">
        <f t="shared" si="533"/>
        <v>179745.33333333337</v>
      </c>
      <c r="G275" s="267">
        <f t="shared" si="534"/>
        <v>385254.66666666663</v>
      </c>
      <c r="H275" s="268">
        <f>IFERROR(INDEX('FEOR kodok'!$A$2:$J$1126,MATCH(Bérköltség!AB275,'FEOR kodok'!$B$2:$B$1126,0),8),"NA")</f>
        <v>2139</v>
      </c>
      <c r="I275" s="269">
        <f>IFERROR(INDEX('FEOR kodok'!$A$2:$J$1126,MATCH(Bérköltség!AB275,'FEOR kodok'!$B$2:$B$1126,0),10),"NA")</f>
        <v>35</v>
      </c>
      <c r="J275" s="276" t="str">
        <f t="shared" si="535"/>
        <v>30–39 éves</v>
      </c>
      <c r="K275" s="269" t="str">
        <f>IFERROR(INDEX(admin_feor[#All],MATCH(Bérköltség!H275,admin_feor[[#All],[Foglalkozás]],0),2),"NA")</f>
        <v>Egyéb, máshova nem sorolható mérnök</v>
      </c>
      <c r="L275" s="270">
        <f>IFERROR(
INDEX('Admin - FEOR'!$A$4:$F$465,MATCH(Bérköltség!H275,'Admin - FEOR'!$A$4:$A$465,0),
IF(J275="30 év alatt",3,
IF(J275="30–39 éves",4,
IF(J275="40–49 éves",5,
IF(J275="50 év és afelett",6
)))))*1,"NA")</f>
        <v>845378</v>
      </c>
      <c r="M275" s="270">
        <f t="shared" si="536"/>
        <v>500000</v>
      </c>
      <c r="N275" s="318">
        <f t="shared" si="537"/>
        <v>0.59145139807281477</v>
      </c>
      <c r="O275" s="270">
        <f>IFERROR(
INDEX('Admin - FEOR'!$A$4:$F$465,MATCH(Bérköltség!H275,'Admin - FEOR'!$A$4:$A$465,0),
IF(J275="30 év alatt",3,
IF(J275="30–39 éves",4,
IF(J275="40–49 éves",5,
IF(J275="50 év és afelett",6
)))))*1.5,"NA")</f>
        <v>1268067</v>
      </c>
      <c r="P275" s="270">
        <f t="shared" si="538"/>
        <v>1268067</v>
      </c>
      <c r="Q275" s="270">
        <f t="shared" si="539"/>
        <v>500000</v>
      </c>
      <c r="R275" s="275">
        <f t="shared" si="540"/>
        <v>1</v>
      </c>
      <c r="S275" s="270">
        <f t="shared" si="541"/>
        <v>0</v>
      </c>
      <c r="T275" s="270">
        <f t="shared" si="542"/>
        <v>0</v>
      </c>
      <c r="U275" s="271">
        <f t="shared" si="543"/>
        <v>0</v>
      </c>
      <c r="V275" s="272">
        <f t="shared" si="544"/>
        <v>565000</v>
      </c>
      <c r="W275" s="273" t="str">
        <f t="shared" si="545"/>
        <v>Nem szükséges indoklás.</v>
      </c>
      <c r="X275" s="372">
        <f t="shared" si="546"/>
        <v>0</v>
      </c>
      <c r="Y275" s="317">
        <f t="shared" si="547"/>
        <v>500000</v>
      </c>
      <c r="Z275" s="317">
        <f t="shared" si="548"/>
        <v>65000</v>
      </c>
      <c r="AA275" s="12">
        <v>2</v>
      </c>
      <c r="AB275" s="274">
        <v>8442990062</v>
      </c>
      <c r="AC275" s="40" t="s">
        <v>197</v>
      </c>
      <c r="AD275" s="82" t="s">
        <v>75</v>
      </c>
      <c r="AE275" s="41" t="s">
        <v>52</v>
      </c>
      <c r="AF275" s="11" t="s">
        <v>151</v>
      </c>
      <c r="AG275" s="11" t="s">
        <v>170</v>
      </c>
      <c r="AH275" s="14" t="s">
        <v>122</v>
      </c>
      <c r="AI275" s="86" t="s">
        <v>26</v>
      </c>
      <c r="AJ275" s="113" t="str">
        <f>IF(COUNTIFS(Admin!$A$29:$A$40,AI275)&gt;0,Admin!$A$28,IF(COUNTIFS(Admin!$B$29:$B$40,AI275)&gt;0,Admin!$B$28,IF(COUNTIFS(Admin!$C$29:$C$40,AI275)&gt;0,Admin!$C$28,IF(COUNTIFS(Admin!$D$29:$D$40,AI275)&gt;0,Admin!$D$28,"-"))))</f>
        <v>2. mérföldkő</v>
      </c>
      <c r="AK275" s="14" t="s">
        <v>7</v>
      </c>
      <c r="AL275" s="9" t="s">
        <v>56</v>
      </c>
      <c r="AM275" s="131">
        <v>500000</v>
      </c>
      <c r="AN275" s="132">
        <f t="shared" si="584"/>
        <v>65000</v>
      </c>
      <c r="AO275" s="121">
        <v>174</v>
      </c>
      <c r="AP275" s="121">
        <v>174</v>
      </c>
      <c r="AQ275" s="354">
        <f t="shared" si="585"/>
        <v>1</v>
      </c>
      <c r="AR275" s="133">
        <f t="shared" si="214"/>
        <v>500000</v>
      </c>
      <c r="AS275" s="133">
        <f t="shared" si="500"/>
        <v>65000</v>
      </c>
      <c r="AT275" s="123">
        <f t="shared" si="586"/>
        <v>0</v>
      </c>
      <c r="AU275" s="124">
        <v>0.13</v>
      </c>
      <c r="AV275" s="394" t="s">
        <v>2783</v>
      </c>
      <c r="AW275" s="15">
        <v>44736</v>
      </c>
      <c r="AX275" s="12" t="s">
        <v>206</v>
      </c>
      <c r="AZ275" s="1" t="s">
        <v>2667</v>
      </c>
      <c r="BA275" s="1" t="s">
        <v>2668</v>
      </c>
      <c r="BB275" s="1" t="s">
        <v>2667</v>
      </c>
      <c r="BC275" s="1" t="s">
        <v>2837</v>
      </c>
      <c r="BD275" s="1" t="str">
        <f t="shared" si="643"/>
        <v>Kutató_BM_5 - Kutató</v>
      </c>
    </row>
    <row r="276" spans="1:56" s="1" customFormat="1" hidden="1" x14ac:dyDescent="0.25">
      <c r="A276" s="264" t="str">
        <f>Bérköltség!$B276</f>
        <v>FEOR</v>
      </c>
      <c r="B276" s="264" t="str">
        <f>IFERROR(
IF(AND(Bérköltség!$F276="",H276="NA"),"HIÁNYOS ADATOK",
IF(Bérköltség!$F276&lt;Bérköltség!$U276,Admin!$B$18,Admin!$B$17)),
"")</f>
        <v>FEOR</v>
      </c>
      <c r="C276" s="265">
        <f>IFERROR(INDEX('Historikus berek_2021-2'!$A$1:$F$903,MATCH(AB276,'Historikus berek_2021-2'!$A$1:$A$903,0),4),"")</f>
        <v>340933.33333333331</v>
      </c>
      <c r="D276" s="279">
        <f t="shared" si="531"/>
        <v>340933.33333333331</v>
      </c>
      <c r="E276" s="265">
        <f t="shared" si="532"/>
        <v>499999</v>
      </c>
      <c r="F276" s="266">
        <f t="shared" si="533"/>
        <v>179744.20333333337</v>
      </c>
      <c r="G276" s="267">
        <f t="shared" si="534"/>
        <v>385254.66666666663</v>
      </c>
      <c r="H276" s="268">
        <f>IFERROR(INDEX('FEOR kodok'!$A$2:$J$1126,MATCH(Bérköltség!AB276,'FEOR kodok'!$B$2:$B$1126,0),8),"NA")</f>
        <v>2139</v>
      </c>
      <c r="I276" s="269">
        <f>IFERROR(INDEX('FEOR kodok'!$A$2:$J$1126,MATCH(Bérköltség!AB276,'FEOR kodok'!$B$2:$B$1126,0),10),"NA")</f>
        <v>35</v>
      </c>
      <c r="J276" s="276" t="str">
        <f t="shared" si="535"/>
        <v>30–39 éves</v>
      </c>
      <c r="K276" s="269" t="str">
        <f>IFERROR(INDEX(admin_feor[#All],MATCH(Bérköltség!H276,admin_feor[[#All],[Foglalkozás]],0),2),"NA")</f>
        <v>Egyéb, máshova nem sorolható mérnök</v>
      </c>
      <c r="L276" s="270">
        <f>IFERROR(
INDEX('Admin - FEOR'!$A$4:$F$465,MATCH(Bérköltség!H276,'Admin - FEOR'!$A$4:$A$465,0),
IF(J276="30 év alatt",3,
IF(J276="30–39 éves",4,
IF(J276="40–49 éves",5,
IF(J276="50 év és afelett",6
)))))*1,"NA")</f>
        <v>845378</v>
      </c>
      <c r="M276" s="270">
        <f t="shared" si="536"/>
        <v>499999</v>
      </c>
      <c r="N276" s="318">
        <f t="shared" si="537"/>
        <v>0.59145021517001861</v>
      </c>
      <c r="O276" s="270">
        <f>IFERROR(
INDEX('Admin - FEOR'!$A$4:$F$465,MATCH(Bérköltség!H276,'Admin - FEOR'!$A$4:$A$465,0),
IF(J276="30 év alatt",3,
IF(J276="30–39 éves",4,
IF(J276="40–49 éves",5,
IF(J276="50 év és afelett",6
)))))*1.5,"NA")</f>
        <v>1268067</v>
      </c>
      <c r="P276" s="270">
        <f t="shared" si="538"/>
        <v>1268067</v>
      </c>
      <c r="Q276" s="270">
        <f t="shared" si="539"/>
        <v>499999</v>
      </c>
      <c r="R276" s="275">
        <f t="shared" si="540"/>
        <v>1</v>
      </c>
      <c r="S276" s="270">
        <f t="shared" si="541"/>
        <v>0</v>
      </c>
      <c r="T276" s="270">
        <f t="shared" si="542"/>
        <v>0</v>
      </c>
      <c r="U276" s="271">
        <f t="shared" si="543"/>
        <v>0</v>
      </c>
      <c r="V276" s="272">
        <f t="shared" si="544"/>
        <v>564999</v>
      </c>
      <c r="W276" s="273" t="str">
        <f t="shared" si="545"/>
        <v>Nem szükséges indoklás.</v>
      </c>
      <c r="X276" s="372">
        <f t="shared" si="546"/>
        <v>0</v>
      </c>
      <c r="Y276" s="317">
        <f t="shared" si="547"/>
        <v>499999</v>
      </c>
      <c r="Z276" s="317">
        <f t="shared" si="548"/>
        <v>65000</v>
      </c>
      <c r="AA276" s="12">
        <v>2</v>
      </c>
      <c r="AB276" s="274">
        <v>8442990062</v>
      </c>
      <c r="AC276" s="40" t="s">
        <v>197</v>
      </c>
      <c r="AD276" s="82" t="s">
        <v>75</v>
      </c>
      <c r="AE276" s="41" t="s">
        <v>52</v>
      </c>
      <c r="AF276" s="11" t="s">
        <v>151</v>
      </c>
      <c r="AG276" s="11" t="s">
        <v>170</v>
      </c>
      <c r="AH276" s="14" t="s">
        <v>122</v>
      </c>
      <c r="AI276" s="86" t="s">
        <v>32</v>
      </c>
      <c r="AJ276" s="113" t="str">
        <f>IF(COUNTIFS(Admin!$A$29:$A$40,AI276)&gt;0,Admin!$A$28,IF(COUNTIFS(Admin!$B$29:$B$40,AI276)&gt;0,Admin!$B$28,IF(COUNTIFS(Admin!$C$29:$C$40,AI276)&gt;0,Admin!$C$28,IF(COUNTIFS(Admin!$D$29:$D$40,AI276)&gt;0,Admin!$D$28,"-"))))</f>
        <v>2. mérföldkő</v>
      </c>
      <c r="AK276" s="14" t="s">
        <v>7</v>
      </c>
      <c r="AL276" s="9" t="s">
        <v>56</v>
      </c>
      <c r="AM276" s="131">
        <v>499999</v>
      </c>
      <c r="AN276" s="132">
        <f t="shared" si="584"/>
        <v>65000</v>
      </c>
      <c r="AO276" s="121">
        <v>174</v>
      </c>
      <c r="AP276" s="121">
        <v>174</v>
      </c>
      <c r="AQ276" s="354">
        <f t="shared" si="585"/>
        <v>1</v>
      </c>
      <c r="AR276" s="133">
        <f t="shared" si="214"/>
        <v>499999</v>
      </c>
      <c r="AS276" s="133">
        <f t="shared" si="500"/>
        <v>65000</v>
      </c>
      <c r="AT276" s="123">
        <f t="shared" si="586"/>
        <v>0</v>
      </c>
      <c r="AU276" s="124">
        <v>0.13</v>
      </c>
      <c r="AV276" s="394" t="s">
        <v>2783</v>
      </c>
      <c r="AW276" s="15">
        <v>44938</v>
      </c>
      <c r="AX276" s="12" t="s">
        <v>206</v>
      </c>
      <c r="AZ276" s="1" t="s">
        <v>2667</v>
      </c>
      <c r="BA276" s="1">
        <v>0</v>
      </c>
      <c r="BB276" s="1">
        <v>0</v>
      </c>
      <c r="BC276" s="1" t="s">
        <v>2837</v>
      </c>
      <c r="BD276" s="1" t="str">
        <f t="shared" si="643"/>
        <v>Kutató_BM_5 - Kutató</v>
      </c>
    </row>
    <row r="277" spans="1:56" s="1" customFormat="1" hidden="1" x14ac:dyDescent="0.25">
      <c r="A277" s="264" t="str">
        <f>Bérköltség!$B277</f>
        <v>FEOR</v>
      </c>
      <c r="B277" s="264" t="str">
        <f>IFERROR(
IF(AND(Bérköltség!$F277="",H277="NA"),"HIÁNYOS ADATOK",
IF(Bérköltség!$F277&lt;Bérköltség!$U277,Admin!$B$18,Admin!$B$17)),
"")</f>
        <v>FEOR</v>
      </c>
      <c r="C277" s="265">
        <f>IFERROR(INDEX('Historikus berek_2021-2'!$A$1:$F$903,MATCH(AB277,'Historikus berek_2021-2'!$A$1:$A$903,0),4),"")</f>
        <v>340933.33333333331</v>
      </c>
      <c r="D277" s="279">
        <f t="shared" si="531"/>
        <v>340933.33333333331</v>
      </c>
      <c r="E277" s="265">
        <f t="shared" si="532"/>
        <v>500000</v>
      </c>
      <c r="F277" s="266">
        <f t="shared" si="533"/>
        <v>179745.33333333337</v>
      </c>
      <c r="G277" s="267">
        <f t="shared" si="534"/>
        <v>385254.66666666663</v>
      </c>
      <c r="H277" s="268">
        <f>IFERROR(INDEX('FEOR kodok'!$A$2:$J$1126,MATCH(Bérköltség!AB277,'FEOR kodok'!$B$2:$B$1126,0),8),"NA")</f>
        <v>2139</v>
      </c>
      <c r="I277" s="269">
        <f>IFERROR(INDEX('FEOR kodok'!$A$2:$J$1126,MATCH(Bérköltség!AB277,'FEOR kodok'!$B$2:$B$1126,0),10),"NA")</f>
        <v>35</v>
      </c>
      <c r="J277" s="276" t="str">
        <f t="shared" si="535"/>
        <v>30–39 éves</v>
      </c>
      <c r="K277" s="269" t="str">
        <f>IFERROR(INDEX(admin_feor[#All],MATCH(Bérköltség!H277,admin_feor[[#All],[Foglalkozás]],0),2),"NA")</f>
        <v>Egyéb, máshova nem sorolható mérnök</v>
      </c>
      <c r="L277" s="270">
        <f>IFERROR(
INDEX('Admin - FEOR'!$A$4:$F$465,MATCH(Bérköltség!H277,'Admin - FEOR'!$A$4:$A$465,0),
IF(J277="30 év alatt",3,
IF(J277="30–39 éves",4,
IF(J277="40–49 éves",5,
IF(J277="50 év és afelett",6
)))))*1,"NA")</f>
        <v>845378</v>
      </c>
      <c r="M277" s="270">
        <f t="shared" si="536"/>
        <v>500000</v>
      </c>
      <c r="N277" s="318">
        <f t="shared" si="537"/>
        <v>0.59145139807281477</v>
      </c>
      <c r="O277" s="270">
        <f>IFERROR(
INDEX('Admin - FEOR'!$A$4:$F$465,MATCH(Bérköltség!H277,'Admin - FEOR'!$A$4:$A$465,0),
IF(J277="30 év alatt",3,
IF(J277="30–39 éves",4,
IF(J277="40–49 éves",5,
IF(J277="50 év és afelett",6
)))))*1.5,"NA")</f>
        <v>1268067</v>
      </c>
      <c r="P277" s="270">
        <f t="shared" si="538"/>
        <v>1268067</v>
      </c>
      <c r="Q277" s="270">
        <f t="shared" si="539"/>
        <v>500000</v>
      </c>
      <c r="R277" s="275">
        <f t="shared" si="540"/>
        <v>1</v>
      </c>
      <c r="S277" s="270">
        <f t="shared" si="541"/>
        <v>0</v>
      </c>
      <c r="T277" s="270">
        <f t="shared" si="542"/>
        <v>0</v>
      </c>
      <c r="U277" s="271">
        <f t="shared" si="543"/>
        <v>0</v>
      </c>
      <c r="V277" s="272">
        <f t="shared" si="544"/>
        <v>565000</v>
      </c>
      <c r="W277" s="273" t="str">
        <f t="shared" si="545"/>
        <v>Nem szükséges indoklás.</v>
      </c>
      <c r="X277" s="372">
        <f t="shared" si="546"/>
        <v>0</v>
      </c>
      <c r="Y277" s="317">
        <f t="shared" si="547"/>
        <v>500000</v>
      </c>
      <c r="Z277" s="317">
        <f t="shared" si="548"/>
        <v>65000</v>
      </c>
      <c r="AA277" s="12">
        <v>2</v>
      </c>
      <c r="AB277" s="274">
        <v>8442990062</v>
      </c>
      <c r="AC277" s="40" t="s">
        <v>197</v>
      </c>
      <c r="AD277" s="82" t="s">
        <v>75</v>
      </c>
      <c r="AE277" s="41" t="s">
        <v>52</v>
      </c>
      <c r="AF277" s="11" t="s">
        <v>151</v>
      </c>
      <c r="AG277" s="11" t="s">
        <v>170</v>
      </c>
      <c r="AH277" s="14" t="s">
        <v>122</v>
      </c>
      <c r="AI277" s="86" t="s">
        <v>33</v>
      </c>
      <c r="AJ277" s="113" t="str">
        <f>IF(COUNTIFS(Admin!$A$29:$A$40,AI277)&gt;0,Admin!$A$28,IF(COUNTIFS(Admin!$B$29:$B$40,AI277)&gt;0,Admin!$B$28,IF(COUNTIFS(Admin!$C$29:$C$40,AI277)&gt;0,Admin!$C$28,IF(COUNTIFS(Admin!$D$29:$D$40,AI277)&gt;0,Admin!$D$28,"-"))))</f>
        <v>2. mérföldkő</v>
      </c>
      <c r="AK277" s="14" t="s">
        <v>7</v>
      </c>
      <c r="AL277" s="9" t="s">
        <v>56</v>
      </c>
      <c r="AM277" s="131">
        <v>500000</v>
      </c>
      <c r="AN277" s="132">
        <f t="shared" si="584"/>
        <v>65000</v>
      </c>
      <c r="AO277" s="121">
        <v>174</v>
      </c>
      <c r="AP277" s="121">
        <v>174</v>
      </c>
      <c r="AQ277" s="354">
        <f t="shared" si="585"/>
        <v>1</v>
      </c>
      <c r="AR277" s="133">
        <f t="shared" si="214"/>
        <v>500000</v>
      </c>
      <c r="AS277" s="133">
        <f t="shared" si="500"/>
        <v>65000</v>
      </c>
      <c r="AT277" s="123">
        <f t="shared" si="586"/>
        <v>0</v>
      </c>
      <c r="AU277" s="124">
        <v>0.13</v>
      </c>
      <c r="AV277" s="394" t="s">
        <v>2783</v>
      </c>
      <c r="AW277" s="15">
        <v>44936</v>
      </c>
      <c r="AX277" s="12" t="s">
        <v>206</v>
      </c>
      <c r="AZ277" s="8" t="str">
        <f>IF(VLOOKUP(LEFT($AB277,10),'Havi béradatok'!$B:$E,2,FALSE)=AG277,"EGYEZIK","HIBÁS")</f>
        <v>EGYEZIK</v>
      </c>
      <c r="BA277" s="1">
        <f>VLOOKUP(LEFT($AB277,10),'Havi béradatok'!$B:$E,3,FALSE)-AM277</f>
        <v>0</v>
      </c>
      <c r="BB277" s="1">
        <f>VLOOKUP(LEFT($AB277,10),'Havi béradatok'!$B:$E,4,FALSE)-AN277</f>
        <v>0</v>
      </c>
      <c r="BC277" s="1" t="s">
        <v>2837</v>
      </c>
      <c r="BD277" s="1" t="str">
        <f t="shared" si="643"/>
        <v>Kutató_BM_5 - Kutató</v>
      </c>
    </row>
    <row r="278" spans="1:56" s="1" customFormat="1" hidden="1" x14ac:dyDescent="0.25">
      <c r="A278" s="264" t="str">
        <f>Bérköltség!$B278</f>
        <v>FEOR</v>
      </c>
      <c r="B278" s="264" t="str">
        <f>IFERROR(
IF(AND(Bérköltség!$F278="",H278="NA"),"HIÁNYOS ADATOK",
IF(Bérköltség!$F278&lt;Bérköltség!$U278,Admin!$B$18,Admin!$B$17)),
"")</f>
        <v>FEOR</v>
      </c>
      <c r="C278" s="265">
        <f>IFERROR(INDEX('Historikus berek_2021-2'!$A$1:$F$903,MATCH(AB278,'Historikus berek_2021-2'!$A$1:$A$903,0),4),"")</f>
        <v>340933.33333333331</v>
      </c>
      <c r="D278" s="279">
        <f t="shared" si="531"/>
        <v>340933.33333333331</v>
      </c>
      <c r="E278" s="265">
        <f t="shared" si="532"/>
        <v>500000</v>
      </c>
      <c r="F278" s="266">
        <f t="shared" si="533"/>
        <v>179745.33333333337</v>
      </c>
      <c r="G278" s="267">
        <f t="shared" si="534"/>
        <v>385254.66666666663</v>
      </c>
      <c r="H278" s="268">
        <f>IFERROR(INDEX('FEOR kodok'!$A$2:$J$1126,MATCH(Bérköltség!AB278,'FEOR kodok'!$B$2:$B$1126,0),8),"NA")</f>
        <v>2139</v>
      </c>
      <c r="I278" s="269">
        <f>IFERROR(INDEX('FEOR kodok'!$A$2:$J$1126,MATCH(Bérköltség!AB278,'FEOR kodok'!$B$2:$B$1126,0),10),"NA")</f>
        <v>35</v>
      </c>
      <c r="J278" s="276" t="str">
        <f t="shared" si="535"/>
        <v>30–39 éves</v>
      </c>
      <c r="K278" s="269" t="str">
        <f>IFERROR(INDEX(admin_feor[#All],MATCH(Bérköltség!H278,admin_feor[[#All],[Foglalkozás]],0),2),"NA")</f>
        <v>Egyéb, máshova nem sorolható mérnök</v>
      </c>
      <c r="L278" s="270">
        <f>IFERROR(
INDEX('Admin - FEOR'!$A$4:$F$465,MATCH(Bérköltség!H278,'Admin - FEOR'!$A$4:$A$465,0),
IF(J278="30 év alatt",3,
IF(J278="30–39 éves",4,
IF(J278="40–49 éves",5,
IF(J278="50 év és afelett",6
)))))*1,"NA")</f>
        <v>845378</v>
      </c>
      <c r="M278" s="270">
        <f t="shared" si="536"/>
        <v>500000</v>
      </c>
      <c r="N278" s="318">
        <f t="shared" si="537"/>
        <v>0.59145139807281477</v>
      </c>
      <c r="O278" s="270">
        <f>IFERROR(
INDEX('Admin - FEOR'!$A$4:$F$465,MATCH(Bérköltség!H278,'Admin - FEOR'!$A$4:$A$465,0),
IF(J278="30 év alatt",3,
IF(J278="30–39 éves",4,
IF(J278="40–49 éves",5,
IF(J278="50 év és afelett",6
)))))*1.5,"NA")</f>
        <v>1268067</v>
      </c>
      <c r="P278" s="270">
        <f t="shared" si="538"/>
        <v>1268067</v>
      </c>
      <c r="Q278" s="270">
        <f t="shared" si="539"/>
        <v>500000</v>
      </c>
      <c r="R278" s="275">
        <f t="shared" si="540"/>
        <v>1</v>
      </c>
      <c r="S278" s="270">
        <f t="shared" si="541"/>
        <v>0</v>
      </c>
      <c r="T278" s="270">
        <f t="shared" si="542"/>
        <v>0</v>
      </c>
      <c r="U278" s="271">
        <f t="shared" si="543"/>
        <v>0</v>
      </c>
      <c r="V278" s="272">
        <f t="shared" si="544"/>
        <v>565000</v>
      </c>
      <c r="W278" s="273" t="str">
        <f t="shared" si="545"/>
        <v>Nem szükséges indoklás.</v>
      </c>
      <c r="X278" s="372">
        <f t="shared" si="546"/>
        <v>0</v>
      </c>
      <c r="Y278" s="317">
        <f t="shared" si="547"/>
        <v>500000</v>
      </c>
      <c r="Z278" s="317">
        <f t="shared" si="548"/>
        <v>65000</v>
      </c>
      <c r="AA278" s="12">
        <v>2</v>
      </c>
      <c r="AB278" s="274">
        <v>8442990062</v>
      </c>
      <c r="AC278" s="40" t="s">
        <v>197</v>
      </c>
      <c r="AD278" s="82" t="s">
        <v>75</v>
      </c>
      <c r="AE278" s="41" t="s">
        <v>52</v>
      </c>
      <c r="AF278" s="11" t="s">
        <v>151</v>
      </c>
      <c r="AG278" s="11" t="s">
        <v>170</v>
      </c>
      <c r="AH278" s="14" t="s">
        <v>122</v>
      </c>
      <c r="AI278" s="86" t="s">
        <v>34</v>
      </c>
      <c r="AJ278" s="113" t="str">
        <f>IF(COUNTIFS(Admin!$A$29:$A$40,AI278)&gt;0,Admin!$A$28,IF(COUNTIFS(Admin!$B$29:$B$40,AI278)&gt;0,Admin!$B$28,IF(COUNTIFS(Admin!$C$29:$C$40,AI278)&gt;0,Admin!$C$28,IF(COUNTIFS(Admin!$D$29:$D$40,AI278)&gt;0,Admin!$D$28,"-"))))</f>
        <v>2. mérföldkő</v>
      </c>
      <c r="AK278" s="14" t="s">
        <v>7</v>
      </c>
      <c r="AL278" s="9" t="s">
        <v>56</v>
      </c>
      <c r="AM278" s="131">
        <v>500000</v>
      </c>
      <c r="AN278" s="132">
        <f t="shared" si="584"/>
        <v>65000</v>
      </c>
      <c r="AO278" s="121">
        <v>174</v>
      </c>
      <c r="AP278" s="121">
        <v>174</v>
      </c>
      <c r="AQ278" s="354">
        <f t="shared" si="585"/>
        <v>1</v>
      </c>
      <c r="AR278" s="133">
        <f t="shared" si="214"/>
        <v>500000</v>
      </c>
      <c r="AS278" s="133">
        <f t="shared" si="500"/>
        <v>65000</v>
      </c>
      <c r="AT278" s="123">
        <f t="shared" si="586"/>
        <v>0</v>
      </c>
      <c r="AU278" s="124">
        <v>0.13</v>
      </c>
      <c r="AV278" s="394" t="s">
        <v>2783</v>
      </c>
      <c r="AW278" s="15">
        <v>44936</v>
      </c>
      <c r="AX278" s="12" t="s">
        <v>206</v>
      </c>
      <c r="BC278" s="1" t="s">
        <v>2837</v>
      </c>
      <c r="BD278" s="1" t="str">
        <f t="shared" si="643"/>
        <v>Kutató_BM_5 - Kutató</v>
      </c>
    </row>
    <row r="279" spans="1:56" s="1" customFormat="1" x14ac:dyDescent="0.25">
      <c r="A279" s="264" t="str">
        <f>Bérköltség!$B279</f>
        <v>FEOR</v>
      </c>
      <c r="B279" s="264" t="str">
        <f>IFERROR(
IF(AND(Bérköltség!$F279="",H279="NA"),"HIÁNYOS ADATOK",
IF(Bérköltség!$F279&lt;Bérköltség!$U279,Admin!$B$18,Admin!$B$17)),
"")</f>
        <v>FEOR</v>
      </c>
      <c r="C279" s="265">
        <f>IFERROR(INDEX('Historikus berek_2021-2'!$A$1:$F$903,MATCH(AB279,'Historikus berek_2021-2'!$A$1:$A$903,0),4),"")</f>
        <v>340933.33333333331</v>
      </c>
      <c r="D279" s="279">
        <f t="shared" ref="D279:D284" si="644">IFERROR(C279*AQ279,"")</f>
        <v>340933.33333333331</v>
      </c>
      <c r="E279" s="265">
        <f t="shared" ref="E279:E284" si="645">AR279</f>
        <v>500000</v>
      </c>
      <c r="F279" s="266">
        <f t="shared" ref="F279:F284" si="646">IFERROR(IF((E279*(1+AU279)-D279*(1+AU279))&lt;0,0,(E279*(1+AU279)-D279*(1+AU279))),"")</f>
        <v>179745.33333333337</v>
      </c>
      <c r="G279" s="267">
        <f t="shared" ref="G279:G284" si="647">IFERROR((E279*(1+AU279)-F279),"")</f>
        <v>385254.66666666663</v>
      </c>
      <c r="H279" s="268">
        <f>IFERROR(INDEX('FEOR kodok'!$A$2:$J$1126,MATCH(Bérköltség!AB279,'FEOR kodok'!$B$2:$B$1126,0),8),"NA")</f>
        <v>2139</v>
      </c>
      <c r="I279" s="269">
        <f>IFERROR(INDEX('FEOR kodok'!$A$2:$J$1126,MATCH(Bérköltség!AB279,'FEOR kodok'!$B$2:$B$1126,0),10),"NA")</f>
        <v>35</v>
      </c>
      <c r="J279" s="276" t="str">
        <f t="shared" ref="J279:J284" si="648">IF(I279="NA","NA",
IF(I279&lt;30,"30 év alatt",
IF(AND(I279&gt;=30,I279&lt;=39),"30–39 éves",
IF(AND(I279&gt;=40,I279&lt;=49),"40–49 éves",
IF(I279&gt;=50,"50 év és afelett",
"")))))</f>
        <v>30–39 éves</v>
      </c>
      <c r="K279" s="269" t="str">
        <f>IFERROR(INDEX(admin_feor[#All],MATCH(Bérköltség!H279,admin_feor[[#All],[Foglalkozás]],0),2),"NA")</f>
        <v>Egyéb, máshova nem sorolható mérnök</v>
      </c>
      <c r="L279" s="270">
        <f>IFERROR(
INDEX('Admin - FEOR'!$A$4:$F$465,MATCH(Bérköltség!H279,'Admin - FEOR'!$A$4:$A$465,0),
IF(J279="30 év alatt",3,
IF(J279="30–39 éves",4,
IF(J279="40–49 éves",5,
IF(J279="50 év és afelett",6
)))))*1,"NA")</f>
        <v>845378</v>
      </c>
      <c r="M279" s="270">
        <f t="shared" ref="M279:M284" si="649">AM279</f>
        <v>500000</v>
      </c>
      <c r="N279" s="318">
        <f t="shared" ref="N279:N284" si="650">IFERROR(
M279/L279,"NA")</f>
        <v>0.59145139807281477</v>
      </c>
      <c r="O279" s="270">
        <f>IFERROR(
INDEX('Admin - FEOR'!$A$4:$F$465,MATCH(Bérköltség!H279,'Admin - FEOR'!$A$4:$A$465,0),
IF(J279="30 év alatt",3,
IF(J279="30–39 éves",4,
IF(J279="40–49 éves",5,
IF(J279="50 év és afelett",6
)))))*1.5,"NA")</f>
        <v>1268067</v>
      </c>
      <c r="P279" s="270">
        <f t="shared" ref="P279:P284" si="651">IFERROR(
AQ279*O279,"NA")</f>
        <v>1268067</v>
      </c>
      <c r="Q279" s="270">
        <f t="shared" ref="Q279:Q284" si="652">IFERROR(AR279,"")</f>
        <v>500000</v>
      </c>
      <c r="R279" s="275">
        <f t="shared" ref="R279:R284" si="653">IFERROR(AQ279,"")</f>
        <v>1</v>
      </c>
      <c r="S279" s="270">
        <f t="shared" ref="S279:S284" si="654">IFERROR(
IF(AR279-P279&lt;0,0,AR279-P279),"NA")</f>
        <v>0</v>
      </c>
      <c r="T279" s="270">
        <f t="shared" ref="T279:T284" si="655">IFERROR(
S279*AU279,"NA")</f>
        <v>0</v>
      </c>
      <c r="U279" s="271">
        <f t="shared" ref="U279:U284" si="656">IFERROR(
S279+T279,"NA")</f>
        <v>0</v>
      </c>
      <c r="V279" s="272">
        <f t="shared" ref="V279:V284" si="657">IFERROR(
IF(U279&gt;0,AR279+AS279-U279,AR279+AS279),"NA")</f>
        <v>565000</v>
      </c>
      <c r="W279" s="273" t="str">
        <f t="shared" ref="W279:W284" si="658">IF(P279="NA","FEOR hiányzik",
IF(AND(N279&gt;1,A279="FEOR"),CONCATENATE("Indoklás szükséges mivel a FEOR: ",ROUND(N279*100,1),"%"),"Nem szükséges indoklás.")
)</f>
        <v>Nem szükséges indoklás.</v>
      </c>
      <c r="X279" s="372">
        <f t="shared" ref="X279:X284" si="659">IF(A279="FEOR",U279,IF(A279="HIÁNYOS ADATOK","HIÁNYOS ADATOK",F279))</f>
        <v>0</v>
      </c>
      <c r="Y279" s="317">
        <f t="shared" ref="Y279:Y284" si="660">IF(A279="FEOR",ROUND((V279/(1+AU279)),0),IF(A279="HIÁNYOS ADATOK","HIÁNYOS ADATOK",ROUND(G279/(1+AU279),0)))</f>
        <v>500000</v>
      </c>
      <c r="Z279" s="317">
        <f t="shared" ref="Z279:Z284" si="661">IF(A279="FEOR",ROUND((V279-Y279),0),IF(A279="HIÁNYOS ADATOK","HIÁNYOS ADATOK",ROUND((G279-Y279),0)))</f>
        <v>65000</v>
      </c>
      <c r="AA279" s="36"/>
      <c r="AB279" s="274">
        <v>8442990062</v>
      </c>
      <c r="AC279" s="40" t="s">
        <v>197</v>
      </c>
      <c r="AD279" s="82" t="s">
        <v>75</v>
      </c>
      <c r="AE279" s="41" t="s">
        <v>52</v>
      </c>
      <c r="AF279" s="11" t="s">
        <v>151</v>
      </c>
      <c r="AG279" s="11" t="s">
        <v>170</v>
      </c>
      <c r="AH279" s="14" t="s">
        <v>122</v>
      </c>
      <c r="AI279" s="86" t="s">
        <v>35</v>
      </c>
      <c r="AJ279" s="113" t="str">
        <f>IF(COUNTIFS(Admin!$A$29:$A$40,AI279)&gt;0,Admin!$A$28,IF(COUNTIFS(Admin!$B$29:$B$40,AI279)&gt;0,Admin!$B$28,IF(COUNTIFS(Admin!$C$29:$C$40,AI279)&gt;0,Admin!$C$28,IF(COUNTIFS(Admin!$D$29:$D$40,AI279)&gt;0,Admin!$D$28,"-"))))</f>
        <v>3. mérföldkő</v>
      </c>
      <c r="AK279" s="14" t="s">
        <v>7</v>
      </c>
      <c r="AL279" s="9" t="s">
        <v>56</v>
      </c>
      <c r="AM279" s="131">
        <v>500000</v>
      </c>
      <c r="AN279" s="132">
        <f t="shared" ref="AN279" si="662">IFERROR(ROUND(AM279*AU279,0),"")</f>
        <v>65000</v>
      </c>
      <c r="AO279" s="121">
        <v>174</v>
      </c>
      <c r="AP279" s="121">
        <v>174</v>
      </c>
      <c r="AQ279" s="354">
        <f t="shared" ref="AQ279" si="663">IFERROR(AP279/AO279,"")</f>
        <v>1</v>
      </c>
      <c r="AR279" s="133">
        <f t="shared" ref="AR279" si="664">IFERROR(ROUND(AM279*AP279/AO279,0),"")</f>
        <v>500000</v>
      </c>
      <c r="AS279" s="133">
        <f t="shared" ref="AS279" si="665">IFERROR(ROUND(AR279*AU279,0),"")</f>
        <v>65000</v>
      </c>
      <c r="AT279" s="123">
        <f t="shared" ref="AT279" si="666">IFERROR(AP279/AO279-AR279/AM279,"")</f>
        <v>0</v>
      </c>
      <c r="AU279" s="124">
        <v>0.13</v>
      </c>
      <c r="AV279" s="394" t="s">
        <v>2783</v>
      </c>
      <c r="AW279" s="15">
        <v>44995</v>
      </c>
      <c r="AX279" s="12" t="s">
        <v>206</v>
      </c>
      <c r="AZ279" s="1" t="str">
        <f>IF(VLOOKUP(LEFT($AB279,10),'Havi béradatok'!$B:$E,2,FALSE)=AG279,"EGYEZIK","HIBÁS")</f>
        <v>EGYEZIK</v>
      </c>
      <c r="BA279" s="1">
        <f>VLOOKUP(LEFT($AB279,10),'Havi béradatok'!$B:$E,3,FALSE)-AM279</f>
        <v>0</v>
      </c>
      <c r="BB279" s="1">
        <f>VLOOKUP(LEFT($AB279,10),'Havi béradatok'!$B:$E,4,FALSE)-AN279</f>
        <v>0</v>
      </c>
      <c r="BC279" s="400" t="s">
        <v>2837</v>
      </c>
      <c r="BD279" s="400"/>
    </row>
    <row r="280" spans="1:56" s="1" customFormat="1" hidden="1" x14ac:dyDescent="0.25">
      <c r="A280" s="264" t="str">
        <f>Bérköltség!$B280</f>
        <v>FEOR</v>
      </c>
      <c r="B280" s="264" t="str">
        <f>IFERROR(
IF(AND(Bérköltség!$F280="",H280="NA"),"HIÁNYOS ADATOK",
IF(Bérköltség!$F280&lt;Bérköltség!$U280,Admin!$B$18,Admin!$B$17)),
"")</f>
        <v>FEOR</v>
      </c>
      <c r="C280" s="265">
        <f>IFERROR(INDEX('Historikus berek_2021-2'!$A$1:$F$903,MATCH(AB280,'Historikus berek_2021-2'!$A$1:$A$903,0),4),"")</f>
        <v>340933.33333333331</v>
      </c>
      <c r="D280" s="279">
        <f t="shared" si="644"/>
        <v>340933.33333333331</v>
      </c>
      <c r="E280" s="265">
        <f t="shared" si="645"/>
        <v>500000</v>
      </c>
      <c r="F280" s="266">
        <f t="shared" si="646"/>
        <v>179745.33333333337</v>
      </c>
      <c r="G280" s="267">
        <f t="shared" si="647"/>
        <v>385254.66666666663</v>
      </c>
      <c r="H280" s="268">
        <f>IFERROR(INDEX('FEOR kodok'!$A$2:$J$1126,MATCH(Bérköltség!AB280,'FEOR kodok'!$B$2:$B$1126,0),8),"NA")</f>
        <v>2139</v>
      </c>
      <c r="I280" s="269">
        <f>IFERROR(INDEX('FEOR kodok'!$A$2:$J$1126,MATCH(Bérköltség!AB280,'FEOR kodok'!$B$2:$B$1126,0),10),"NA")</f>
        <v>35</v>
      </c>
      <c r="J280" s="276" t="str">
        <f t="shared" si="648"/>
        <v>30–39 éves</v>
      </c>
      <c r="K280" s="269" t="str">
        <f>IFERROR(INDEX(admin_feor[#All],MATCH(Bérköltség!H280,admin_feor[[#All],[Foglalkozás]],0),2),"NA")</f>
        <v>Egyéb, máshova nem sorolható mérnök</v>
      </c>
      <c r="L280" s="270">
        <f>IFERROR(
INDEX('Admin - FEOR'!$A$4:$F$465,MATCH(Bérköltség!H280,'Admin - FEOR'!$A$4:$A$465,0),
IF(J280="30 év alatt",3,
IF(J280="30–39 éves",4,
IF(J280="40–49 éves",5,
IF(J280="50 év és afelett",6
)))))*1,"NA")</f>
        <v>845378</v>
      </c>
      <c r="M280" s="270">
        <f t="shared" si="649"/>
        <v>500000</v>
      </c>
      <c r="N280" s="318">
        <f t="shared" si="650"/>
        <v>0.59145139807281477</v>
      </c>
      <c r="O280" s="270">
        <f>IFERROR(
INDEX('Admin - FEOR'!$A$4:$F$465,MATCH(Bérköltség!H280,'Admin - FEOR'!$A$4:$A$465,0),
IF(J280="30 év alatt",3,
IF(J280="30–39 éves",4,
IF(J280="40–49 éves",5,
IF(J280="50 év és afelett",6
)))))*1.5,"NA")</f>
        <v>1268067</v>
      </c>
      <c r="P280" s="270">
        <f t="shared" si="651"/>
        <v>1268067</v>
      </c>
      <c r="Q280" s="270">
        <f t="shared" si="652"/>
        <v>500000</v>
      </c>
      <c r="R280" s="275">
        <f t="shared" si="653"/>
        <v>1</v>
      </c>
      <c r="S280" s="270">
        <f t="shared" si="654"/>
        <v>0</v>
      </c>
      <c r="T280" s="270">
        <f t="shared" si="655"/>
        <v>0</v>
      </c>
      <c r="U280" s="271">
        <f t="shared" si="656"/>
        <v>0</v>
      </c>
      <c r="V280" s="272">
        <f t="shared" si="657"/>
        <v>565000</v>
      </c>
      <c r="W280" s="273" t="str">
        <f t="shared" si="658"/>
        <v>Nem szükséges indoklás.</v>
      </c>
      <c r="X280" s="372">
        <f t="shared" si="659"/>
        <v>0</v>
      </c>
      <c r="Y280" s="317">
        <f t="shared" si="660"/>
        <v>500000</v>
      </c>
      <c r="Z280" s="317">
        <f t="shared" si="661"/>
        <v>65000</v>
      </c>
      <c r="AA280" s="36"/>
      <c r="AB280" s="274">
        <v>8442990062</v>
      </c>
      <c r="AC280" s="40" t="s">
        <v>197</v>
      </c>
      <c r="AD280" s="82" t="s">
        <v>75</v>
      </c>
      <c r="AE280" s="41" t="s">
        <v>52</v>
      </c>
      <c r="AF280" s="11" t="s">
        <v>151</v>
      </c>
      <c r="AG280" s="11" t="s">
        <v>170</v>
      </c>
      <c r="AH280" s="14" t="s">
        <v>122</v>
      </c>
      <c r="AI280" s="86" t="s">
        <v>36</v>
      </c>
      <c r="AJ280" s="113" t="str">
        <f>IF(COUNTIFS(Admin!$A$29:$A$40,AI280)&gt;0,Admin!$A$28,IF(COUNTIFS(Admin!$B$29:$B$40,AI280)&gt;0,Admin!$B$28,IF(COUNTIFS(Admin!$C$29:$C$40,AI280)&gt;0,Admin!$C$28,IF(COUNTIFS(Admin!$D$29:$D$40,AI280)&gt;0,Admin!$D$28,"-"))))</f>
        <v>3. mérföldkő</v>
      </c>
      <c r="AK280" s="14" t="s">
        <v>141</v>
      </c>
      <c r="AL280" s="9" t="s">
        <v>56</v>
      </c>
      <c r="AM280" s="131">
        <v>500000</v>
      </c>
      <c r="AN280" s="132">
        <f t="shared" ref="AN280:AN284" si="667">IFERROR(ROUND(AM280*AU280,0),"")</f>
        <v>65000</v>
      </c>
      <c r="AO280" s="121">
        <v>174</v>
      </c>
      <c r="AP280" s="121">
        <v>174</v>
      </c>
      <c r="AQ280" s="354">
        <f t="shared" ref="AQ280:AQ284" si="668">IFERROR(AP280/AO280,"")</f>
        <v>1</v>
      </c>
      <c r="AR280" s="133">
        <f t="shared" ref="AR280:AR284" si="669">IFERROR(ROUND(AM280*AP280/AO280,0),"")</f>
        <v>500000</v>
      </c>
      <c r="AS280" s="133">
        <f t="shared" ref="AS280:AS284" si="670">IFERROR(ROUND(AR280*AU280,0),"")</f>
        <v>65000</v>
      </c>
      <c r="AT280" s="123">
        <f t="shared" ref="AT280:AT284" si="671">IFERROR(AP280/AO280-AR280/AM280,"")</f>
        <v>0</v>
      </c>
      <c r="AU280" s="124">
        <v>0.13</v>
      </c>
      <c r="AV280" s="394" t="s">
        <v>2783</v>
      </c>
      <c r="AW280" s="15">
        <v>44995</v>
      </c>
      <c r="AX280" s="12" t="s">
        <v>206</v>
      </c>
      <c r="BC280" s="1" t="s">
        <v>2837</v>
      </c>
    </row>
    <row r="281" spans="1:56" s="1" customFormat="1" hidden="1" x14ac:dyDescent="0.25">
      <c r="A281" s="264" t="str">
        <f>Bérköltség!$B281</f>
        <v>FEOR</v>
      </c>
      <c r="B281" s="264" t="str">
        <f>IFERROR(
IF(AND(Bérköltség!$F281="",H281="NA"),"HIÁNYOS ADATOK",
IF(Bérköltség!$F281&lt;Bérköltség!$U281,Admin!$B$18,Admin!$B$17)),
"")</f>
        <v>FEOR</v>
      </c>
      <c r="C281" s="265">
        <f>IFERROR(INDEX('Historikus berek_2021-2'!$A$1:$F$903,MATCH(AB281,'Historikus berek_2021-2'!$A$1:$A$903,0),4),"")</f>
        <v>340933.33333333331</v>
      </c>
      <c r="D281" s="279">
        <f t="shared" si="644"/>
        <v>340933.33333333331</v>
      </c>
      <c r="E281" s="265">
        <f t="shared" si="645"/>
        <v>500000</v>
      </c>
      <c r="F281" s="266">
        <f t="shared" si="646"/>
        <v>179745.33333333337</v>
      </c>
      <c r="G281" s="267">
        <f t="shared" si="647"/>
        <v>385254.66666666663</v>
      </c>
      <c r="H281" s="268">
        <f>IFERROR(INDEX('FEOR kodok'!$A$2:$J$1126,MATCH(Bérköltség!AB281,'FEOR kodok'!$B$2:$B$1126,0),8),"NA")</f>
        <v>2139</v>
      </c>
      <c r="I281" s="269">
        <f>IFERROR(INDEX('FEOR kodok'!$A$2:$J$1126,MATCH(Bérköltség!AB281,'FEOR kodok'!$B$2:$B$1126,0),10),"NA")</f>
        <v>35</v>
      </c>
      <c r="J281" s="276" t="str">
        <f t="shared" si="648"/>
        <v>30–39 éves</v>
      </c>
      <c r="K281" s="269" t="str">
        <f>IFERROR(INDEX(admin_feor[#All],MATCH(Bérköltség!H281,admin_feor[[#All],[Foglalkozás]],0),2),"NA")</f>
        <v>Egyéb, máshova nem sorolható mérnök</v>
      </c>
      <c r="L281" s="270">
        <f>IFERROR(
INDEX('Admin - FEOR'!$A$4:$F$465,MATCH(Bérköltség!H281,'Admin - FEOR'!$A$4:$A$465,0),
IF(J281="30 év alatt",3,
IF(J281="30–39 éves",4,
IF(J281="40–49 éves",5,
IF(J281="50 év és afelett",6
)))))*1,"NA")</f>
        <v>845378</v>
      </c>
      <c r="M281" s="270">
        <f t="shared" si="649"/>
        <v>500000</v>
      </c>
      <c r="N281" s="318">
        <f t="shared" si="650"/>
        <v>0.59145139807281477</v>
      </c>
      <c r="O281" s="270">
        <f>IFERROR(
INDEX('Admin - FEOR'!$A$4:$F$465,MATCH(Bérköltség!H281,'Admin - FEOR'!$A$4:$A$465,0),
IF(J281="30 év alatt",3,
IF(J281="30–39 éves",4,
IF(J281="40–49 éves",5,
IF(J281="50 év és afelett",6
)))))*1.5,"NA")</f>
        <v>1268067</v>
      </c>
      <c r="P281" s="270">
        <f t="shared" si="651"/>
        <v>1268067</v>
      </c>
      <c r="Q281" s="270">
        <f t="shared" si="652"/>
        <v>500000</v>
      </c>
      <c r="R281" s="275">
        <f t="shared" si="653"/>
        <v>1</v>
      </c>
      <c r="S281" s="270">
        <f t="shared" si="654"/>
        <v>0</v>
      </c>
      <c r="T281" s="270">
        <f t="shared" si="655"/>
        <v>0</v>
      </c>
      <c r="U281" s="271">
        <f t="shared" si="656"/>
        <v>0</v>
      </c>
      <c r="V281" s="272">
        <f t="shared" si="657"/>
        <v>565000</v>
      </c>
      <c r="W281" s="273" t="str">
        <f t="shared" si="658"/>
        <v>Nem szükséges indoklás.</v>
      </c>
      <c r="X281" s="372">
        <f t="shared" si="659"/>
        <v>0</v>
      </c>
      <c r="Y281" s="317">
        <f t="shared" si="660"/>
        <v>500000</v>
      </c>
      <c r="Z281" s="317">
        <f t="shared" si="661"/>
        <v>65000</v>
      </c>
      <c r="AA281" s="36"/>
      <c r="AB281" s="274">
        <v>8442990062</v>
      </c>
      <c r="AC281" s="40" t="s">
        <v>197</v>
      </c>
      <c r="AD281" s="82" t="s">
        <v>75</v>
      </c>
      <c r="AE281" s="41" t="s">
        <v>52</v>
      </c>
      <c r="AF281" s="11" t="s">
        <v>151</v>
      </c>
      <c r="AG281" s="11" t="s">
        <v>170</v>
      </c>
      <c r="AH281" s="14" t="s">
        <v>122</v>
      </c>
      <c r="AI281" s="86" t="s">
        <v>37</v>
      </c>
      <c r="AJ281" s="113" t="str">
        <f>IF(COUNTIFS(Admin!$A$29:$A$40,AI281)&gt;0,Admin!$A$28,IF(COUNTIFS(Admin!$B$29:$B$40,AI281)&gt;0,Admin!$B$28,IF(COUNTIFS(Admin!$C$29:$C$40,AI281)&gt;0,Admin!$C$28,IF(COUNTIFS(Admin!$D$29:$D$40,AI281)&gt;0,Admin!$D$28,"-"))))</f>
        <v>3. mérföldkő</v>
      </c>
      <c r="AK281" s="14" t="s">
        <v>141</v>
      </c>
      <c r="AL281" s="9" t="s">
        <v>56</v>
      </c>
      <c r="AM281" s="131">
        <v>500000</v>
      </c>
      <c r="AN281" s="132">
        <f t="shared" si="667"/>
        <v>65000</v>
      </c>
      <c r="AO281" s="121">
        <v>174</v>
      </c>
      <c r="AP281" s="121">
        <v>174</v>
      </c>
      <c r="AQ281" s="354">
        <f t="shared" si="668"/>
        <v>1</v>
      </c>
      <c r="AR281" s="133">
        <f t="shared" si="669"/>
        <v>500000</v>
      </c>
      <c r="AS281" s="133">
        <f t="shared" si="670"/>
        <v>65000</v>
      </c>
      <c r="AT281" s="123">
        <f t="shared" si="671"/>
        <v>0</v>
      </c>
      <c r="AU281" s="124">
        <v>0.13</v>
      </c>
      <c r="AV281" s="394" t="s">
        <v>2783</v>
      </c>
      <c r="AW281" s="15">
        <v>44995</v>
      </c>
      <c r="AX281" s="12" t="s">
        <v>206</v>
      </c>
      <c r="BC281" s="1" t="s">
        <v>2837</v>
      </c>
    </row>
    <row r="282" spans="1:56" s="1" customFormat="1" hidden="1" x14ac:dyDescent="0.25">
      <c r="A282" s="264" t="str">
        <f>Bérköltség!$B282</f>
        <v>FEOR</v>
      </c>
      <c r="B282" s="264" t="str">
        <f>IFERROR(
IF(AND(Bérköltség!$F282="",H282="NA"),"HIÁNYOS ADATOK",
IF(Bérköltség!$F282&lt;Bérköltség!$U282,Admin!$B$18,Admin!$B$17)),
"")</f>
        <v>FEOR</v>
      </c>
      <c r="C282" s="265">
        <f>IFERROR(INDEX('Historikus berek_2021-2'!$A$1:$F$903,MATCH(AB282,'Historikus berek_2021-2'!$A$1:$A$903,0),4),"")</f>
        <v>340933.33333333331</v>
      </c>
      <c r="D282" s="279">
        <f t="shared" si="644"/>
        <v>340933.33333333331</v>
      </c>
      <c r="E282" s="265">
        <f t="shared" si="645"/>
        <v>500000</v>
      </c>
      <c r="F282" s="266">
        <f t="shared" si="646"/>
        <v>179745.33333333337</v>
      </c>
      <c r="G282" s="267">
        <f t="shared" si="647"/>
        <v>385254.66666666663</v>
      </c>
      <c r="H282" s="268">
        <f>IFERROR(INDEX('FEOR kodok'!$A$2:$J$1126,MATCH(Bérköltség!AB282,'FEOR kodok'!$B$2:$B$1126,0),8),"NA")</f>
        <v>2139</v>
      </c>
      <c r="I282" s="269">
        <f>IFERROR(INDEX('FEOR kodok'!$A$2:$J$1126,MATCH(Bérköltség!AB282,'FEOR kodok'!$B$2:$B$1126,0),10),"NA")</f>
        <v>35</v>
      </c>
      <c r="J282" s="276" t="str">
        <f t="shared" si="648"/>
        <v>30–39 éves</v>
      </c>
      <c r="K282" s="269" t="str">
        <f>IFERROR(INDEX(admin_feor[#All],MATCH(Bérköltség!H282,admin_feor[[#All],[Foglalkozás]],0),2),"NA")</f>
        <v>Egyéb, máshova nem sorolható mérnök</v>
      </c>
      <c r="L282" s="270">
        <f>IFERROR(
INDEX('Admin - FEOR'!$A$4:$F$465,MATCH(Bérköltség!H282,'Admin - FEOR'!$A$4:$A$465,0),
IF(J282="30 év alatt",3,
IF(J282="30–39 éves",4,
IF(J282="40–49 éves",5,
IF(J282="50 év és afelett",6
)))))*1,"NA")</f>
        <v>845378</v>
      </c>
      <c r="M282" s="270">
        <f t="shared" si="649"/>
        <v>500000</v>
      </c>
      <c r="N282" s="318">
        <f t="shared" si="650"/>
        <v>0.59145139807281477</v>
      </c>
      <c r="O282" s="270">
        <f>IFERROR(
INDEX('Admin - FEOR'!$A$4:$F$465,MATCH(Bérköltség!H282,'Admin - FEOR'!$A$4:$A$465,0),
IF(J282="30 év alatt",3,
IF(J282="30–39 éves",4,
IF(J282="40–49 éves",5,
IF(J282="50 év és afelett",6
)))))*1.5,"NA")</f>
        <v>1268067</v>
      </c>
      <c r="P282" s="270">
        <f t="shared" si="651"/>
        <v>1268067</v>
      </c>
      <c r="Q282" s="270">
        <f t="shared" si="652"/>
        <v>500000</v>
      </c>
      <c r="R282" s="275">
        <f t="shared" si="653"/>
        <v>1</v>
      </c>
      <c r="S282" s="270">
        <f t="shared" si="654"/>
        <v>0</v>
      </c>
      <c r="T282" s="270">
        <f t="shared" si="655"/>
        <v>0</v>
      </c>
      <c r="U282" s="271">
        <f t="shared" si="656"/>
        <v>0</v>
      </c>
      <c r="V282" s="272">
        <f t="shared" si="657"/>
        <v>565000</v>
      </c>
      <c r="W282" s="273" t="str">
        <f t="shared" si="658"/>
        <v>Nem szükséges indoklás.</v>
      </c>
      <c r="X282" s="372">
        <f t="shared" si="659"/>
        <v>0</v>
      </c>
      <c r="Y282" s="317">
        <f t="shared" si="660"/>
        <v>500000</v>
      </c>
      <c r="Z282" s="317">
        <f t="shared" si="661"/>
        <v>65000</v>
      </c>
      <c r="AA282" s="36"/>
      <c r="AB282" s="274">
        <v>8442990062</v>
      </c>
      <c r="AC282" s="40" t="s">
        <v>197</v>
      </c>
      <c r="AD282" s="82" t="s">
        <v>75</v>
      </c>
      <c r="AE282" s="41" t="s">
        <v>52</v>
      </c>
      <c r="AF282" s="11" t="s">
        <v>151</v>
      </c>
      <c r="AG282" s="11" t="s">
        <v>170</v>
      </c>
      <c r="AH282" s="14" t="s">
        <v>122</v>
      </c>
      <c r="AI282" s="86" t="s">
        <v>38</v>
      </c>
      <c r="AJ282" s="113" t="str">
        <f>IF(COUNTIFS(Admin!$A$29:$A$40,AI282)&gt;0,Admin!$A$28,IF(COUNTIFS(Admin!$B$29:$B$40,AI282)&gt;0,Admin!$B$28,IF(COUNTIFS(Admin!$C$29:$C$40,AI282)&gt;0,Admin!$C$28,IF(COUNTIFS(Admin!$D$29:$D$40,AI282)&gt;0,Admin!$D$28,"-"))))</f>
        <v>3. mérföldkő</v>
      </c>
      <c r="AK282" s="14" t="s">
        <v>141</v>
      </c>
      <c r="AL282" s="9" t="s">
        <v>56</v>
      </c>
      <c r="AM282" s="131">
        <v>500000</v>
      </c>
      <c r="AN282" s="132">
        <f t="shared" si="667"/>
        <v>65000</v>
      </c>
      <c r="AO282" s="121">
        <v>174</v>
      </c>
      <c r="AP282" s="121">
        <v>174</v>
      </c>
      <c r="AQ282" s="354">
        <f t="shared" si="668"/>
        <v>1</v>
      </c>
      <c r="AR282" s="133">
        <f t="shared" si="669"/>
        <v>500000</v>
      </c>
      <c r="AS282" s="133">
        <f t="shared" si="670"/>
        <v>65000</v>
      </c>
      <c r="AT282" s="123">
        <f t="shared" si="671"/>
        <v>0</v>
      </c>
      <c r="AU282" s="124">
        <v>0.13</v>
      </c>
      <c r="AV282" s="394" t="s">
        <v>2783</v>
      </c>
      <c r="AW282" s="15">
        <v>44995</v>
      </c>
      <c r="AX282" s="12" t="s">
        <v>206</v>
      </c>
      <c r="BC282" s="1" t="s">
        <v>2837</v>
      </c>
    </row>
    <row r="283" spans="1:56" s="1" customFormat="1" hidden="1" x14ac:dyDescent="0.25">
      <c r="A283" s="264" t="str">
        <f>Bérköltség!$B283</f>
        <v>FEOR</v>
      </c>
      <c r="B283" s="264" t="str">
        <f>IFERROR(
IF(AND(Bérköltség!$F283="",H283="NA"),"HIÁNYOS ADATOK",
IF(Bérköltség!$F283&lt;Bérköltség!$U283,Admin!$B$18,Admin!$B$17)),
"")</f>
        <v>FEOR</v>
      </c>
      <c r="C283" s="265">
        <f>IFERROR(INDEX('Historikus berek_2021-2'!$A$1:$F$903,MATCH(AB283,'Historikus berek_2021-2'!$A$1:$A$903,0),4),"")</f>
        <v>340933.33333333331</v>
      </c>
      <c r="D283" s="279">
        <f t="shared" si="644"/>
        <v>340933.33333333331</v>
      </c>
      <c r="E283" s="265">
        <f t="shared" si="645"/>
        <v>500000</v>
      </c>
      <c r="F283" s="266">
        <f t="shared" si="646"/>
        <v>179745.33333333337</v>
      </c>
      <c r="G283" s="267">
        <f t="shared" si="647"/>
        <v>385254.66666666663</v>
      </c>
      <c r="H283" s="268">
        <f>IFERROR(INDEX('FEOR kodok'!$A$2:$J$1126,MATCH(Bérköltség!AB283,'FEOR kodok'!$B$2:$B$1126,0),8),"NA")</f>
        <v>2139</v>
      </c>
      <c r="I283" s="269">
        <f>IFERROR(INDEX('FEOR kodok'!$A$2:$J$1126,MATCH(Bérköltség!AB283,'FEOR kodok'!$B$2:$B$1126,0),10),"NA")</f>
        <v>35</v>
      </c>
      <c r="J283" s="276" t="str">
        <f t="shared" si="648"/>
        <v>30–39 éves</v>
      </c>
      <c r="K283" s="269" t="str">
        <f>IFERROR(INDEX(admin_feor[#All],MATCH(Bérköltség!H283,admin_feor[[#All],[Foglalkozás]],0),2),"NA")</f>
        <v>Egyéb, máshova nem sorolható mérnök</v>
      </c>
      <c r="L283" s="270">
        <f>IFERROR(
INDEX('Admin - FEOR'!$A$4:$F$465,MATCH(Bérköltség!H283,'Admin - FEOR'!$A$4:$A$465,0),
IF(J283="30 év alatt",3,
IF(J283="30–39 éves",4,
IF(J283="40–49 éves",5,
IF(J283="50 év és afelett",6
)))))*1,"NA")</f>
        <v>845378</v>
      </c>
      <c r="M283" s="270">
        <f t="shared" si="649"/>
        <v>500000</v>
      </c>
      <c r="N283" s="318">
        <f t="shared" si="650"/>
        <v>0.59145139807281477</v>
      </c>
      <c r="O283" s="270">
        <f>IFERROR(
INDEX('Admin - FEOR'!$A$4:$F$465,MATCH(Bérköltség!H283,'Admin - FEOR'!$A$4:$A$465,0),
IF(J283="30 év alatt",3,
IF(J283="30–39 éves",4,
IF(J283="40–49 éves",5,
IF(J283="50 év és afelett",6
)))))*1.5,"NA")</f>
        <v>1268067</v>
      </c>
      <c r="P283" s="270">
        <f t="shared" si="651"/>
        <v>1268067</v>
      </c>
      <c r="Q283" s="270">
        <f t="shared" si="652"/>
        <v>500000</v>
      </c>
      <c r="R283" s="275">
        <f t="shared" si="653"/>
        <v>1</v>
      </c>
      <c r="S283" s="270">
        <f t="shared" si="654"/>
        <v>0</v>
      </c>
      <c r="T283" s="270">
        <f t="shared" si="655"/>
        <v>0</v>
      </c>
      <c r="U283" s="271">
        <f t="shared" si="656"/>
        <v>0</v>
      </c>
      <c r="V283" s="272">
        <f t="shared" si="657"/>
        <v>565000</v>
      </c>
      <c r="W283" s="273" t="str">
        <f t="shared" si="658"/>
        <v>Nem szükséges indoklás.</v>
      </c>
      <c r="X283" s="372">
        <f t="shared" si="659"/>
        <v>0</v>
      </c>
      <c r="Y283" s="317">
        <f t="shared" si="660"/>
        <v>500000</v>
      </c>
      <c r="Z283" s="317">
        <f t="shared" si="661"/>
        <v>65000</v>
      </c>
      <c r="AA283" s="36"/>
      <c r="AB283" s="274">
        <v>8442990062</v>
      </c>
      <c r="AC283" s="40" t="s">
        <v>197</v>
      </c>
      <c r="AD283" s="82" t="s">
        <v>75</v>
      </c>
      <c r="AE283" s="41" t="s">
        <v>52</v>
      </c>
      <c r="AF283" s="11" t="s">
        <v>151</v>
      </c>
      <c r="AG283" s="11" t="s">
        <v>170</v>
      </c>
      <c r="AH283" s="14" t="s">
        <v>122</v>
      </c>
      <c r="AI283" s="86" t="s">
        <v>39</v>
      </c>
      <c r="AJ283" s="113" t="str">
        <f>IF(COUNTIFS(Admin!$A$29:$A$40,AI283)&gt;0,Admin!$A$28,IF(COUNTIFS(Admin!$B$29:$B$40,AI283)&gt;0,Admin!$B$28,IF(COUNTIFS(Admin!$C$29:$C$40,AI283)&gt;0,Admin!$C$28,IF(COUNTIFS(Admin!$D$29:$D$40,AI283)&gt;0,Admin!$D$28,"-"))))</f>
        <v>3. mérföldkő</v>
      </c>
      <c r="AK283" s="14" t="s">
        <v>141</v>
      </c>
      <c r="AL283" s="9" t="s">
        <v>56</v>
      </c>
      <c r="AM283" s="131">
        <v>500000</v>
      </c>
      <c r="AN283" s="132">
        <f t="shared" si="667"/>
        <v>65000</v>
      </c>
      <c r="AO283" s="121">
        <v>174</v>
      </c>
      <c r="AP283" s="121">
        <v>174</v>
      </c>
      <c r="AQ283" s="354">
        <f t="shared" si="668"/>
        <v>1</v>
      </c>
      <c r="AR283" s="133">
        <f t="shared" si="669"/>
        <v>500000</v>
      </c>
      <c r="AS283" s="133">
        <f t="shared" si="670"/>
        <v>65000</v>
      </c>
      <c r="AT283" s="123">
        <f t="shared" si="671"/>
        <v>0</v>
      </c>
      <c r="AU283" s="124">
        <v>0.13</v>
      </c>
      <c r="AV283" s="394" t="s">
        <v>2783</v>
      </c>
      <c r="AW283" s="15">
        <v>44995</v>
      </c>
      <c r="AX283" s="12" t="s">
        <v>206</v>
      </c>
      <c r="BC283" s="1" t="s">
        <v>2837</v>
      </c>
    </row>
    <row r="284" spans="1:56" s="1" customFormat="1" hidden="1" x14ac:dyDescent="0.25">
      <c r="A284" s="264" t="str">
        <f>Bérköltség!$B284</f>
        <v>FEOR</v>
      </c>
      <c r="B284" s="264" t="str">
        <f>IFERROR(
IF(AND(Bérköltség!$F284="",H284="NA"),"HIÁNYOS ADATOK",
IF(Bérköltség!$F284&lt;Bérköltség!$U284,Admin!$B$18,Admin!$B$17)),
"")</f>
        <v>FEOR</v>
      </c>
      <c r="C284" s="265">
        <f>IFERROR(INDEX('Historikus berek_2021-2'!$A$1:$F$903,MATCH(AB284,'Historikus berek_2021-2'!$A$1:$A$903,0),4),"")</f>
        <v>340933.33333333331</v>
      </c>
      <c r="D284" s="279">
        <f t="shared" si="644"/>
        <v>340933.33333333331</v>
      </c>
      <c r="E284" s="265">
        <f t="shared" si="645"/>
        <v>500000</v>
      </c>
      <c r="F284" s="266">
        <f t="shared" si="646"/>
        <v>179745.33333333337</v>
      </c>
      <c r="G284" s="267">
        <f t="shared" si="647"/>
        <v>385254.66666666663</v>
      </c>
      <c r="H284" s="268">
        <f>IFERROR(INDEX('FEOR kodok'!$A$2:$J$1126,MATCH(Bérköltség!AB284,'FEOR kodok'!$B$2:$B$1126,0),8),"NA")</f>
        <v>2139</v>
      </c>
      <c r="I284" s="269">
        <f>IFERROR(INDEX('FEOR kodok'!$A$2:$J$1126,MATCH(Bérköltség!AB284,'FEOR kodok'!$B$2:$B$1126,0),10),"NA")</f>
        <v>35</v>
      </c>
      <c r="J284" s="276" t="str">
        <f t="shared" si="648"/>
        <v>30–39 éves</v>
      </c>
      <c r="K284" s="269" t="str">
        <f>IFERROR(INDEX(admin_feor[#All],MATCH(Bérköltség!H284,admin_feor[[#All],[Foglalkozás]],0),2),"NA")</f>
        <v>Egyéb, máshova nem sorolható mérnök</v>
      </c>
      <c r="L284" s="270">
        <f>IFERROR(
INDEX('Admin - FEOR'!$A$4:$F$465,MATCH(Bérköltség!H284,'Admin - FEOR'!$A$4:$A$465,0),
IF(J284="30 év alatt",3,
IF(J284="30–39 éves",4,
IF(J284="40–49 éves",5,
IF(J284="50 év és afelett",6
)))))*1,"NA")</f>
        <v>845378</v>
      </c>
      <c r="M284" s="270">
        <f t="shared" si="649"/>
        <v>500000</v>
      </c>
      <c r="N284" s="318">
        <f t="shared" si="650"/>
        <v>0.59145139807281477</v>
      </c>
      <c r="O284" s="270">
        <f>IFERROR(
INDEX('Admin - FEOR'!$A$4:$F$465,MATCH(Bérköltség!H284,'Admin - FEOR'!$A$4:$A$465,0),
IF(J284="30 év alatt",3,
IF(J284="30–39 éves",4,
IF(J284="40–49 éves",5,
IF(J284="50 év és afelett",6
)))))*1.5,"NA")</f>
        <v>1268067</v>
      </c>
      <c r="P284" s="270">
        <f t="shared" si="651"/>
        <v>1268067</v>
      </c>
      <c r="Q284" s="270">
        <f t="shared" si="652"/>
        <v>500000</v>
      </c>
      <c r="R284" s="275">
        <f t="shared" si="653"/>
        <v>1</v>
      </c>
      <c r="S284" s="270">
        <f t="shared" si="654"/>
        <v>0</v>
      </c>
      <c r="T284" s="270">
        <f t="shared" si="655"/>
        <v>0</v>
      </c>
      <c r="U284" s="271">
        <f t="shared" si="656"/>
        <v>0</v>
      </c>
      <c r="V284" s="272">
        <f t="shared" si="657"/>
        <v>565000</v>
      </c>
      <c r="W284" s="273" t="str">
        <f t="shared" si="658"/>
        <v>Nem szükséges indoklás.</v>
      </c>
      <c r="X284" s="372">
        <f t="shared" si="659"/>
        <v>0</v>
      </c>
      <c r="Y284" s="317">
        <f t="shared" si="660"/>
        <v>500000</v>
      </c>
      <c r="Z284" s="317">
        <f t="shared" si="661"/>
        <v>65000</v>
      </c>
      <c r="AA284" s="36"/>
      <c r="AB284" s="274">
        <v>8442990062</v>
      </c>
      <c r="AC284" s="40" t="s">
        <v>197</v>
      </c>
      <c r="AD284" s="82" t="s">
        <v>75</v>
      </c>
      <c r="AE284" s="41" t="s">
        <v>52</v>
      </c>
      <c r="AF284" s="11" t="s">
        <v>151</v>
      </c>
      <c r="AG284" s="11" t="s">
        <v>170</v>
      </c>
      <c r="AH284" s="14" t="s">
        <v>122</v>
      </c>
      <c r="AI284" s="86" t="s">
        <v>40</v>
      </c>
      <c r="AJ284" s="113" t="str">
        <f>IF(COUNTIFS(Admin!$A$29:$A$40,AI284)&gt;0,Admin!$A$28,IF(COUNTIFS(Admin!$B$29:$B$40,AI284)&gt;0,Admin!$B$28,IF(COUNTIFS(Admin!$C$29:$C$40,AI284)&gt;0,Admin!$C$28,IF(COUNTIFS(Admin!$D$29:$D$40,AI284)&gt;0,Admin!$D$28,"-"))))</f>
        <v>3. mérföldkő</v>
      </c>
      <c r="AK284" s="14" t="s">
        <v>141</v>
      </c>
      <c r="AL284" s="9" t="s">
        <v>56</v>
      </c>
      <c r="AM284" s="131">
        <v>500000</v>
      </c>
      <c r="AN284" s="132">
        <f t="shared" si="667"/>
        <v>65000</v>
      </c>
      <c r="AO284" s="121">
        <v>174</v>
      </c>
      <c r="AP284" s="121">
        <v>174</v>
      </c>
      <c r="AQ284" s="354">
        <f t="shared" si="668"/>
        <v>1</v>
      </c>
      <c r="AR284" s="133">
        <f t="shared" si="669"/>
        <v>500000</v>
      </c>
      <c r="AS284" s="133">
        <f t="shared" si="670"/>
        <v>65000</v>
      </c>
      <c r="AT284" s="123">
        <f t="shared" si="671"/>
        <v>0</v>
      </c>
      <c r="AU284" s="124">
        <v>0.13</v>
      </c>
      <c r="AV284" s="394" t="s">
        <v>2783</v>
      </c>
      <c r="AW284" s="15">
        <v>44995</v>
      </c>
      <c r="AX284" s="12" t="s">
        <v>206</v>
      </c>
      <c r="BC284" s="1" t="s">
        <v>2837</v>
      </c>
    </row>
    <row r="285" spans="1:56" s="1" customFormat="1" hidden="1" x14ac:dyDescent="0.25">
      <c r="A285" s="264" t="str">
        <f>Bérköltség!$B285</f>
        <v>FEOR</v>
      </c>
      <c r="B285" s="264" t="str">
        <f>IFERROR(
IF(AND(Bérköltség!$F285="",H285="NA"),"HIÁNYOS ADATOK",
IF(Bérköltség!$F285&lt;Bérköltség!$U285,Admin!$B$18,Admin!$B$17)),
"")</f>
        <v>FEOR</v>
      </c>
      <c r="C285" s="265">
        <f>IFERROR(INDEX('Historikus berek_2021-2'!$A$1:$F$903,MATCH(AB285,'Historikus berek_2021-2'!$A$1:$A$903,0),4),"")</f>
        <v>304933.33333333331</v>
      </c>
      <c r="D285" s="279">
        <f t="shared" si="531"/>
        <v>124745.45454545454</v>
      </c>
      <c r="E285" s="265">
        <f t="shared" si="532"/>
        <v>40909</v>
      </c>
      <c r="F285" s="266">
        <f t="shared" si="533"/>
        <v>0</v>
      </c>
      <c r="G285" s="267">
        <f t="shared" si="534"/>
        <v>46227.17</v>
      </c>
      <c r="H285" s="268">
        <f>IFERROR(INDEX('FEOR kodok'!$A$2:$J$1126,MATCH(Bérköltség!AB285,'FEOR kodok'!$B$2:$B$1126,0),8),"NA")</f>
        <v>2167</v>
      </c>
      <c r="I285" s="269">
        <f>IFERROR(INDEX('FEOR kodok'!$A$2:$J$1126,MATCH(Bérköltség!AB285,'FEOR kodok'!$B$2:$B$1126,0),10),"NA")</f>
        <v>40</v>
      </c>
      <c r="J285" s="276" t="str">
        <f t="shared" si="535"/>
        <v>40–49 éves</v>
      </c>
      <c r="K285" s="269" t="str">
        <f>IFERROR(INDEX(admin_feor[#All],MATCH(Bérköltség!H285,admin_feor[[#All],[Foglalkozás]],0),2),"NA")</f>
        <v>Biológus, botanikus, zoológus és rokon foglalkozású</v>
      </c>
      <c r="L285" s="270">
        <f>IFERROR(
INDEX('Admin - FEOR'!$A$4:$F$465,MATCH(Bérköltség!H285,'Admin - FEOR'!$A$4:$A$465,0),
IF(J285="30 év alatt",3,
IF(J285="30–39 éves",4,
IF(J285="40–49 éves",5,
IF(J285="50 év és afelett",6
)))))*1,"NA")</f>
        <v>749359</v>
      </c>
      <c r="M285" s="270">
        <f t="shared" si="536"/>
        <v>100000</v>
      </c>
      <c r="N285" s="318">
        <f t="shared" si="537"/>
        <v>0.13344738636621434</v>
      </c>
      <c r="O285" s="270">
        <f>IFERROR(
INDEX('Admin - FEOR'!$A$4:$F$465,MATCH(Bérköltség!H285,'Admin - FEOR'!$A$4:$A$465,0),
IF(J285="30 év alatt",3,
IF(J285="30–39 éves",4,
IF(J285="40–49 éves",5,
IF(J285="50 év és afelett",6
)))))*1.5,"NA")</f>
        <v>1124038.5</v>
      </c>
      <c r="P285" s="270">
        <f t="shared" si="538"/>
        <v>459833.93181818182</v>
      </c>
      <c r="Q285" s="270">
        <f t="shared" si="539"/>
        <v>40909</v>
      </c>
      <c r="R285" s="275">
        <f t="shared" si="540"/>
        <v>0.40909090909090912</v>
      </c>
      <c r="S285" s="270">
        <f t="shared" si="541"/>
        <v>0</v>
      </c>
      <c r="T285" s="270">
        <f t="shared" si="542"/>
        <v>0</v>
      </c>
      <c r="U285" s="271">
        <f t="shared" si="543"/>
        <v>0</v>
      </c>
      <c r="V285" s="272">
        <f t="shared" si="544"/>
        <v>46227</v>
      </c>
      <c r="W285" s="273" t="str">
        <f t="shared" si="545"/>
        <v>Nem szükséges indoklás.</v>
      </c>
      <c r="X285" s="372">
        <f t="shared" si="546"/>
        <v>0</v>
      </c>
      <c r="Y285" s="317">
        <f t="shared" si="547"/>
        <v>40909</v>
      </c>
      <c r="Z285" s="317">
        <f t="shared" si="548"/>
        <v>5318</v>
      </c>
      <c r="AA285" s="12">
        <v>2</v>
      </c>
      <c r="AB285" s="274">
        <v>8424702352</v>
      </c>
      <c r="AC285" s="40" t="s">
        <v>238</v>
      </c>
      <c r="AD285" s="82" t="s">
        <v>75</v>
      </c>
      <c r="AE285" s="41" t="s">
        <v>54</v>
      </c>
      <c r="AF285" s="11" t="s">
        <v>153</v>
      </c>
      <c r="AG285" s="11" t="s">
        <v>168</v>
      </c>
      <c r="AH285" s="14" t="s">
        <v>123</v>
      </c>
      <c r="AI285" s="86" t="s">
        <v>25</v>
      </c>
      <c r="AJ285" s="113" t="str">
        <f>IF(COUNTIFS(Admin!$A$29:$A$40,AI285)&gt;0,Admin!$A$28,IF(COUNTIFS(Admin!$B$29:$B$40,AI285)&gt;0,Admin!$B$28,IF(COUNTIFS(Admin!$C$29:$C$40,AI285)&gt;0,Admin!$C$28,IF(COUNTIFS(Admin!$D$29:$D$40,AI285)&gt;0,Admin!$D$28,"-"))))</f>
        <v>2. mérföldkő</v>
      </c>
      <c r="AK285" s="14" t="s">
        <v>7</v>
      </c>
      <c r="AL285" s="9" t="s">
        <v>56</v>
      </c>
      <c r="AM285" s="131">
        <v>100000</v>
      </c>
      <c r="AN285" s="132">
        <f t="shared" si="584"/>
        <v>13000</v>
      </c>
      <c r="AO285" s="121">
        <v>44</v>
      </c>
      <c r="AP285" s="121">
        <v>18</v>
      </c>
      <c r="AQ285" s="354">
        <f t="shared" si="585"/>
        <v>0.40909090909090912</v>
      </c>
      <c r="AR285" s="133">
        <f t="shared" si="214"/>
        <v>40909</v>
      </c>
      <c r="AS285" s="133">
        <f t="shared" si="500"/>
        <v>5318</v>
      </c>
      <c r="AT285" s="123">
        <f t="shared" si="586"/>
        <v>9.0909090910695767E-7</v>
      </c>
      <c r="AU285" s="124">
        <v>0.13</v>
      </c>
      <c r="AV285" s="394" t="s">
        <v>2784</v>
      </c>
      <c r="AW285" s="15">
        <v>44847</v>
      </c>
      <c r="AX285" s="12" t="s">
        <v>206</v>
      </c>
      <c r="AZ285" s="1" t="s">
        <v>2667</v>
      </c>
      <c r="BA285" s="1" t="s">
        <v>2667</v>
      </c>
      <c r="BB285" s="1" t="s">
        <v>2667</v>
      </c>
      <c r="BC285" s="1" t="s">
        <v>2838</v>
      </c>
      <c r="BD285" s="1" t="str">
        <f t="shared" ref="BD285:BD294" si="672">CONCATENATE(BC285," - ",AE285)</f>
        <v>Segédszemélyzet_MK_3 - Segédszemélyzet</v>
      </c>
    </row>
    <row r="286" spans="1:56" s="1" customFormat="1" hidden="1" x14ac:dyDescent="0.25">
      <c r="A286" s="264" t="str">
        <f>Bérköltség!$B286</f>
        <v>FEOR</v>
      </c>
      <c r="B286" s="264" t="str">
        <f>IFERROR(
IF(AND(Bérköltség!$F286="",H286="NA"),"HIÁNYOS ADATOK",
IF(Bérköltség!$F286&lt;Bérköltség!$U286,Admin!$B$18,Admin!$B$17)),
"")</f>
        <v>FEOR</v>
      </c>
      <c r="C286" s="265">
        <f>IFERROR(INDEX('Historikus berek_2021-2'!$A$1:$F$903,MATCH(AB286,'Historikus berek_2021-2'!$A$1:$A$903,0),4),"")</f>
        <v>304933.33333333331</v>
      </c>
      <c r="D286" s="279">
        <f t="shared" si="531"/>
        <v>124745.45454545454</v>
      </c>
      <c r="E286" s="265">
        <f t="shared" si="532"/>
        <v>40909</v>
      </c>
      <c r="F286" s="266">
        <f t="shared" si="533"/>
        <v>0</v>
      </c>
      <c r="G286" s="267">
        <f t="shared" si="534"/>
        <v>46227.17</v>
      </c>
      <c r="H286" s="268">
        <f>IFERROR(INDEX('FEOR kodok'!$A$2:$J$1126,MATCH(Bérköltség!AB286,'FEOR kodok'!$B$2:$B$1126,0),8),"NA")</f>
        <v>2167</v>
      </c>
      <c r="I286" s="269">
        <f>IFERROR(INDEX('FEOR kodok'!$A$2:$J$1126,MATCH(Bérköltség!AB286,'FEOR kodok'!$B$2:$B$1126,0),10),"NA")</f>
        <v>40</v>
      </c>
      <c r="J286" s="276" t="str">
        <f t="shared" si="535"/>
        <v>40–49 éves</v>
      </c>
      <c r="K286" s="269" t="str">
        <f>IFERROR(INDEX(admin_feor[#All],MATCH(Bérköltség!H286,admin_feor[[#All],[Foglalkozás]],0),2),"NA")</f>
        <v>Biológus, botanikus, zoológus és rokon foglalkozású</v>
      </c>
      <c r="L286" s="270">
        <f>IFERROR(
INDEX('Admin - FEOR'!$A$4:$F$465,MATCH(Bérköltség!H286,'Admin - FEOR'!$A$4:$A$465,0),
IF(J286="30 év alatt",3,
IF(J286="30–39 éves",4,
IF(J286="40–49 éves",5,
IF(J286="50 év és afelett",6
)))))*1,"NA")</f>
        <v>749359</v>
      </c>
      <c r="M286" s="270">
        <f t="shared" si="536"/>
        <v>100000</v>
      </c>
      <c r="N286" s="318">
        <f t="shared" si="537"/>
        <v>0.13344738636621434</v>
      </c>
      <c r="O286" s="270">
        <f>IFERROR(
INDEX('Admin - FEOR'!$A$4:$F$465,MATCH(Bérköltség!H286,'Admin - FEOR'!$A$4:$A$465,0),
IF(J286="30 év alatt",3,
IF(J286="30–39 éves",4,
IF(J286="40–49 éves",5,
IF(J286="50 év és afelett",6
)))))*1.5,"NA")</f>
        <v>1124038.5</v>
      </c>
      <c r="P286" s="270">
        <f t="shared" si="538"/>
        <v>459833.93181818182</v>
      </c>
      <c r="Q286" s="270">
        <f t="shared" si="539"/>
        <v>40909</v>
      </c>
      <c r="R286" s="275">
        <f t="shared" si="540"/>
        <v>0.40909090909090912</v>
      </c>
      <c r="S286" s="270">
        <f t="shared" si="541"/>
        <v>0</v>
      </c>
      <c r="T286" s="270">
        <f t="shared" si="542"/>
        <v>0</v>
      </c>
      <c r="U286" s="271">
        <f t="shared" si="543"/>
        <v>0</v>
      </c>
      <c r="V286" s="272">
        <f t="shared" si="544"/>
        <v>46227</v>
      </c>
      <c r="W286" s="273" t="str">
        <f t="shared" si="545"/>
        <v>Nem szükséges indoklás.</v>
      </c>
      <c r="X286" s="372">
        <f t="shared" si="546"/>
        <v>0</v>
      </c>
      <c r="Y286" s="317">
        <f t="shared" si="547"/>
        <v>40909</v>
      </c>
      <c r="Z286" s="317">
        <f t="shared" si="548"/>
        <v>5318</v>
      </c>
      <c r="AA286" s="12">
        <v>2</v>
      </c>
      <c r="AB286" s="274">
        <v>8424702352</v>
      </c>
      <c r="AC286" s="40" t="s">
        <v>238</v>
      </c>
      <c r="AD286" s="82" t="s">
        <v>75</v>
      </c>
      <c r="AE286" s="41" t="s">
        <v>54</v>
      </c>
      <c r="AF286" s="11" t="s">
        <v>153</v>
      </c>
      <c r="AG286" s="11" t="s">
        <v>168</v>
      </c>
      <c r="AH286" s="14" t="s">
        <v>123</v>
      </c>
      <c r="AI286" s="86" t="s">
        <v>26</v>
      </c>
      <c r="AJ286" s="113" t="str">
        <f>IF(COUNTIFS(Admin!$A$29:$A$40,AI286)&gt;0,Admin!$A$28,IF(COUNTIFS(Admin!$B$29:$B$40,AI286)&gt;0,Admin!$B$28,IF(COUNTIFS(Admin!$C$29:$C$40,AI286)&gt;0,Admin!$C$28,IF(COUNTIFS(Admin!$D$29:$D$40,AI286)&gt;0,Admin!$D$28,"-"))))</f>
        <v>2. mérföldkő</v>
      </c>
      <c r="AK286" s="14" t="s">
        <v>7</v>
      </c>
      <c r="AL286" s="9" t="s">
        <v>56</v>
      </c>
      <c r="AM286" s="131">
        <v>100000</v>
      </c>
      <c r="AN286" s="132">
        <f t="shared" si="584"/>
        <v>13000</v>
      </c>
      <c r="AO286" s="121">
        <v>44</v>
      </c>
      <c r="AP286" s="121">
        <v>18</v>
      </c>
      <c r="AQ286" s="354">
        <f t="shared" si="585"/>
        <v>0.40909090909090912</v>
      </c>
      <c r="AR286" s="133">
        <f t="shared" si="214"/>
        <v>40909</v>
      </c>
      <c r="AS286" s="133">
        <f t="shared" si="500"/>
        <v>5318</v>
      </c>
      <c r="AT286" s="123">
        <f t="shared" si="586"/>
        <v>9.0909090910695767E-7</v>
      </c>
      <c r="AU286" s="124">
        <v>0.13</v>
      </c>
      <c r="AV286" s="394" t="s">
        <v>2784</v>
      </c>
      <c r="AW286" s="15">
        <v>44847</v>
      </c>
      <c r="AX286" s="12" t="s">
        <v>206</v>
      </c>
      <c r="AZ286" s="1" t="s">
        <v>2667</v>
      </c>
      <c r="BA286" s="1" t="s">
        <v>2668</v>
      </c>
      <c r="BB286" s="1" t="s">
        <v>2668</v>
      </c>
      <c r="BC286" s="1" t="s">
        <v>2838</v>
      </c>
      <c r="BD286" s="1" t="str">
        <f t="shared" si="672"/>
        <v>Segédszemélyzet_MK_3 - Segédszemélyzet</v>
      </c>
    </row>
    <row r="287" spans="1:56" s="1" customFormat="1" hidden="1" x14ac:dyDescent="0.25">
      <c r="A287" s="264" t="str">
        <f>Bérköltség!$B287</f>
        <v>FEOR</v>
      </c>
      <c r="B287" s="264" t="str">
        <f>IFERROR(
IF(AND(Bérköltség!$F287="",H287="NA"),"HIÁNYOS ADATOK",
IF(Bérköltség!$F287&lt;Bérköltség!$U287,Admin!$B$18,Admin!$B$17)),
"")</f>
        <v>FEOR</v>
      </c>
      <c r="C287" s="265">
        <f>IFERROR(INDEX('Historikus berek_2021-2'!$A$1:$F$903,MATCH(AB287,'Historikus berek_2021-2'!$A$1:$A$903,0),4),"")</f>
        <v>304933.33333333331</v>
      </c>
      <c r="D287" s="279">
        <f t="shared" si="531"/>
        <v>124745.45454545454</v>
      </c>
      <c r="E287" s="265">
        <f t="shared" si="532"/>
        <v>46227</v>
      </c>
      <c r="F287" s="266">
        <f t="shared" si="533"/>
        <v>0</v>
      </c>
      <c r="G287" s="267">
        <f t="shared" si="534"/>
        <v>52236.509999999995</v>
      </c>
      <c r="H287" s="268">
        <f>IFERROR(INDEX('FEOR kodok'!$A$2:$J$1126,MATCH(Bérköltség!AB287,'FEOR kodok'!$B$2:$B$1126,0),8),"NA")</f>
        <v>2167</v>
      </c>
      <c r="I287" s="269">
        <f>IFERROR(INDEX('FEOR kodok'!$A$2:$J$1126,MATCH(Bérköltség!AB287,'FEOR kodok'!$B$2:$B$1126,0),10),"NA")</f>
        <v>40</v>
      </c>
      <c r="J287" s="276" t="str">
        <f t="shared" si="535"/>
        <v>40–49 éves</v>
      </c>
      <c r="K287" s="269" t="str">
        <f>IFERROR(INDEX(admin_feor[#All],MATCH(Bérköltség!H287,admin_feor[[#All],[Foglalkozás]],0),2),"NA")</f>
        <v>Biológus, botanikus, zoológus és rokon foglalkozású</v>
      </c>
      <c r="L287" s="270">
        <f>IFERROR(
INDEX('Admin - FEOR'!$A$4:$F$465,MATCH(Bérköltség!H287,'Admin - FEOR'!$A$4:$A$465,0),
IF(J287="30 év alatt",3,
IF(J287="30–39 éves",4,
IF(J287="40–49 éves",5,
IF(J287="50 év és afelett",6
)))))*1,"NA")</f>
        <v>749359</v>
      </c>
      <c r="M287" s="270">
        <f t="shared" si="536"/>
        <v>113000</v>
      </c>
      <c r="N287" s="318">
        <f t="shared" si="537"/>
        <v>0.15079554659382219</v>
      </c>
      <c r="O287" s="270">
        <f>IFERROR(
INDEX('Admin - FEOR'!$A$4:$F$465,MATCH(Bérköltség!H287,'Admin - FEOR'!$A$4:$A$465,0),
IF(J287="30 év alatt",3,
IF(J287="30–39 éves",4,
IF(J287="40–49 éves",5,
IF(J287="50 év és afelett",6
)))))*1.5,"NA")</f>
        <v>1124038.5</v>
      </c>
      <c r="P287" s="270">
        <f t="shared" si="538"/>
        <v>459833.93181818182</v>
      </c>
      <c r="Q287" s="270">
        <f t="shared" si="539"/>
        <v>46227</v>
      </c>
      <c r="R287" s="275">
        <f t="shared" si="540"/>
        <v>0.40909090909090912</v>
      </c>
      <c r="S287" s="270">
        <f t="shared" si="541"/>
        <v>0</v>
      </c>
      <c r="T287" s="270">
        <f t="shared" si="542"/>
        <v>0</v>
      </c>
      <c r="U287" s="271">
        <f t="shared" si="543"/>
        <v>0</v>
      </c>
      <c r="V287" s="272">
        <f t="shared" si="544"/>
        <v>52237</v>
      </c>
      <c r="W287" s="273" t="str">
        <f t="shared" si="545"/>
        <v>Nem szükséges indoklás.</v>
      </c>
      <c r="X287" s="372">
        <f t="shared" si="546"/>
        <v>0</v>
      </c>
      <c r="Y287" s="317">
        <f t="shared" si="547"/>
        <v>46227</v>
      </c>
      <c r="Z287" s="317">
        <f t="shared" si="548"/>
        <v>6010</v>
      </c>
      <c r="AA287" s="12">
        <v>2</v>
      </c>
      <c r="AB287" s="274">
        <v>8424702352</v>
      </c>
      <c r="AC287" s="40" t="s">
        <v>238</v>
      </c>
      <c r="AD287" s="82" t="s">
        <v>75</v>
      </c>
      <c r="AE287" s="41" t="s">
        <v>54</v>
      </c>
      <c r="AF287" s="11" t="s">
        <v>153</v>
      </c>
      <c r="AG287" s="11" t="s">
        <v>168</v>
      </c>
      <c r="AH287" s="14" t="s">
        <v>123</v>
      </c>
      <c r="AI287" s="86" t="s">
        <v>32</v>
      </c>
      <c r="AJ287" s="113" t="str">
        <f>IF(COUNTIFS(Admin!$A$29:$A$40,AI287)&gt;0,Admin!$A$28,IF(COUNTIFS(Admin!$B$29:$B$40,AI287)&gt;0,Admin!$B$28,IF(COUNTIFS(Admin!$C$29:$C$40,AI287)&gt;0,Admin!$C$28,IF(COUNTIFS(Admin!$D$29:$D$40,AI287)&gt;0,Admin!$D$28,"-"))))</f>
        <v>2. mérföldkő</v>
      </c>
      <c r="AK287" s="14" t="s">
        <v>7</v>
      </c>
      <c r="AL287" s="9" t="s">
        <v>56</v>
      </c>
      <c r="AM287" s="131">
        <v>113000</v>
      </c>
      <c r="AN287" s="132">
        <f t="shared" si="584"/>
        <v>14690</v>
      </c>
      <c r="AO287" s="121">
        <v>44</v>
      </c>
      <c r="AP287" s="121">
        <v>18</v>
      </c>
      <c r="AQ287" s="354">
        <f t="shared" si="585"/>
        <v>0.40909090909090912</v>
      </c>
      <c r="AR287" s="133">
        <f t="shared" si="214"/>
        <v>46227</v>
      </c>
      <c r="AS287" s="133">
        <f t="shared" si="500"/>
        <v>6010</v>
      </c>
      <c r="AT287" s="123">
        <f t="shared" si="586"/>
        <v>2.4135156878601904E-6</v>
      </c>
      <c r="AU287" s="124">
        <v>0.13</v>
      </c>
      <c r="AV287" s="394" t="s">
        <v>2784</v>
      </c>
      <c r="AW287" s="15">
        <v>44938</v>
      </c>
      <c r="AX287" s="12" t="s">
        <v>206</v>
      </c>
      <c r="AZ287" s="1" t="s">
        <v>2667</v>
      </c>
      <c r="BA287" s="1">
        <v>0</v>
      </c>
      <c r="BB287" s="1">
        <v>0</v>
      </c>
      <c r="BC287" s="1" t="s">
        <v>2838</v>
      </c>
      <c r="BD287" s="1" t="str">
        <f t="shared" si="672"/>
        <v>Segédszemélyzet_MK_3 - Segédszemélyzet</v>
      </c>
    </row>
    <row r="288" spans="1:56" s="1" customFormat="1" hidden="1" x14ac:dyDescent="0.25">
      <c r="A288" s="264" t="str">
        <f>Bérköltség!$B288</f>
        <v>FEOR</v>
      </c>
      <c r="B288" s="264" t="str">
        <f>IFERROR(
IF(AND(Bérköltség!$F288="",H288="NA"),"HIÁNYOS ADATOK",
IF(Bérköltség!$F288&lt;Bérköltség!$U288,Admin!$B$18,Admin!$B$17)),
"")</f>
        <v>FEOR</v>
      </c>
      <c r="C288" s="265">
        <f>IFERROR(INDEX('Historikus berek_2021-2'!$A$1:$F$903,MATCH(AB288,'Historikus berek_2021-2'!$A$1:$A$903,0),4),"")</f>
        <v>304933.33333333331</v>
      </c>
      <c r="D288" s="279">
        <f t="shared" ref="D288:D362" si="673">IFERROR(C288*AQ288,"")</f>
        <v>124745.45454545454</v>
      </c>
      <c r="E288" s="265">
        <f t="shared" ref="E288:E362" si="674">AR288</f>
        <v>46227</v>
      </c>
      <c r="F288" s="266">
        <f t="shared" ref="F288:F362" si="675">IFERROR(IF((E288*(1+AU288)-D288*(1+AU288))&lt;0,0,(E288*(1+AU288)-D288*(1+AU288))),"")</f>
        <v>0</v>
      </c>
      <c r="G288" s="267">
        <f t="shared" ref="G288:G362" si="676">IFERROR((E288*(1+AU288)-F288),"")</f>
        <v>52236.509999999995</v>
      </c>
      <c r="H288" s="268">
        <f>IFERROR(INDEX('FEOR kodok'!$A$2:$J$1126,MATCH(Bérköltség!AB288,'FEOR kodok'!$B$2:$B$1126,0),8),"NA")</f>
        <v>2167</v>
      </c>
      <c r="I288" s="269">
        <f>IFERROR(INDEX('FEOR kodok'!$A$2:$J$1126,MATCH(Bérköltség!AB288,'FEOR kodok'!$B$2:$B$1126,0),10),"NA")</f>
        <v>40</v>
      </c>
      <c r="J288" s="276" t="str">
        <f t="shared" ref="J288:J362" si="677">IF(I288="NA","NA",
IF(I288&lt;30,"30 év alatt",
IF(AND(I288&gt;=30,I288&lt;=39),"30–39 éves",
IF(AND(I288&gt;=40,I288&lt;=49),"40–49 éves",
IF(I288&gt;=50,"50 év és afelett",
"")))))</f>
        <v>40–49 éves</v>
      </c>
      <c r="K288" s="269" t="str">
        <f>IFERROR(INDEX(admin_feor[#All],MATCH(Bérköltség!H288,admin_feor[[#All],[Foglalkozás]],0),2),"NA")</f>
        <v>Biológus, botanikus, zoológus és rokon foglalkozású</v>
      </c>
      <c r="L288" s="270">
        <f>IFERROR(
INDEX('Admin - FEOR'!$A$4:$F$465,MATCH(Bérköltség!H288,'Admin - FEOR'!$A$4:$A$465,0),
IF(J288="30 év alatt",3,
IF(J288="30–39 éves",4,
IF(J288="40–49 éves",5,
IF(J288="50 év és afelett",6
)))))*1,"NA")</f>
        <v>749359</v>
      </c>
      <c r="M288" s="270">
        <f t="shared" ref="M288:M362" si="678">AM288</f>
        <v>113000</v>
      </c>
      <c r="N288" s="318">
        <f t="shared" ref="N288:N362" si="679">IFERROR(
M288/L288,"NA")</f>
        <v>0.15079554659382219</v>
      </c>
      <c r="O288" s="270">
        <f>IFERROR(
INDEX('Admin - FEOR'!$A$4:$F$465,MATCH(Bérköltség!H288,'Admin - FEOR'!$A$4:$A$465,0),
IF(J288="30 év alatt",3,
IF(J288="30–39 éves",4,
IF(J288="40–49 éves",5,
IF(J288="50 év és afelett",6
)))))*1.5,"NA")</f>
        <v>1124038.5</v>
      </c>
      <c r="P288" s="270">
        <f t="shared" ref="P288:P362" si="680">IFERROR(
AQ288*O288,"NA")</f>
        <v>459833.93181818182</v>
      </c>
      <c r="Q288" s="270">
        <f t="shared" ref="Q288:Q362" si="681">IFERROR(AR288,"")</f>
        <v>46227</v>
      </c>
      <c r="R288" s="275">
        <f t="shared" ref="R288:R362" si="682">IFERROR(AQ288,"")</f>
        <v>0.40909090909090912</v>
      </c>
      <c r="S288" s="270">
        <f t="shared" ref="S288:S362" si="683">IFERROR(
IF(AR288-P288&lt;0,0,AR288-P288),"NA")</f>
        <v>0</v>
      </c>
      <c r="T288" s="270">
        <f t="shared" ref="T288:T362" si="684">IFERROR(
S288*AU288,"NA")</f>
        <v>0</v>
      </c>
      <c r="U288" s="271">
        <f t="shared" ref="U288:U362" si="685">IFERROR(
S288+T288,"NA")</f>
        <v>0</v>
      </c>
      <c r="V288" s="272">
        <f t="shared" ref="V288:V362" si="686">IFERROR(
IF(U288&gt;0,AR288+AS288-U288,AR288+AS288),"NA")</f>
        <v>52237</v>
      </c>
      <c r="W288" s="273" t="str">
        <f t="shared" ref="W288:W362" si="687">IF(P288="NA","FEOR hiányzik",
IF(AND(N288&gt;1,A288="FEOR"),CONCATENATE("Indoklás szükséges mivel a FEOR: ",ROUND(N288*100,1),"%"),"Nem szükséges indoklás.")
)</f>
        <v>Nem szükséges indoklás.</v>
      </c>
      <c r="X288" s="372">
        <f t="shared" ref="X288:X362" si="688">IF(A288="FEOR",U288,IF(A288="HIÁNYOS ADATOK","HIÁNYOS ADATOK",F288))</f>
        <v>0</v>
      </c>
      <c r="Y288" s="317">
        <f t="shared" ref="Y288:Y362" si="689">IF(A288="FEOR",ROUND((V288/(1+AU288)),0),IF(A288="HIÁNYOS ADATOK","HIÁNYOS ADATOK",ROUND(G288/(1+AU288),0)))</f>
        <v>46227</v>
      </c>
      <c r="Z288" s="317">
        <f t="shared" ref="Z288:Z362" si="690">IF(A288="FEOR",ROUND((V288-Y288),0),IF(A288="HIÁNYOS ADATOK","HIÁNYOS ADATOK",ROUND((G288-Y288),0)))</f>
        <v>6010</v>
      </c>
      <c r="AA288" s="12">
        <v>2</v>
      </c>
      <c r="AB288" s="274">
        <v>8424702352</v>
      </c>
      <c r="AC288" s="40" t="s">
        <v>238</v>
      </c>
      <c r="AD288" s="82" t="s">
        <v>75</v>
      </c>
      <c r="AE288" s="41" t="s">
        <v>54</v>
      </c>
      <c r="AF288" s="11" t="s">
        <v>153</v>
      </c>
      <c r="AG288" s="11" t="s">
        <v>168</v>
      </c>
      <c r="AH288" s="14" t="s">
        <v>123</v>
      </c>
      <c r="AI288" s="86" t="s">
        <v>33</v>
      </c>
      <c r="AJ288" s="113" t="str">
        <f>IF(COUNTIFS(Admin!$A$29:$A$40,AI288)&gt;0,Admin!$A$28,IF(COUNTIFS(Admin!$B$29:$B$40,AI288)&gt;0,Admin!$B$28,IF(COUNTIFS(Admin!$C$29:$C$40,AI288)&gt;0,Admin!$C$28,IF(COUNTIFS(Admin!$D$29:$D$40,AI288)&gt;0,Admin!$D$28,"-"))))</f>
        <v>2. mérföldkő</v>
      </c>
      <c r="AK288" s="14" t="s">
        <v>7</v>
      </c>
      <c r="AL288" s="9" t="s">
        <v>56</v>
      </c>
      <c r="AM288" s="131">
        <v>113000</v>
      </c>
      <c r="AN288" s="132">
        <f t="shared" si="584"/>
        <v>14690</v>
      </c>
      <c r="AO288" s="121">
        <v>44</v>
      </c>
      <c r="AP288" s="121">
        <v>18</v>
      </c>
      <c r="AQ288" s="354">
        <f t="shared" si="585"/>
        <v>0.40909090909090912</v>
      </c>
      <c r="AR288" s="133">
        <f t="shared" si="214"/>
        <v>46227</v>
      </c>
      <c r="AS288" s="133">
        <f t="shared" si="500"/>
        <v>6010</v>
      </c>
      <c r="AT288" s="123">
        <f t="shared" si="586"/>
        <v>2.4135156878601904E-6</v>
      </c>
      <c r="AU288" s="124">
        <v>0.13</v>
      </c>
      <c r="AV288" s="394" t="s">
        <v>2784</v>
      </c>
      <c r="AW288" s="15">
        <v>44938</v>
      </c>
      <c r="AX288" s="12" t="s">
        <v>206</v>
      </c>
      <c r="AZ288" s="8" t="e">
        <f>IF(VLOOKUP(LEFT($AB288,10),'Havi béradatok'!$B:$E,2,FALSE)=AG288,"EGYEZIK","HIBÁS")</f>
        <v>#N/A</v>
      </c>
      <c r="BA288" s="1" t="e">
        <f>VLOOKUP(LEFT($AB288,10),'Havi béradatok'!$B:$E,3,FALSE)-AM288</f>
        <v>#N/A</v>
      </c>
      <c r="BB288" s="1" t="e">
        <f>VLOOKUP(LEFT($AB288,10),'Havi béradatok'!$B:$E,4,FALSE)-AN288</f>
        <v>#N/A</v>
      </c>
      <c r="BC288" s="1" t="s">
        <v>2838</v>
      </c>
      <c r="BD288" s="1" t="str">
        <f t="shared" si="672"/>
        <v>Segédszemélyzet_MK_3 - Segédszemélyzet</v>
      </c>
    </row>
    <row r="289" spans="1:56" s="1" customFormat="1" hidden="1" x14ac:dyDescent="0.25">
      <c r="A289" s="264" t="str">
        <f>Bérköltség!$B289</f>
        <v>FEOR</v>
      </c>
      <c r="B289" s="264" t="str">
        <f>IFERROR(
IF(AND(Bérköltség!$F289="",H289="NA"),"HIÁNYOS ADATOK",
IF(Bérköltség!$F289&lt;Bérköltség!$U289,Admin!$B$18,Admin!$B$17)),
"")</f>
        <v>FEOR</v>
      </c>
      <c r="C289" s="265">
        <f>IFERROR(INDEX('Historikus berek_2021-2'!$A$1:$F$903,MATCH(AB289,'Historikus berek_2021-2'!$A$1:$A$903,0),4),"")</f>
        <v>304933.33333333331</v>
      </c>
      <c r="D289" s="279">
        <f t="shared" si="673"/>
        <v>124745.45454545454</v>
      </c>
      <c r="E289" s="265">
        <f t="shared" si="674"/>
        <v>46227</v>
      </c>
      <c r="F289" s="266">
        <f t="shared" si="675"/>
        <v>0</v>
      </c>
      <c r="G289" s="267">
        <f t="shared" si="676"/>
        <v>52236.509999999995</v>
      </c>
      <c r="H289" s="268">
        <f>IFERROR(INDEX('FEOR kodok'!$A$2:$J$1126,MATCH(Bérköltség!AB289,'FEOR kodok'!$B$2:$B$1126,0),8),"NA")</f>
        <v>2167</v>
      </c>
      <c r="I289" s="269">
        <f>IFERROR(INDEX('FEOR kodok'!$A$2:$J$1126,MATCH(Bérköltség!AB289,'FEOR kodok'!$B$2:$B$1126,0),10),"NA")</f>
        <v>40</v>
      </c>
      <c r="J289" s="276" t="str">
        <f t="shared" si="677"/>
        <v>40–49 éves</v>
      </c>
      <c r="K289" s="269" t="str">
        <f>IFERROR(INDEX(admin_feor[#All],MATCH(Bérköltség!H289,admin_feor[[#All],[Foglalkozás]],0),2),"NA")</f>
        <v>Biológus, botanikus, zoológus és rokon foglalkozású</v>
      </c>
      <c r="L289" s="270">
        <f>IFERROR(
INDEX('Admin - FEOR'!$A$4:$F$465,MATCH(Bérköltség!H289,'Admin - FEOR'!$A$4:$A$465,0),
IF(J289="30 év alatt",3,
IF(J289="30–39 éves",4,
IF(J289="40–49 éves",5,
IF(J289="50 év és afelett",6
)))))*1,"NA")</f>
        <v>749359</v>
      </c>
      <c r="M289" s="270">
        <f t="shared" si="678"/>
        <v>113000</v>
      </c>
      <c r="N289" s="318">
        <f t="shared" si="679"/>
        <v>0.15079554659382219</v>
      </c>
      <c r="O289" s="270">
        <f>IFERROR(
INDEX('Admin - FEOR'!$A$4:$F$465,MATCH(Bérköltség!H289,'Admin - FEOR'!$A$4:$A$465,0),
IF(J289="30 év alatt",3,
IF(J289="30–39 éves",4,
IF(J289="40–49 éves",5,
IF(J289="50 év és afelett",6
)))))*1.5,"NA")</f>
        <v>1124038.5</v>
      </c>
      <c r="P289" s="270">
        <f t="shared" si="680"/>
        <v>459833.93181818182</v>
      </c>
      <c r="Q289" s="270">
        <f t="shared" si="681"/>
        <v>46227</v>
      </c>
      <c r="R289" s="275">
        <f t="shared" si="682"/>
        <v>0.40909090909090912</v>
      </c>
      <c r="S289" s="270">
        <f t="shared" si="683"/>
        <v>0</v>
      </c>
      <c r="T289" s="270">
        <f t="shared" si="684"/>
        <v>0</v>
      </c>
      <c r="U289" s="271">
        <f t="shared" si="685"/>
        <v>0</v>
      </c>
      <c r="V289" s="272">
        <f t="shared" si="686"/>
        <v>52237</v>
      </c>
      <c r="W289" s="273" t="str">
        <f t="shared" si="687"/>
        <v>Nem szükséges indoklás.</v>
      </c>
      <c r="X289" s="372">
        <f t="shared" si="688"/>
        <v>0</v>
      </c>
      <c r="Y289" s="317">
        <f t="shared" si="689"/>
        <v>46227</v>
      </c>
      <c r="Z289" s="317">
        <f t="shared" si="690"/>
        <v>6010</v>
      </c>
      <c r="AA289" s="12">
        <v>2</v>
      </c>
      <c r="AB289" s="274">
        <v>8424702352</v>
      </c>
      <c r="AC289" s="40" t="s">
        <v>238</v>
      </c>
      <c r="AD289" s="82" t="s">
        <v>75</v>
      </c>
      <c r="AE289" s="41" t="s">
        <v>54</v>
      </c>
      <c r="AF289" s="11" t="s">
        <v>153</v>
      </c>
      <c r="AG289" s="11" t="s">
        <v>168</v>
      </c>
      <c r="AH289" s="14" t="s">
        <v>123</v>
      </c>
      <c r="AI289" s="86" t="s">
        <v>34</v>
      </c>
      <c r="AJ289" s="113" t="str">
        <f>IF(COUNTIFS(Admin!$A$29:$A$40,AI289)&gt;0,Admin!$A$28,IF(COUNTIFS(Admin!$B$29:$B$40,AI289)&gt;0,Admin!$B$28,IF(COUNTIFS(Admin!$C$29:$C$40,AI289)&gt;0,Admin!$C$28,IF(COUNTIFS(Admin!$D$29:$D$40,AI289)&gt;0,Admin!$D$28,"-"))))</f>
        <v>2. mérföldkő</v>
      </c>
      <c r="AK289" s="14" t="s">
        <v>7</v>
      </c>
      <c r="AL289" s="9" t="s">
        <v>56</v>
      </c>
      <c r="AM289" s="131">
        <v>113000</v>
      </c>
      <c r="AN289" s="132">
        <f t="shared" si="584"/>
        <v>14690</v>
      </c>
      <c r="AO289" s="121">
        <v>44</v>
      </c>
      <c r="AP289" s="121">
        <v>18</v>
      </c>
      <c r="AQ289" s="354">
        <f t="shared" si="585"/>
        <v>0.40909090909090912</v>
      </c>
      <c r="AR289" s="133">
        <f t="shared" si="214"/>
        <v>46227</v>
      </c>
      <c r="AS289" s="133">
        <f t="shared" si="500"/>
        <v>6010</v>
      </c>
      <c r="AT289" s="123">
        <f t="shared" si="586"/>
        <v>2.4135156878601904E-6</v>
      </c>
      <c r="AU289" s="124">
        <v>0.13</v>
      </c>
      <c r="AV289" s="394" t="s">
        <v>2784</v>
      </c>
      <c r="AW289" s="15">
        <v>44938</v>
      </c>
      <c r="AX289" s="12" t="s">
        <v>206</v>
      </c>
      <c r="BC289" s="1" t="s">
        <v>2838</v>
      </c>
      <c r="BD289" s="1" t="str">
        <f t="shared" si="672"/>
        <v>Segédszemélyzet_MK_3 - Segédszemélyzet</v>
      </c>
    </row>
    <row r="290" spans="1:56" s="1" customFormat="1" hidden="1" x14ac:dyDescent="0.25">
      <c r="A290" s="264" t="str">
        <f>Bérköltség!$B290</f>
        <v>FEOR</v>
      </c>
      <c r="B290" s="264" t="str">
        <f>IFERROR(
IF(AND(Bérköltség!$F290="",H290="NA"),"HIÁNYOS ADATOK",
IF(Bérköltség!$F290&lt;Bérköltség!$U290,Admin!$B$18,Admin!$B$17)),
"")</f>
        <v>FEOR</v>
      </c>
      <c r="C290" s="265">
        <f>IFERROR(INDEX('Historikus berek_2021-2'!$A$1:$F$903,MATCH(AB290,'Historikus berek_2021-2'!$A$1:$A$903,0),4),"")</f>
        <v>429000</v>
      </c>
      <c r="D290" s="279">
        <f t="shared" si="673"/>
        <v>327913.79310344829</v>
      </c>
      <c r="E290" s="265">
        <f t="shared" si="674"/>
        <v>397471</v>
      </c>
      <c r="F290" s="266">
        <f t="shared" si="675"/>
        <v>78599.64379310346</v>
      </c>
      <c r="G290" s="267">
        <f t="shared" si="676"/>
        <v>370542.58620689652</v>
      </c>
      <c r="H290" s="268">
        <f>IFERROR(INDEX('FEOR kodok'!$A$2:$J$1126,MATCH(Bérköltség!AB290,'FEOR kodok'!$B$2:$B$1126,0),8),"NA")</f>
        <v>3910</v>
      </c>
      <c r="I290" s="269">
        <f>IFERROR(INDEX('FEOR kodok'!$A$2:$J$1126,MATCH(Bérköltség!AB290,'FEOR kodok'!$B$2:$B$1126,0),10),"NA")</f>
        <v>47</v>
      </c>
      <c r="J290" s="276" t="str">
        <f t="shared" si="677"/>
        <v>40–49 éves</v>
      </c>
      <c r="K290" s="269" t="str">
        <f>IFERROR(INDEX(admin_feor[#All],MATCH(Bérköltség!H290,admin_feor[[#All],[Foglalkozás]],0),2),"NA")</f>
        <v>Egyéb ügyintéző</v>
      </c>
      <c r="L290" s="270">
        <f>IFERROR(
INDEX('Admin - FEOR'!$A$4:$F$465,MATCH(Bérköltség!H290,'Admin - FEOR'!$A$4:$A$465,0),
IF(J290="30 év alatt",3,
IF(J290="30–39 éves",4,
IF(J290="40–49 éves",5,
IF(J290="50 év és afelett",6
)))))*1,"NA")</f>
        <v>408626</v>
      </c>
      <c r="M290" s="270">
        <f t="shared" si="678"/>
        <v>520000</v>
      </c>
      <c r="N290" s="318">
        <f t="shared" si="679"/>
        <v>1.272557301786964</v>
      </c>
      <c r="O290" s="270">
        <f>IFERROR(
INDEX('Admin - FEOR'!$A$4:$F$465,MATCH(Bérköltség!H290,'Admin - FEOR'!$A$4:$A$465,0),
IF(J290="30 év alatt",3,
IF(J290="30–39 éves",4,
IF(J290="40–49 éves",5,
IF(J290="50 év és afelett",6
)))))*1.5,"NA")</f>
        <v>612939</v>
      </c>
      <c r="P290" s="270">
        <f t="shared" si="680"/>
        <v>468510.8448275862</v>
      </c>
      <c r="Q290" s="270">
        <f t="shared" si="681"/>
        <v>397471</v>
      </c>
      <c r="R290" s="275">
        <f t="shared" si="682"/>
        <v>0.76436781609195403</v>
      </c>
      <c r="S290" s="270">
        <f t="shared" si="683"/>
        <v>0</v>
      </c>
      <c r="T290" s="270">
        <f t="shared" si="684"/>
        <v>0</v>
      </c>
      <c r="U290" s="271">
        <f t="shared" si="685"/>
        <v>0</v>
      </c>
      <c r="V290" s="272">
        <f t="shared" si="686"/>
        <v>449142</v>
      </c>
      <c r="W290" s="273" t="str">
        <f t="shared" si="687"/>
        <v>Indoklás szükséges mivel a FEOR: 127,3%</v>
      </c>
      <c r="X290" s="372">
        <f t="shared" si="688"/>
        <v>0</v>
      </c>
      <c r="Y290" s="317">
        <f t="shared" si="689"/>
        <v>397471</v>
      </c>
      <c r="Z290" s="317">
        <f t="shared" si="690"/>
        <v>51671</v>
      </c>
      <c r="AA290" s="12">
        <v>2</v>
      </c>
      <c r="AB290" s="274">
        <v>8399231932</v>
      </c>
      <c r="AC290" s="40" t="s">
        <v>248</v>
      </c>
      <c r="AD290" s="82" t="s">
        <v>75</v>
      </c>
      <c r="AE290" s="41" t="s">
        <v>54</v>
      </c>
      <c r="AF290" s="11" t="s">
        <v>153</v>
      </c>
      <c r="AG290" s="11" t="s">
        <v>249</v>
      </c>
      <c r="AH290" s="14" t="s">
        <v>123</v>
      </c>
      <c r="AI290" s="86" t="s">
        <v>25</v>
      </c>
      <c r="AJ290" s="113" t="str">
        <f>IF(COUNTIFS(Admin!$A$29:$A$40,AI290)&gt;0,Admin!$A$28,IF(COUNTIFS(Admin!$B$29:$B$40,AI290)&gt;0,Admin!$B$28,IF(COUNTIFS(Admin!$C$29:$C$40,AI290)&gt;0,Admin!$C$28,IF(COUNTIFS(Admin!$D$29:$D$40,AI290)&gt;0,Admin!$D$28,"-"))))</f>
        <v>2. mérföldkő</v>
      </c>
      <c r="AK290" s="14" t="s">
        <v>7</v>
      </c>
      <c r="AL290" s="9" t="s">
        <v>56</v>
      </c>
      <c r="AM290" s="131">
        <v>520000</v>
      </c>
      <c r="AN290" s="132">
        <f t="shared" si="584"/>
        <v>67600</v>
      </c>
      <c r="AO290" s="121">
        <v>174</v>
      </c>
      <c r="AP290" s="121">
        <v>133</v>
      </c>
      <c r="AQ290" s="354">
        <f t="shared" si="585"/>
        <v>0.76436781609195403</v>
      </c>
      <c r="AR290" s="133">
        <f t="shared" si="214"/>
        <v>397471</v>
      </c>
      <c r="AS290" s="133">
        <f t="shared" si="500"/>
        <v>51671</v>
      </c>
      <c r="AT290" s="123">
        <f t="shared" si="586"/>
        <v>5.0839964638171864E-7</v>
      </c>
      <c r="AU290" s="124">
        <v>0.13</v>
      </c>
      <c r="AV290" s="394" t="s">
        <v>2785</v>
      </c>
      <c r="AW290" s="15">
        <v>44853</v>
      </c>
      <c r="AX290" s="12" t="s">
        <v>206</v>
      </c>
      <c r="AZ290" s="1" t="s">
        <v>2667</v>
      </c>
      <c r="BA290" s="1" t="s">
        <v>2667</v>
      </c>
      <c r="BB290" s="1" t="s">
        <v>2667</v>
      </c>
      <c r="BC290" s="1" t="s">
        <v>2839</v>
      </c>
      <c r="BD290" s="1" t="str">
        <f t="shared" si="672"/>
        <v>Segédszemélyzet_MK_2 - Segédszemélyzet</v>
      </c>
    </row>
    <row r="291" spans="1:56" s="1" customFormat="1" hidden="1" x14ac:dyDescent="0.25">
      <c r="A291" s="264" t="str">
        <f>Bérköltség!$B291</f>
        <v>FEOR</v>
      </c>
      <c r="B291" s="264" t="str">
        <f>IFERROR(
IF(AND(Bérköltség!$F291="",H291="NA"),"HIÁNYOS ADATOK",
IF(Bérköltség!$F291&lt;Bérköltség!$U291,Admin!$B$18,Admin!$B$17)),
"")</f>
        <v>FEOR</v>
      </c>
      <c r="C291" s="265">
        <f>IFERROR(INDEX('Historikus berek_2021-2'!$A$1:$F$903,MATCH(AB291,'Historikus berek_2021-2'!$A$1:$A$903,0),4),"")</f>
        <v>429000</v>
      </c>
      <c r="D291" s="279">
        <f t="shared" si="673"/>
        <v>327913.79310344829</v>
      </c>
      <c r="E291" s="265">
        <f t="shared" si="674"/>
        <v>397471</v>
      </c>
      <c r="F291" s="266">
        <f t="shared" si="675"/>
        <v>78599.64379310346</v>
      </c>
      <c r="G291" s="267">
        <f t="shared" si="676"/>
        <v>370542.58620689652</v>
      </c>
      <c r="H291" s="268">
        <f>IFERROR(INDEX('FEOR kodok'!$A$2:$J$1126,MATCH(Bérköltség!AB291,'FEOR kodok'!$B$2:$B$1126,0),8),"NA")</f>
        <v>3910</v>
      </c>
      <c r="I291" s="269">
        <f>IFERROR(INDEX('FEOR kodok'!$A$2:$J$1126,MATCH(Bérköltség!AB291,'FEOR kodok'!$B$2:$B$1126,0),10),"NA")</f>
        <v>47</v>
      </c>
      <c r="J291" s="276" t="str">
        <f t="shared" si="677"/>
        <v>40–49 éves</v>
      </c>
      <c r="K291" s="269" t="str">
        <f>IFERROR(INDEX(admin_feor[#All],MATCH(Bérköltség!H291,admin_feor[[#All],[Foglalkozás]],0),2),"NA")</f>
        <v>Egyéb ügyintéző</v>
      </c>
      <c r="L291" s="270">
        <f>IFERROR(
INDEX('Admin - FEOR'!$A$4:$F$465,MATCH(Bérköltség!H291,'Admin - FEOR'!$A$4:$A$465,0),
IF(J291="30 év alatt",3,
IF(J291="30–39 éves",4,
IF(J291="40–49 éves",5,
IF(J291="50 év és afelett",6
)))))*1,"NA")</f>
        <v>408626</v>
      </c>
      <c r="M291" s="270">
        <f t="shared" si="678"/>
        <v>520000</v>
      </c>
      <c r="N291" s="318">
        <f t="shared" si="679"/>
        <v>1.272557301786964</v>
      </c>
      <c r="O291" s="270">
        <f>IFERROR(
INDEX('Admin - FEOR'!$A$4:$F$465,MATCH(Bérköltség!H291,'Admin - FEOR'!$A$4:$A$465,0),
IF(J291="30 év alatt",3,
IF(J291="30–39 éves",4,
IF(J291="40–49 éves",5,
IF(J291="50 év és afelett",6
)))))*1.5,"NA")</f>
        <v>612939</v>
      </c>
      <c r="P291" s="270">
        <f t="shared" si="680"/>
        <v>468510.8448275862</v>
      </c>
      <c r="Q291" s="270">
        <f t="shared" si="681"/>
        <v>397471</v>
      </c>
      <c r="R291" s="275">
        <f t="shared" si="682"/>
        <v>0.76436781609195403</v>
      </c>
      <c r="S291" s="270">
        <f t="shared" si="683"/>
        <v>0</v>
      </c>
      <c r="T291" s="270">
        <f t="shared" si="684"/>
        <v>0</v>
      </c>
      <c r="U291" s="271">
        <f t="shared" si="685"/>
        <v>0</v>
      </c>
      <c r="V291" s="272">
        <f t="shared" si="686"/>
        <v>449142</v>
      </c>
      <c r="W291" s="273" t="str">
        <f t="shared" si="687"/>
        <v>Indoklás szükséges mivel a FEOR: 127,3%</v>
      </c>
      <c r="X291" s="372">
        <f t="shared" si="688"/>
        <v>0</v>
      </c>
      <c r="Y291" s="317">
        <f t="shared" si="689"/>
        <v>397471</v>
      </c>
      <c r="Z291" s="317">
        <f t="shared" si="690"/>
        <v>51671</v>
      </c>
      <c r="AA291" s="12">
        <v>2</v>
      </c>
      <c r="AB291" s="274">
        <v>8399231932</v>
      </c>
      <c r="AC291" s="40" t="s">
        <v>248</v>
      </c>
      <c r="AD291" s="82" t="s">
        <v>75</v>
      </c>
      <c r="AE291" s="41" t="s">
        <v>54</v>
      </c>
      <c r="AF291" s="11" t="s">
        <v>153</v>
      </c>
      <c r="AG291" s="11" t="s">
        <v>249</v>
      </c>
      <c r="AH291" s="14" t="s">
        <v>123</v>
      </c>
      <c r="AI291" s="86" t="s">
        <v>26</v>
      </c>
      <c r="AJ291" s="113" t="str">
        <f>IF(COUNTIFS(Admin!$A$29:$A$40,AI291)&gt;0,Admin!$A$28,IF(COUNTIFS(Admin!$B$29:$B$40,AI291)&gt;0,Admin!$B$28,IF(COUNTIFS(Admin!$C$29:$C$40,AI291)&gt;0,Admin!$C$28,IF(COUNTIFS(Admin!$D$29:$D$40,AI291)&gt;0,Admin!$D$28,"-"))))</f>
        <v>2. mérföldkő</v>
      </c>
      <c r="AK291" s="14" t="s">
        <v>7</v>
      </c>
      <c r="AL291" s="9" t="s">
        <v>56</v>
      </c>
      <c r="AM291" s="131">
        <v>520000</v>
      </c>
      <c r="AN291" s="132">
        <f t="shared" si="584"/>
        <v>67600</v>
      </c>
      <c r="AO291" s="121">
        <v>174</v>
      </c>
      <c r="AP291" s="121">
        <v>133</v>
      </c>
      <c r="AQ291" s="354">
        <f t="shared" si="585"/>
        <v>0.76436781609195403</v>
      </c>
      <c r="AR291" s="133">
        <f t="shared" si="214"/>
        <v>397471</v>
      </c>
      <c r="AS291" s="133">
        <f t="shared" si="500"/>
        <v>51671</v>
      </c>
      <c r="AT291" s="123">
        <f t="shared" si="586"/>
        <v>5.0839964638171864E-7</v>
      </c>
      <c r="AU291" s="124">
        <v>0.13</v>
      </c>
      <c r="AV291" s="394" t="s">
        <v>2785</v>
      </c>
      <c r="AW291" s="15">
        <v>44853</v>
      </c>
      <c r="AX291" s="12" t="s">
        <v>206</v>
      </c>
      <c r="AZ291" s="1" t="s">
        <v>2667</v>
      </c>
      <c r="BA291" s="1" t="s">
        <v>2668</v>
      </c>
      <c r="BB291" s="1" t="s">
        <v>2668</v>
      </c>
      <c r="BC291" s="1" t="s">
        <v>2839</v>
      </c>
      <c r="BD291" s="1" t="str">
        <f t="shared" si="672"/>
        <v>Segédszemélyzet_MK_2 - Segédszemélyzet</v>
      </c>
    </row>
    <row r="292" spans="1:56" s="1" customFormat="1" hidden="1" x14ac:dyDescent="0.25">
      <c r="A292" s="264" t="str">
        <f>Bérköltség!$B292</f>
        <v>FEOR</v>
      </c>
      <c r="B292" s="264" t="str">
        <f>IFERROR(
IF(AND(Bérköltség!$F292="",H292="NA"),"HIÁNYOS ADATOK",
IF(Bérköltség!$F292&lt;Bérköltség!$U292,Admin!$B$18,Admin!$B$17)),
"")</f>
        <v>FEOR</v>
      </c>
      <c r="C292" s="265">
        <f>IFERROR(INDEX('Historikus berek_2021-2'!$A$1:$F$903,MATCH(AB292,'Historikus berek_2021-2'!$A$1:$A$903,0),4),"")</f>
        <v>429000</v>
      </c>
      <c r="D292" s="279">
        <f t="shared" si="673"/>
        <v>327913.79310344829</v>
      </c>
      <c r="E292" s="265">
        <f t="shared" si="674"/>
        <v>437218</v>
      </c>
      <c r="F292" s="266">
        <f t="shared" si="675"/>
        <v>123513.75379310345</v>
      </c>
      <c r="G292" s="267">
        <f t="shared" si="676"/>
        <v>370542.58620689652</v>
      </c>
      <c r="H292" s="268">
        <f>IFERROR(INDEX('FEOR kodok'!$A$2:$J$1126,MATCH(Bérköltség!AB292,'FEOR kodok'!$B$2:$B$1126,0),8),"NA")</f>
        <v>3910</v>
      </c>
      <c r="I292" s="269">
        <f>IFERROR(INDEX('FEOR kodok'!$A$2:$J$1126,MATCH(Bérköltség!AB292,'FEOR kodok'!$B$2:$B$1126,0),10),"NA")</f>
        <v>47</v>
      </c>
      <c r="J292" s="276" t="str">
        <f t="shared" si="677"/>
        <v>40–49 éves</v>
      </c>
      <c r="K292" s="269" t="str">
        <f>IFERROR(INDEX(admin_feor[#All],MATCH(Bérköltség!H292,admin_feor[[#All],[Foglalkozás]],0),2),"NA")</f>
        <v>Egyéb ügyintéző</v>
      </c>
      <c r="L292" s="270">
        <f>IFERROR(
INDEX('Admin - FEOR'!$A$4:$F$465,MATCH(Bérköltség!H292,'Admin - FEOR'!$A$4:$A$465,0),
IF(J292="30 év alatt",3,
IF(J292="30–39 éves",4,
IF(J292="40–49 éves",5,
IF(J292="50 év és afelett",6
)))))*1,"NA")</f>
        <v>408626</v>
      </c>
      <c r="M292" s="270">
        <f t="shared" si="678"/>
        <v>572000</v>
      </c>
      <c r="N292" s="318">
        <f t="shared" si="679"/>
        <v>1.3998130319656605</v>
      </c>
      <c r="O292" s="270">
        <f>IFERROR(
INDEX('Admin - FEOR'!$A$4:$F$465,MATCH(Bérköltség!H292,'Admin - FEOR'!$A$4:$A$465,0),
IF(J292="30 év alatt",3,
IF(J292="30–39 éves",4,
IF(J292="40–49 éves",5,
IF(J292="50 év és afelett",6
)))))*1.5,"NA")</f>
        <v>612939</v>
      </c>
      <c r="P292" s="270">
        <f t="shared" si="680"/>
        <v>468510.8448275862</v>
      </c>
      <c r="Q292" s="270">
        <f t="shared" si="681"/>
        <v>437218</v>
      </c>
      <c r="R292" s="275">
        <f t="shared" si="682"/>
        <v>0.76436781609195403</v>
      </c>
      <c r="S292" s="270">
        <f t="shared" si="683"/>
        <v>0</v>
      </c>
      <c r="T292" s="270">
        <f t="shared" si="684"/>
        <v>0</v>
      </c>
      <c r="U292" s="271">
        <f t="shared" si="685"/>
        <v>0</v>
      </c>
      <c r="V292" s="272">
        <f t="shared" si="686"/>
        <v>494056</v>
      </c>
      <c r="W292" s="273" t="str">
        <f t="shared" si="687"/>
        <v>Indoklás szükséges mivel a FEOR: 140%</v>
      </c>
      <c r="X292" s="372">
        <f t="shared" si="688"/>
        <v>0</v>
      </c>
      <c r="Y292" s="317">
        <f t="shared" si="689"/>
        <v>437218</v>
      </c>
      <c r="Z292" s="317">
        <f t="shared" si="690"/>
        <v>56838</v>
      </c>
      <c r="AA292" s="12">
        <v>2</v>
      </c>
      <c r="AB292" s="274">
        <v>8399231932</v>
      </c>
      <c r="AC292" s="40" t="s">
        <v>248</v>
      </c>
      <c r="AD292" s="82" t="s">
        <v>75</v>
      </c>
      <c r="AE292" s="41" t="s">
        <v>54</v>
      </c>
      <c r="AF292" s="11" t="s">
        <v>153</v>
      </c>
      <c r="AG292" s="11" t="s">
        <v>249</v>
      </c>
      <c r="AH292" s="14" t="s">
        <v>123</v>
      </c>
      <c r="AI292" s="86" t="s">
        <v>32</v>
      </c>
      <c r="AJ292" s="113" t="str">
        <f>IF(COUNTIFS(Admin!$A$29:$A$40,AI292)&gt;0,Admin!$A$28,IF(COUNTIFS(Admin!$B$29:$B$40,AI292)&gt;0,Admin!$B$28,IF(COUNTIFS(Admin!$C$29:$C$40,AI292)&gt;0,Admin!$C$28,IF(COUNTIFS(Admin!$D$29:$D$40,AI292)&gt;0,Admin!$D$28,"-"))))</f>
        <v>2. mérföldkő</v>
      </c>
      <c r="AK292" s="14" t="s">
        <v>7</v>
      </c>
      <c r="AL292" s="9" t="s">
        <v>56</v>
      </c>
      <c r="AM292" s="131">
        <v>572000</v>
      </c>
      <c r="AN292" s="132">
        <f t="shared" si="584"/>
        <v>74360</v>
      </c>
      <c r="AO292" s="121">
        <v>174</v>
      </c>
      <c r="AP292" s="121">
        <v>133</v>
      </c>
      <c r="AQ292" s="354">
        <f t="shared" si="585"/>
        <v>0.76436781609195403</v>
      </c>
      <c r="AR292" s="133">
        <f t="shared" si="214"/>
        <v>437218</v>
      </c>
      <c r="AS292" s="133">
        <f t="shared" si="500"/>
        <v>56838</v>
      </c>
      <c r="AT292" s="123">
        <f t="shared" si="586"/>
        <v>6.8322482116300876E-7</v>
      </c>
      <c r="AU292" s="124">
        <v>0.13</v>
      </c>
      <c r="AV292" s="394" t="s">
        <v>2785</v>
      </c>
      <c r="AW292" s="15">
        <v>44853</v>
      </c>
      <c r="AX292" s="12" t="s">
        <v>206</v>
      </c>
      <c r="AZ292" s="1" t="s">
        <v>2667</v>
      </c>
      <c r="BA292" s="1">
        <v>0</v>
      </c>
      <c r="BB292" s="1">
        <v>0</v>
      </c>
      <c r="BC292" s="1" t="s">
        <v>2839</v>
      </c>
      <c r="BD292" s="1" t="str">
        <f t="shared" si="672"/>
        <v>Segédszemélyzet_MK_2 - Segédszemélyzet</v>
      </c>
    </row>
    <row r="293" spans="1:56" s="1" customFormat="1" hidden="1" x14ac:dyDescent="0.25">
      <c r="A293" s="264" t="str">
        <f>Bérköltség!$B293</f>
        <v>FEOR</v>
      </c>
      <c r="B293" s="264" t="str">
        <f>IFERROR(
IF(AND(Bérköltség!$F293="",H293="NA"),"HIÁNYOS ADATOK",
IF(Bérköltség!$F293&lt;Bérköltség!$U293,Admin!$B$18,Admin!$B$17)),
"")</f>
        <v>FEOR</v>
      </c>
      <c r="C293" s="265">
        <f>IFERROR(INDEX('Historikus berek_2021-2'!$A$1:$F$903,MATCH(AB293,'Historikus berek_2021-2'!$A$1:$A$903,0),4),"")</f>
        <v>429000</v>
      </c>
      <c r="D293" s="279">
        <f t="shared" si="673"/>
        <v>327913.79310344829</v>
      </c>
      <c r="E293" s="265">
        <f t="shared" si="674"/>
        <v>437218</v>
      </c>
      <c r="F293" s="266">
        <f t="shared" si="675"/>
        <v>123513.75379310345</v>
      </c>
      <c r="G293" s="267">
        <f t="shared" si="676"/>
        <v>370542.58620689652</v>
      </c>
      <c r="H293" s="268">
        <f>IFERROR(INDEX('FEOR kodok'!$A$2:$J$1126,MATCH(Bérköltség!AB293,'FEOR kodok'!$B$2:$B$1126,0),8),"NA")</f>
        <v>3910</v>
      </c>
      <c r="I293" s="269">
        <f>IFERROR(INDEX('FEOR kodok'!$A$2:$J$1126,MATCH(Bérköltség!AB293,'FEOR kodok'!$B$2:$B$1126,0),10),"NA")</f>
        <v>47</v>
      </c>
      <c r="J293" s="276" t="str">
        <f t="shared" si="677"/>
        <v>40–49 éves</v>
      </c>
      <c r="K293" s="269" t="str">
        <f>IFERROR(INDEX(admin_feor[#All],MATCH(Bérköltség!H293,admin_feor[[#All],[Foglalkozás]],0),2),"NA")</f>
        <v>Egyéb ügyintéző</v>
      </c>
      <c r="L293" s="270">
        <f>IFERROR(
INDEX('Admin - FEOR'!$A$4:$F$465,MATCH(Bérköltség!H293,'Admin - FEOR'!$A$4:$A$465,0),
IF(J293="30 év alatt",3,
IF(J293="30–39 éves",4,
IF(J293="40–49 éves",5,
IF(J293="50 év és afelett",6
)))))*1,"NA")</f>
        <v>408626</v>
      </c>
      <c r="M293" s="270">
        <f t="shared" si="678"/>
        <v>572000</v>
      </c>
      <c r="N293" s="318">
        <f t="shared" si="679"/>
        <v>1.3998130319656605</v>
      </c>
      <c r="O293" s="270">
        <f>IFERROR(
INDEX('Admin - FEOR'!$A$4:$F$465,MATCH(Bérköltség!H293,'Admin - FEOR'!$A$4:$A$465,0),
IF(J293="30 év alatt",3,
IF(J293="30–39 éves",4,
IF(J293="40–49 éves",5,
IF(J293="50 év és afelett",6
)))))*1.5,"NA")</f>
        <v>612939</v>
      </c>
      <c r="P293" s="270">
        <f t="shared" si="680"/>
        <v>468510.8448275862</v>
      </c>
      <c r="Q293" s="270">
        <f t="shared" si="681"/>
        <v>437218</v>
      </c>
      <c r="R293" s="275">
        <f t="shared" si="682"/>
        <v>0.76436781609195403</v>
      </c>
      <c r="S293" s="270">
        <f t="shared" si="683"/>
        <v>0</v>
      </c>
      <c r="T293" s="270">
        <f t="shared" si="684"/>
        <v>0</v>
      </c>
      <c r="U293" s="271">
        <f t="shared" si="685"/>
        <v>0</v>
      </c>
      <c r="V293" s="272">
        <f t="shared" si="686"/>
        <v>494056</v>
      </c>
      <c r="W293" s="273" t="str">
        <f t="shared" si="687"/>
        <v>Indoklás szükséges mivel a FEOR: 140%</v>
      </c>
      <c r="X293" s="372">
        <f t="shared" si="688"/>
        <v>0</v>
      </c>
      <c r="Y293" s="317">
        <f t="shared" si="689"/>
        <v>437218</v>
      </c>
      <c r="Z293" s="317">
        <f t="shared" si="690"/>
        <v>56838</v>
      </c>
      <c r="AA293" s="12">
        <v>2</v>
      </c>
      <c r="AB293" s="274">
        <v>8399231932</v>
      </c>
      <c r="AC293" s="40" t="s">
        <v>248</v>
      </c>
      <c r="AD293" s="82" t="s">
        <v>75</v>
      </c>
      <c r="AE293" s="41" t="s">
        <v>54</v>
      </c>
      <c r="AF293" s="11" t="s">
        <v>153</v>
      </c>
      <c r="AG293" s="11" t="s">
        <v>249</v>
      </c>
      <c r="AH293" s="14" t="s">
        <v>123</v>
      </c>
      <c r="AI293" s="86" t="s">
        <v>33</v>
      </c>
      <c r="AJ293" s="113" t="str">
        <f>IF(COUNTIFS(Admin!$A$29:$A$40,AI293)&gt;0,Admin!$A$28,IF(COUNTIFS(Admin!$B$29:$B$40,AI293)&gt;0,Admin!$B$28,IF(COUNTIFS(Admin!$C$29:$C$40,AI293)&gt;0,Admin!$C$28,IF(COUNTIFS(Admin!$D$29:$D$40,AI293)&gt;0,Admin!$D$28,"-"))))</f>
        <v>2. mérföldkő</v>
      </c>
      <c r="AK293" s="14" t="s">
        <v>7</v>
      </c>
      <c r="AL293" s="9" t="s">
        <v>56</v>
      </c>
      <c r="AM293" s="131">
        <v>572000</v>
      </c>
      <c r="AN293" s="132">
        <f t="shared" si="584"/>
        <v>74360</v>
      </c>
      <c r="AO293" s="121">
        <v>174</v>
      </c>
      <c r="AP293" s="121">
        <v>133</v>
      </c>
      <c r="AQ293" s="354">
        <f t="shared" si="585"/>
        <v>0.76436781609195403</v>
      </c>
      <c r="AR293" s="133">
        <f t="shared" si="214"/>
        <v>437218</v>
      </c>
      <c r="AS293" s="133">
        <f t="shared" si="500"/>
        <v>56838</v>
      </c>
      <c r="AT293" s="123">
        <f t="shared" si="586"/>
        <v>6.8322482116300876E-7</v>
      </c>
      <c r="AU293" s="124">
        <v>0.13</v>
      </c>
      <c r="AV293" s="394" t="s">
        <v>2785</v>
      </c>
      <c r="AW293" s="15">
        <v>44853</v>
      </c>
      <c r="AX293" s="12" t="s">
        <v>206</v>
      </c>
      <c r="AZ293" s="8" t="str">
        <f>IF(VLOOKUP(LEFT($AB293,10),'Havi béradatok'!$B:$E,2,FALSE)=AG293,"EGYEZIK","HIBÁS")</f>
        <v>EGYEZIK</v>
      </c>
      <c r="BA293" s="1">
        <f>VLOOKUP(LEFT($AB293,10),'Havi béradatok'!$B:$E,3,FALSE)-AM293</f>
        <v>195000</v>
      </c>
      <c r="BB293" s="1">
        <f>VLOOKUP(LEFT($AB293,10),'Havi béradatok'!$B:$E,4,FALSE)-AN293</f>
        <v>79430</v>
      </c>
      <c r="BC293" s="1" t="s">
        <v>2839</v>
      </c>
      <c r="BD293" s="1" t="str">
        <f t="shared" si="672"/>
        <v>Segédszemélyzet_MK_2 - Segédszemélyzet</v>
      </c>
    </row>
    <row r="294" spans="1:56" s="1" customFormat="1" hidden="1" x14ac:dyDescent="0.25">
      <c r="A294" s="264" t="str">
        <f>Bérköltség!$B294</f>
        <v>FEOR</v>
      </c>
      <c r="B294" s="264" t="str">
        <f>IFERROR(
IF(AND(Bérköltség!$F294="",H294="NA"),"HIÁNYOS ADATOK",
IF(Bérköltség!$F294&lt;Bérköltség!$U294,Admin!$B$18,Admin!$B$17)),
"")</f>
        <v>FEOR</v>
      </c>
      <c r="C294" s="265">
        <f>IFERROR(INDEX('Historikus berek_2021-2'!$A$1:$F$903,MATCH(AB294,'Historikus berek_2021-2'!$A$1:$A$903,0),4),"")</f>
        <v>429000</v>
      </c>
      <c r="D294" s="279">
        <f t="shared" si="673"/>
        <v>327913.79310344829</v>
      </c>
      <c r="E294" s="265">
        <f t="shared" si="674"/>
        <v>437218</v>
      </c>
      <c r="F294" s="266">
        <f t="shared" si="675"/>
        <v>123513.75379310345</v>
      </c>
      <c r="G294" s="267">
        <f t="shared" si="676"/>
        <v>370542.58620689652</v>
      </c>
      <c r="H294" s="268">
        <f>IFERROR(INDEX('FEOR kodok'!$A$2:$J$1126,MATCH(Bérköltség!AB294,'FEOR kodok'!$B$2:$B$1126,0),8),"NA")</f>
        <v>3910</v>
      </c>
      <c r="I294" s="269">
        <f>IFERROR(INDEX('FEOR kodok'!$A$2:$J$1126,MATCH(Bérköltség!AB294,'FEOR kodok'!$B$2:$B$1126,0),10),"NA")</f>
        <v>47</v>
      </c>
      <c r="J294" s="276" t="str">
        <f t="shared" si="677"/>
        <v>40–49 éves</v>
      </c>
      <c r="K294" s="269" t="str">
        <f>IFERROR(INDEX(admin_feor[#All],MATCH(Bérköltség!H294,admin_feor[[#All],[Foglalkozás]],0),2),"NA")</f>
        <v>Egyéb ügyintéző</v>
      </c>
      <c r="L294" s="270">
        <f>IFERROR(
INDEX('Admin - FEOR'!$A$4:$F$465,MATCH(Bérköltség!H294,'Admin - FEOR'!$A$4:$A$465,0),
IF(J294="30 év alatt",3,
IF(J294="30–39 éves",4,
IF(J294="40–49 éves",5,
IF(J294="50 év és afelett",6
)))))*1,"NA")</f>
        <v>408626</v>
      </c>
      <c r="M294" s="270">
        <f t="shared" si="678"/>
        <v>572000</v>
      </c>
      <c r="N294" s="318">
        <f t="shared" si="679"/>
        <v>1.3998130319656605</v>
      </c>
      <c r="O294" s="270">
        <f>IFERROR(
INDEX('Admin - FEOR'!$A$4:$F$465,MATCH(Bérköltség!H294,'Admin - FEOR'!$A$4:$A$465,0),
IF(J294="30 év alatt",3,
IF(J294="30–39 éves",4,
IF(J294="40–49 éves",5,
IF(J294="50 év és afelett",6
)))))*1.5,"NA")</f>
        <v>612939</v>
      </c>
      <c r="P294" s="270">
        <f t="shared" si="680"/>
        <v>468510.8448275862</v>
      </c>
      <c r="Q294" s="270">
        <f t="shared" si="681"/>
        <v>437218</v>
      </c>
      <c r="R294" s="275">
        <f t="shared" si="682"/>
        <v>0.76436781609195403</v>
      </c>
      <c r="S294" s="270">
        <f t="shared" si="683"/>
        <v>0</v>
      </c>
      <c r="T294" s="270">
        <f t="shared" si="684"/>
        <v>0</v>
      </c>
      <c r="U294" s="271">
        <f t="shared" si="685"/>
        <v>0</v>
      </c>
      <c r="V294" s="272">
        <f t="shared" si="686"/>
        <v>494056</v>
      </c>
      <c r="W294" s="273" t="str">
        <f t="shared" si="687"/>
        <v>Indoklás szükséges mivel a FEOR: 140%</v>
      </c>
      <c r="X294" s="372">
        <f t="shared" si="688"/>
        <v>0</v>
      </c>
      <c r="Y294" s="317">
        <f t="shared" si="689"/>
        <v>437218</v>
      </c>
      <c r="Z294" s="317">
        <f t="shared" si="690"/>
        <v>56838</v>
      </c>
      <c r="AA294" s="12">
        <v>2</v>
      </c>
      <c r="AB294" s="274">
        <v>8399231932</v>
      </c>
      <c r="AC294" s="40" t="s">
        <v>248</v>
      </c>
      <c r="AD294" s="82" t="s">
        <v>75</v>
      </c>
      <c r="AE294" s="41" t="s">
        <v>54</v>
      </c>
      <c r="AF294" s="11" t="s">
        <v>153</v>
      </c>
      <c r="AG294" s="11" t="s">
        <v>249</v>
      </c>
      <c r="AH294" s="14" t="s">
        <v>123</v>
      </c>
      <c r="AI294" s="86" t="s">
        <v>34</v>
      </c>
      <c r="AJ294" s="113" t="str">
        <f>IF(COUNTIFS(Admin!$A$29:$A$40,AI294)&gt;0,Admin!$A$28,IF(COUNTIFS(Admin!$B$29:$B$40,AI294)&gt;0,Admin!$B$28,IF(COUNTIFS(Admin!$C$29:$C$40,AI294)&gt;0,Admin!$C$28,IF(COUNTIFS(Admin!$D$29:$D$40,AI294)&gt;0,Admin!$D$28,"-"))))</f>
        <v>2. mérföldkő</v>
      </c>
      <c r="AK294" s="14" t="s">
        <v>7</v>
      </c>
      <c r="AL294" s="9" t="s">
        <v>56</v>
      </c>
      <c r="AM294" s="131">
        <v>572000</v>
      </c>
      <c r="AN294" s="132">
        <f t="shared" si="584"/>
        <v>74360</v>
      </c>
      <c r="AO294" s="121">
        <v>174</v>
      </c>
      <c r="AP294" s="121">
        <v>133</v>
      </c>
      <c r="AQ294" s="354">
        <f t="shared" si="585"/>
        <v>0.76436781609195403</v>
      </c>
      <c r="AR294" s="133">
        <f t="shared" si="214"/>
        <v>437218</v>
      </c>
      <c r="AS294" s="133">
        <f t="shared" si="500"/>
        <v>56838</v>
      </c>
      <c r="AT294" s="123">
        <f t="shared" si="586"/>
        <v>6.8322482116300876E-7</v>
      </c>
      <c r="AU294" s="124">
        <v>0.13</v>
      </c>
      <c r="AV294" s="394" t="s">
        <v>2785</v>
      </c>
      <c r="AW294" s="15">
        <v>44853</v>
      </c>
      <c r="AX294" s="12" t="s">
        <v>206</v>
      </c>
      <c r="BC294" s="1" t="s">
        <v>2839</v>
      </c>
      <c r="BD294" s="1" t="str">
        <f t="shared" si="672"/>
        <v>Segédszemélyzet_MK_2 - Segédszemélyzet</v>
      </c>
    </row>
    <row r="295" spans="1:56" s="1" customFormat="1" x14ac:dyDescent="0.25">
      <c r="A295" s="264" t="str">
        <f>Bérköltség!$B295</f>
        <v>FEOR</v>
      </c>
      <c r="B295" s="264" t="str">
        <f>IFERROR(
IF(AND(Bérköltség!$F295="",H295="NA"),"HIÁNYOS ADATOK",
IF(Bérköltség!$F295&lt;Bérköltség!$U295,Admin!$B$18,Admin!$B$17)),
"")</f>
        <v>FEOR</v>
      </c>
      <c r="C295" s="265">
        <f>IFERROR(INDEX('Historikus berek_2021-2'!$A$1:$F$903,MATCH(AB295,'Historikus berek_2021-2'!$A$1:$A$903,0),4),"")</f>
        <v>429000</v>
      </c>
      <c r="D295" s="279">
        <f t="shared" ref="D295:D297" si="691">IFERROR(C295*AQ295,"")</f>
        <v>327913.79310344829</v>
      </c>
      <c r="E295" s="265">
        <f t="shared" ref="E295:E297" si="692">AR295</f>
        <v>397471</v>
      </c>
      <c r="F295" s="266">
        <f t="shared" ref="F295:F297" si="693">IFERROR(IF((E295*(1+AU295)-D295*(1+AU295))&lt;0,0,(E295*(1+AU295)-D295*(1+AU295))),"")</f>
        <v>78599.64379310346</v>
      </c>
      <c r="G295" s="267">
        <f t="shared" ref="G295:G297" si="694">IFERROR((E295*(1+AU295)-F295),"")</f>
        <v>370542.58620689652</v>
      </c>
      <c r="H295" s="268">
        <f>IFERROR(INDEX('FEOR kodok'!$A$2:$J$1126,MATCH(Bérköltség!AB295,'FEOR kodok'!$B$2:$B$1126,0),8),"NA")</f>
        <v>3910</v>
      </c>
      <c r="I295" s="269">
        <f>IFERROR(INDEX('FEOR kodok'!$A$2:$J$1126,MATCH(Bérköltség!AB295,'FEOR kodok'!$B$2:$B$1126,0),10),"NA")</f>
        <v>47</v>
      </c>
      <c r="J295" s="276" t="str">
        <f t="shared" ref="J295:J297" si="695">IF(I295="NA","NA",
IF(I295&lt;30,"30 év alatt",
IF(AND(I295&gt;=30,I295&lt;=39),"30–39 éves",
IF(AND(I295&gt;=40,I295&lt;=49),"40–49 éves",
IF(I295&gt;=50,"50 év és afelett",
"")))))</f>
        <v>40–49 éves</v>
      </c>
      <c r="K295" s="269" t="str">
        <f>IFERROR(INDEX(admin_feor[#All],MATCH(Bérköltség!H295,admin_feor[[#All],[Foglalkozás]],0),2),"NA")</f>
        <v>Egyéb ügyintéző</v>
      </c>
      <c r="L295" s="270">
        <f>IFERROR(
INDEX('Admin - FEOR'!$A$4:$F$465,MATCH(Bérköltség!H295,'Admin - FEOR'!$A$4:$A$465,0),
IF(J295="30 év alatt",3,
IF(J295="30–39 éves",4,
IF(J295="40–49 éves",5,
IF(J295="50 év és afelett",6
)))))*1,"NA")</f>
        <v>408626</v>
      </c>
      <c r="M295" s="270">
        <f t="shared" ref="M295:M297" si="696">AM295</f>
        <v>767000</v>
      </c>
      <c r="N295" s="318">
        <f t="shared" ref="N295:N297" si="697">IFERROR(
M295/L295,"NA")</f>
        <v>1.8770220201357721</v>
      </c>
      <c r="O295" s="270">
        <f>IFERROR(
INDEX('Admin - FEOR'!$A$4:$F$465,MATCH(Bérköltség!H295,'Admin - FEOR'!$A$4:$A$465,0),
IF(J295="30 év alatt",3,
IF(J295="30–39 éves",4,
IF(J295="40–49 éves",5,
IF(J295="50 év és afelett",6
)))))*1.5,"NA")</f>
        <v>612939</v>
      </c>
      <c r="P295" s="270">
        <f t="shared" ref="P295:P297" si="698">IFERROR(
AQ295*O295,"NA")</f>
        <v>468510.8448275862</v>
      </c>
      <c r="Q295" s="270">
        <f t="shared" ref="Q295:Q297" si="699">IFERROR(AR295,"")</f>
        <v>397471</v>
      </c>
      <c r="R295" s="275">
        <f t="shared" ref="R295:R297" si="700">IFERROR(AQ295,"")</f>
        <v>0.76436781609195403</v>
      </c>
      <c r="S295" s="270">
        <f t="shared" ref="S295:S297" si="701">IFERROR(
IF(AR295-P295&lt;0,0,AR295-P295),"NA")</f>
        <v>0</v>
      </c>
      <c r="T295" s="270">
        <f t="shared" ref="T295:T297" si="702">IFERROR(
S295*AU295,"NA")</f>
        <v>0</v>
      </c>
      <c r="U295" s="271">
        <f t="shared" ref="U295:U297" si="703">IFERROR(
S295+T295,"NA")</f>
        <v>0</v>
      </c>
      <c r="V295" s="272">
        <f t="shared" ref="V295:V297" si="704">IFERROR(
IF(U295&gt;0,AR295+AS295-U295,AR295+AS295),"NA")</f>
        <v>449142</v>
      </c>
      <c r="W295" s="273" t="str">
        <f t="shared" ref="W295:W297" si="705">IF(P295="NA","FEOR hiányzik",
IF(AND(N295&gt;1,A295="FEOR"),CONCATENATE("Indoklás szükséges mivel a FEOR: ",ROUND(N295*100,1),"%"),"Nem szükséges indoklás.")
)</f>
        <v>Indoklás szükséges mivel a FEOR: 187,7%</v>
      </c>
      <c r="X295" s="372">
        <f t="shared" ref="X295:X297" si="706">IF(A295="FEOR",U295,IF(A295="HIÁNYOS ADATOK","HIÁNYOS ADATOK",F295))</f>
        <v>0</v>
      </c>
      <c r="Y295" s="317">
        <f t="shared" ref="Y295:Y297" si="707">IF(A295="FEOR",ROUND((V295/(1+AU295)),0),IF(A295="HIÁNYOS ADATOK","HIÁNYOS ADATOK",ROUND(G295/(1+AU295),0)))</f>
        <v>397471</v>
      </c>
      <c r="Z295" s="317">
        <f t="shared" ref="Z295:Z297" si="708">IF(A295="FEOR",ROUND((V295-Y295),0),IF(A295="HIÁNYOS ADATOK","HIÁNYOS ADATOK",ROUND((G295-Y295),0)))</f>
        <v>51671</v>
      </c>
      <c r="AA295" s="36"/>
      <c r="AB295" s="274">
        <v>8399231932</v>
      </c>
      <c r="AC295" s="40" t="s">
        <v>248</v>
      </c>
      <c r="AD295" s="82" t="s">
        <v>75</v>
      </c>
      <c r="AE295" s="41" t="s">
        <v>54</v>
      </c>
      <c r="AF295" s="11" t="s">
        <v>153</v>
      </c>
      <c r="AG295" s="11" t="s">
        <v>249</v>
      </c>
      <c r="AH295" s="14" t="s">
        <v>123</v>
      </c>
      <c r="AI295" s="86" t="s">
        <v>35</v>
      </c>
      <c r="AJ295" s="113" t="str">
        <f>IF(COUNTIFS(Admin!$A$29:$A$40,AI295)&gt;0,Admin!$A$28,IF(COUNTIFS(Admin!$B$29:$B$40,AI295)&gt;0,Admin!$B$28,IF(COUNTIFS(Admin!$C$29:$C$40,AI295)&gt;0,Admin!$C$28,IF(COUNTIFS(Admin!$D$29:$D$40,AI295)&gt;0,Admin!$D$28,"-"))))</f>
        <v>3. mérföldkő</v>
      </c>
      <c r="AK295" s="14" t="s">
        <v>7</v>
      </c>
      <c r="AL295" s="9" t="s">
        <v>56</v>
      </c>
      <c r="AM295" s="131">
        <v>767000</v>
      </c>
      <c r="AN295" s="132">
        <f t="shared" ref="AN295" si="709">IFERROR(ROUND(AM295*AU295,0),"")</f>
        <v>99710</v>
      </c>
      <c r="AO295" s="121">
        <v>174</v>
      </c>
      <c r="AP295" s="121">
        <v>133</v>
      </c>
      <c r="AQ295" s="354">
        <f t="shared" ref="AQ295" si="710">IFERROR(AP295/AO295,"")</f>
        <v>0.76436781609195403</v>
      </c>
      <c r="AR295" s="133">
        <v>397471</v>
      </c>
      <c r="AS295" s="133">
        <f t="shared" ref="AS295" si="711">IFERROR(ROUND(AR295*AU295,0),"")</f>
        <v>51671</v>
      </c>
      <c r="AT295" s="123">
        <f t="shared" ref="AT295" si="712">IFERROR(AP295/AO295-AR295/AM295,"")</f>
        <v>0.24615269223276237</v>
      </c>
      <c r="AU295" s="124">
        <v>0.13</v>
      </c>
      <c r="AV295" s="394" t="s">
        <v>2785</v>
      </c>
      <c r="AW295" s="15">
        <v>44995</v>
      </c>
      <c r="AX295" s="12" t="s">
        <v>206</v>
      </c>
      <c r="AZ295" s="1" t="str">
        <f>IF(VLOOKUP(LEFT($AB295,10),'Havi béradatok'!$B:$E,2,FALSE)=AG295,"EGYEZIK","HIBÁS")</f>
        <v>EGYEZIK</v>
      </c>
      <c r="BA295" s="1">
        <f>VLOOKUP(LEFT($AB295,10),'Havi béradatok'!$B:$E,3,FALSE)-AM295</f>
        <v>0</v>
      </c>
      <c r="BB295" s="391">
        <f>VLOOKUP(LEFT($AB295,10),'Havi béradatok'!$B:$E,4,FALSE)-AN295</f>
        <v>54080</v>
      </c>
      <c r="BC295" s="400" t="s">
        <v>2839</v>
      </c>
      <c r="BD295" s="400"/>
    </row>
    <row r="296" spans="1:56" s="1" customFormat="1" hidden="1" x14ac:dyDescent="0.25">
      <c r="A296" s="264" t="str">
        <f>Bérköltség!$B296</f>
        <v>FEOR</v>
      </c>
      <c r="B296" s="264" t="str">
        <f>IFERROR(
IF(AND(Bérköltség!$F296="",H296="NA"),"HIÁNYOS ADATOK",
IF(Bérköltség!$F296&lt;Bérköltség!$U296,Admin!$B$18,Admin!$B$17)),
"")</f>
        <v>FEOR</v>
      </c>
      <c r="C296" s="265">
        <f>IFERROR(INDEX('Historikus berek_2021-2'!$A$1:$F$903,MATCH(AB296,'Historikus berek_2021-2'!$A$1:$A$903,0),4),"")</f>
        <v>429000</v>
      </c>
      <c r="D296" s="279">
        <f t="shared" si="691"/>
        <v>327913.79310344829</v>
      </c>
      <c r="E296" s="265">
        <f t="shared" si="692"/>
        <v>397471</v>
      </c>
      <c r="F296" s="266">
        <f t="shared" si="693"/>
        <v>78599.64379310346</v>
      </c>
      <c r="G296" s="267">
        <f t="shared" si="694"/>
        <v>370542.58620689652</v>
      </c>
      <c r="H296" s="268">
        <f>IFERROR(INDEX('FEOR kodok'!$A$2:$J$1126,MATCH(Bérköltség!AB296,'FEOR kodok'!$B$2:$B$1126,0),8),"NA")</f>
        <v>3910</v>
      </c>
      <c r="I296" s="269">
        <f>IFERROR(INDEX('FEOR kodok'!$A$2:$J$1126,MATCH(Bérköltség!AB296,'FEOR kodok'!$B$2:$B$1126,0),10),"NA")</f>
        <v>47</v>
      </c>
      <c r="J296" s="276" t="str">
        <f t="shared" si="695"/>
        <v>40–49 éves</v>
      </c>
      <c r="K296" s="269" t="str">
        <f>IFERROR(INDEX(admin_feor[#All],MATCH(Bérköltség!H296,admin_feor[[#All],[Foglalkozás]],0),2),"NA")</f>
        <v>Egyéb ügyintéző</v>
      </c>
      <c r="L296" s="270">
        <f>IFERROR(
INDEX('Admin - FEOR'!$A$4:$F$465,MATCH(Bérköltség!H296,'Admin - FEOR'!$A$4:$A$465,0),
IF(J296="30 év alatt",3,
IF(J296="30–39 éves",4,
IF(J296="40–49 éves",5,
IF(J296="50 év és afelett",6
)))))*1,"NA")</f>
        <v>408626</v>
      </c>
      <c r="M296" s="270">
        <f t="shared" si="696"/>
        <v>767000</v>
      </c>
      <c r="N296" s="318">
        <f t="shared" si="697"/>
        <v>1.8770220201357721</v>
      </c>
      <c r="O296" s="270">
        <f>IFERROR(
INDEX('Admin - FEOR'!$A$4:$F$465,MATCH(Bérköltség!H296,'Admin - FEOR'!$A$4:$A$465,0),
IF(J296="30 év alatt",3,
IF(J296="30–39 éves",4,
IF(J296="40–49 éves",5,
IF(J296="50 év és afelett",6
)))))*1.5,"NA")</f>
        <v>612939</v>
      </c>
      <c r="P296" s="270">
        <f t="shared" si="698"/>
        <v>468510.8448275862</v>
      </c>
      <c r="Q296" s="270">
        <f t="shared" si="699"/>
        <v>397471</v>
      </c>
      <c r="R296" s="275">
        <f t="shared" si="700"/>
        <v>0.76436781609195403</v>
      </c>
      <c r="S296" s="270">
        <f t="shared" si="701"/>
        <v>0</v>
      </c>
      <c r="T296" s="270">
        <f t="shared" si="702"/>
        <v>0</v>
      </c>
      <c r="U296" s="271">
        <f t="shared" si="703"/>
        <v>0</v>
      </c>
      <c r="V296" s="272">
        <f t="shared" si="704"/>
        <v>449142</v>
      </c>
      <c r="W296" s="273" t="str">
        <f t="shared" si="705"/>
        <v>Indoklás szükséges mivel a FEOR: 187,7%</v>
      </c>
      <c r="X296" s="372">
        <f t="shared" si="706"/>
        <v>0</v>
      </c>
      <c r="Y296" s="317">
        <f t="shared" si="707"/>
        <v>397471</v>
      </c>
      <c r="Z296" s="317">
        <f t="shared" si="708"/>
        <v>51671</v>
      </c>
      <c r="AA296" s="36"/>
      <c r="AB296" s="274">
        <v>8399231932</v>
      </c>
      <c r="AC296" s="40" t="s">
        <v>248</v>
      </c>
      <c r="AD296" s="82" t="s">
        <v>75</v>
      </c>
      <c r="AE296" s="41" t="s">
        <v>54</v>
      </c>
      <c r="AF296" s="11" t="s">
        <v>153</v>
      </c>
      <c r="AG296" s="11" t="s">
        <v>249</v>
      </c>
      <c r="AH296" s="14" t="s">
        <v>123</v>
      </c>
      <c r="AI296" s="86" t="s">
        <v>36</v>
      </c>
      <c r="AJ296" s="113" t="str">
        <f>IF(COUNTIFS(Admin!$A$29:$A$40,AI296)&gt;0,Admin!$A$28,IF(COUNTIFS(Admin!$B$29:$B$40,AI296)&gt;0,Admin!$B$28,IF(COUNTIFS(Admin!$C$29:$C$40,AI296)&gt;0,Admin!$C$28,IF(COUNTIFS(Admin!$D$29:$D$40,AI296)&gt;0,Admin!$D$28,"-"))))</f>
        <v>3. mérföldkő</v>
      </c>
      <c r="AK296" s="14" t="s">
        <v>141</v>
      </c>
      <c r="AL296" s="9" t="s">
        <v>56</v>
      </c>
      <c r="AM296" s="131">
        <v>767000</v>
      </c>
      <c r="AN296" s="132">
        <f t="shared" ref="AN296:AN297" si="713">IFERROR(ROUND(AM296*AU296,0),"")</f>
        <v>99710</v>
      </c>
      <c r="AO296" s="121">
        <v>174</v>
      </c>
      <c r="AP296" s="121">
        <v>133</v>
      </c>
      <c r="AQ296" s="354">
        <f t="shared" ref="AQ296:AQ297" si="714">IFERROR(AP296/AO296,"")</f>
        <v>0.76436781609195403</v>
      </c>
      <c r="AR296" s="133">
        <v>397471</v>
      </c>
      <c r="AS296" s="133">
        <f t="shared" ref="AS296:AS297" si="715">IFERROR(ROUND(AR296*AU296,0),"")</f>
        <v>51671</v>
      </c>
      <c r="AT296" s="123">
        <f t="shared" ref="AT296:AT297" si="716">IFERROR(AP296/AO296-AR296/AM296,"")</f>
        <v>0.24615269223276237</v>
      </c>
      <c r="AU296" s="124">
        <v>0.13</v>
      </c>
      <c r="AV296" s="394" t="s">
        <v>2785</v>
      </c>
      <c r="AW296" s="15">
        <v>44995</v>
      </c>
      <c r="AX296" s="12" t="s">
        <v>206</v>
      </c>
      <c r="BC296" s="1" t="s">
        <v>2839</v>
      </c>
    </row>
    <row r="297" spans="1:56" s="1" customFormat="1" hidden="1" x14ac:dyDescent="0.25">
      <c r="A297" s="264" t="str">
        <f>Bérköltség!$B297</f>
        <v>FEOR</v>
      </c>
      <c r="B297" s="264" t="str">
        <f>IFERROR(
IF(AND(Bérköltség!$F297="",H297="NA"),"HIÁNYOS ADATOK",
IF(Bérköltség!$F297&lt;Bérköltség!$U297,Admin!$B$18,Admin!$B$17)),
"")</f>
        <v>FEOR</v>
      </c>
      <c r="C297" s="265">
        <f>IFERROR(INDEX('Historikus berek_2021-2'!$A$1:$F$903,MATCH(AB297,'Historikus berek_2021-2'!$A$1:$A$903,0),4),"")</f>
        <v>429000</v>
      </c>
      <c r="D297" s="279">
        <f t="shared" si="691"/>
        <v>327913.79310344829</v>
      </c>
      <c r="E297" s="265">
        <f t="shared" si="692"/>
        <v>397471</v>
      </c>
      <c r="F297" s="266">
        <f t="shared" si="693"/>
        <v>78599.64379310346</v>
      </c>
      <c r="G297" s="267">
        <f t="shared" si="694"/>
        <v>370542.58620689652</v>
      </c>
      <c r="H297" s="268">
        <f>IFERROR(INDEX('FEOR kodok'!$A$2:$J$1126,MATCH(Bérköltség!AB297,'FEOR kodok'!$B$2:$B$1126,0),8),"NA")</f>
        <v>3910</v>
      </c>
      <c r="I297" s="269">
        <f>IFERROR(INDEX('FEOR kodok'!$A$2:$J$1126,MATCH(Bérköltség!AB297,'FEOR kodok'!$B$2:$B$1126,0),10),"NA")</f>
        <v>47</v>
      </c>
      <c r="J297" s="276" t="str">
        <f t="shared" si="695"/>
        <v>40–49 éves</v>
      </c>
      <c r="K297" s="269" t="str">
        <f>IFERROR(INDEX(admin_feor[#All],MATCH(Bérköltség!H297,admin_feor[[#All],[Foglalkozás]],0),2),"NA")</f>
        <v>Egyéb ügyintéző</v>
      </c>
      <c r="L297" s="270">
        <f>IFERROR(
INDEX('Admin - FEOR'!$A$4:$F$465,MATCH(Bérköltség!H297,'Admin - FEOR'!$A$4:$A$465,0),
IF(J297="30 év alatt",3,
IF(J297="30–39 éves",4,
IF(J297="40–49 éves",5,
IF(J297="50 év és afelett",6
)))))*1,"NA")</f>
        <v>408626</v>
      </c>
      <c r="M297" s="270">
        <f t="shared" si="696"/>
        <v>767000</v>
      </c>
      <c r="N297" s="318">
        <f t="shared" si="697"/>
        <v>1.8770220201357721</v>
      </c>
      <c r="O297" s="270">
        <f>IFERROR(
INDEX('Admin - FEOR'!$A$4:$F$465,MATCH(Bérköltség!H297,'Admin - FEOR'!$A$4:$A$465,0),
IF(J297="30 év alatt",3,
IF(J297="30–39 éves",4,
IF(J297="40–49 éves",5,
IF(J297="50 év és afelett",6
)))))*1.5,"NA")</f>
        <v>612939</v>
      </c>
      <c r="P297" s="270">
        <f t="shared" si="698"/>
        <v>468510.8448275862</v>
      </c>
      <c r="Q297" s="270">
        <f t="shared" si="699"/>
        <v>397471</v>
      </c>
      <c r="R297" s="275">
        <f t="shared" si="700"/>
        <v>0.76436781609195403</v>
      </c>
      <c r="S297" s="270">
        <f t="shared" si="701"/>
        <v>0</v>
      </c>
      <c r="T297" s="270">
        <f t="shared" si="702"/>
        <v>0</v>
      </c>
      <c r="U297" s="271">
        <f t="shared" si="703"/>
        <v>0</v>
      </c>
      <c r="V297" s="272">
        <f t="shared" si="704"/>
        <v>449142</v>
      </c>
      <c r="W297" s="273" t="str">
        <f t="shared" si="705"/>
        <v>Indoklás szükséges mivel a FEOR: 187,7%</v>
      </c>
      <c r="X297" s="372">
        <f t="shared" si="706"/>
        <v>0</v>
      </c>
      <c r="Y297" s="317">
        <f t="shared" si="707"/>
        <v>397471</v>
      </c>
      <c r="Z297" s="317">
        <f t="shared" si="708"/>
        <v>51671</v>
      </c>
      <c r="AA297" s="36"/>
      <c r="AB297" s="274">
        <v>8399231932</v>
      </c>
      <c r="AC297" s="40" t="s">
        <v>248</v>
      </c>
      <c r="AD297" s="82" t="s">
        <v>75</v>
      </c>
      <c r="AE297" s="41" t="s">
        <v>54</v>
      </c>
      <c r="AF297" s="11" t="s">
        <v>153</v>
      </c>
      <c r="AG297" s="11" t="s">
        <v>249</v>
      </c>
      <c r="AH297" s="14" t="s">
        <v>123</v>
      </c>
      <c r="AI297" s="86" t="s">
        <v>37</v>
      </c>
      <c r="AJ297" s="113" t="str">
        <f>IF(COUNTIFS(Admin!$A$29:$A$40,AI297)&gt;0,Admin!$A$28,IF(COUNTIFS(Admin!$B$29:$B$40,AI297)&gt;0,Admin!$B$28,IF(COUNTIFS(Admin!$C$29:$C$40,AI297)&gt;0,Admin!$C$28,IF(COUNTIFS(Admin!$D$29:$D$40,AI297)&gt;0,Admin!$D$28,"-"))))</f>
        <v>3. mérföldkő</v>
      </c>
      <c r="AK297" s="14" t="s">
        <v>141</v>
      </c>
      <c r="AL297" s="9" t="s">
        <v>56</v>
      </c>
      <c r="AM297" s="131">
        <v>767000</v>
      </c>
      <c r="AN297" s="132">
        <f t="shared" si="713"/>
        <v>99710</v>
      </c>
      <c r="AO297" s="121">
        <v>174</v>
      </c>
      <c r="AP297" s="121">
        <v>133</v>
      </c>
      <c r="AQ297" s="354">
        <f t="shared" si="714"/>
        <v>0.76436781609195403</v>
      </c>
      <c r="AR297" s="133">
        <v>397471</v>
      </c>
      <c r="AS297" s="133">
        <f t="shared" si="715"/>
        <v>51671</v>
      </c>
      <c r="AT297" s="123">
        <f t="shared" si="716"/>
        <v>0.24615269223276237</v>
      </c>
      <c r="AU297" s="124">
        <v>0.13</v>
      </c>
      <c r="AV297" s="394" t="s">
        <v>2785</v>
      </c>
      <c r="AW297" s="15">
        <v>44995</v>
      </c>
      <c r="AX297" s="12" t="s">
        <v>206</v>
      </c>
      <c r="BC297" s="1" t="s">
        <v>2839</v>
      </c>
    </row>
    <row r="298" spans="1:56" s="1" customFormat="1" hidden="1" x14ac:dyDescent="0.25">
      <c r="A298" s="264" t="str">
        <f>Bérköltség!$B298</f>
        <v>FEOR</v>
      </c>
      <c r="B298" s="264" t="str">
        <f>IFERROR(
IF(AND(Bérköltség!$F298="",H298="NA"),"HIÁNYOS ADATOK",
IF(Bérköltség!$F298&lt;Bérköltség!$U298,Admin!$B$18,Admin!$B$17)),
"")</f>
        <v>FEOR</v>
      </c>
      <c r="C298" s="265">
        <f>IFERROR(INDEX('Historikus berek_2021-2'!$A$1:$F$903,MATCH(AB298,'Historikus berek_2021-2'!$A$1:$A$903,0),4),"")</f>
        <v>773166.66666666663</v>
      </c>
      <c r="D298" s="279">
        <f t="shared" si="673"/>
        <v>257722.22222222219</v>
      </c>
      <c r="E298" s="265">
        <f t="shared" si="674"/>
        <v>300333</v>
      </c>
      <c r="F298" s="266">
        <f t="shared" si="675"/>
        <v>48150.178888888913</v>
      </c>
      <c r="G298" s="267">
        <f t="shared" si="676"/>
        <v>291226.11111111107</v>
      </c>
      <c r="H298" s="268">
        <f>IFERROR(INDEX('FEOR kodok'!$A$2:$J$1126,MATCH(Bérköltség!AB298,'FEOR kodok'!$B$2:$B$1126,0),8),"NA")</f>
        <v>2117</v>
      </c>
      <c r="I298" s="269">
        <f>IFERROR(INDEX('FEOR kodok'!$A$2:$J$1126,MATCH(Bérköltség!AB298,'FEOR kodok'!$B$2:$B$1126,0),10),"NA")</f>
        <v>60</v>
      </c>
      <c r="J298" s="276" t="str">
        <f t="shared" si="677"/>
        <v>50 év és afelett</v>
      </c>
      <c r="K298" s="269" t="str">
        <f>IFERROR(INDEX(admin_feor[#All],MATCH(Bérköltség!H298,admin_feor[[#All],[Foglalkozás]],0),2),"NA")</f>
        <v>Vegyészmérnök</v>
      </c>
      <c r="L298" s="270">
        <f>IFERROR(
INDEX('Admin - FEOR'!$A$4:$F$465,MATCH(Bérköltség!H298,'Admin - FEOR'!$A$4:$A$465,0),
IF(J298="30 év alatt",3,
IF(J298="30–39 éves",4,
IF(J298="40–49 éves",5,
IF(J298="50 év és afelett",6
)))))*1,"NA")</f>
        <v>826737</v>
      </c>
      <c r="M298" s="270">
        <f t="shared" si="678"/>
        <v>901000</v>
      </c>
      <c r="N298" s="318">
        <f t="shared" si="679"/>
        <v>1.0898266316857719</v>
      </c>
      <c r="O298" s="270">
        <f>IFERROR(
INDEX('Admin - FEOR'!$A$4:$F$465,MATCH(Bérköltség!H298,'Admin - FEOR'!$A$4:$A$465,0),
IF(J298="30 év alatt",3,
IF(J298="30–39 éves",4,
IF(J298="40–49 éves",5,
IF(J298="50 év és afelett",6
)))))*1.5,"NA")</f>
        <v>1240105.5</v>
      </c>
      <c r="P298" s="270">
        <f t="shared" si="680"/>
        <v>413368.5</v>
      </c>
      <c r="Q298" s="270">
        <f t="shared" si="681"/>
        <v>300333</v>
      </c>
      <c r="R298" s="275">
        <f t="shared" si="682"/>
        <v>0.33333333333333331</v>
      </c>
      <c r="S298" s="270">
        <f t="shared" si="683"/>
        <v>0</v>
      </c>
      <c r="T298" s="270">
        <f t="shared" si="684"/>
        <v>0</v>
      </c>
      <c r="U298" s="271">
        <f t="shared" si="685"/>
        <v>0</v>
      </c>
      <c r="V298" s="272">
        <f t="shared" si="686"/>
        <v>339376</v>
      </c>
      <c r="W298" s="273" t="str">
        <f t="shared" si="687"/>
        <v>Indoklás szükséges mivel a FEOR: 109%</v>
      </c>
      <c r="X298" s="372">
        <f t="shared" si="688"/>
        <v>0</v>
      </c>
      <c r="Y298" s="317">
        <f t="shared" si="689"/>
        <v>300333</v>
      </c>
      <c r="Z298" s="317">
        <f t="shared" si="690"/>
        <v>39043</v>
      </c>
      <c r="AA298" s="12">
        <v>2</v>
      </c>
      <c r="AB298" s="274">
        <v>8353562642</v>
      </c>
      <c r="AC298" s="40" t="s">
        <v>355</v>
      </c>
      <c r="AD298" s="82" t="s">
        <v>75</v>
      </c>
      <c r="AE298" s="41" t="s">
        <v>52</v>
      </c>
      <c r="AF298" s="11" t="s">
        <v>152</v>
      </c>
      <c r="AG298" s="11" t="s">
        <v>168</v>
      </c>
      <c r="AH298" s="14" t="s">
        <v>122</v>
      </c>
      <c r="AI298" s="86" t="s">
        <v>32</v>
      </c>
      <c r="AJ298" s="113" t="str">
        <f>IF(COUNTIFS(Admin!$A$29:$A$40,AI298)&gt;0,Admin!$A$28,IF(COUNTIFS(Admin!$B$29:$B$40,AI298)&gt;0,Admin!$B$28,IF(COUNTIFS(Admin!$C$29:$C$40,AI298)&gt;0,Admin!$C$28,IF(COUNTIFS(Admin!$D$29:$D$40,AI298)&gt;0,Admin!$D$28,"-"))))</f>
        <v>2. mérföldkő</v>
      </c>
      <c r="AK298" s="14" t="s">
        <v>7</v>
      </c>
      <c r="AL298" s="9" t="s">
        <v>56</v>
      </c>
      <c r="AM298" s="131">
        <v>901000</v>
      </c>
      <c r="AN298" s="132">
        <f t="shared" si="584"/>
        <v>117130</v>
      </c>
      <c r="AO298" s="121">
        <v>174</v>
      </c>
      <c r="AP298" s="121">
        <v>58</v>
      </c>
      <c r="AQ298" s="354">
        <f t="shared" si="585"/>
        <v>0.33333333333333331</v>
      </c>
      <c r="AR298" s="133">
        <f t="shared" si="214"/>
        <v>300333</v>
      </c>
      <c r="AS298" s="133">
        <f t="shared" si="500"/>
        <v>39043</v>
      </c>
      <c r="AT298" s="123">
        <f t="shared" si="586"/>
        <v>3.699593044692584E-7</v>
      </c>
      <c r="AU298" s="124">
        <v>0.13</v>
      </c>
      <c r="AV298" s="394" t="s">
        <v>2786</v>
      </c>
      <c r="AW298" s="15">
        <v>44936</v>
      </c>
      <c r="AX298" s="12" t="s">
        <v>206</v>
      </c>
      <c r="AZ298" s="1" t="s">
        <v>2667</v>
      </c>
      <c r="BA298" s="1">
        <v>1</v>
      </c>
      <c r="BB298" s="1">
        <v>0</v>
      </c>
      <c r="BC298" s="1" t="s">
        <v>2840</v>
      </c>
      <c r="BD298" s="1" t="str">
        <f t="shared" ref="BD298:BD307" si="717">CONCATENATE(BC298," - ",AE298)</f>
        <v>Kutató_VM_8 - Kutató</v>
      </c>
    </row>
    <row r="299" spans="1:56" s="1" customFormat="1" hidden="1" x14ac:dyDescent="0.25">
      <c r="A299" s="264" t="str">
        <f>Bérköltség!$B299</f>
        <v>FEOR</v>
      </c>
      <c r="B299" s="264" t="str">
        <f>IFERROR(
IF(AND(Bérköltség!$F299="",H299="NA"),"HIÁNYOS ADATOK",
IF(Bérköltség!$F299&lt;Bérköltség!$U299,Admin!$B$18,Admin!$B$17)),
"")</f>
        <v>FEOR</v>
      </c>
      <c r="C299" s="265">
        <f>IFERROR(INDEX('Historikus berek_2021-2'!$A$1:$F$903,MATCH(AB299,'Historikus berek_2021-2'!$A$1:$A$903,0),4),"")</f>
        <v>773166.66666666663</v>
      </c>
      <c r="D299" s="279">
        <f t="shared" si="673"/>
        <v>257722.22222222219</v>
      </c>
      <c r="E299" s="265">
        <f t="shared" si="674"/>
        <v>300333</v>
      </c>
      <c r="F299" s="266">
        <f t="shared" si="675"/>
        <v>48150.178888888913</v>
      </c>
      <c r="G299" s="267">
        <f t="shared" si="676"/>
        <v>291226.11111111107</v>
      </c>
      <c r="H299" s="268">
        <f>IFERROR(INDEX('FEOR kodok'!$A$2:$J$1126,MATCH(Bérköltség!AB299,'FEOR kodok'!$B$2:$B$1126,0),8),"NA")</f>
        <v>2117</v>
      </c>
      <c r="I299" s="269">
        <f>IFERROR(INDEX('FEOR kodok'!$A$2:$J$1126,MATCH(Bérköltség!AB299,'FEOR kodok'!$B$2:$B$1126,0),10),"NA")</f>
        <v>60</v>
      </c>
      <c r="J299" s="276" t="str">
        <f t="shared" si="677"/>
        <v>50 év és afelett</v>
      </c>
      <c r="K299" s="269" t="str">
        <f>IFERROR(INDEX(admin_feor[#All],MATCH(Bérköltség!H299,admin_feor[[#All],[Foglalkozás]],0),2),"NA")</f>
        <v>Vegyészmérnök</v>
      </c>
      <c r="L299" s="270">
        <f>IFERROR(
INDEX('Admin - FEOR'!$A$4:$F$465,MATCH(Bérköltség!H299,'Admin - FEOR'!$A$4:$A$465,0),
IF(J299="30 év alatt",3,
IF(J299="30–39 éves",4,
IF(J299="40–49 éves",5,
IF(J299="50 év és afelett",6
)))))*1,"NA")</f>
        <v>826737</v>
      </c>
      <c r="M299" s="270">
        <f t="shared" si="678"/>
        <v>901000</v>
      </c>
      <c r="N299" s="318">
        <f t="shared" si="679"/>
        <v>1.0898266316857719</v>
      </c>
      <c r="O299" s="270">
        <f>IFERROR(
INDEX('Admin - FEOR'!$A$4:$F$465,MATCH(Bérköltség!H299,'Admin - FEOR'!$A$4:$A$465,0),
IF(J299="30 év alatt",3,
IF(J299="30–39 éves",4,
IF(J299="40–49 éves",5,
IF(J299="50 év és afelett",6
)))))*1.5,"NA")</f>
        <v>1240105.5</v>
      </c>
      <c r="P299" s="270">
        <f t="shared" si="680"/>
        <v>413368.5</v>
      </c>
      <c r="Q299" s="270">
        <f t="shared" si="681"/>
        <v>300333</v>
      </c>
      <c r="R299" s="275">
        <f t="shared" si="682"/>
        <v>0.33333333333333331</v>
      </c>
      <c r="S299" s="270">
        <f t="shared" si="683"/>
        <v>0</v>
      </c>
      <c r="T299" s="270">
        <f t="shared" si="684"/>
        <v>0</v>
      </c>
      <c r="U299" s="271">
        <f t="shared" si="685"/>
        <v>0</v>
      </c>
      <c r="V299" s="272">
        <f t="shared" si="686"/>
        <v>339376</v>
      </c>
      <c r="W299" s="273" t="str">
        <f t="shared" si="687"/>
        <v>Indoklás szükséges mivel a FEOR: 109%</v>
      </c>
      <c r="X299" s="372">
        <f t="shared" si="688"/>
        <v>0</v>
      </c>
      <c r="Y299" s="317">
        <f t="shared" si="689"/>
        <v>300333</v>
      </c>
      <c r="Z299" s="317">
        <f t="shared" si="690"/>
        <v>39043</v>
      </c>
      <c r="AA299" s="12">
        <v>2</v>
      </c>
      <c r="AB299" s="274">
        <v>8353562642</v>
      </c>
      <c r="AC299" s="40" t="s">
        <v>355</v>
      </c>
      <c r="AD299" s="82" t="s">
        <v>75</v>
      </c>
      <c r="AE299" s="41" t="s">
        <v>52</v>
      </c>
      <c r="AF299" s="11" t="s">
        <v>152</v>
      </c>
      <c r="AG299" s="11" t="s">
        <v>168</v>
      </c>
      <c r="AH299" s="14" t="s">
        <v>122</v>
      </c>
      <c r="AI299" s="86" t="s">
        <v>33</v>
      </c>
      <c r="AJ299" s="113" t="str">
        <f>IF(COUNTIFS(Admin!$A$29:$A$40,AI299)&gt;0,Admin!$A$28,IF(COUNTIFS(Admin!$B$29:$B$40,AI299)&gt;0,Admin!$B$28,IF(COUNTIFS(Admin!$C$29:$C$40,AI299)&gt;0,Admin!$C$28,IF(COUNTIFS(Admin!$D$29:$D$40,AI299)&gt;0,Admin!$D$28,"-"))))</f>
        <v>2. mérföldkő</v>
      </c>
      <c r="AK299" s="14" t="s">
        <v>7</v>
      </c>
      <c r="AL299" s="9" t="s">
        <v>56</v>
      </c>
      <c r="AM299" s="131">
        <v>901000</v>
      </c>
      <c r="AN299" s="132">
        <f t="shared" si="584"/>
        <v>117130</v>
      </c>
      <c r="AO299" s="121">
        <v>174</v>
      </c>
      <c r="AP299" s="121">
        <v>58</v>
      </c>
      <c r="AQ299" s="354">
        <f t="shared" si="585"/>
        <v>0.33333333333333331</v>
      </c>
      <c r="AR299" s="133">
        <f t="shared" si="214"/>
        <v>300333</v>
      </c>
      <c r="AS299" s="133">
        <f t="shared" si="500"/>
        <v>39043</v>
      </c>
      <c r="AT299" s="123">
        <f t="shared" si="586"/>
        <v>3.699593044692584E-7</v>
      </c>
      <c r="AU299" s="124">
        <v>0.13</v>
      </c>
      <c r="AV299" s="394" t="s">
        <v>2786</v>
      </c>
      <c r="AW299" s="15">
        <v>44936</v>
      </c>
      <c r="AX299" s="12" t="s">
        <v>206</v>
      </c>
      <c r="AZ299" s="8" t="e">
        <f>IF(VLOOKUP(LEFT($AB299,10),'Havi béradatok'!$B:$E,2,FALSE)=AG299,"EGYEZIK","HIBÁS")</f>
        <v>#N/A</v>
      </c>
      <c r="BA299" s="1" t="e">
        <f>VLOOKUP(LEFT($AB299,10),'Havi béradatok'!$B:$E,3,FALSE)-AM299</f>
        <v>#N/A</v>
      </c>
      <c r="BB299" s="1" t="e">
        <f>VLOOKUP(LEFT($AB299,10),'Havi béradatok'!$B:$E,4,FALSE)-AN299</f>
        <v>#N/A</v>
      </c>
      <c r="BC299" s="1" t="s">
        <v>2840</v>
      </c>
      <c r="BD299" s="1" t="str">
        <f t="shared" si="717"/>
        <v>Kutató_VM_8 - Kutató</v>
      </c>
    </row>
    <row r="300" spans="1:56" s="1" customFormat="1" hidden="1" x14ac:dyDescent="0.25">
      <c r="A300" s="264" t="str">
        <f>Bérköltség!$B300</f>
        <v>FEOR</v>
      </c>
      <c r="B300" s="264" t="str">
        <f>IFERROR(
IF(AND(Bérköltség!$F300="",H300="NA"),"HIÁNYOS ADATOK",
IF(Bérköltség!$F300&lt;Bérköltség!$U300,Admin!$B$18,Admin!$B$17)),
"")</f>
        <v>FEOR</v>
      </c>
      <c r="C300" s="265">
        <f>IFERROR(INDEX('Historikus berek_2021-2'!$A$1:$F$903,MATCH(AB300,'Historikus berek_2021-2'!$A$1:$A$903,0),4),"")</f>
        <v>773166.66666666663</v>
      </c>
      <c r="D300" s="279">
        <f t="shared" si="673"/>
        <v>257722.22222222219</v>
      </c>
      <c r="E300" s="265">
        <f t="shared" si="674"/>
        <v>300333</v>
      </c>
      <c r="F300" s="266">
        <f t="shared" si="675"/>
        <v>48150.178888888913</v>
      </c>
      <c r="G300" s="267">
        <f t="shared" si="676"/>
        <v>291226.11111111107</v>
      </c>
      <c r="H300" s="268">
        <f>IFERROR(INDEX('FEOR kodok'!$A$2:$J$1126,MATCH(Bérköltség!AB300,'FEOR kodok'!$B$2:$B$1126,0),8),"NA")</f>
        <v>2117</v>
      </c>
      <c r="I300" s="269">
        <f>IFERROR(INDEX('FEOR kodok'!$A$2:$J$1126,MATCH(Bérköltség!AB300,'FEOR kodok'!$B$2:$B$1126,0),10),"NA")</f>
        <v>60</v>
      </c>
      <c r="J300" s="276" t="str">
        <f t="shared" si="677"/>
        <v>50 év és afelett</v>
      </c>
      <c r="K300" s="269" t="str">
        <f>IFERROR(INDEX(admin_feor[#All],MATCH(Bérköltség!H300,admin_feor[[#All],[Foglalkozás]],0),2),"NA")</f>
        <v>Vegyészmérnök</v>
      </c>
      <c r="L300" s="270">
        <f>IFERROR(
INDEX('Admin - FEOR'!$A$4:$F$465,MATCH(Bérköltség!H300,'Admin - FEOR'!$A$4:$A$465,0),
IF(J300="30 év alatt",3,
IF(J300="30–39 éves",4,
IF(J300="40–49 éves",5,
IF(J300="50 év és afelett",6
)))))*1,"NA")</f>
        <v>826737</v>
      </c>
      <c r="M300" s="270">
        <f t="shared" si="678"/>
        <v>901000</v>
      </c>
      <c r="N300" s="318">
        <f t="shared" si="679"/>
        <v>1.0898266316857719</v>
      </c>
      <c r="O300" s="270">
        <f>IFERROR(
INDEX('Admin - FEOR'!$A$4:$F$465,MATCH(Bérköltség!H300,'Admin - FEOR'!$A$4:$A$465,0),
IF(J300="30 év alatt",3,
IF(J300="30–39 éves",4,
IF(J300="40–49 éves",5,
IF(J300="50 év és afelett",6
)))))*1.5,"NA")</f>
        <v>1240105.5</v>
      </c>
      <c r="P300" s="270">
        <f t="shared" si="680"/>
        <v>413368.5</v>
      </c>
      <c r="Q300" s="270">
        <f t="shared" si="681"/>
        <v>300333</v>
      </c>
      <c r="R300" s="275">
        <f t="shared" si="682"/>
        <v>0.33333333333333331</v>
      </c>
      <c r="S300" s="270">
        <f t="shared" si="683"/>
        <v>0</v>
      </c>
      <c r="T300" s="270">
        <f t="shared" si="684"/>
        <v>0</v>
      </c>
      <c r="U300" s="271">
        <f t="shared" si="685"/>
        <v>0</v>
      </c>
      <c r="V300" s="272">
        <f t="shared" si="686"/>
        <v>339376</v>
      </c>
      <c r="W300" s="273" t="str">
        <f t="shared" si="687"/>
        <v>Indoklás szükséges mivel a FEOR: 109%</v>
      </c>
      <c r="X300" s="372">
        <f t="shared" si="688"/>
        <v>0</v>
      </c>
      <c r="Y300" s="317">
        <f t="shared" si="689"/>
        <v>300333</v>
      </c>
      <c r="Z300" s="317">
        <f t="shared" si="690"/>
        <v>39043</v>
      </c>
      <c r="AA300" s="12">
        <v>2</v>
      </c>
      <c r="AB300" s="274">
        <v>8353562642</v>
      </c>
      <c r="AC300" s="40" t="s">
        <v>355</v>
      </c>
      <c r="AD300" s="82" t="s">
        <v>75</v>
      </c>
      <c r="AE300" s="41" t="s">
        <v>52</v>
      </c>
      <c r="AF300" s="11" t="s">
        <v>152</v>
      </c>
      <c r="AG300" s="11" t="s">
        <v>168</v>
      </c>
      <c r="AH300" s="14" t="s">
        <v>122</v>
      </c>
      <c r="AI300" s="86" t="s">
        <v>34</v>
      </c>
      <c r="AJ300" s="113" t="str">
        <f>IF(COUNTIFS(Admin!$A$29:$A$40,AI300)&gt;0,Admin!$A$28,IF(COUNTIFS(Admin!$B$29:$B$40,AI300)&gt;0,Admin!$B$28,IF(COUNTIFS(Admin!$C$29:$C$40,AI300)&gt;0,Admin!$C$28,IF(COUNTIFS(Admin!$D$29:$D$40,AI300)&gt;0,Admin!$D$28,"-"))))</f>
        <v>2. mérföldkő</v>
      </c>
      <c r="AK300" s="14" t="s">
        <v>7</v>
      </c>
      <c r="AL300" s="9" t="s">
        <v>56</v>
      </c>
      <c r="AM300" s="131">
        <v>901000</v>
      </c>
      <c r="AN300" s="132">
        <f t="shared" si="584"/>
        <v>117130</v>
      </c>
      <c r="AO300" s="121">
        <v>174</v>
      </c>
      <c r="AP300" s="121">
        <v>58</v>
      </c>
      <c r="AQ300" s="354">
        <f t="shared" si="585"/>
        <v>0.33333333333333331</v>
      </c>
      <c r="AR300" s="133">
        <f t="shared" si="214"/>
        <v>300333</v>
      </c>
      <c r="AS300" s="133">
        <f t="shared" si="500"/>
        <v>39043</v>
      </c>
      <c r="AT300" s="123">
        <f t="shared" si="586"/>
        <v>3.699593044692584E-7</v>
      </c>
      <c r="AU300" s="124">
        <v>0.13</v>
      </c>
      <c r="AV300" s="394" t="s">
        <v>2786</v>
      </c>
      <c r="AW300" s="15">
        <v>44936</v>
      </c>
      <c r="AX300" s="12" t="s">
        <v>206</v>
      </c>
      <c r="BC300" s="1" t="s">
        <v>2840</v>
      </c>
      <c r="BD300" s="1" t="str">
        <f t="shared" si="717"/>
        <v>Kutató_VM_8 - Kutató</v>
      </c>
    </row>
    <row r="301" spans="1:56" s="1" customFormat="1" hidden="1" x14ac:dyDescent="0.25">
      <c r="A301" s="264" t="str">
        <f>Bérköltség!$B301</f>
        <v>FEOR</v>
      </c>
      <c r="B301" s="264" t="str">
        <f>IFERROR(
IF(AND(Bérköltség!$F301="",H301="NA"),"HIÁNYOS ADATOK",
IF(Bérköltség!$F301&lt;Bérköltség!$U301,Admin!$B$18,Admin!$B$17)),
"")</f>
        <v>FEOR</v>
      </c>
      <c r="C301" s="265" t="str">
        <f>IFERROR(INDEX('Historikus berek_2021-2'!$A$1:$F$903,MATCH(AB301,'Historikus berek_2021-2'!$A$1:$A$903,0),4),"")</f>
        <v/>
      </c>
      <c r="D301" s="279" t="str">
        <f t="shared" si="673"/>
        <v/>
      </c>
      <c r="E301" s="265">
        <f t="shared" si="674"/>
        <v>400000</v>
      </c>
      <c r="F301" s="266" t="str">
        <f t="shared" si="675"/>
        <v/>
      </c>
      <c r="G301" s="267" t="str">
        <f t="shared" si="676"/>
        <v/>
      </c>
      <c r="H301" s="268">
        <f>IFERROR(INDEX('FEOR kodok'!$A$2:$J$1126,MATCH(Bérköltség!AB301,'FEOR kodok'!$B$2:$B$1126,0),8),"NA")</f>
        <v>2122</v>
      </c>
      <c r="I301" s="269">
        <f>IFERROR(INDEX('FEOR kodok'!$A$2:$J$1126,MATCH(Bérköltség!AB301,'FEOR kodok'!$B$2:$B$1126,0),10),"NA")</f>
        <v>39</v>
      </c>
      <c r="J301" s="276" t="str">
        <f t="shared" si="677"/>
        <v>30–39 éves</v>
      </c>
      <c r="K301" s="269" t="str">
        <f>IFERROR(INDEX(admin_feor[#All],MATCH(Bérköltség!H301,admin_feor[[#All],[Foglalkozás]],0),2),"NA")</f>
        <v>Villamosmérnök (elektronikai mérnök)</v>
      </c>
      <c r="L301" s="270">
        <f>IFERROR(
INDEX('Admin - FEOR'!$A$4:$F$465,MATCH(Bérköltség!H301,'Admin - FEOR'!$A$4:$A$465,0),
IF(J301="30 év alatt",3,
IF(J301="30–39 éves",4,
IF(J301="40–49 éves",5,
IF(J301="50 év és afelett",6
)))))*1,"NA")</f>
        <v>861128</v>
      </c>
      <c r="M301" s="270">
        <f t="shared" si="678"/>
        <v>400000</v>
      </c>
      <c r="N301" s="318">
        <f t="shared" si="679"/>
        <v>0.4645070187010526</v>
      </c>
      <c r="O301" s="270">
        <f>IFERROR(
INDEX('Admin - FEOR'!$A$4:$F$465,MATCH(Bérköltség!H301,'Admin - FEOR'!$A$4:$A$465,0),
IF(J301="30 év alatt",3,
IF(J301="30–39 éves",4,
IF(J301="40–49 éves",5,
IF(J301="50 év és afelett",6
)))))*1.5,"NA")</f>
        <v>1291692</v>
      </c>
      <c r="P301" s="270">
        <f t="shared" si="680"/>
        <v>1291692</v>
      </c>
      <c r="Q301" s="270">
        <f t="shared" si="681"/>
        <v>400000</v>
      </c>
      <c r="R301" s="275">
        <f t="shared" si="682"/>
        <v>1</v>
      </c>
      <c r="S301" s="270">
        <f t="shared" si="683"/>
        <v>0</v>
      </c>
      <c r="T301" s="270">
        <f t="shared" si="684"/>
        <v>0</v>
      </c>
      <c r="U301" s="271">
        <f t="shared" si="685"/>
        <v>0</v>
      </c>
      <c r="V301" s="272">
        <f t="shared" si="686"/>
        <v>452000</v>
      </c>
      <c r="W301" s="273" t="str">
        <f t="shared" si="687"/>
        <v>Nem szükséges indoklás.</v>
      </c>
      <c r="X301" s="372">
        <f t="shared" si="688"/>
        <v>0</v>
      </c>
      <c r="Y301" s="317">
        <f t="shared" si="689"/>
        <v>400000</v>
      </c>
      <c r="Z301" s="317">
        <f t="shared" si="690"/>
        <v>52000</v>
      </c>
      <c r="AA301" s="12">
        <v>2</v>
      </c>
      <c r="AB301" s="274">
        <v>8428693250</v>
      </c>
      <c r="AC301" s="40" t="s">
        <v>216</v>
      </c>
      <c r="AD301" s="82" t="s">
        <v>75</v>
      </c>
      <c r="AE301" s="41" t="s">
        <v>52</v>
      </c>
      <c r="AF301" s="11" t="s">
        <v>159</v>
      </c>
      <c r="AG301" s="11" t="s">
        <v>166</v>
      </c>
      <c r="AH301" s="14" t="s">
        <v>122</v>
      </c>
      <c r="AI301" s="86" t="s">
        <v>23</v>
      </c>
      <c r="AJ301" s="113" t="str">
        <f>IF(COUNTIFS(Admin!$A$29:$A$40,AI301)&gt;0,Admin!$A$28,IF(COUNTIFS(Admin!$B$29:$B$40,AI301)&gt;0,Admin!$B$28,IF(COUNTIFS(Admin!$C$29:$C$40,AI301)&gt;0,Admin!$C$28,IF(COUNTIFS(Admin!$D$29:$D$40,AI301)&gt;0,Admin!$D$28,"-"))))</f>
        <v>2. mérföldkő</v>
      </c>
      <c r="AK301" s="14" t="s">
        <v>7</v>
      </c>
      <c r="AL301" s="9" t="s">
        <v>56</v>
      </c>
      <c r="AM301" s="131">
        <v>400000</v>
      </c>
      <c r="AN301" s="132">
        <f t="shared" si="584"/>
        <v>52000</v>
      </c>
      <c r="AO301" s="121">
        <v>87</v>
      </c>
      <c r="AP301" s="121">
        <v>87</v>
      </c>
      <c r="AQ301" s="354">
        <f t="shared" si="585"/>
        <v>1</v>
      </c>
      <c r="AR301" s="133">
        <f t="shared" si="214"/>
        <v>400000</v>
      </c>
      <c r="AS301" s="133">
        <f t="shared" si="500"/>
        <v>52000</v>
      </c>
      <c r="AT301" s="123">
        <f t="shared" si="586"/>
        <v>0</v>
      </c>
      <c r="AU301" s="124">
        <v>0.13</v>
      </c>
      <c r="AV301" s="394" t="s">
        <v>2787</v>
      </c>
      <c r="AW301" s="15">
        <v>44789</v>
      </c>
      <c r="AX301" s="12" t="s">
        <v>206</v>
      </c>
      <c r="BC301" s="1" t="s">
        <v>2841</v>
      </c>
      <c r="BD301" s="1" t="str">
        <f t="shared" si="717"/>
        <v>Kutató_NK_8 - Kutató</v>
      </c>
    </row>
    <row r="302" spans="1:56" s="1" customFormat="1" hidden="1" x14ac:dyDescent="0.25">
      <c r="A302" s="264" t="str">
        <f>Bérköltség!$B302</f>
        <v>FEOR</v>
      </c>
      <c r="B302" s="264" t="str">
        <f>IFERROR(
IF(AND(Bérköltség!$F302="",H302="NA"),"HIÁNYOS ADATOK",
IF(Bérköltség!$F302&lt;Bérköltség!$U302,Admin!$B$18,Admin!$B$17)),
"")</f>
        <v>FEOR</v>
      </c>
      <c r="C302" s="265" t="str">
        <f>IFERROR(INDEX('Historikus berek_2021-2'!$A$1:$F$903,MATCH(AB302,'Historikus berek_2021-2'!$A$1:$A$903,0),4),"")</f>
        <v/>
      </c>
      <c r="D302" s="279" t="str">
        <f t="shared" si="673"/>
        <v/>
      </c>
      <c r="E302" s="265">
        <f t="shared" si="674"/>
        <v>400000</v>
      </c>
      <c r="F302" s="266" t="str">
        <f t="shared" si="675"/>
        <v/>
      </c>
      <c r="G302" s="267" t="str">
        <f t="shared" si="676"/>
        <v/>
      </c>
      <c r="H302" s="268">
        <f>IFERROR(INDEX('FEOR kodok'!$A$2:$J$1126,MATCH(Bérköltség!AB302,'FEOR kodok'!$B$2:$B$1126,0),8),"NA")</f>
        <v>2122</v>
      </c>
      <c r="I302" s="269">
        <f>IFERROR(INDEX('FEOR kodok'!$A$2:$J$1126,MATCH(Bérköltség!AB302,'FEOR kodok'!$B$2:$B$1126,0),10),"NA")</f>
        <v>39</v>
      </c>
      <c r="J302" s="276" t="str">
        <f t="shared" si="677"/>
        <v>30–39 éves</v>
      </c>
      <c r="K302" s="269" t="str">
        <f>IFERROR(INDEX(admin_feor[#All],MATCH(Bérköltség!H302,admin_feor[[#All],[Foglalkozás]],0),2),"NA")</f>
        <v>Villamosmérnök (elektronikai mérnök)</v>
      </c>
      <c r="L302" s="270">
        <f>IFERROR(
INDEX('Admin - FEOR'!$A$4:$F$465,MATCH(Bérköltség!H302,'Admin - FEOR'!$A$4:$A$465,0),
IF(J302="30 év alatt",3,
IF(J302="30–39 éves",4,
IF(J302="40–49 éves",5,
IF(J302="50 év és afelett",6
)))))*1,"NA")</f>
        <v>861128</v>
      </c>
      <c r="M302" s="270">
        <f t="shared" si="678"/>
        <v>400000</v>
      </c>
      <c r="N302" s="318">
        <f t="shared" si="679"/>
        <v>0.4645070187010526</v>
      </c>
      <c r="O302" s="270">
        <f>IFERROR(
INDEX('Admin - FEOR'!$A$4:$F$465,MATCH(Bérköltség!H302,'Admin - FEOR'!$A$4:$A$465,0),
IF(J302="30 év alatt",3,
IF(J302="30–39 éves",4,
IF(J302="40–49 éves",5,
IF(J302="50 év és afelett",6
)))))*1.5,"NA")</f>
        <v>1291692</v>
      </c>
      <c r="P302" s="270">
        <f t="shared" si="680"/>
        <v>1291692</v>
      </c>
      <c r="Q302" s="270">
        <f t="shared" si="681"/>
        <v>400000</v>
      </c>
      <c r="R302" s="275">
        <f t="shared" si="682"/>
        <v>1</v>
      </c>
      <c r="S302" s="270">
        <f t="shared" si="683"/>
        <v>0</v>
      </c>
      <c r="T302" s="270">
        <f t="shared" si="684"/>
        <v>0</v>
      </c>
      <c r="U302" s="271">
        <f t="shared" si="685"/>
        <v>0</v>
      </c>
      <c r="V302" s="272">
        <f t="shared" si="686"/>
        <v>452000</v>
      </c>
      <c r="W302" s="273" t="str">
        <f t="shared" si="687"/>
        <v>Nem szükséges indoklás.</v>
      </c>
      <c r="X302" s="372">
        <f t="shared" si="688"/>
        <v>0</v>
      </c>
      <c r="Y302" s="317">
        <f t="shared" si="689"/>
        <v>400000</v>
      </c>
      <c r="Z302" s="317">
        <f t="shared" si="690"/>
        <v>52000</v>
      </c>
      <c r="AA302" s="12">
        <v>2</v>
      </c>
      <c r="AB302" s="274">
        <v>8428693250</v>
      </c>
      <c r="AC302" s="40" t="s">
        <v>216</v>
      </c>
      <c r="AD302" s="82" t="s">
        <v>75</v>
      </c>
      <c r="AE302" s="41" t="s">
        <v>52</v>
      </c>
      <c r="AF302" s="11" t="s">
        <v>159</v>
      </c>
      <c r="AG302" s="11" t="s">
        <v>166</v>
      </c>
      <c r="AH302" s="14" t="s">
        <v>122</v>
      </c>
      <c r="AI302" s="86" t="s">
        <v>24</v>
      </c>
      <c r="AJ302" s="113" t="str">
        <f>IF(COUNTIFS(Admin!$A$29:$A$40,AI302)&gt;0,Admin!$A$28,IF(COUNTIFS(Admin!$B$29:$B$40,AI302)&gt;0,Admin!$B$28,IF(COUNTIFS(Admin!$C$29:$C$40,AI302)&gt;0,Admin!$C$28,IF(COUNTIFS(Admin!$D$29:$D$40,AI302)&gt;0,Admin!$D$28,"-"))))</f>
        <v>2. mérföldkő</v>
      </c>
      <c r="AK302" s="14" t="s">
        <v>7</v>
      </c>
      <c r="AL302" s="9" t="s">
        <v>56</v>
      </c>
      <c r="AM302" s="131">
        <v>400000</v>
      </c>
      <c r="AN302" s="132">
        <f t="shared" si="584"/>
        <v>52000</v>
      </c>
      <c r="AO302" s="121">
        <v>87</v>
      </c>
      <c r="AP302" s="121">
        <v>87</v>
      </c>
      <c r="AQ302" s="354">
        <f t="shared" si="585"/>
        <v>1</v>
      </c>
      <c r="AR302" s="133">
        <f t="shared" si="214"/>
        <v>400000</v>
      </c>
      <c r="AS302" s="133">
        <f t="shared" si="500"/>
        <v>52000</v>
      </c>
      <c r="AT302" s="123">
        <f t="shared" si="586"/>
        <v>0</v>
      </c>
      <c r="AU302" s="124">
        <v>0.13</v>
      </c>
      <c r="AV302" s="394" t="s">
        <v>2787</v>
      </c>
      <c r="AW302" s="15">
        <v>44789</v>
      </c>
      <c r="AX302" s="12" t="s">
        <v>206</v>
      </c>
      <c r="BC302" s="1" t="s">
        <v>2841</v>
      </c>
      <c r="BD302" s="1" t="str">
        <f t="shared" si="717"/>
        <v>Kutató_NK_8 - Kutató</v>
      </c>
    </row>
    <row r="303" spans="1:56" s="1" customFormat="1" hidden="1" x14ac:dyDescent="0.25">
      <c r="A303" s="264" t="str">
        <f>Bérköltség!$B303</f>
        <v>FEOR</v>
      </c>
      <c r="B303" s="264" t="str">
        <f>IFERROR(
IF(AND(Bérköltség!$F303="",H303="NA"),"HIÁNYOS ADATOK",
IF(Bérköltség!$F303&lt;Bérköltség!$U303,Admin!$B$18,Admin!$B$17)),
"")</f>
        <v>FEOR</v>
      </c>
      <c r="C303" s="265" t="str">
        <f>IFERROR(INDEX('Historikus berek_2021-2'!$A$1:$F$903,MATCH(AB303,'Historikus berek_2021-2'!$A$1:$A$903,0),4),"")</f>
        <v/>
      </c>
      <c r="D303" s="279" t="str">
        <f t="shared" si="673"/>
        <v/>
      </c>
      <c r="E303" s="265">
        <f t="shared" si="674"/>
        <v>400000</v>
      </c>
      <c r="F303" s="266" t="str">
        <f t="shared" si="675"/>
        <v/>
      </c>
      <c r="G303" s="267" t="str">
        <f t="shared" si="676"/>
        <v/>
      </c>
      <c r="H303" s="268">
        <f>IFERROR(INDEX('FEOR kodok'!$A$2:$J$1126,MATCH(Bérköltség!AB303,'FEOR kodok'!$B$2:$B$1126,0),8),"NA")</f>
        <v>2122</v>
      </c>
      <c r="I303" s="269">
        <f>IFERROR(INDEX('FEOR kodok'!$A$2:$J$1126,MATCH(Bérköltség!AB303,'FEOR kodok'!$B$2:$B$1126,0),10),"NA")</f>
        <v>39</v>
      </c>
      <c r="J303" s="276" t="str">
        <f t="shared" si="677"/>
        <v>30–39 éves</v>
      </c>
      <c r="K303" s="269" t="str">
        <f>IFERROR(INDEX(admin_feor[#All],MATCH(Bérköltség!H303,admin_feor[[#All],[Foglalkozás]],0),2),"NA")</f>
        <v>Villamosmérnök (elektronikai mérnök)</v>
      </c>
      <c r="L303" s="270">
        <f>IFERROR(
INDEX('Admin - FEOR'!$A$4:$F$465,MATCH(Bérköltség!H303,'Admin - FEOR'!$A$4:$A$465,0),
IF(J303="30 év alatt",3,
IF(J303="30–39 éves",4,
IF(J303="40–49 éves",5,
IF(J303="50 év és afelett",6
)))))*1,"NA")</f>
        <v>861128</v>
      </c>
      <c r="M303" s="270">
        <f t="shared" si="678"/>
        <v>400000</v>
      </c>
      <c r="N303" s="318">
        <f t="shared" si="679"/>
        <v>0.4645070187010526</v>
      </c>
      <c r="O303" s="270">
        <f>IFERROR(
INDEX('Admin - FEOR'!$A$4:$F$465,MATCH(Bérköltség!H303,'Admin - FEOR'!$A$4:$A$465,0),
IF(J303="30 év alatt",3,
IF(J303="30–39 éves",4,
IF(J303="40–49 éves",5,
IF(J303="50 év és afelett",6
)))))*1.5,"NA")</f>
        <v>1291692</v>
      </c>
      <c r="P303" s="270">
        <f t="shared" si="680"/>
        <v>1291692</v>
      </c>
      <c r="Q303" s="270">
        <f t="shared" si="681"/>
        <v>400000</v>
      </c>
      <c r="R303" s="275">
        <f t="shared" si="682"/>
        <v>1</v>
      </c>
      <c r="S303" s="270">
        <f t="shared" si="683"/>
        <v>0</v>
      </c>
      <c r="T303" s="270">
        <f t="shared" si="684"/>
        <v>0</v>
      </c>
      <c r="U303" s="271">
        <f t="shared" si="685"/>
        <v>0</v>
      </c>
      <c r="V303" s="272">
        <f t="shared" si="686"/>
        <v>452000</v>
      </c>
      <c r="W303" s="273" t="str">
        <f t="shared" si="687"/>
        <v>Nem szükséges indoklás.</v>
      </c>
      <c r="X303" s="372">
        <f t="shared" si="688"/>
        <v>0</v>
      </c>
      <c r="Y303" s="317">
        <f t="shared" si="689"/>
        <v>400000</v>
      </c>
      <c r="Z303" s="317">
        <f t="shared" si="690"/>
        <v>52000</v>
      </c>
      <c r="AA303" s="12">
        <v>2</v>
      </c>
      <c r="AB303" s="274">
        <v>8428693250</v>
      </c>
      <c r="AC303" s="40" t="s">
        <v>216</v>
      </c>
      <c r="AD303" s="82" t="s">
        <v>75</v>
      </c>
      <c r="AE303" s="41" t="s">
        <v>52</v>
      </c>
      <c r="AF303" s="11" t="s">
        <v>159</v>
      </c>
      <c r="AG303" s="11" t="s">
        <v>166</v>
      </c>
      <c r="AH303" s="14" t="s">
        <v>122</v>
      </c>
      <c r="AI303" s="86" t="s">
        <v>25</v>
      </c>
      <c r="AJ303" s="113" t="str">
        <f>IF(COUNTIFS(Admin!$A$29:$A$40,AI303)&gt;0,Admin!$A$28,IF(COUNTIFS(Admin!$B$29:$B$40,AI303)&gt;0,Admin!$B$28,IF(COUNTIFS(Admin!$C$29:$C$40,AI303)&gt;0,Admin!$C$28,IF(COUNTIFS(Admin!$D$29:$D$40,AI303)&gt;0,Admin!$D$28,"-"))))</f>
        <v>2. mérföldkő</v>
      </c>
      <c r="AK303" s="14" t="s">
        <v>7</v>
      </c>
      <c r="AL303" s="9" t="s">
        <v>56</v>
      </c>
      <c r="AM303" s="131">
        <v>400000</v>
      </c>
      <c r="AN303" s="132">
        <f t="shared" si="584"/>
        <v>52000</v>
      </c>
      <c r="AO303" s="121">
        <v>87</v>
      </c>
      <c r="AP303" s="121">
        <v>87</v>
      </c>
      <c r="AQ303" s="354">
        <f t="shared" si="585"/>
        <v>1</v>
      </c>
      <c r="AR303" s="133">
        <f t="shared" si="214"/>
        <v>400000</v>
      </c>
      <c r="AS303" s="133">
        <f t="shared" si="500"/>
        <v>52000</v>
      </c>
      <c r="AT303" s="123">
        <f t="shared" si="586"/>
        <v>0</v>
      </c>
      <c r="AU303" s="124">
        <v>0.13</v>
      </c>
      <c r="AV303" s="394" t="s">
        <v>2787</v>
      </c>
      <c r="AW303" s="15">
        <v>44789</v>
      </c>
      <c r="AX303" s="12" t="s">
        <v>206</v>
      </c>
      <c r="AZ303" s="1" t="s">
        <v>2667</v>
      </c>
      <c r="BA303" s="1" t="s">
        <v>2667</v>
      </c>
      <c r="BB303" s="1" t="s">
        <v>2667</v>
      </c>
      <c r="BC303" s="1" t="s">
        <v>2841</v>
      </c>
      <c r="BD303" s="1" t="str">
        <f t="shared" si="717"/>
        <v>Kutató_NK_8 - Kutató</v>
      </c>
    </row>
    <row r="304" spans="1:56" s="1" customFormat="1" hidden="1" x14ac:dyDescent="0.25">
      <c r="A304" s="264" t="str">
        <f>Bérköltség!$B304</f>
        <v>FEOR</v>
      </c>
      <c r="B304" s="264" t="str">
        <f>IFERROR(
IF(AND(Bérköltség!$F304="",H304="NA"),"HIÁNYOS ADATOK",
IF(Bérköltség!$F304&lt;Bérköltség!$U304,Admin!$B$18,Admin!$B$17)),
"")</f>
        <v>FEOR</v>
      </c>
      <c r="C304" s="265" t="str">
        <f>IFERROR(INDEX('Historikus berek_2021-2'!$A$1:$F$903,MATCH(AB304,'Historikus berek_2021-2'!$A$1:$A$903,0),4),"")</f>
        <v/>
      </c>
      <c r="D304" s="279" t="str">
        <f t="shared" si="673"/>
        <v/>
      </c>
      <c r="E304" s="265">
        <f t="shared" si="674"/>
        <v>400000</v>
      </c>
      <c r="F304" s="266" t="str">
        <f t="shared" si="675"/>
        <v/>
      </c>
      <c r="G304" s="267" t="str">
        <f t="shared" si="676"/>
        <v/>
      </c>
      <c r="H304" s="268">
        <f>IFERROR(INDEX('FEOR kodok'!$A$2:$J$1126,MATCH(Bérköltség!AB304,'FEOR kodok'!$B$2:$B$1126,0),8),"NA")</f>
        <v>2122</v>
      </c>
      <c r="I304" s="269">
        <f>IFERROR(INDEX('FEOR kodok'!$A$2:$J$1126,MATCH(Bérköltség!AB304,'FEOR kodok'!$B$2:$B$1126,0),10),"NA")</f>
        <v>39</v>
      </c>
      <c r="J304" s="276" t="str">
        <f t="shared" si="677"/>
        <v>30–39 éves</v>
      </c>
      <c r="K304" s="269" t="str">
        <f>IFERROR(INDEX(admin_feor[#All],MATCH(Bérköltség!H304,admin_feor[[#All],[Foglalkozás]],0),2),"NA")</f>
        <v>Villamosmérnök (elektronikai mérnök)</v>
      </c>
      <c r="L304" s="270">
        <f>IFERROR(
INDEX('Admin - FEOR'!$A$4:$F$465,MATCH(Bérköltség!H304,'Admin - FEOR'!$A$4:$A$465,0),
IF(J304="30 év alatt",3,
IF(J304="30–39 éves",4,
IF(J304="40–49 éves",5,
IF(J304="50 év és afelett",6
)))))*1,"NA")</f>
        <v>861128</v>
      </c>
      <c r="M304" s="270">
        <f t="shared" si="678"/>
        <v>400000</v>
      </c>
      <c r="N304" s="318">
        <f t="shared" si="679"/>
        <v>0.4645070187010526</v>
      </c>
      <c r="O304" s="270">
        <f>IFERROR(
INDEX('Admin - FEOR'!$A$4:$F$465,MATCH(Bérköltség!H304,'Admin - FEOR'!$A$4:$A$465,0),
IF(J304="30 év alatt",3,
IF(J304="30–39 éves",4,
IF(J304="40–49 éves",5,
IF(J304="50 év és afelett",6
)))))*1.5,"NA")</f>
        <v>1291692</v>
      </c>
      <c r="P304" s="270">
        <f t="shared" si="680"/>
        <v>1291692</v>
      </c>
      <c r="Q304" s="270">
        <f t="shared" si="681"/>
        <v>400000</v>
      </c>
      <c r="R304" s="275">
        <f t="shared" si="682"/>
        <v>1</v>
      </c>
      <c r="S304" s="270">
        <f t="shared" si="683"/>
        <v>0</v>
      </c>
      <c r="T304" s="270">
        <f t="shared" si="684"/>
        <v>0</v>
      </c>
      <c r="U304" s="271">
        <f t="shared" si="685"/>
        <v>0</v>
      </c>
      <c r="V304" s="272">
        <f t="shared" si="686"/>
        <v>452000</v>
      </c>
      <c r="W304" s="273" t="str">
        <f t="shared" si="687"/>
        <v>Nem szükséges indoklás.</v>
      </c>
      <c r="X304" s="372">
        <f t="shared" si="688"/>
        <v>0</v>
      </c>
      <c r="Y304" s="317">
        <f t="shared" si="689"/>
        <v>400000</v>
      </c>
      <c r="Z304" s="317">
        <f t="shared" si="690"/>
        <v>52000</v>
      </c>
      <c r="AA304" s="12">
        <v>2</v>
      </c>
      <c r="AB304" s="274">
        <v>8428693250</v>
      </c>
      <c r="AC304" s="40" t="s">
        <v>216</v>
      </c>
      <c r="AD304" s="82" t="s">
        <v>75</v>
      </c>
      <c r="AE304" s="41" t="s">
        <v>52</v>
      </c>
      <c r="AF304" s="11" t="s">
        <v>159</v>
      </c>
      <c r="AG304" s="11" t="s">
        <v>166</v>
      </c>
      <c r="AH304" s="14" t="s">
        <v>122</v>
      </c>
      <c r="AI304" s="86" t="s">
        <v>26</v>
      </c>
      <c r="AJ304" s="113" t="str">
        <f>IF(COUNTIFS(Admin!$A$29:$A$40,AI304)&gt;0,Admin!$A$28,IF(COUNTIFS(Admin!$B$29:$B$40,AI304)&gt;0,Admin!$B$28,IF(COUNTIFS(Admin!$C$29:$C$40,AI304)&gt;0,Admin!$C$28,IF(COUNTIFS(Admin!$D$29:$D$40,AI304)&gt;0,Admin!$D$28,"-"))))</f>
        <v>2. mérföldkő</v>
      </c>
      <c r="AK304" s="14" t="s">
        <v>7</v>
      </c>
      <c r="AL304" s="9" t="s">
        <v>56</v>
      </c>
      <c r="AM304" s="131">
        <v>400000</v>
      </c>
      <c r="AN304" s="132">
        <f t="shared" si="584"/>
        <v>52000</v>
      </c>
      <c r="AO304" s="121">
        <v>87</v>
      </c>
      <c r="AP304" s="121">
        <v>87</v>
      </c>
      <c r="AQ304" s="354">
        <f t="shared" si="585"/>
        <v>1</v>
      </c>
      <c r="AR304" s="133">
        <f t="shared" si="214"/>
        <v>400000</v>
      </c>
      <c r="AS304" s="133">
        <f t="shared" si="500"/>
        <v>52000</v>
      </c>
      <c r="AT304" s="123">
        <f t="shared" si="586"/>
        <v>0</v>
      </c>
      <c r="AU304" s="124">
        <v>0.13</v>
      </c>
      <c r="AV304" s="394" t="s">
        <v>2787</v>
      </c>
      <c r="AW304" s="15">
        <v>44789</v>
      </c>
      <c r="AX304" s="12" t="s">
        <v>206</v>
      </c>
      <c r="AZ304" s="1" t="s">
        <v>2667</v>
      </c>
      <c r="BA304" s="1" t="s">
        <v>2667</v>
      </c>
      <c r="BB304" s="1" t="s">
        <v>2667</v>
      </c>
      <c r="BC304" s="1" t="s">
        <v>2841</v>
      </c>
      <c r="BD304" s="1" t="str">
        <f t="shared" si="717"/>
        <v>Kutató_NK_8 - Kutató</v>
      </c>
    </row>
    <row r="305" spans="1:56" s="1" customFormat="1" hidden="1" x14ac:dyDescent="0.25">
      <c r="A305" s="264" t="str">
        <f>Bérköltség!$B305</f>
        <v>FEOR</v>
      </c>
      <c r="B305" s="264" t="str">
        <f>IFERROR(
IF(AND(Bérköltség!$F305="",H305="NA"),"HIÁNYOS ADATOK",
IF(Bérköltség!$F305&lt;Bérköltség!$U305,Admin!$B$18,Admin!$B$17)),
"")</f>
        <v>FEOR</v>
      </c>
      <c r="C305" s="265" t="str">
        <f>IFERROR(INDEX('Historikus berek_2021-2'!$A$1:$F$903,MATCH(AB305,'Historikus berek_2021-2'!$A$1:$A$903,0),4),"")</f>
        <v/>
      </c>
      <c r="D305" s="279" t="str">
        <f t="shared" si="673"/>
        <v/>
      </c>
      <c r="E305" s="265">
        <f t="shared" si="674"/>
        <v>400000</v>
      </c>
      <c r="F305" s="266" t="str">
        <f t="shared" si="675"/>
        <v/>
      </c>
      <c r="G305" s="267" t="str">
        <f t="shared" si="676"/>
        <v/>
      </c>
      <c r="H305" s="268">
        <f>IFERROR(INDEX('FEOR kodok'!$A$2:$J$1126,MATCH(Bérköltség!AB305,'FEOR kodok'!$B$2:$B$1126,0),8),"NA")</f>
        <v>2122</v>
      </c>
      <c r="I305" s="269">
        <f>IFERROR(INDEX('FEOR kodok'!$A$2:$J$1126,MATCH(Bérköltség!AB305,'FEOR kodok'!$B$2:$B$1126,0),10),"NA")</f>
        <v>39</v>
      </c>
      <c r="J305" s="276" t="str">
        <f t="shared" si="677"/>
        <v>30–39 éves</v>
      </c>
      <c r="K305" s="269" t="str">
        <f>IFERROR(INDEX(admin_feor[#All],MATCH(Bérköltség!H305,admin_feor[[#All],[Foglalkozás]],0),2),"NA")</f>
        <v>Villamosmérnök (elektronikai mérnök)</v>
      </c>
      <c r="L305" s="270">
        <f>IFERROR(
INDEX('Admin - FEOR'!$A$4:$F$465,MATCH(Bérköltség!H305,'Admin - FEOR'!$A$4:$A$465,0),
IF(J305="30 év alatt",3,
IF(J305="30–39 éves",4,
IF(J305="40–49 éves",5,
IF(J305="50 év és afelett",6
)))))*1,"NA")</f>
        <v>861128</v>
      </c>
      <c r="M305" s="270">
        <f t="shared" si="678"/>
        <v>400000</v>
      </c>
      <c r="N305" s="318">
        <f t="shared" si="679"/>
        <v>0.4645070187010526</v>
      </c>
      <c r="O305" s="270">
        <f>IFERROR(
INDEX('Admin - FEOR'!$A$4:$F$465,MATCH(Bérköltség!H305,'Admin - FEOR'!$A$4:$A$465,0),
IF(J305="30 év alatt",3,
IF(J305="30–39 éves",4,
IF(J305="40–49 éves",5,
IF(J305="50 év és afelett",6
)))))*1.5,"NA")</f>
        <v>1291692</v>
      </c>
      <c r="P305" s="270">
        <f t="shared" si="680"/>
        <v>1291692</v>
      </c>
      <c r="Q305" s="270">
        <f t="shared" si="681"/>
        <v>400000</v>
      </c>
      <c r="R305" s="275">
        <f t="shared" si="682"/>
        <v>1</v>
      </c>
      <c r="S305" s="270">
        <f t="shared" si="683"/>
        <v>0</v>
      </c>
      <c r="T305" s="270">
        <f t="shared" si="684"/>
        <v>0</v>
      </c>
      <c r="U305" s="271">
        <f t="shared" si="685"/>
        <v>0</v>
      </c>
      <c r="V305" s="272">
        <f t="shared" si="686"/>
        <v>452000</v>
      </c>
      <c r="W305" s="273" t="str">
        <f t="shared" si="687"/>
        <v>Nem szükséges indoklás.</v>
      </c>
      <c r="X305" s="372">
        <f t="shared" si="688"/>
        <v>0</v>
      </c>
      <c r="Y305" s="317">
        <f t="shared" si="689"/>
        <v>400000</v>
      </c>
      <c r="Z305" s="317">
        <f t="shared" si="690"/>
        <v>52000</v>
      </c>
      <c r="AA305" s="12">
        <v>2</v>
      </c>
      <c r="AB305" s="274">
        <v>8428693250</v>
      </c>
      <c r="AC305" s="40" t="s">
        <v>216</v>
      </c>
      <c r="AD305" s="82" t="s">
        <v>75</v>
      </c>
      <c r="AE305" s="41" t="s">
        <v>52</v>
      </c>
      <c r="AF305" s="11" t="s">
        <v>159</v>
      </c>
      <c r="AG305" s="11" t="s">
        <v>166</v>
      </c>
      <c r="AH305" s="14" t="s">
        <v>122</v>
      </c>
      <c r="AI305" s="86" t="s">
        <v>32</v>
      </c>
      <c r="AJ305" s="113" t="str">
        <f>IF(COUNTIFS(Admin!$A$29:$A$40,AI305)&gt;0,Admin!$A$28,IF(COUNTIFS(Admin!$B$29:$B$40,AI305)&gt;0,Admin!$B$28,IF(COUNTIFS(Admin!$C$29:$C$40,AI305)&gt;0,Admin!$C$28,IF(COUNTIFS(Admin!$D$29:$D$40,AI305)&gt;0,Admin!$D$28,"-"))))</f>
        <v>2. mérföldkő</v>
      </c>
      <c r="AK305" s="14" t="s">
        <v>7</v>
      </c>
      <c r="AL305" s="9" t="s">
        <v>56</v>
      </c>
      <c r="AM305" s="131">
        <v>400000</v>
      </c>
      <c r="AN305" s="132">
        <f t="shared" si="584"/>
        <v>52000</v>
      </c>
      <c r="AO305" s="121">
        <v>87</v>
      </c>
      <c r="AP305" s="121">
        <v>87</v>
      </c>
      <c r="AQ305" s="354">
        <f t="shared" si="585"/>
        <v>1</v>
      </c>
      <c r="AR305" s="133">
        <f t="shared" si="214"/>
        <v>400000</v>
      </c>
      <c r="AS305" s="133">
        <f t="shared" si="500"/>
        <v>52000</v>
      </c>
      <c r="AT305" s="123">
        <f t="shared" si="586"/>
        <v>0</v>
      </c>
      <c r="AU305" s="124">
        <v>0.13</v>
      </c>
      <c r="AV305" s="394" t="s">
        <v>2787</v>
      </c>
      <c r="AW305" s="15">
        <v>44789</v>
      </c>
      <c r="AX305" s="12" t="s">
        <v>206</v>
      </c>
      <c r="AZ305" s="1" t="s">
        <v>2667</v>
      </c>
      <c r="BA305" s="1">
        <v>0</v>
      </c>
      <c r="BB305" s="1">
        <v>0</v>
      </c>
      <c r="BC305" s="1" t="s">
        <v>2841</v>
      </c>
      <c r="BD305" s="1" t="str">
        <f t="shared" si="717"/>
        <v>Kutató_NK_8 - Kutató</v>
      </c>
    </row>
    <row r="306" spans="1:56" s="1" customFormat="1" hidden="1" x14ac:dyDescent="0.25">
      <c r="A306" s="264" t="str">
        <f>Bérköltség!$B306</f>
        <v>FEOR</v>
      </c>
      <c r="B306" s="264" t="str">
        <f>IFERROR(
IF(AND(Bérköltség!$F306="",H306="NA"),"HIÁNYOS ADATOK",
IF(Bérköltség!$F306&lt;Bérköltség!$U306,Admin!$B$18,Admin!$B$17)),
"")</f>
        <v>FEOR</v>
      </c>
      <c r="C306" s="265" t="str">
        <f>IFERROR(INDEX('Historikus berek_2021-2'!$A$1:$F$903,MATCH(AB306,'Historikus berek_2021-2'!$A$1:$A$903,0),4),"")</f>
        <v/>
      </c>
      <c r="D306" s="279" t="str">
        <f t="shared" si="673"/>
        <v/>
      </c>
      <c r="E306" s="265">
        <f t="shared" si="674"/>
        <v>400000</v>
      </c>
      <c r="F306" s="266" t="str">
        <f t="shared" si="675"/>
        <v/>
      </c>
      <c r="G306" s="267" t="str">
        <f t="shared" si="676"/>
        <v/>
      </c>
      <c r="H306" s="268">
        <f>IFERROR(INDEX('FEOR kodok'!$A$2:$J$1126,MATCH(Bérköltség!AB306,'FEOR kodok'!$B$2:$B$1126,0),8),"NA")</f>
        <v>2122</v>
      </c>
      <c r="I306" s="269">
        <f>IFERROR(INDEX('FEOR kodok'!$A$2:$J$1126,MATCH(Bérköltség!AB306,'FEOR kodok'!$B$2:$B$1126,0),10),"NA")</f>
        <v>39</v>
      </c>
      <c r="J306" s="276" t="str">
        <f t="shared" si="677"/>
        <v>30–39 éves</v>
      </c>
      <c r="K306" s="269" t="str">
        <f>IFERROR(INDEX(admin_feor[#All],MATCH(Bérköltség!H306,admin_feor[[#All],[Foglalkozás]],0),2),"NA")</f>
        <v>Villamosmérnök (elektronikai mérnök)</v>
      </c>
      <c r="L306" s="270">
        <f>IFERROR(
INDEX('Admin - FEOR'!$A$4:$F$465,MATCH(Bérköltség!H306,'Admin - FEOR'!$A$4:$A$465,0),
IF(J306="30 év alatt",3,
IF(J306="30–39 éves",4,
IF(J306="40–49 éves",5,
IF(J306="50 év és afelett",6
)))))*1,"NA")</f>
        <v>861128</v>
      </c>
      <c r="M306" s="270">
        <f t="shared" si="678"/>
        <v>400000</v>
      </c>
      <c r="N306" s="318">
        <f t="shared" si="679"/>
        <v>0.4645070187010526</v>
      </c>
      <c r="O306" s="270">
        <f>IFERROR(
INDEX('Admin - FEOR'!$A$4:$F$465,MATCH(Bérköltség!H306,'Admin - FEOR'!$A$4:$A$465,0),
IF(J306="30 év alatt",3,
IF(J306="30–39 éves",4,
IF(J306="40–49 éves",5,
IF(J306="50 év és afelett",6
)))))*1.5,"NA")</f>
        <v>1291692</v>
      </c>
      <c r="P306" s="270">
        <f t="shared" si="680"/>
        <v>1291692</v>
      </c>
      <c r="Q306" s="270">
        <f t="shared" si="681"/>
        <v>400000</v>
      </c>
      <c r="R306" s="275">
        <f t="shared" si="682"/>
        <v>1</v>
      </c>
      <c r="S306" s="270">
        <f t="shared" si="683"/>
        <v>0</v>
      </c>
      <c r="T306" s="270">
        <f t="shared" si="684"/>
        <v>0</v>
      </c>
      <c r="U306" s="271">
        <f t="shared" si="685"/>
        <v>0</v>
      </c>
      <c r="V306" s="272">
        <f t="shared" si="686"/>
        <v>452000</v>
      </c>
      <c r="W306" s="273" t="str">
        <f t="shared" si="687"/>
        <v>Nem szükséges indoklás.</v>
      </c>
      <c r="X306" s="372">
        <f t="shared" si="688"/>
        <v>0</v>
      </c>
      <c r="Y306" s="317">
        <f t="shared" si="689"/>
        <v>400000</v>
      </c>
      <c r="Z306" s="317">
        <f t="shared" si="690"/>
        <v>52000</v>
      </c>
      <c r="AA306" s="12">
        <v>2</v>
      </c>
      <c r="AB306" s="274">
        <v>8428693250</v>
      </c>
      <c r="AC306" s="40" t="s">
        <v>216</v>
      </c>
      <c r="AD306" s="82" t="s">
        <v>75</v>
      </c>
      <c r="AE306" s="41" t="s">
        <v>52</v>
      </c>
      <c r="AF306" s="11" t="s">
        <v>159</v>
      </c>
      <c r="AG306" s="11" t="s">
        <v>166</v>
      </c>
      <c r="AH306" s="14" t="s">
        <v>122</v>
      </c>
      <c r="AI306" s="86" t="s">
        <v>33</v>
      </c>
      <c r="AJ306" s="113" t="str">
        <f>IF(COUNTIFS(Admin!$A$29:$A$40,AI306)&gt;0,Admin!$A$28,IF(COUNTIFS(Admin!$B$29:$B$40,AI306)&gt;0,Admin!$B$28,IF(COUNTIFS(Admin!$C$29:$C$40,AI306)&gt;0,Admin!$C$28,IF(COUNTIFS(Admin!$D$29:$D$40,AI306)&gt;0,Admin!$D$28,"-"))))</f>
        <v>2. mérföldkő</v>
      </c>
      <c r="AK306" s="14" t="s">
        <v>7</v>
      </c>
      <c r="AL306" s="9" t="s">
        <v>56</v>
      </c>
      <c r="AM306" s="131">
        <v>400000</v>
      </c>
      <c r="AN306" s="132">
        <f t="shared" si="584"/>
        <v>52000</v>
      </c>
      <c r="AO306" s="121">
        <v>87</v>
      </c>
      <c r="AP306" s="121">
        <v>87</v>
      </c>
      <c r="AQ306" s="354">
        <f t="shared" si="585"/>
        <v>1</v>
      </c>
      <c r="AR306" s="133">
        <f t="shared" si="214"/>
        <v>400000</v>
      </c>
      <c r="AS306" s="133">
        <f t="shared" si="500"/>
        <v>52000</v>
      </c>
      <c r="AT306" s="123">
        <f t="shared" si="586"/>
        <v>0</v>
      </c>
      <c r="AU306" s="124">
        <v>0.13</v>
      </c>
      <c r="AV306" s="394" t="s">
        <v>2787</v>
      </c>
      <c r="AW306" s="15">
        <v>44789</v>
      </c>
      <c r="AX306" s="12" t="s">
        <v>206</v>
      </c>
      <c r="AZ306" s="8" t="str">
        <f>IF(VLOOKUP(LEFT($AB306,10),'Havi béradatok'!$B:$E,2,FALSE)=AG306,"EGYEZIK","HIBÁS")</f>
        <v>EGYEZIK</v>
      </c>
      <c r="BA306" s="1">
        <f>VLOOKUP(LEFT($AB306,10),'Havi béradatok'!$B:$E,3,FALSE)-AM306</f>
        <v>0</v>
      </c>
      <c r="BB306" s="1">
        <f>VLOOKUP(LEFT($AB306,10),'Havi béradatok'!$B:$E,4,FALSE)-AN306</f>
        <v>0</v>
      </c>
      <c r="BC306" s="1" t="s">
        <v>2841</v>
      </c>
      <c r="BD306" s="1" t="str">
        <f t="shared" si="717"/>
        <v>Kutató_NK_8 - Kutató</v>
      </c>
    </row>
    <row r="307" spans="1:56" s="1" customFormat="1" hidden="1" x14ac:dyDescent="0.25">
      <c r="A307" s="264" t="str">
        <f>Bérköltség!$B307</f>
        <v>FEOR</v>
      </c>
      <c r="B307" s="264" t="str">
        <f>IFERROR(
IF(AND(Bérköltség!$F307="",H307="NA"),"HIÁNYOS ADATOK",
IF(Bérköltség!$F307&lt;Bérköltség!$U307,Admin!$B$18,Admin!$B$17)),
"")</f>
        <v>FEOR</v>
      </c>
      <c r="C307" s="265" t="str">
        <f>IFERROR(INDEX('Historikus berek_2021-2'!$A$1:$F$903,MATCH(AB307,'Historikus berek_2021-2'!$A$1:$A$903,0),4),"")</f>
        <v/>
      </c>
      <c r="D307" s="279" t="str">
        <f t="shared" si="673"/>
        <v/>
      </c>
      <c r="E307" s="265">
        <f t="shared" si="674"/>
        <v>400000</v>
      </c>
      <c r="F307" s="266" t="str">
        <f t="shared" si="675"/>
        <v/>
      </c>
      <c r="G307" s="267" t="str">
        <f t="shared" si="676"/>
        <v/>
      </c>
      <c r="H307" s="268">
        <f>IFERROR(INDEX('FEOR kodok'!$A$2:$J$1126,MATCH(Bérköltség!AB307,'FEOR kodok'!$B$2:$B$1126,0),8),"NA")</f>
        <v>2122</v>
      </c>
      <c r="I307" s="269">
        <f>IFERROR(INDEX('FEOR kodok'!$A$2:$J$1126,MATCH(Bérköltség!AB307,'FEOR kodok'!$B$2:$B$1126,0),10),"NA")</f>
        <v>39</v>
      </c>
      <c r="J307" s="276" t="str">
        <f t="shared" si="677"/>
        <v>30–39 éves</v>
      </c>
      <c r="K307" s="269" t="str">
        <f>IFERROR(INDEX(admin_feor[#All],MATCH(Bérköltség!H307,admin_feor[[#All],[Foglalkozás]],0),2),"NA")</f>
        <v>Villamosmérnök (elektronikai mérnök)</v>
      </c>
      <c r="L307" s="270">
        <f>IFERROR(
INDEX('Admin - FEOR'!$A$4:$F$465,MATCH(Bérköltség!H307,'Admin - FEOR'!$A$4:$A$465,0),
IF(J307="30 év alatt",3,
IF(J307="30–39 éves",4,
IF(J307="40–49 éves",5,
IF(J307="50 év és afelett",6
)))))*1,"NA")</f>
        <v>861128</v>
      </c>
      <c r="M307" s="270">
        <f t="shared" si="678"/>
        <v>400000</v>
      </c>
      <c r="N307" s="318">
        <f t="shared" si="679"/>
        <v>0.4645070187010526</v>
      </c>
      <c r="O307" s="270">
        <f>IFERROR(
INDEX('Admin - FEOR'!$A$4:$F$465,MATCH(Bérköltség!H307,'Admin - FEOR'!$A$4:$A$465,0),
IF(J307="30 év alatt",3,
IF(J307="30–39 éves",4,
IF(J307="40–49 éves",5,
IF(J307="50 év és afelett",6
)))))*1.5,"NA")</f>
        <v>1291692</v>
      </c>
      <c r="P307" s="270">
        <f t="shared" si="680"/>
        <v>1291692</v>
      </c>
      <c r="Q307" s="270">
        <f t="shared" si="681"/>
        <v>400000</v>
      </c>
      <c r="R307" s="275">
        <f t="shared" si="682"/>
        <v>1</v>
      </c>
      <c r="S307" s="270">
        <f t="shared" si="683"/>
        <v>0</v>
      </c>
      <c r="T307" s="270">
        <f t="shared" si="684"/>
        <v>0</v>
      </c>
      <c r="U307" s="271">
        <f t="shared" si="685"/>
        <v>0</v>
      </c>
      <c r="V307" s="272">
        <f t="shared" si="686"/>
        <v>452000</v>
      </c>
      <c r="W307" s="273" t="str">
        <f t="shared" si="687"/>
        <v>Nem szükséges indoklás.</v>
      </c>
      <c r="X307" s="372">
        <f t="shared" si="688"/>
        <v>0</v>
      </c>
      <c r="Y307" s="317">
        <f t="shared" si="689"/>
        <v>400000</v>
      </c>
      <c r="Z307" s="317">
        <f t="shared" si="690"/>
        <v>52000</v>
      </c>
      <c r="AA307" s="12">
        <v>2</v>
      </c>
      <c r="AB307" s="274">
        <v>8428693250</v>
      </c>
      <c r="AC307" s="40" t="s">
        <v>216</v>
      </c>
      <c r="AD307" s="82" t="s">
        <v>75</v>
      </c>
      <c r="AE307" s="41" t="s">
        <v>52</v>
      </c>
      <c r="AF307" s="11" t="s">
        <v>159</v>
      </c>
      <c r="AG307" s="11" t="s">
        <v>166</v>
      </c>
      <c r="AH307" s="14" t="s">
        <v>122</v>
      </c>
      <c r="AI307" s="86" t="s">
        <v>34</v>
      </c>
      <c r="AJ307" s="113" t="str">
        <f>IF(COUNTIFS(Admin!$A$29:$A$40,AI307)&gt;0,Admin!$A$28,IF(COUNTIFS(Admin!$B$29:$B$40,AI307)&gt;0,Admin!$B$28,IF(COUNTIFS(Admin!$C$29:$C$40,AI307)&gt;0,Admin!$C$28,IF(COUNTIFS(Admin!$D$29:$D$40,AI307)&gt;0,Admin!$D$28,"-"))))</f>
        <v>2. mérföldkő</v>
      </c>
      <c r="AK307" s="14" t="s">
        <v>7</v>
      </c>
      <c r="AL307" s="9" t="s">
        <v>56</v>
      </c>
      <c r="AM307" s="131">
        <v>400000</v>
      </c>
      <c r="AN307" s="132">
        <f t="shared" si="584"/>
        <v>52000</v>
      </c>
      <c r="AO307" s="121">
        <v>87</v>
      </c>
      <c r="AP307" s="121">
        <v>87</v>
      </c>
      <c r="AQ307" s="354">
        <f t="shared" si="585"/>
        <v>1</v>
      </c>
      <c r="AR307" s="133">
        <f t="shared" si="214"/>
        <v>400000</v>
      </c>
      <c r="AS307" s="133">
        <f t="shared" si="500"/>
        <v>52000</v>
      </c>
      <c r="AT307" s="123">
        <f t="shared" si="586"/>
        <v>0</v>
      </c>
      <c r="AU307" s="124">
        <v>0.13</v>
      </c>
      <c r="AV307" s="394" t="s">
        <v>2787</v>
      </c>
      <c r="AW307" s="15">
        <v>44967</v>
      </c>
      <c r="AX307" s="12" t="s">
        <v>206</v>
      </c>
      <c r="BC307" s="1" t="s">
        <v>2841</v>
      </c>
      <c r="BD307" s="1" t="str">
        <f t="shared" si="717"/>
        <v>Kutató_NK_8 - Kutató</v>
      </c>
    </row>
    <row r="308" spans="1:56" s="1" customFormat="1" x14ac:dyDescent="0.25">
      <c r="A308" s="264" t="str">
        <f>Bérköltség!$B308</f>
        <v>FEOR</v>
      </c>
      <c r="B308" s="264" t="str">
        <f>IFERROR(
IF(AND(Bérköltség!$F308="",H308="NA"),"HIÁNYOS ADATOK",
IF(Bérköltség!$F308&lt;Bérköltség!$U308,Admin!$B$18,Admin!$B$17)),
"")</f>
        <v>FEOR</v>
      </c>
      <c r="C308" s="265" t="str">
        <f>IFERROR(INDEX('Historikus berek_2021-2'!$A$1:$F$903,MATCH(AB308,'Historikus berek_2021-2'!$A$1:$A$903,0),4),"")</f>
        <v/>
      </c>
      <c r="D308" s="279" t="str">
        <f t="shared" si="673"/>
        <v/>
      </c>
      <c r="E308" s="265">
        <f t="shared" si="674"/>
        <v>400000</v>
      </c>
      <c r="F308" s="266" t="str">
        <f t="shared" si="675"/>
        <v/>
      </c>
      <c r="G308" s="267" t="str">
        <f t="shared" si="676"/>
        <v/>
      </c>
      <c r="H308" s="268">
        <f>IFERROR(INDEX('FEOR kodok'!$A$2:$J$1126,MATCH(Bérköltség!AB308,'FEOR kodok'!$B$2:$B$1126,0),8),"NA")</f>
        <v>2122</v>
      </c>
      <c r="I308" s="269">
        <f>IFERROR(INDEX('FEOR kodok'!$A$2:$J$1126,MATCH(Bérköltség!AB308,'FEOR kodok'!$B$2:$B$1126,0),10),"NA")</f>
        <v>39</v>
      </c>
      <c r="J308" s="276" t="str">
        <f t="shared" si="677"/>
        <v>30–39 éves</v>
      </c>
      <c r="K308" s="269" t="str">
        <f>IFERROR(INDEX(admin_feor[#All],MATCH(Bérköltség!H308,admin_feor[[#All],[Foglalkozás]],0),2),"NA")</f>
        <v>Villamosmérnök (elektronikai mérnök)</v>
      </c>
      <c r="L308" s="270">
        <f>IFERROR(
INDEX('Admin - FEOR'!$A$4:$F$465,MATCH(Bérköltség!H308,'Admin - FEOR'!$A$4:$A$465,0),
IF(J308="30 év alatt",3,
IF(J308="30–39 éves",4,
IF(J308="40–49 éves",5,
IF(J308="50 év és afelett",6
)))))*1,"NA")</f>
        <v>861128</v>
      </c>
      <c r="M308" s="270">
        <f t="shared" si="678"/>
        <v>400000</v>
      </c>
      <c r="N308" s="318">
        <f t="shared" si="679"/>
        <v>0.4645070187010526</v>
      </c>
      <c r="O308" s="270">
        <f>IFERROR(
INDEX('Admin - FEOR'!$A$4:$F$465,MATCH(Bérköltség!H308,'Admin - FEOR'!$A$4:$A$465,0),
IF(J308="30 év alatt",3,
IF(J308="30–39 éves",4,
IF(J308="40–49 éves",5,
IF(J308="50 év és afelett",6
)))))*1.5,"NA")</f>
        <v>1291692</v>
      </c>
      <c r="P308" s="270">
        <f t="shared" si="680"/>
        <v>1291692</v>
      </c>
      <c r="Q308" s="270">
        <f t="shared" si="681"/>
        <v>400000</v>
      </c>
      <c r="R308" s="275">
        <f t="shared" si="682"/>
        <v>1</v>
      </c>
      <c r="S308" s="270">
        <f t="shared" si="683"/>
        <v>0</v>
      </c>
      <c r="T308" s="270">
        <f t="shared" si="684"/>
        <v>0</v>
      </c>
      <c r="U308" s="271">
        <f t="shared" si="685"/>
        <v>0</v>
      </c>
      <c r="V308" s="272">
        <f t="shared" si="686"/>
        <v>452000</v>
      </c>
      <c r="W308" s="273" t="str">
        <f t="shared" si="687"/>
        <v>Nem szükséges indoklás.</v>
      </c>
      <c r="X308" s="372">
        <f t="shared" si="688"/>
        <v>0</v>
      </c>
      <c r="Y308" s="317">
        <f t="shared" si="689"/>
        <v>400000</v>
      </c>
      <c r="Z308" s="317">
        <f t="shared" si="690"/>
        <v>52000</v>
      </c>
      <c r="AA308" s="36"/>
      <c r="AB308" s="274">
        <v>8428693250</v>
      </c>
      <c r="AC308" s="40" t="s">
        <v>216</v>
      </c>
      <c r="AD308" s="82" t="s">
        <v>75</v>
      </c>
      <c r="AE308" s="41" t="s">
        <v>52</v>
      </c>
      <c r="AF308" s="11" t="s">
        <v>159</v>
      </c>
      <c r="AG308" s="11" t="s">
        <v>166</v>
      </c>
      <c r="AH308" s="14" t="s">
        <v>122</v>
      </c>
      <c r="AI308" s="86" t="s">
        <v>35</v>
      </c>
      <c r="AJ308" s="113" t="str">
        <f>IF(COUNTIFS(Admin!$A$29:$A$40,AI308)&gt;0,Admin!$A$28,IF(COUNTIFS(Admin!$B$29:$B$40,AI308)&gt;0,Admin!$B$28,IF(COUNTIFS(Admin!$C$29:$C$40,AI308)&gt;0,Admin!$C$28,IF(COUNTIFS(Admin!$D$29:$D$40,AI308)&gt;0,Admin!$D$28,"-"))))</f>
        <v>3. mérföldkő</v>
      </c>
      <c r="AK308" s="14" t="s">
        <v>7</v>
      </c>
      <c r="AL308" s="9" t="s">
        <v>56</v>
      </c>
      <c r="AM308" s="131">
        <v>400000</v>
      </c>
      <c r="AN308" s="132">
        <f t="shared" si="584"/>
        <v>52000</v>
      </c>
      <c r="AO308" s="121">
        <v>87</v>
      </c>
      <c r="AP308" s="121">
        <v>87</v>
      </c>
      <c r="AQ308" s="354">
        <f t="shared" si="585"/>
        <v>1</v>
      </c>
      <c r="AR308" s="133">
        <f t="shared" si="214"/>
        <v>400000</v>
      </c>
      <c r="AS308" s="133">
        <f t="shared" si="500"/>
        <v>52000</v>
      </c>
      <c r="AT308" s="123">
        <f t="shared" si="586"/>
        <v>0</v>
      </c>
      <c r="AU308" s="124">
        <v>0.13</v>
      </c>
      <c r="AV308" s="394" t="s">
        <v>2787</v>
      </c>
      <c r="AW308" s="15">
        <v>44967</v>
      </c>
      <c r="AX308" s="12" t="s">
        <v>206</v>
      </c>
      <c r="AZ308" s="1" t="str">
        <f>IF(VLOOKUP(LEFT($AB308,10),'Havi béradatok'!$B:$E,2,FALSE)=AG308,"EGYEZIK","HIBÁS")</f>
        <v>EGYEZIK</v>
      </c>
      <c r="BA308" s="1">
        <f>VLOOKUP(LEFT($AB308,10),'Havi béradatok'!$B:$E,3,FALSE)-AM308</f>
        <v>0</v>
      </c>
      <c r="BB308" s="1">
        <f>VLOOKUP(LEFT($AB308,10),'Havi béradatok'!$B:$E,4,FALSE)-AN308</f>
        <v>0</v>
      </c>
      <c r="BC308" s="400" t="s">
        <v>2841</v>
      </c>
      <c r="BD308" s="400"/>
    </row>
    <row r="309" spans="1:56" s="1" customFormat="1" hidden="1" x14ac:dyDescent="0.25">
      <c r="A309" s="264" t="str">
        <f>Bérköltség!$B309</f>
        <v>FEOR</v>
      </c>
      <c r="B309" s="264" t="str">
        <f>IFERROR(
IF(AND(Bérköltség!$F309="",H309="NA"),"HIÁNYOS ADATOK",
IF(Bérköltség!$F309&lt;Bérköltség!$U309,Admin!$B$18,Admin!$B$17)),
"")</f>
        <v>FEOR</v>
      </c>
      <c r="C309" s="265" t="str">
        <f>IFERROR(INDEX('Historikus berek_2021-2'!$A$1:$F$903,MATCH(AB309,'Historikus berek_2021-2'!$A$1:$A$903,0),4),"")</f>
        <v/>
      </c>
      <c r="D309" s="279" t="str">
        <f t="shared" si="673"/>
        <v/>
      </c>
      <c r="E309" s="265">
        <f t="shared" si="674"/>
        <v>400000</v>
      </c>
      <c r="F309" s="266" t="str">
        <f t="shared" si="675"/>
        <v/>
      </c>
      <c r="G309" s="267" t="str">
        <f t="shared" si="676"/>
        <v/>
      </c>
      <c r="H309" s="268">
        <f>IFERROR(INDEX('FEOR kodok'!$A$2:$J$1126,MATCH(Bérköltség!AB309,'FEOR kodok'!$B$2:$B$1126,0),8),"NA")</f>
        <v>2122</v>
      </c>
      <c r="I309" s="269">
        <f>IFERROR(INDEX('FEOR kodok'!$A$2:$J$1126,MATCH(Bérköltség!AB309,'FEOR kodok'!$B$2:$B$1126,0),10),"NA")</f>
        <v>39</v>
      </c>
      <c r="J309" s="276" t="str">
        <f t="shared" si="677"/>
        <v>30–39 éves</v>
      </c>
      <c r="K309" s="269" t="str">
        <f>IFERROR(INDEX(admin_feor[#All],MATCH(Bérköltség!H309,admin_feor[[#All],[Foglalkozás]],0),2),"NA")</f>
        <v>Villamosmérnök (elektronikai mérnök)</v>
      </c>
      <c r="L309" s="270">
        <f>IFERROR(
INDEX('Admin - FEOR'!$A$4:$F$465,MATCH(Bérköltség!H309,'Admin - FEOR'!$A$4:$A$465,0),
IF(J309="30 év alatt",3,
IF(J309="30–39 éves",4,
IF(J309="40–49 éves",5,
IF(J309="50 év és afelett",6
)))))*1,"NA")</f>
        <v>861128</v>
      </c>
      <c r="M309" s="270">
        <f t="shared" si="678"/>
        <v>400000</v>
      </c>
      <c r="N309" s="318">
        <f t="shared" si="679"/>
        <v>0.4645070187010526</v>
      </c>
      <c r="O309" s="270">
        <f>IFERROR(
INDEX('Admin - FEOR'!$A$4:$F$465,MATCH(Bérköltség!H309,'Admin - FEOR'!$A$4:$A$465,0),
IF(J309="30 év alatt",3,
IF(J309="30–39 éves",4,
IF(J309="40–49 éves",5,
IF(J309="50 év és afelett",6
)))))*1.5,"NA")</f>
        <v>1291692</v>
      </c>
      <c r="P309" s="270">
        <f t="shared" si="680"/>
        <v>1291692</v>
      </c>
      <c r="Q309" s="270">
        <f t="shared" si="681"/>
        <v>400000</v>
      </c>
      <c r="R309" s="275">
        <f t="shared" si="682"/>
        <v>1</v>
      </c>
      <c r="S309" s="270">
        <f t="shared" si="683"/>
        <v>0</v>
      </c>
      <c r="T309" s="270">
        <f t="shared" si="684"/>
        <v>0</v>
      </c>
      <c r="U309" s="271">
        <f t="shared" si="685"/>
        <v>0</v>
      </c>
      <c r="V309" s="272">
        <f t="shared" si="686"/>
        <v>452000</v>
      </c>
      <c r="W309" s="273" t="str">
        <f t="shared" si="687"/>
        <v>Nem szükséges indoklás.</v>
      </c>
      <c r="X309" s="372">
        <f t="shared" si="688"/>
        <v>0</v>
      </c>
      <c r="Y309" s="317">
        <f t="shared" si="689"/>
        <v>400000</v>
      </c>
      <c r="Z309" s="317">
        <f t="shared" si="690"/>
        <v>52000</v>
      </c>
      <c r="AA309" s="36"/>
      <c r="AB309" s="274">
        <v>8428693250</v>
      </c>
      <c r="AC309" s="40" t="s">
        <v>216</v>
      </c>
      <c r="AD309" s="82" t="s">
        <v>75</v>
      </c>
      <c r="AE309" s="41" t="s">
        <v>52</v>
      </c>
      <c r="AF309" s="11" t="s">
        <v>159</v>
      </c>
      <c r="AG309" s="11" t="s">
        <v>166</v>
      </c>
      <c r="AH309" s="14" t="s">
        <v>122</v>
      </c>
      <c r="AI309" s="86" t="s">
        <v>36</v>
      </c>
      <c r="AJ309" s="113" t="str">
        <f>IF(COUNTIFS(Admin!$A$29:$A$40,AI309)&gt;0,Admin!$A$28,IF(COUNTIFS(Admin!$B$29:$B$40,AI309)&gt;0,Admin!$B$28,IF(COUNTIFS(Admin!$C$29:$C$40,AI309)&gt;0,Admin!$C$28,IF(COUNTIFS(Admin!$D$29:$D$40,AI309)&gt;0,Admin!$D$28,"-"))))</f>
        <v>3. mérföldkő</v>
      </c>
      <c r="AK309" s="14" t="s">
        <v>141</v>
      </c>
      <c r="AL309" s="9" t="s">
        <v>56</v>
      </c>
      <c r="AM309" s="131">
        <v>400000</v>
      </c>
      <c r="AN309" s="132">
        <f t="shared" si="584"/>
        <v>52000</v>
      </c>
      <c r="AO309" s="121">
        <v>87</v>
      </c>
      <c r="AP309" s="121">
        <v>87</v>
      </c>
      <c r="AQ309" s="354">
        <f t="shared" si="585"/>
        <v>1</v>
      </c>
      <c r="AR309" s="133">
        <f t="shared" si="214"/>
        <v>400000</v>
      </c>
      <c r="AS309" s="133">
        <f t="shared" si="500"/>
        <v>52000</v>
      </c>
      <c r="AT309" s="123">
        <f t="shared" si="586"/>
        <v>0</v>
      </c>
      <c r="AU309" s="124">
        <v>0.13</v>
      </c>
      <c r="AV309" s="394" t="s">
        <v>2787</v>
      </c>
      <c r="AW309" s="15">
        <v>44967</v>
      </c>
      <c r="AX309" s="12" t="s">
        <v>206</v>
      </c>
      <c r="BC309" s="1" t="s">
        <v>2841</v>
      </c>
    </row>
    <row r="310" spans="1:56" s="1" customFormat="1" hidden="1" x14ac:dyDescent="0.25">
      <c r="A310" s="264" t="str">
        <f>Bérköltség!$B310</f>
        <v>FEOR</v>
      </c>
      <c r="B310" s="264" t="str">
        <f>IFERROR(
IF(AND(Bérköltség!$F310="",H310="NA"),"HIÁNYOS ADATOK",
IF(Bérköltség!$F310&lt;Bérköltség!$U310,Admin!$B$18,Admin!$B$17)),
"")</f>
        <v>FEOR</v>
      </c>
      <c r="C310" s="265" t="str">
        <f>IFERROR(INDEX('Historikus berek_2021-2'!$A$1:$F$903,MATCH(AB310,'Historikus berek_2021-2'!$A$1:$A$903,0),4),"")</f>
        <v/>
      </c>
      <c r="D310" s="279" t="str">
        <f t="shared" si="673"/>
        <v/>
      </c>
      <c r="E310" s="265">
        <f t="shared" si="674"/>
        <v>400000</v>
      </c>
      <c r="F310" s="266" t="str">
        <f t="shared" si="675"/>
        <v/>
      </c>
      <c r="G310" s="267" t="str">
        <f t="shared" si="676"/>
        <v/>
      </c>
      <c r="H310" s="268">
        <f>IFERROR(INDEX('FEOR kodok'!$A$2:$J$1126,MATCH(Bérköltség!AB310,'FEOR kodok'!$B$2:$B$1126,0),8),"NA")</f>
        <v>2122</v>
      </c>
      <c r="I310" s="269">
        <f>IFERROR(INDEX('FEOR kodok'!$A$2:$J$1126,MATCH(Bérköltség!AB310,'FEOR kodok'!$B$2:$B$1126,0),10),"NA")</f>
        <v>39</v>
      </c>
      <c r="J310" s="276" t="str">
        <f t="shared" si="677"/>
        <v>30–39 éves</v>
      </c>
      <c r="K310" s="269" t="str">
        <f>IFERROR(INDEX(admin_feor[#All],MATCH(Bérköltség!H310,admin_feor[[#All],[Foglalkozás]],0),2),"NA")</f>
        <v>Villamosmérnök (elektronikai mérnök)</v>
      </c>
      <c r="L310" s="270">
        <f>IFERROR(
INDEX('Admin - FEOR'!$A$4:$F$465,MATCH(Bérköltség!H310,'Admin - FEOR'!$A$4:$A$465,0),
IF(J310="30 év alatt",3,
IF(J310="30–39 éves",4,
IF(J310="40–49 éves",5,
IF(J310="50 év és afelett",6
)))))*1,"NA")</f>
        <v>861128</v>
      </c>
      <c r="M310" s="270">
        <f t="shared" si="678"/>
        <v>400000</v>
      </c>
      <c r="N310" s="318">
        <f t="shared" si="679"/>
        <v>0.4645070187010526</v>
      </c>
      <c r="O310" s="270">
        <f>IFERROR(
INDEX('Admin - FEOR'!$A$4:$F$465,MATCH(Bérköltség!H310,'Admin - FEOR'!$A$4:$A$465,0),
IF(J310="30 év alatt",3,
IF(J310="30–39 éves",4,
IF(J310="40–49 éves",5,
IF(J310="50 év és afelett",6
)))))*1.5,"NA")</f>
        <v>1291692</v>
      </c>
      <c r="P310" s="270">
        <f t="shared" si="680"/>
        <v>1291692</v>
      </c>
      <c r="Q310" s="270">
        <f t="shared" si="681"/>
        <v>400000</v>
      </c>
      <c r="R310" s="275">
        <f t="shared" si="682"/>
        <v>1</v>
      </c>
      <c r="S310" s="270">
        <f t="shared" si="683"/>
        <v>0</v>
      </c>
      <c r="T310" s="270">
        <f t="shared" si="684"/>
        <v>0</v>
      </c>
      <c r="U310" s="271">
        <f t="shared" si="685"/>
        <v>0</v>
      </c>
      <c r="V310" s="272">
        <f t="shared" si="686"/>
        <v>452000</v>
      </c>
      <c r="W310" s="273" t="str">
        <f t="shared" si="687"/>
        <v>Nem szükséges indoklás.</v>
      </c>
      <c r="X310" s="372">
        <f t="shared" si="688"/>
        <v>0</v>
      </c>
      <c r="Y310" s="317">
        <f t="shared" si="689"/>
        <v>400000</v>
      </c>
      <c r="Z310" s="317">
        <f t="shared" si="690"/>
        <v>52000</v>
      </c>
      <c r="AA310" s="36"/>
      <c r="AB310" s="274">
        <v>8428693250</v>
      </c>
      <c r="AC310" s="40" t="s">
        <v>216</v>
      </c>
      <c r="AD310" s="82" t="s">
        <v>75</v>
      </c>
      <c r="AE310" s="41" t="s">
        <v>52</v>
      </c>
      <c r="AF310" s="11" t="s">
        <v>159</v>
      </c>
      <c r="AG310" s="11" t="s">
        <v>166</v>
      </c>
      <c r="AH310" s="14" t="s">
        <v>122</v>
      </c>
      <c r="AI310" s="86" t="s">
        <v>37</v>
      </c>
      <c r="AJ310" s="113" t="str">
        <f>IF(COUNTIFS(Admin!$A$29:$A$40,AI310)&gt;0,Admin!$A$28,IF(COUNTIFS(Admin!$B$29:$B$40,AI310)&gt;0,Admin!$B$28,IF(COUNTIFS(Admin!$C$29:$C$40,AI310)&gt;0,Admin!$C$28,IF(COUNTIFS(Admin!$D$29:$D$40,AI310)&gt;0,Admin!$D$28,"-"))))</f>
        <v>3. mérföldkő</v>
      </c>
      <c r="AK310" s="14" t="s">
        <v>141</v>
      </c>
      <c r="AL310" s="9" t="s">
        <v>56</v>
      </c>
      <c r="AM310" s="131">
        <v>400000</v>
      </c>
      <c r="AN310" s="132">
        <f t="shared" si="584"/>
        <v>52000</v>
      </c>
      <c r="AO310" s="121">
        <v>87</v>
      </c>
      <c r="AP310" s="121">
        <v>87</v>
      </c>
      <c r="AQ310" s="354">
        <f t="shared" si="585"/>
        <v>1</v>
      </c>
      <c r="AR310" s="133">
        <f t="shared" si="214"/>
        <v>400000</v>
      </c>
      <c r="AS310" s="133">
        <f t="shared" si="500"/>
        <v>52000</v>
      </c>
      <c r="AT310" s="123">
        <f t="shared" si="586"/>
        <v>0</v>
      </c>
      <c r="AU310" s="124">
        <v>0.13</v>
      </c>
      <c r="AV310" s="394" t="s">
        <v>2787</v>
      </c>
      <c r="AW310" s="15">
        <v>44967</v>
      </c>
      <c r="AX310" s="12" t="s">
        <v>206</v>
      </c>
      <c r="BC310" s="1" t="s">
        <v>2841</v>
      </c>
    </row>
    <row r="311" spans="1:56" s="1" customFormat="1" hidden="1" x14ac:dyDescent="0.25">
      <c r="A311" s="264" t="str">
        <f>Bérköltség!$B311</f>
        <v>FEOR</v>
      </c>
      <c r="B311" s="264" t="str">
        <f>IFERROR(
IF(AND(Bérköltség!$F311="",H311="NA"),"HIÁNYOS ADATOK",
IF(Bérköltség!$F311&lt;Bérköltség!$U311,Admin!$B$18,Admin!$B$17)),
"")</f>
        <v>FEOR</v>
      </c>
      <c r="C311" s="265" t="str">
        <f>IFERROR(INDEX('Historikus berek_2021-2'!$A$1:$F$903,MATCH(AB311,'Historikus berek_2021-2'!$A$1:$A$903,0),4),"")</f>
        <v/>
      </c>
      <c r="D311" s="279" t="str">
        <f t="shared" si="673"/>
        <v/>
      </c>
      <c r="E311" s="265">
        <f t="shared" si="674"/>
        <v>400000</v>
      </c>
      <c r="F311" s="266" t="str">
        <f t="shared" si="675"/>
        <v/>
      </c>
      <c r="G311" s="267" t="str">
        <f t="shared" si="676"/>
        <v/>
      </c>
      <c r="H311" s="268">
        <f>IFERROR(INDEX('FEOR kodok'!$A$2:$J$1126,MATCH(Bérköltség!AB311,'FEOR kodok'!$B$2:$B$1126,0),8),"NA")</f>
        <v>2122</v>
      </c>
      <c r="I311" s="269">
        <f>IFERROR(INDEX('FEOR kodok'!$A$2:$J$1126,MATCH(Bérköltség!AB311,'FEOR kodok'!$B$2:$B$1126,0),10),"NA")</f>
        <v>39</v>
      </c>
      <c r="J311" s="276" t="str">
        <f t="shared" si="677"/>
        <v>30–39 éves</v>
      </c>
      <c r="K311" s="269" t="str">
        <f>IFERROR(INDEX(admin_feor[#All],MATCH(Bérköltség!H311,admin_feor[[#All],[Foglalkozás]],0),2),"NA")</f>
        <v>Villamosmérnök (elektronikai mérnök)</v>
      </c>
      <c r="L311" s="270">
        <f>IFERROR(
INDEX('Admin - FEOR'!$A$4:$F$465,MATCH(Bérköltség!H311,'Admin - FEOR'!$A$4:$A$465,0),
IF(J311="30 év alatt",3,
IF(J311="30–39 éves",4,
IF(J311="40–49 éves",5,
IF(J311="50 év és afelett",6
)))))*1,"NA")</f>
        <v>861128</v>
      </c>
      <c r="M311" s="270">
        <f t="shared" si="678"/>
        <v>400000</v>
      </c>
      <c r="N311" s="318">
        <f t="shared" si="679"/>
        <v>0.4645070187010526</v>
      </c>
      <c r="O311" s="270">
        <f>IFERROR(
INDEX('Admin - FEOR'!$A$4:$F$465,MATCH(Bérköltség!H311,'Admin - FEOR'!$A$4:$A$465,0),
IF(J311="30 év alatt",3,
IF(J311="30–39 éves",4,
IF(J311="40–49 éves",5,
IF(J311="50 év és afelett",6
)))))*1.5,"NA")</f>
        <v>1291692</v>
      </c>
      <c r="P311" s="270">
        <f t="shared" si="680"/>
        <v>1291692</v>
      </c>
      <c r="Q311" s="270">
        <f t="shared" si="681"/>
        <v>400000</v>
      </c>
      <c r="R311" s="275">
        <f t="shared" si="682"/>
        <v>1</v>
      </c>
      <c r="S311" s="270">
        <f t="shared" si="683"/>
        <v>0</v>
      </c>
      <c r="T311" s="270">
        <f t="shared" si="684"/>
        <v>0</v>
      </c>
      <c r="U311" s="271">
        <f t="shared" si="685"/>
        <v>0</v>
      </c>
      <c r="V311" s="272">
        <f t="shared" si="686"/>
        <v>452000</v>
      </c>
      <c r="W311" s="273" t="str">
        <f t="shared" si="687"/>
        <v>Nem szükséges indoklás.</v>
      </c>
      <c r="X311" s="372">
        <f t="shared" si="688"/>
        <v>0</v>
      </c>
      <c r="Y311" s="317">
        <f t="shared" si="689"/>
        <v>400000</v>
      </c>
      <c r="Z311" s="317">
        <f t="shared" si="690"/>
        <v>52000</v>
      </c>
      <c r="AA311" s="36"/>
      <c r="AB311" s="274">
        <v>8428693250</v>
      </c>
      <c r="AC311" s="40" t="s">
        <v>216</v>
      </c>
      <c r="AD311" s="82" t="s">
        <v>75</v>
      </c>
      <c r="AE311" s="41" t="s">
        <v>52</v>
      </c>
      <c r="AF311" s="11" t="s">
        <v>159</v>
      </c>
      <c r="AG311" s="11" t="s">
        <v>166</v>
      </c>
      <c r="AH311" s="14" t="s">
        <v>122</v>
      </c>
      <c r="AI311" s="86" t="s">
        <v>38</v>
      </c>
      <c r="AJ311" s="113" t="str">
        <f>IF(COUNTIFS(Admin!$A$29:$A$40,AI311)&gt;0,Admin!$A$28,IF(COUNTIFS(Admin!$B$29:$B$40,AI311)&gt;0,Admin!$B$28,IF(COUNTIFS(Admin!$C$29:$C$40,AI311)&gt;0,Admin!$C$28,IF(COUNTIFS(Admin!$D$29:$D$40,AI311)&gt;0,Admin!$D$28,"-"))))</f>
        <v>3. mérföldkő</v>
      </c>
      <c r="AK311" s="14" t="s">
        <v>141</v>
      </c>
      <c r="AL311" s="9" t="s">
        <v>56</v>
      </c>
      <c r="AM311" s="131">
        <v>400000</v>
      </c>
      <c r="AN311" s="132">
        <f t="shared" si="584"/>
        <v>52000</v>
      </c>
      <c r="AO311" s="121">
        <v>87</v>
      </c>
      <c r="AP311" s="121">
        <v>87</v>
      </c>
      <c r="AQ311" s="354">
        <f t="shared" si="585"/>
        <v>1</v>
      </c>
      <c r="AR311" s="133">
        <f t="shared" si="214"/>
        <v>400000</v>
      </c>
      <c r="AS311" s="133">
        <f t="shared" si="500"/>
        <v>52000</v>
      </c>
      <c r="AT311" s="123">
        <f t="shared" si="586"/>
        <v>0</v>
      </c>
      <c r="AU311" s="124">
        <v>0.13</v>
      </c>
      <c r="AV311" s="394" t="s">
        <v>2787</v>
      </c>
      <c r="AW311" s="15">
        <v>44967</v>
      </c>
      <c r="AX311" s="12" t="s">
        <v>206</v>
      </c>
      <c r="BC311" s="1" t="s">
        <v>2841</v>
      </c>
    </row>
    <row r="312" spans="1:56" s="1" customFormat="1" hidden="1" x14ac:dyDescent="0.25">
      <c r="A312" s="264" t="str">
        <f>Bérköltség!$B312</f>
        <v>FEOR</v>
      </c>
      <c r="B312" s="264" t="str">
        <f>IFERROR(
IF(AND(Bérköltség!$F312="",H312="NA"),"HIÁNYOS ADATOK",
IF(Bérköltség!$F312&lt;Bérköltség!$U312,Admin!$B$18,Admin!$B$17)),
"")</f>
        <v>FEOR</v>
      </c>
      <c r="C312" s="265" t="str">
        <f>IFERROR(INDEX('Historikus berek_2021-2'!$A$1:$F$903,MATCH(AB312,'Historikus berek_2021-2'!$A$1:$A$903,0),4),"")</f>
        <v/>
      </c>
      <c r="D312" s="279" t="str">
        <f t="shared" si="673"/>
        <v/>
      </c>
      <c r="E312" s="265">
        <f t="shared" si="674"/>
        <v>400000</v>
      </c>
      <c r="F312" s="266" t="str">
        <f t="shared" si="675"/>
        <v/>
      </c>
      <c r="G312" s="267" t="str">
        <f t="shared" si="676"/>
        <v/>
      </c>
      <c r="H312" s="268">
        <f>IFERROR(INDEX('FEOR kodok'!$A$2:$J$1126,MATCH(Bérköltség!AB312,'FEOR kodok'!$B$2:$B$1126,0),8),"NA")</f>
        <v>2122</v>
      </c>
      <c r="I312" s="269">
        <f>IFERROR(INDEX('FEOR kodok'!$A$2:$J$1126,MATCH(Bérköltség!AB312,'FEOR kodok'!$B$2:$B$1126,0),10),"NA")</f>
        <v>39</v>
      </c>
      <c r="J312" s="276" t="str">
        <f t="shared" si="677"/>
        <v>30–39 éves</v>
      </c>
      <c r="K312" s="269" t="str">
        <f>IFERROR(INDEX(admin_feor[#All],MATCH(Bérköltség!H312,admin_feor[[#All],[Foglalkozás]],0),2),"NA")</f>
        <v>Villamosmérnök (elektronikai mérnök)</v>
      </c>
      <c r="L312" s="270">
        <f>IFERROR(
INDEX('Admin - FEOR'!$A$4:$F$465,MATCH(Bérköltség!H312,'Admin - FEOR'!$A$4:$A$465,0),
IF(J312="30 év alatt",3,
IF(J312="30–39 éves",4,
IF(J312="40–49 éves",5,
IF(J312="50 év és afelett",6
)))))*1,"NA")</f>
        <v>861128</v>
      </c>
      <c r="M312" s="270">
        <f t="shared" si="678"/>
        <v>400000</v>
      </c>
      <c r="N312" s="318">
        <f t="shared" si="679"/>
        <v>0.4645070187010526</v>
      </c>
      <c r="O312" s="270">
        <f>IFERROR(
INDEX('Admin - FEOR'!$A$4:$F$465,MATCH(Bérköltség!H312,'Admin - FEOR'!$A$4:$A$465,0),
IF(J312="30 év alatt",3,
IF(J312="30–39 éves",4,
IF(J312="40–49 éves",5,
IF(J312="50 év és afelett",6
)))))*1.5,"NA")</f>
        <v>1291692</v>
      </c>
      <c r="P312" s="270">
        <f t="shared" si="680"/>
        <v>1291692</v>
      </c>
      <c r="Q312" s="270">
        <f t="shared" si="681"/>
        <v>400000</v>
      </c>
      <c r="R312" s="275">
        <f t="shared" si="682"/>
        <v>1</v>
      </c>
      <c r="S312" s="270">
        <f t="shared" si="683"/>
        <v>0</v>
      </c>
      <c r="T312" s="270">
        <f t="shared" si="684"/>
        <v>0</v>
      </c>
      <c r="U312" s="271">
        <f t="shared" si="685"/>
        <v>0</v>
      </c>
      <c r="V312" s="272">
        <f t="shared" si="686"/>
        <v>452000</v>
      </c>
      <c r="W312" s="273" t="str">
        <f t="shared" si="687"/>
        <v>Nem szükséges indoklás.</v>
      </c>
      <c r="X312" s="372">
        <f t="shared" si="688"/>
        <v>0</v>
      </c>
      <c r="Y312" s="317">
        <f t="shared" si="689"/>
        <v>400000</v>
      </c>
      <c r="Z312" s="317">
        <f t="shared" si="690"/>
        <v>52000</v>
      </c>
      <c r="AA312" s="36"/>
      <c r="AB312" s="274">
        <v>8428693250</v>
      </c>
      <c r="AC312" s="40" t="s">
        <v>216</v>
      </c>
      <c r="AD312" s="82" t="s">
        <v>75</v>
      </c>
      <c r="AE312" s="41" t="s">
        <v>52</v>
      </c>
      <c r="AF312" s="11" t="s">
        <v>159</v>
      </c>
      <c r="AG312" s="11" t="s">
        <v>166</v>
      </c>
      <c r="AH312" s="14" t="s">
        <v>122</v>
      </c>
      <c r="AI312" s="86" t="s">
        <v>39</v>
      </c>
      <c r="AJ312" s="113" t="str">
        <f>IF(COUNTIFS(Admin!$A$29:$A$40,AI312)&gt;0,Admin!$A$28,IF(COUNTIFS(Admin!$B$29:$B$40,AI312)&gt;0,Admin!$B$28,IF(COUNTIFS(Admin!$C$29:$C$40,AI312)&gt;0,Admin!$C$28,IF(COUNTIFS(Admin!$D$29:$D$40,AI312)&gt;0,Admin!$D$28,"-"))))</f>
        <v>3. mérföldkő</v>
      </c>
      <c r="AK312" s="14" t="s">
        <v>141</v>
      </c>
      <c r="AL312" s="9" t="s">
        <v>56</v>
      </c>
      <c r="AM312" s="131">
        <v>400000</v>
      </c>
      <c r="AN312" s="132">
        <f t="shared" si="584"/>
        <v>52000</v>
      </c>
      <c r="AO312" s="121">
        <v>87</v>
      </c>
      <c r="AP312" s="121">
        <v>87</v>
      </c>
      <c r="AQ312" s="354">
        <f t="shared" si="585"/>
        <v>1</v>
      </c>
      <c r="AR312" s="133">
        <f t="shared" si="214"/>
        <v>400000</v>
      </c>
      <c r="AS312" s="133">
        <f t="shared" si="500"/>
        <v>52000</v>
      </c>
      <c r="AT312" s="123">
        <f t="shared" si="586"/>
        <v>0</v>
      </c>
      <c r="AU312" s="124">
        <v>0.13</v>
      </c>
      <c r="AV312" s="394" t="s">
        <v>2787</v>
      </c>
      <c r="AW312" s="15">
        <v>44967</v>
      </c>
      <c r="AX312" s="12" t="s">
        <v>206</v>
      </c>
      <c r="BC312" s="1" t="s">
        <v>2841</v>
      </c>
    </row>
    <row r="313" spans="1:56" s="1" customFormat="1" hidden="1" x14ac:dyDescent="0.25">
      <c r="A313" s="264" t="str">
        <f>Bérköltség!$B313</f>
        <v>FEOR</v>
      </c>
      <c r="B313" s="264" t="str">
        <f>IFERROR(
IF(AND(Bérköltség!$F313="",H313="NA"),"HIÁNYOS ADATOK",
IF(Bérköltség!$F313&lt;Bérköltség!$U313,Admin!$B$18,Admin!$B$17)),
"")</f>
        <v>FEOR</v>
      </c>
      <c r="C313" s="265">
        <f>IFERROR(INDEX('Historikus berek_2021-2'!$A$1:$F$903,MATCH(AB313,'Historikus berek_2021-2'!$A$1:$A$903,0),4),"")</f>
        <v>120433.33333333333</v>
      </c>
      <c r="D313" s="279">
        <f t="shared" si="673"/>
        <v>120433.33333333333</v>
      </c>
      <c r="E313" s="265">
        <f t="shared" si="674"/>
        <v>199999</v>
      </c>
      <c r="F313" s="266">
        <f t="shared" si="675"/>
        <v>89909.203333333309</v>
      </c>
      <c r="G313" s="267">
        <f t="shared" si="676"/>
        <v>136089.66666666666</v>
      </c>
      <c r="H313" s="268">
        <f>IFERROR(INDEX('FEOR kodok'!$A$2:$J$1126,MATCH(Bérköltség!AB313,'FEOR kodok'!$B$2:$B$1126,0),8),"NA")</f>
        <v>2139</v>
      </c>
      <c r="I313" s="269">
        <f>IFERROR(INDEX('FEOR kodok'!$A$2:$J$1126,MATCH(Bérköltség!AB313,'FEOR kodok'!$B$2:$B$1126,0),10),"NA")</f>
        <v>34</v>
      </c>
      <c r="J313" s="276" t="str">
        <f t="shared" si="677"/>
        <v>30–39 éves</v>
      </c>
      <c r="K313" s="269" t="str">
        <f>IFERROR(INDEX(admin_feor[#All],MATCH(Bérköltség!H313,admin_feor[[#All],[Foglalkozás]],0),2),"NA")</f>
        <v>Egyéb, máshova nem sorolható mérnök</v>
      </c>
      <c r="L313" s="270">
        <f>IFERROR(
INDEX('Admin - FEOR'!$A$4:$F$465,MATCH(Bérköltség!H313,'Admin - FEOR'!$A$4:$A$465,0),
IF(J313="30 év alatt",3,
IF(J313="30–39 éves",4,
IF(J313="40–49 éves",5,
IF(J313="50 év és afelett",6
)))))*1,"NA")</f>
        <v>845378</v>
      </c>
      <c r="M313" s="270">
        <f t="shared" si="678"/>
        <v>199999</v>
      </c>
      <c r="N313" s="318">
        <f t="shared" si="679"/>
        <v>0.23657937632632975</v>
      </c>
      <c r="O313" s="270">
        <f>IFERROR(
INDEX('Admin - FEOR'!$A$4:$F$465,MATCH(Bérköltség!H313,'Admin - FEOR'!$A$4:$A$465,0),
IF(J313="30 év alatt",3,
IF(J313="30–39 éves",4,
IF(J313="40–49 éves",5,
IF(J313="50 év és afelett",6
)))))*1.5,"NA")</f>
        <v>1268067</v>
      </c>
      <c r="P313" s="270">
        <f t="shared" si="680"/>
        <v>1268067</v>
      </c>
      <c r="Q313" s="270">
        <f t="shared" si="681"/>
        <v>199999</v>
      </c>
      <c r="R313" s="275">
        <f t="shared" si="682"/>
        <v>1</v>
      </c>
      <c r="S313" s="270">
        <f t="shared" si="683"/>
        <v>0</v>
      </c>
      <c r="T313" s="270">
        <f t="shared" si="684"/>
        <v>0</v>
      </c>
      <c r="U313" s="271">
        <f t="shared" si="685"/>
        <v>0</v>
      </c>
      <c r="V313" s="272">
        <f t="shared" si="686"/>
        <v>225999</v>
      </c>
      <c r="W313" s="273" t="str">
        <f t="shared" si="687"/>
        <v>Nem szükséges indoklás.</v>
      </c>
      <c r="X313" s="372">
        <f t="shared" si="688"/>
        <v>0</v>
      </c>
      <c r="Y313" s="317">
        <f t="shared" si="689"/>
        <v>199999</v>
      </c>
      <c r="Z313" s="317">
        <f t="shared" si="690"/>
        <v>26000</v>
      </c>
      <c r="AA313" s="12">
        <v>2</v>
      </c>
      <c r="AB313" s="274">
        <v>8447632261</v>
      </c>
      <c r="AC313" s="40" t="s">
        <v>250</v>
      </c>
      <c r="AD313" s="82" t="s">
        <v>75</v>
      </c>
      <c r="AE313" s="41" t="s">
        <v>52</v>
      </c>
      <c r="AF313" s="11" t="s">
        <v>151</v>
      </c>
      <c r="AG313" s="11" t="s">
        <v>246</v>
      </c>
      <c r="AH313" s="14" t="s">
        <v>122</v>
      </c>
      <c r="AI313" s="86" t="s">
        <v>25</v>
      </c>
      <c r="AJ313" s="113" t="str">
        <f>IF(COUNTIFS(Admin!$A$29:$A$40,AI313)&gt;0,Admin!$A$28,IF(COUNTIFS(Admin!$B$29:$B$40,AI313)&gt;0,Admin!$B$28,IF(COUNTIFS(Admin!$C$29:$C$40,AI313)&gt;0,Admin!$C$28,IF(COUNTIFS(Admin!$D$29:$D$40,AI313)&gt;0,Admin!$D$28,"-"))))</f>
        <v>2. mérföldkő</v>
      </c>
      <c r="AK313" s="14" t="s">
        <v>7</v>
      </c>
      <c r="AL313" s="9" t="s">
        <v>56</v>
      </c>
      <c r="AM313" s="131">
        <v>199999</v>
      </c>
      <c r="AN313" s="132">
        <f t="shared" si="584"/>
        <v>26000</v>
      </c>
      <c r="AO313" s="121">
        <v>87</v>
      </c>
      <c r="AP313" s="121">
        <v>87</v>
      </c>
      <c r="AQ313" s="354">
        <f t="shared" si="585"/>
        <v>1</v>
      </c>
      <c r="AR313" s="133">
        <f t="shared" si="214"/>
        <v>199999</v>
      </c>
      <c r="AS313" s="133">
        <f t="shared" si="500"/>
        <v>26000</v>
      </c>
      <c r="AT313" s="123">
        <f t="shared" si="586"/>
        <v>0</v>
      </c>
      <c r="AU313" s="124">
        <v>0.13</v>
      </c>
      <c r="AV313" s="394" t="s">
        <v>2788</v>
      </c>
      <c r="AW313" s="15">
        <v>44853</v>
      </c>
      <c r="AX313" s="12" t="s">
        <v>206</v>
      </c>
      <c r="AZ313" s="1" t="s">
        <v>2667</v>
      </c>
      <c r="BA313" s="1" t="s">
        <v>2667</v>
      </c>
      <c r="BB313" s="1" t="s">
        <v>2667</v>
      </c>
      <c r="BC313" s="1" t="s">
        <v>2842</v>
      </c>
      <c r="BD313" s="1" t="str">
        <f>CONCATENATE(BC313," - ",AE313)</f>
        <v>Kutató_BM_7 - Kutató</v>
      </c>
    </row>
    <row r="314" spans="1:56" s="1" customFormat="1" hidden="1" x14ac:dyDescent="0.25">
      <c r="A314" s="264" t="str">
        <f>Bérköltség!$B314</f>
        <v>FEOR</v>
      </c>
      <c r="B314" s="264" t="str">
        <f>IFERROR(
IF(AND(Bérköltség!$F314="",H314="NA"),"HIÁNYOS ADATOK",
IF(Bérköltség!$F314&lt;Bérköltség!$U314,Admin!$B$18,Admin!$B$17)),
"")</f>
        <v>FEOR</v>
      </c>
      <c r="C314" s="265">
        <f>IFERROR(INDEX('Historikus berek_2021-2'!$A$1:$F$903,MATCH(AB314,'Historikus berek_2021-2'!$A$1:$A$903,0),4),"")</f>
        <v>120433.33333333333</v>
      </c>
      <c r="D314" s="279">
        <f t="shared" si="673"/>
        <v>120433.33333333333</v>
      </c>
      <c r="E314" s="265">
        <f t="shared" si="674"/>
        <v>199999</v>
      </c>
      <c r="F314" s="266">
        <f t="shared" si="675"/>
        <v>89909.203333333309</v>
      </c>
      <c r="G314" s="267">
        <f t="shared" si="676"/>
        <v>136089.66666666666</v>
      </c>
      <c r="H314" s="268">
        <f>IFERROR(INDEX('FEOR kodok'!$A$2:$J$1126,MATCH(Bérköltség!AB314,'FEOR kodok'!$B$2:$B$1126,0),8),"NA")</f>
        <v>2139</v>
      </c>
      <c r="I314" s="269">
        <f>IFERROR(INDEX('FEOR kodok'!$A$2:$J$1126,MATCH(Bérköltség!AB314,'FEOR kodok'!$B$2:$B$1126,0),10),"NA")</f>
        <v>34</v>
      </c>
      <c r="J314" s="276" t="str">
        <f t="shared" si="677"/>
        <v>30–39 éves</v>
      </c>
      <c r="K314" s="269" t="str">
        <f>IFERROR(INDEX(admin_feor[#All],MATCH(Bérköltség!H314,admin_feor[[#All],[Foglalkozás]],0),2),"NA")</f>
        <v>Egyéb, máshova nem sorolható mérnök</v>
      </c>
      <c r="L314" s="270">
        <f>IFERROR(
INDEX('Admin - FEOR'!$A$4:$F$465,MATCH(Bérköltség!H314,'Admin - FEOR'!$A$4:$A$465,0),
IF(J314="30 év alatt",3,
IF(J314="30–39 éves",4,
IF(J314="40–49 éves",5,
IF(J314="50 év és afelett",6
)))))*1,"NA")</f>
        <v>845378</v>
      </c>
      <c r="M314" s="270">
        <f t="shared" si="678"/>
        <v>199999</v>
      </c>
      <c r="N314" s="318">
        <f t="shared" si="679"/>
        <v>0.23657937632632975</v>
      </c>
      <c r="O314" s="270">
        <f>IFERROR(
INDEX('Admin - FEOR'!$A$4:$F$465,MATCH(Bérköltség!H314,'Admin - FEOR'!$A$4:$A$465,0),
IF(J314="30 év alatt",3,
IF(J314="30–39 éves",4,
IF(J314="40–49 éves",5,
IF(J314="50 év és afelett",6
)))))*1.5,"NA")</f>
        <v>1268067</v>
      </c>
      <c r="P314" s="270">
        <f t="shared" si="680"/>
        <v>1268067</v>
      </c>
      <c r="Q314" s="270">
        <f t="shared" si="681"/>
        <v>199999</v>
      </c>
      <c r="R314" s="275">
        <f t="shared" si="682"/>
        <v>1</v>
      </c>
      <c r="S314" s="270">
        <f t="shared" si="683"/>
        <v>0</v>
      </c>
      <c r="T314" s="270">
        <f t="shared" si="684"/>
        <v>0</v>
      </c>
      <c r="U314" s="271">
        <f t="shared" si="685"/>
        <v>0</v>
      </c>
      <c r="V314" s="272">
        <f t="shared" si="686"/>
        <v>225999</v>
      </c>
      <c r="W314" s="273" t="str">
        <f t="shared" si="687"/>
        <v>Nem szükséges indoklás.</v>
      </c>
      <c r="X314" s="372">
        <f t="shared" si="688"/>
        <v>0</v>
      </c>
      <c r="Y314" s="317">
        <f t="shared" si="689"/>
        <v>199999</v>
      </c>
      <c r="Z314" s="317">
        <f t="shared" si="690"/>
        <v>26000</v>
      </c>
      <c r="AA314" s="12">
        <v>2</v>
      </c>
      <c r="AB314" s="274">
        <v>8447632261</v>
      </c>
      <c r="AC314" s="40" t="s">
        <v>250</v>
      </c>
      <c r="AD314" s="82" t="s">
        <v>75</v>
      </c>
      <c r="AE314" s="41" t="s">
        <v>52</v>
      </c>
      <c r="AF314" s="11" t="s">
        <v>151</v>
      </c>
      <c r="AG314" s="11" t="s">
        <v>246</v>
      </c>
      <c r="AH314" s="14" t="s">
        <v>122</v>
      </c>
      <c r="AI314" s="86" t="s">
        <v>26</v>
      </c>
      <c r="AJ314" s="113" t="str">
        <f>IF(COUNTIFS(Admin!$A$29:$A$40,AI314)&gt;0,Admin!$A$28,IF(COUNTIFS(Admin!$B$29:$B$40,AI314)&gt;0,Admin!$B$28,IF(COUNTIFS(Admin!$C$29:$C$40,AI314)&gt;0,Admin!$C$28,IF(COUNTIFS(Admin!$D$29:$D$40,AI314)&gt;0,Admin!$D$28,"-"))))</f>
        <v>2. mérföldkő</v>
      </c>
      <c r="AK314" s="14" t="s">
        <v>7</v>
      </c>
      <c r="AL314" s="9" t="s">
        <v>56</v>
      </c>
      <c r="AM314" s="131">
        <v>199999</v>
      </c>
      <c r="AN314" s="132">
        <f t="shared" si="584"/>
        <v>26000</v>
      </c>
      <c r="AO314" s="121">
        <v>87</v>
      </c>
      <c r="AP314" s="121">
        <v>87</v>
      </c>
      <c r="AQ314" s="354">
        <f t="shared" si="585"/>
        <v>1</v>
      </c>
      <c r="AR314" s="133">
        <f t="shared" si="214"/>
        <v>199999</v>
      </c>
      <c r="AS314" s="133">
        <f t="shared" si="500"/>
        <v>26000</v>
      </c>
      <c r="AT314" s="123">
        <f t="shared" si="586"/>
        <v>0</v>
      </c>
      <c r="AU314" s="124">
        <v>0.13</v>
      </c>
      <c r="AV314" s="394" t="s">
        <v>2788</v>
      </c>
      <c r="AW314" s="15">
        <v>44853</v>
      </c>
      <c r="AX314" s="12" t="s">
        <v>206</v>
      </c>
      <c r="AZ314" s="1" t="s">
        <v>2667</v>
      </c>
      <c r="BA314" s="1" t="s">
        <v>2668</v>
      </c>
      <c r="BB314" s="1" t="s">
        <v>2667</v>
      </c>
      <c r="BC314" s="1" t="s">
        <v>2842</v>
      </c>
      <c r="BD314" s="1" t="str">
        <f>CONCATENATE(BC314," - ",AE314)</f>
        <v>Kutató_BM_7 - Kutató</v>
      </c>
    </row>
    <row r="315" spans="1:56" s="1" customFormat="1" hidden="1" x14ac:dyDescent="0.25">
      <c r="A315" s="264" t="str">
        <f>Bérköltség!$B315</f>
        <v>FEOR</v>
      </c>
      <c r="B315" s="264" t="str">
        <f>IFERROR(
IF(AND(Bérköltség!$F315="",H315="NA"),"HIÁNYOS ADATOK",
IF(Bérköltség!$F315&lt;Bérköltség!$U315,Admin!$B$18,Admin!$B$17)),
"")</f>
        <v>FEOR</v>
      </c>
      <c r="C315" s="265">
        <f>IFERROR(INDEX('Historikus berek_2021-2'!$A$1:$F$903,MATCH(AB315,'Historikus berek_2021-2'!$A$1:$A$903,0),4),"")</f>
        <v>120433.33333333333</v>
      </c>
      <c r="D315" s="279">
        <f t="shared" si="673"/>
        <v>120433.33333333333</v>
      </c>
      <c r="E315" s="265">
        <f t="shared" si="674"/>
        <v>200000</v>
      </c>
      <c r="F315" s="266">
        <f t="shared" si="675"/>
        <v>89910.333333333314</v>
      </c>
      <c r="G315" s="267">
        <f t="shared" si="676"/>
        <v>136089.66666666666</v>
      </c>
      <c r="H315" s="268">
        <f>IFERROR(INDEX('FEOR kodok'!$A$2:$J$1126,MATCH(Bérköltség!AB315,'FEOR kodok'!$B$2:$B$1126,0),8),"NA")</f>
        <v>2139</v>
      </c>
      <c r="I315" s="269">
        <f>IFERROR(INDEX('FEOR kodok'!$A$2:$J$1126,MATCH(Bérköltség!AB315,'FEOR kodok'!$B$2:$B$1126,0),10),"NA")</f>
        <v>34</v>
      </c>
      <c r="J315" s="276" t="str">
        <f t="shared" si="677"/>
        <v>30–39 éves</v>
      </c>
      <c r="K315" s="269" t="str">
        <f>IFERROR(INDEX(admin_feor[#All],MATCH(Bérköltség!H315,admin_feor[[#All],[Foglalkozás]],0),2),"NA")</f>
        <v>Egyéb, máshova nem sorolható mérnök</v>
      </c>
      <c r="L315" s="270">
        <f>IFERROR(
INDEX('Admin - FEOR'!$A$4:$F$465,MATCH(Bérköltség!H315,'Admin - FEOR'!$A$4:$A$465,0),
IF(J315="30 év alatt",3,
IF(J315="30–39 éves",4,
IF(J315="40–49 éves",5,
IF(J315="50 év és afelett",6
)))))*1,"NA")</f>
        <v>845378</v>
      </c>
      <c r="M315" s="270">
        <f t="shared" si="678"/>
        <v>200000</v>
      </c>
      <c r="N315" s="318">
        <f t="shared" si="679"/>
        <v>0.23658055922912591</v>
      </c>
      <c r="O315" s="270">
        <f>IFERROR(
INDEX('Admin - FEOR'!$A$4:$F$465,MATCH(Bérköltség!H315,'Admin - FEOR'!$A$4:$A$465,0),
IF(J315="30 év alatt",3,
IF(J315="30–39 éves",4,
IF(J315="40–49 éves",5,
IF(J315="50 év és afelett",6
)))))*1.5,"NA")</f>
        <v>1268067</v>
      </c>
      <c r="P315" s="270">
        <f t="shared" si="680"/>
        <v>1268067</v>
      </c>
      <c r="Q315" s="270">
        <f t="shared" si="681"/>
        <v>200000</v>
      </c>
      <c r="R315" s="275">
        <f t="shared" si="682"/>
        <v>1</v>
      </c>
      <c r="S315" s="270">
        <f t="shared" si="683"/>
        <v>0</v>
      </c>
      <c r="T315" s="270">
        <f t="shared" si="684"/>
        <v>0</v>
      </c>
      <c r="U315" s="271">
        <f t="shared" si="685"/>
        <v>0</v>
      </c>
      <c r="V315" s="272">
        <f t="shared" si="686"/>
        <v>226000</v>
      </c>
      <c r="W315" s="273" t="str">
        <f t="shared" si="687"/>
        <v>Nem szükséges indoklás.</v>
      </c>
      <c r="X315" s="372">
        <f t="shared" si="688"/>
        <v>0</v>
      </c>
      <c r="Y315" s="317">
        <f t="shared" si="689"/>
        <v>200000</v>
      </c>
      <c r="Z315" s="317">
        <f t="shared" si="690"/>
        <v>26000</v>
      </c>
      <c r="AA315" s="12">
        <v>2</v>
      </c>
      <c r="AB315" s="274">
        <v>8447632261</v>
      </c>
      <c r="AC315" s="40" t="s">
        <v>250</v>
      </c>
      <c r="AD315" s="82" t="s">
        <v>75</v>
      </c>
      <c r="AE315" s="41" t="s">
        <v>52</v>
      </c>
      <c r="AF315" s="11" t="s">
        <v>151</v>
      </c>
      <c r="AG315" s="11" t="s">
        <v>246</v>
      </c>
      <c r="AH315" s="14" t="s">
        <v>122</v>
      </c>
      <c r="AI315" s="86" t="s">
        <v>32</v>
      </c>
      <c r="AJ315" s="113" t="str">
        <f>IF(COUNTIFS(Admin!$A$29:$A$40,AI315)&gt;0,Admin!$A$28,IF(COUNTIFS(Admin!$B$29:$B$40,AI315)&gt;0,Admin!$B$28,IF(COUNTIFS(Admin!$C$29:$C$40,AI315)&gt;0,Admin!$C$28,IF(COUNTIFS(Admin!$D$29:$D$40,AI315)&gt;0,Admin!$D$28,"-"))))</f>
        <v>2. mérföldkő</v>
      </c>
      <c r="AK315" s="14" t="s">
        <v>7</v>
      </c>
      <c r="AL315" s="9" t="s">
        <v>56</v>
      </c>
      <c r="AM315" s="131">
        <v>200000</v>
      </c>
      <c r="AN315" s="132">
        <f t="shared" si="584"/>
        <v>26000</v>
      </c>
      <c r="AO315" s="121">
        <v>87</v>
      </c>
      <c r="AP315" s="121">
        <v>87</v>
      </c>
      <c r="AQ315" s="354">
        <f t="shared" si="585"/>
        <v>1</v>
      </c>
      <c r="AR315" s="133">
        <f t="shared" si="214"/>
        <v>200000</v>
      </c>
      <c r="AS315" s="133">
        <f t="shared" si="500"/>
        <v>26000</v>
      </c>
      <c r="AT315" s="123">
        <f t="shared" si="586"/>
        <v>0</v>
      </c>
      <c r="AU315" s="124">
        <v>0.13</v>
      </c>
      <c r="AV315" s="394" t="s">
        <v>2788</v>
      </c>
      <c r="AW315" s="15">
        <v>44853</v>
      </c>
      <c r="AX315" s="12" t="s">
        <v>206</v>
      </c>
      <c r="AZ315" s="1" t="s">
        <v>2667</v>
      </c>
      <c r="BA315" s="1">
        <v>0</v>
      </c>
      <c r="BB315" s="1">
        <v>0</v>
      </c>
      <c r="BC315" s="1" t="s">
        <v>2842</v>
      </c>
      <c r="BD315" s="1" t="str">
        <f>CONCATENATE(BC315," - ",AE315)</f>
        <v>Kutató_BM_7 - Kutató</v>
      </c>
    </row>
    <row r="316" spans="1:56" s="1" customFormat="1" hidden="1" x14ac:dyDescent="0.25">
      <c r="A316" s="264" t="str">
        <f>Bérköltség!$B316</f>
        <v>FEOR</v>
      </c>
      <c r="B316" s="264" t="str">
        <f>IFERROR(
IF(AND(Bérköltség!$F316="",H316="NA"),"HIÁNYOS ADATOK",
IF(Bérköltség!$F316&lt;Bérköltség!$U316,Admin!$B$18,Admin!$B$17)),
"")</f>
        <v>FEOR</v>
      </c>
      <c r="C316" s="265">
        <f>IFERROR(INDEX('Historikus berek_2021-2'!$A$1:$F$903,MATCH(AB316,'Historikus berek_2021-2'!$A$1:$A$903,0),4),"")</f>
        <v>120433.33333333333</v>
      </c>
      <c r="D316" s="279">
        <f t="shared" si="673"/>
        <v>120433.33333333333</v>
      </c>
      <c r="E316" s="265">
        <f t="shared" si="674"/>
        <v>200000</v>
      </c>
      <c r="F316" s="266">
        <f t="shared" si="675"/>
        <v>89910.333333333314</v>
      </c>
      <c r="G316" s="267">
        <f t="shared" si="676"/>
        <v>136089.66666666666</v>
      </c>
      <c r="H316" s="268">
        <f>IFERROR(INDEX('FEOR kodok'!$A$2:$J$1126,MATCH(Bérköltség!AB316,'FEOR kodok'!$B$2:$B$1126,0),8),"NA")</f>
        <v>2139</v>
      </c>
      <c r="I316" s="269">
        <f>IFERROR(INDEX('FEOR kodok'!$A$2:$J$1126,MATCH(Bérköltség!AB316,'FEOR kodok'!$B$2:$B$1126,0),10),"NA")</f>
        <v>34</v>
      </c>
      <c r="J316" s="276" t="str">
        <f t="shared" si="677"/>
        <v>30–39 éves</v>
      </c>
      <c r="K316" s="269" t="str">
        <f>IFERROR(INDEX(admin_feor[#All],MATCH(Bérköltség!H316,admin_feor[[#All],[Foglalkozás]],0),2),"NA")</f>
        <v>Egyéb, máshova nem sorolható mérnök</v>
      </c>
      <c r="L316" s="270">
        <f>IFERROR(
INDEX('Admin - FEOR'!$A$4:$F$465,MATCH(Bérköltség!H316,'Admin - FEOR'!$A$4:$A$465,0),
IF(J316="30 év alatt",3,
IF(J316="30–39 éves",4,
IF(J316="40–49 éves",5,
IF(J316="50 év és afelett",6
)))))*1,"NA")</f>
        <v>845378</v>
      </c>
      <c r="M316" s="270">
        <f t="shared" si="678"/>
        <v>200000</v>
      </c>
      <c r="N316" s="318">
        <f t="shared" si="679"/>
        <v>0.23658055922912591</v>
      </c>
      <c r="O316" s="270">
        <f>IFERROR(
INDEX('Admin - FEOR'!$A$4:$F$465,MATCH(Bérköltség!H316,'Admin - FEOR'!$A$4:$A$465,0),
IF(J316="30 év alatt",3,
IF(J316="30–39 éves",4,
IF(J316="40–49 éves",5,
IF(J316="50 év és afelett",6
)))))*1.5,"NA")</f>
        <v>1268067</v>
      </c>
      <c r="P316" s="270">
        <f t="shared" si="680"/>
        <v>1268067</v>
      </c>
      <c r="Q316" s="270">
        <f t="shared" si="681"/>
        <v>200000</v>
      </c>
      <c r="R316" s="275">
        <f t="shared" si="682"/>
        <v>1</v>
      </c>
      <c r="S316" s="270">
        <f t="shared" si="683"/>
        <v>0</v>
      </c>
      <c r="T316" s="270">
        <f t="shared" si="684"/>
        <v>0</v>
      </c>
      <c r="U316" s="271">
        <f t="shared" si="685"/>
        <v>0</v>
      </c>
      <c r="V316" s="272">
        <f t="shared" si="686"/>
        <v>226000</v>
      </c>
      <c r="W316" s="273" t="str">
        <f t="shared" si="687"/>
        <v>Nem szükséges indoklás.</v>
      </c>
      <c r="X316" s="372">
        <f t="shared" si="688"/>
        <v>0</v>
      </c>
      <c r="Y316" s="317">
        <f t="shared" si="689"/>
        <v>200000</v>
      </c>
      <c r="Z316" s="317">
        <f t="shared" si="690"/>
        <v>26000</v>
      </c>
      <c r="AA316" s="12">
        <v>2</v>
      </c>
      <c r="AB316" s="274">
        <v>8447632261</v>
      </c>
      <c r="AC316" s="40" t="s">
        <v>250</v>
      </c>
      <c r="AD316" s="82" t="s">
        <v>75</v>
      </c>
      <c r="AE316" s="41" t="s">
        <v>52</v>
      </c>
      <c r="AF316" s="11" t="s">
        <v>151</v>
      </c>
      <c r="AG316" s="11" t="s">
        <v>246</v>
      </c>
      <c r="AH316" s="14" t="s">
        <v>122</v>
      </c>
      <c r="AI316" s="86" t="s">
        <v>33</v>
      </c>
      <c r="AJ316" s="113" t="str">
        <f>IF(COUNTIFS(Admin!$A$29:$A$40,AI316)&gt;0,Admin!$A$28,IF(COUNTIFS(Admin!$B$29:$B$40,AI316)&gt;0,Admin!$B$28,IF(COUNTIFS(Admin!$C$29:$C$40,AI316)&gt;0,Admin!$C$28,IF(COUNTIFS(Admin!$D$29:$D$40,AI316)&gt;0,Admin!$D$28,"-"))))</f>
        <v>2. mérföldkő</v>
      </c>
      <c r="AK316" s="14" t="s">
        <v>7</v>
      </c>
      <c r="AL316" s="9" t="s">
        <v>56</v>
      </c>
      <c r="AM316" s="131">
        <v>200000</v>
      </c>
      <c r="AN316" s="132">
        <f t="shared" si="584"/>
        <v>26000</v>
      </c>
      <c r="AO316" s="121">
        <v>87</v>
      </c>
      <c r="AP316" s="121">
        <v>87</v>
      </c>
      <c r="AQ316" s="354">
        <f t="shared" si="585"/>
        <v>1</v>
      </c>
      <c r="AR316" s="133">
        <f t="shared" si="214"/>
        <v>200000</v>
      </c>
      <c r="AS316" s="133">
        <f t="shared" si="500"/>
        <v>26000</v>
      </c>
      <c r="AT316" s="123">
        <f t="shared" si="586"/>
        <v>0</v>
      </c>
      <c r="AU316" s="124">
        <v>0.13</v>
      </c>
      <c r="AV316" s="394" t="s">
        <v>2788</v>
      </c>
      <c r="AW316" s="15">
        <v>44938</v>
      </c>
      <c r="AX316" s="12" t="s">
        <v>206</v>
      </c>
      <c r="AZ316" s="8" t="str">
        <f>IF(VLOOKUP(LEFT($AB316,10),'Havi béradatok'!$B:$E,2,FALSE)=AG316,"EGYEZIK","HIBÁS")</f>
        <v>EGYEZIK</v>
      </c>
      <c r="BA316" s="1">
        <f>VLOOKUP(LEFT($AB316,10),'Havi béradatok'!$B:$E,3,FALSE)-AM316</f>
        <v>0</v>
      </c>
      <c r="BB316" s="1">
        <f>VLOOKUP(LEFT($AB316,10),'Havi béradatok'!$B:$E,4,FALSE)-AN316</f>
        <v>0</v>
      </c>
      <c r="BC316" s="1" t="s">
        <v>2842</v>
      </c>
      <c r="BD316" s="1" t="str">
        <f>CONCATENATE(BC316," - ",AE316)</f>
        <v>Kutató_BM_7 - Kutató</v>
      </c>
    </row>
    <row r="317" spans="1:56" s="1" customFormat="1" hidden="1" x14ac:dyDescent="0.25">
      <c r="A317" s="264" t="str">
        <f>Bérköltség!$B317</f>
        <v>FEOR</v>
      </c>
      <c r="B317" s="264" t="str">
        <f>IFERROR(
IF(AND(Bérköltség!$F317="",H317="NA"),"HIÁNYOS ADATOK",
IF(Bérköltség!$F317&lt;Bérköltség!$U317,Admin!$B$18,Admin!$B$17)),
"")</f>
        <v>FEOR</v>
      </c>
      <c r="C317" s="265">
        <f>IFERROR(INDEX('Historikus berek_2021-2'!$A$1:$F$903,MATCH(AB317,'Historikus berek_2021-2'!$A$1:$A$903,0),4),"")</f>
        <v>120433.33333333333</v>
      </c>
      <c r="D317" s="279">
        <f t="shared" si="673"/>
        <v>120433.33333333333</v>
      </c>
      <c r="E317" s="265">
        <f t="shared" si="674"/>
        <v>200000</v>
      </c>
      <c r="F317" s="266">
        <f t="shared" si="675"/>
        <v>89910.333333333314</v>
      </c>
      <c r="G317" s="267">
        <f t="shared" si="676"/>
        <v>136089.66666666666</v>
      </c>
      <c r="H317" s="268">
        <f>IFERROR(INDEX('FEOR kodok'!$A$2:$J$1126,MATCH(Bérköltség!AB317,'FEOR kodok'!$B$2:$B$1126,0),8),"NA")</f>
        <v>2139</v>
      </c>
      <c r="I317" s="269">
        <f>IFERROR(INDEX('FEOR kodok'!$A$2:$J$1126,MATCH(Bérköltség!AB317,'FEOR kodok'!$B$2:$B$1126,0),10),"NA")</f>
        <v>34</v>
      </c>
      <c r="J317" s="276" t="str">
        <f t="shared" si="677"/>
        <v>30–39 éves</v>
      </c>
      <c r="K317" s="269" t="str">
        <f>IFERROR(INDEX(admin_feor[#All],MATCH(Bérköltség!H317,admin_feor[[#All],[Foglalkozás]],0),2),"NA")</f>
        <v>Egyéb, máshova nem sorolható mérnök</v>
      </c>
      <c r="L317" s="270">
        <f>IFERROR(
INDEX('Admin - FEOR'!$A$4:$F$465,MATCH(Bérköltség!H317,'Admin - FEOR'!$A$4:$A$465,0),
IF(J317="30 év alatt",3,
IF(J317="30–39 éves",4,
IF(J317="40–49 éves",5,
IF(J317="50 év és afelett",6
)))))*1,"NA")</f>
        <v>845378</v>
      </c>
      <c r="M317" s="270">
        <f t="shared" si="678"/>
        <v>200000</v>
      </c>
      <c r="N317" s="318">
        <f t="shared" si="679"/>
        <v>0.23658055922912591</v>
      </c>
      <c r="O317" s="270">
        <f>IFERROR(
INDEX('Admin - FEOR'!$A$4:$F$465,MATCH(Bérköltség!H317,'Admin - FEOR'!$A$4:$A$465,0),
IF(J317="30 év alatt",3,
IF(J317="30–39 éves",4,
IF(J317="40–49 éves",5,
IF(J317="50 év és afelett",6
)))))*1.5,"NA")</f>
        <v>1268067</v>
      </c>
      <c r="P317" s="270">
        <f t="shared" si="680"/>
        <v>1268067</v>
      </c>
      <c r="Q317" s="270">
        <f t="shared" si="681"/>
        <v>200000</v>
      </c>
      <c r="R317" s="275">
        <f t="shared" si="682"/>
        <v>1</v>
      </c>
      <c r="S317" s="270">
        <f t="shared" si="683"/>
        <v>0</v>
      </c>
      <c r="T317" s="270">
        <f t="shared" si="684"/>
        <v>0</v>
      </c>
      <c r="U317" s="271">
        <f t="shared" si="685"/>
        <v>0</v>
      </c>
      <c r="V317" s="272">
        <f t="shared" si="686"/>
        <v>226000</v>
      </c>
      <c r="W317" s="273" t="str">
        <f t="shared" si="687"/>
        <v>Nem szükséges indoklás.</v>
      </c>
      <c r="X317" s="372">
        <f t="shared" si="688"/>
        <v>0</v>
      </c>
      <c r="Y317" s="317">
        <f t="shared" si="689"/>
        <v>200000</v>
      </c>
      <c r="Z317" s="317">
        <f t="shared" si="690"/>
        <v>26000</v>
      </c>
      <c r="AA317" s="12">
        <v>2</v>
      </c>
      <c r="AB317" s="274">
        <v>8447632261</v>
      </c>
      <c r="AC317" s="40" t="s">
        <v>250</v>
      </c>
      <c r="AD317" s="82" t="s">
        <v>75</v>
      </c>
      <c r="AE317" s="41" t="s">
        <v>52</v>
      </c>
      <c r="AF317" s="11" t="s">
        <v>151</v>
      </c>
      <c r="AG317" s="11" t="s">
        <v>246</v>
      </c>
      <c r="AH317" s="14" t="s">
        <v>122</v>
      </c>
      <c r="AI317" s="86" t="s">
        <v>34</v>
      </c>
      <c r="AJ317" s="113" t="str">
        <f>IF(COUNTIFS(Admin!$A$29:$A$40,AI317)&gt;0,Admin!$A$28,IF(COUNTIFS(Admin!$B$29:$B$40,AI317)&gt;0,Admin!$B$28,IF(COUNTIFS(Admin!$C$29:$C$40,AI317)&gt;0,Admin!$C$28,IF(COUNTIFS(Admin!$D$29:$D$40,AI317)&gt;0,Admin!$D$28,"-"))))</f>
        <v>2. mérföldkő</v>
      </c>
      <c r="AK317" s="14" t="s">
        <v>7</v>
      </c>
      <c r="AL317" s="9" t="s">
        <v>56</v>
      </c>
      <c r="AM317" s="131">
        <v>200000</v>
      </c>
      <c r="AN317" s="132">
        <f t="shared" si="584"/>
        <v>26000</v>
      </c>
      <c r="AO317" s="121">
        <v>87</v>
      </c>
      <c r="AP317" s="121">
        <v>87</v>
      </c>
      <c r="AQ317" s="354">
        <f t="shared" si="585"/>
        <v>1</v>
      </c>
      <c r="AR317" s="133">
        <f t="shared" si="214"/>
        <v>200000</v>
      </c>
      <c r="AS317" s="133">
        <f t="shared" si="500"/>
        <v>26000</v>
      </c>
      <c r="AT317" s="123">
        <f t="shared" si="586"/>
        <v>0</v>
      </c>
      <c r="AU317" s="124">
        <v>0.13</v>
      </c>
      <c r="AV317" s="394" t="s">
        <v>2788</v>
      </c>
      <c r="AW317" s="15">
        <v>44938</v>
      </c>
      <c r="AX317" s="12" t="s">
        <v>206</v>
      </c>
      <c r="BC317" s="1" t="s">
        <v>2842</v>
      </c>
      <c r="BD317" s="1" t="str">
        <f>CONCATENATE(BC317," - ",AE317)</f>
        <v>Kutató_BM_7 - Kutató</v>
      </c>
    </row>
    <row r="318" spans="1:56" s="1" customFormat="1" x14ac:dyDescent="0.25">
      <c r="A318" s="264" t="str">
        <f>Bérköltség!$B318</f>
        <v>FEOR</v>
      </c>
      <c r="B318" s="264" t="str">
        <f>IFERROR(
IF(AND(Bérköltség!$F318="",H318="NA"),"HIÁNYOS ADATOK",
IF(Bérköltség!$F318&lt;Bérköltség!$U318,Admin!$B$18,Admin!$B$17)),
"")</f>
        <v>FEOR</v>
      </c>
      <c r="C318" s="265">
        <f>IFERROR(INDEX('Historikus berek_2021-2'!$A$1:$F$903,MATCH(AB318,'Historikus berek_2021-2'!$A$1:$A$903,0),4),"")</f>
        <v>120433.33333333333</v>
      </c>
      <c r="D318" s="279">
        <f t="shared" ref="D318:D320" si="718">IFERROR(C318*AQ318,"")</f>
        <v>120433.33333333333</v>
      </c>
      <c r="E318" s="265">
        <f t="shared" ref="E318:E320" si="719">AR318</f>
        <v>200000</v>
      </c>
      <c r="F318" s="266">
        <f t="shared" ref="F318:F320" si="720">IFERROR(IF((E318*(1+AU318)-D318*(1+AU318))&lt;0,0,(E318*(1+AU318)-D318*(1+AU318))),"")</f>
        <v>89910.333333333314</v>
      </c>
      <c r="G318" s="267">
        <f t="shared" ref="G318:G320" si="721">IFERROR((E318*(1+AU318)-F318),"")</f>
        <v>136089.66666666666</v>
      </c>
      <c r="H318" s="268">
        <f>IFERROR(INDEX('FEOR kodok'!$A$2:$J$1126,MATCH(Bérköltség!AB318,'FEOR kodok'!$B$2:$B$1126,0),8),"NA")</f>
        <v>2139</v>
      </c>
      <c r="I318" s="269">
        <f>IFERROR(INDEX('FEOR kodok'!$A$2:$J$1126,MATCH(Bérköltség!AB318,'FEOR kodok'!$B$2:$B$1126,0),10),"NA")</f>
        <v>34</v>
      </c>
      <c r="J318" s="276" t="str">
        <f t="shared" ref="J318:J320" si="722">IF(I318="NA","NA",
IF(I318&lt;30,"30 év alatt",
IF(AND(I318&gt;=30,I318&lt;=39),"30–39 éves",
IF(AND(I318&gt;=40,I318&lt;=49),"40–49 éves",
IF(I318&gt;=50,"50 év és afelett",
"")))))</f>
        <v>30–39 éves</v>
      </c>
      <c r="K318" s="269" t="str">
        <f>IFERROR(INDEX(admin_feor[#All],MATCH(Bérköltség!H318,admin_feor[[#All],[Foglalkozás]],0),2),"NA")</f>
        <v>Egyéb, máshova nem sorolható mérnök</v>
      </c>
      <c r="L318" s="270">
        <f>IFERROR(
INDEX('Admin - FEOR'!$A$4:$F$465,MATCH(Bérköltség!H318,'Admin - FEOR'!$A$4:$A$465,0),
IF(J318="30 év alatt",3,
IF(J318="30–39 éves",4,
IF(J318="40–49 éves",5,
IF(J318="50 év és afelett",6
)))))*1,"NA")</f>
        <v>845378</v>
      </c>
      <c r="M318" s="270">
        <f t="shared" ref="M318:M320" si="723">AM318</f>
        <v>200000</v>
      </c>
      <c r="N318" s="318">
        <f t="shared" ref="N318:N320" si="724">IFERROR(
M318/L318,"NA")</f>
        <v>0.23658055922912591</v>
      </c>
      <c r="O318" s="270">
        <f>IFERROR(
INDEX('Admin - FEOR'!$A$4:$F$465,MATCH(Bérköltség!H318,'Admin - FEOR'!$A$4:$A$465,0),
IF(J318="30 év alatt",3,
IF(J318="30–39 éves",4,
IF(J318="40–49 éves",5,
IF(J318="50 év és afelett",6
)))))*1.5,"NA")</f>
        <v>1268067</v>
      </c>
      <c r="P318" s="270">
        <f t="shared" ref="P318:P320" si="725">IFERROR(
AQ318*O318,"NA")</f>
        <v>1268067</v>
      </c>
      <c r="Q318" s="270">
        <f t="shared" ref="Q318:Q320" si="726">IFERROR(AR318,"")</f>
        <v>200000</v>
      </c>
      <c r="R318" s="275">
        <f t="shared" ref="R318:R320" si="727">IFERROR(AQ318,"")</f>
        <v>1</v>
      </c>
      <c r="S318" s="270">
        <f t="shared" ref="S318:S320" si="728">IFERROR(
IF(AR318-P318&lt;0,0,AR318-P318),"NA")</f>
        <v>0</v>
      </c>
      <c r="T318" s="270">
        <f t="shared" ref="T318:T320" si="729">IFERROR(
S318*AU318,"NA")</f>
        <v>0</v>
      </c>
      <c r="U318" s="271">
        <f t="shared" ref="U318:U320" si="730">IFERROR(
S318+T318,"NA")</f>
        <v>0</v>
      </c>
      <c r="V318" s="272">
        <f t="shared" ref="V318:V320" si="731">IFERROR(
IF(U318&gt;0,AR318+AS318-U318,AR318+AS318),"NA")</f>
        <v>226000</v>
      </c>
      <c r="W318" s="273" t="str">
        <f t="shared" ref="W318:W320" si="732">IF(P318="NA","FEOR hiányzik",
IF(AND(N318&gt;1,A318="FEOR"),CONCATENATE("Indoklás szükséges mivel a FEOR: ",ROUND(N318*100,1),"%"),"Nem szükséges indoklás.")
)</f>
        <v>Nem szükséges indoklás.</v>
      </c>
      <c r="X318" s="372">
        <f t="shared" ref="X318:X320" si="733">IF(A318="FEOR",U318,IF(A318="HIÁNYOS ADATOK","HIÁNYOS ADATOK",F318))</f>
        <v>0</v>
      </c>
      <c r="Y318" s="317">
        <f t="shared" ref="Y318:Y320" si="734">IF(A318="FEOR",ROUND((V318/(1+AU318)),0),IF(A318="HIÁNYOS ADATOK","HIÁNYOS ADATOK",ROUND(G318/(1+AU318),0)))</f>
        <v>200000</v>
      </c>
      <c r="Z318" s="317">
        <f t="shared" ref="Z318:Z320" si="735">IF(A318="FEOR",ROUND((V318-Y318),0),IF(A318="HIÁNYOS ADATOK","HIÁNYOS ADATOK",ROUND((G318-Y318),0)))</f>
        <v>26000</v>
      </c>
      <c r="AA318" s="36"/>
      <c r="AB318" s="274">
        <v>8447632261</v>
      </c>
      <c r="AC318" s="40" t="s">
        <v>250</v>
      </c>
      <c r="AD318" s="82" t="s">
        <v>75</v>
      </c>
      <c r="AE318" s="41" t="s">
        <v>52</v>
      </c>
      <c r="AF318" s="11" t="s">
        <v>151</v>
      </c>
      <c r="AG318" s="11" t="s">
        <v>246</v>
      </c>
      <c r="AH318" s="14" t="s">
        <v>122</v>
      </c>
      <c r="AI318" s="86" t="s">
        <v>35</v>
      </c>
      <c r="AJ318" s="113" t="str">
        <f>IF(COUNTIFS(Admin!$A$29:$A$40,AI318)&gt;0,Admin!$A$28,IF(COUNTIFS(Admin!$B$29:$B$40,AI318)&gt;0,Admin!$B$28,IF(COUNTIFS(Admin!$C$29:$C$40,AI318)&gt;0,Admin!$C$28,IF(COUNTIFS(Admin!$D$29:$D$40,AI318)&gt;0,Admin!$D$28,"-"))))</f>
        <v>3. mérföldkő</v>
      </c>
      <c r="AK318" s="14" t="s">
        <v>7</v>
      </c>
      <c r="AL318" s="9" t="s">
        <v>56</v>
      </c>
      <c r="AM318" s="131">
        <v>200000</v>
      </c>
      <c r="AN318" s="132">
        <f t="shared" ref="AN318" si="736">IFERROR(ROUND(AM318*AU318,0),"")</f>
        <v>26000</v>
      </c>
      <c r="AO318" s="121">
        <v>87</v>
      </c>
      <c r="AP318" s="121">
        <v>87</v>
      </c>
      <c r="AQ318" s="354">
        <f t="shared" ref="AQ318" si="737">IFERROR(AP318/AO318,"")</f>
        <v>1</v>
      </c>
      <c r="AR318" s="133">
        <f t="shared" ref="AR318" si="738">IFERROR(ROUND(AM318*AP318/AO318,0),"")</f>
        <v>200000</v>
      </c>
      <c r="AS318" s="133">
        <f t="shared" ref="AS318" si="739">IFERROR(ROUND(AR318*AU318,0),"")</f>
        <v>26000</v>
      </c>
      <c r="AT318" s="123">
        <f t="shared" ref="AT318" si="740">IFERROR(AP318/AO318-AR318/AM318,"")</f>
        <v>0</v>
      </c>
      <c r="AU318" s="124">
        <v>0.13</v>
      </c>
      <c r="AV318" s="394" t="s">
        <v>2788</v>
      </c>
      <c r="AW318" s="15">
        <v>44991</v>
      </c>
      <c r="AX318" s="12" t="s">
        <v>206</v>
      </c>
      <c r="AZ318" s="1" t="str">
        <f>IF(VLOOKUP(LEFT($AB318,10),'Havi béradatok'!$B:$E,2,FALSE)=AG318,"EGYEZIK","HIBÁS")</f>
        <v>EGYEZIK</v>
      </c>
      <c r="BA318" s="1">
        <f>VLOOKUP(LEFT($AB318,10),'Havi béradatok'!$B:$E,3,FALSE)-AM318</f>
        <v>0</v>
      </c>
      <c r="BB318" s="1">
        <f>VLOOKUP(LEFT($AB318,10),'Havi béradatok'!$B:$E,4,FALSE)-AN318</f>
        <v>0</v>
      </c>
      <c r="BC318" s="400" t="s">
        <v>2842</v>
      </c>
      <c r="BD318" s="400"/>
    </row>
    <row r="319" spans="1:56" s="1" customFormat="1" hidden="1" x14ac:dyDescent="0.25">
      <c r="A319" s="264" t="str">
        <f>Bérköltség!$B319</f>
        <v>FEOR</v>
      </c>
      <c r="B319" s="264" t="str">
        <f>IFERROR(
IF(AND(Bérköltség!$F319="",H319="NA"),"HIÁNYOS ADATOK",
IF(Bérköltség!$F319&lt;Bérköltség!$U319,Admin!$B$18,Admin!$B$17)),
"")</f>
        <v>FEOR</v>
      </c>
      <c r="C319" s="265">
        <f>IFERROR(INDEX('Historikus berek_2021-2'!$A$1:$F$903,MATCH(AB319,'Historikus berek_2021-2'!$A$1:$A$903,0),4),"")</f>
        <v>120433.33333333333</v>
      </c>
      <c r="D319" s="279">
        <f t="shared" si="718"/>
        <v>120433.33333333333</v>
      </c>
      <c r="E319" s="265">
        <f t="shared" si="719"/>
        <v>200000</v>
      </c>
      <c r="F319" s="266">
        <f t="shared" si="720"/>
        <v>89910.333333333314</v>
      </c>
      <c r="G319" s="267">
        <f t="shared" si="721"/>
        <v>136089.66666666666</v>
      </c>
      <c r="H319" s="268">
        <f>IFERROR(INDEX('FEOR kodok'!$A$2:$J$1126,MATCH(Bérköltség!AB319,'FEOR kodok'!$B$2:$B$1126,0),8),"NA")</f>
        <v>2139</v>
      </c>
      <c r="I319" s="269">
        <f>IFERROR(INDEX('FEOR kodok'!$A$2:$J$1126,MATCH(Bérköltség!AB319,'FEOR kodok'!$B$2:$B$1126,0),10),"NA")</f>
        <v>34</v>
      </c>
      <c r="J319" s="276" t="str">
        <f t="shared" si="722"/>
        <v>30–39 éves</v>
      </c>
      <c r="K319" s="269" t="str">
        <f>IFERROR(INDEX(admin_feor[#All],MATCH(Bérköltség!H319,admin_feor[[#All],[Foglalkozás]],0),2),"NA")</f>
        <v>Egyéb, máshova nem sorolható mérnök</v>
      </c>
      <c r="L319" s="270">
        <f>IFERROR(
INDEX('Admin - FEOR'!$A$4:$F$465,MATCH(Bérköltség!H319,'Admin - FEOR'!$A$4:$A$465,0),
IF(J319="30 év alatt",3,
IF(J319="30–39 éves",4,
IF(J319="40–49 éves",5,
IF(J319="50 év és afelett",6
)))))*1,"NA")</f>
        <v>845378</v>
      </c>
      <c r="M319" s="270">
        <f t="shared" si="723"/>
        <v>200000</v>
      </c>
      <c r="N319" s="318">
        <f t="shared" si="724"/>
        <v>0.23658055922912591</v>
      </c>
      <c r="O319" s="270">
        <f>IFERROR(
INDEX('Admin - FEOR'!$A$4:$F$465,MATCH(Bérköltség!H319,'Admin - FEOR'!$A$4:$A$465,0),
IF(J319="30 év alatt",3,
IF(J319="30–39 éves",4,
IF(J319="40–49 éves",5,
IF(J319="50 év és afelett",6
)))))*1.5,"NA")</f>
        <v>1268067</v>
      </c>
      <c r="P319" s="270">
        <f t="shared" si="725"/>
        <v>1268067</v>
      </c>
      <c r="Q319" s="270">
        <f t="shared" si="726"/>
        <v>200000</v>
      </c>
      <c r="R319" s="275">
        <f t="shared" si="727"/>
        <v>1</v>
      </c>
      <c r="S319" s="270">
        <f t="shared" si="728"/>
        <v>0</v>
      </c>
      <c r="T319" s="270">
        <f t="shared" si="729"/>
        <v>0</v>
      </c>
      <c r="U319" s="271">
        <f t="shared" si="730"/>
        <v>0</v>
      </c>
      <c r="V319" s="272">
        <f t="shared" si="731"/>
        <v>226000</v>
      </c>
      <c r="W319" s="273" t="str">
        <f t="shared" si="732"/>
        <v>Nem szükséges indoklás.</v>
      </c>
      <c r="X319" s="372">
        <f t="shared" si="733"/>
        <v>0</v>
      </c>
      <c r="Y319" s="317">
        <f t="shared" si="734"/>
        <v>200000</v>
      </c>
      <c r="Z319" s="317">
        <f t="shared" si="735"/>
        <v>26000</v>
      </c>
      <c r="AA319" s="36"/>
      <c r="AB319" s="274">
        <v>8447632261</v>
      </c>
      <c r="AC319" s="40" t="s">
        <v>250</v>
      </c>
      <c r="AD319" s="82" t="s">
        <v>75</v>
      </c>
      <c r="AE319" s="41" t="s">
        <v>52</v>
      </c>
      <c r="AF319" s="11" t="s">
        <v>151</v>
      </c>
      <c r="AG319" s="11" t="s">
        <v>246</v>
      </c>
      <c r="AH319" s="14" t="s">
        <v>122</v>
      </c>
      <c r="AI319" s="86" t="s">
        <v>36</v>
      </c>
      <c r="AJ319" s="113" t="str">
        <f>IF(COUNTIFS(Admin!$A$29:$A$40,AI319)&gt;0,Admin!$A$28,IF(COUNTIFS(Admin!$B$29:$B$40,AI319)&gt;0,Admin!$B$28,IF(COUNTIFS(Admin!$C$29:$C$40,AI319)&gt;0,Admin!$C$28,IF(COUNTIFS(Admin!$D$29:$D$40,AI319)&gt;0,Admin!$D$28,"-"))))</f>
        <v>3. mérföldkő</v>
      </c>
      <c r="AK319" s="14" t="s">
        <v>141</v>
      </c>
      <c r="AL319" s="9" t="s">
        <v>56</v>
      </c>
      <c r="AM319" s="131">
        <v>200000</v>
      </c>
      <c r="AN319" s="132">
        <f t="shared" ref="AN319:AN320" si="741">IFERROR(ROUND(AM319*AU319,0),"")</f>
        <v>26000</v>
      </c>
      <c r="AO319" s="121">
        <v>87</v>
      </c>
      <c r="AP319" s="121">
        <v>87</v>
      </c>
      <c r="AQ319" s="354">
        <f t="shared" ref="AQ319:AQ320" si="742">IFERROR(AP319/AO319,"")</f>
        <v>1</v>
      </c>
      <c r="AR319" s="133">
        <f t="shared" ref="AR319:AR320" si="743">IFERROR(ROUND(AM319*AP319/AO319,0),"")</f>
        <v>200000</v>
      </c>
      <c r="AS319" s="133">
        <f t="shared" ref="AS319:AS320" si="744">IFERROR(ROUND(AR319*AU319,0),"")</f>
        <v>26000</v>
      </c>
      <c r="AT319" s="123">
        <f t="shared" ref="AT319:AT320" si="745">IFERROR(AP319/AO319-AR319/AM319,"")</f>
        <v>0</v>
      </c>
      <c r="AU319" s="124">
        <v>0.13</v>
      </c>
      <c r="AV319" s="394" t="s">
        <v>2788</v>
      </c>
      <c r="AW319" s="15">
        <v>44991</v>
      </c>
      <c r="AX319" s="12" t="s">
        <v>206</v>
      </c>
      <c r="BC319" s="1" t="s">
        <v>2842</v>
      </c>
    </row>
    <row r="320" spans="1:56" s="1" customFormat="1" hidden="1" x14ac:dyDescent="0.25">
      <c r="A320" s="264" t="str">
        <f>Bérköltség!$B320</f>
        <v>FEOR</v>
      </c>
      <c r="B320" s="264" t="str">
        <f>IFERROR(
IF(AND(Bérköltség!$F320="",H320="NA"),"HIÁNYOS ADATOK",
IF(Bérköltség!$F320&lt;Bérköltség!$U320,Admin!$B$18,Admin!$B$17)),
"")</f>
        <v>FEOR</v>
      </c>
      <c r="C320" s="265">
        <f>IFERROR(INDEX('Historikus berek_2021-2'!$A$1:$F$903,MATCH(AB320,'Historikus berek_2021-2'!$A$1:$A$903,0),4),"")</f>
        <v>120433.33333333333</v>
      </c>
      <c r="D320" s="279">
        <f t="shared" si="718"/>
        <v>120433.33333333333</v>
      </c>
      <c r="E320" s="265">
        <f t="shared" si="719"/>
        <v>200000</v>
      </c>
      <c r="F320" s="266">
        <f t="shared" si="720"/>
        <v>89910.333333333314</v>
      </c>
      <c r="G320" s="267">
        <f t="shared" si="721"/>
        <v>136089.66666666666</v>
      </c>
      <c r="H320" s="268">
        <f>IFERROR(INDEX('FEOR kodok'!$A$2:$J$1126,MATCH(Bérköltség!AB320,'FEOR kodok'!$B$2:$B$1126,0),8),"NA")</f>
        <v>2139</v>
      </c>
      <c r="I320" s="269">
        <f>IFERROR(INDEX('FEOR kodok'!$A$2:$J$1126,MATCH(Bérköltség!AB320,'FEOR kodok'!$B$2:$B$1126,0),10),"NA")</f>
        <v>34</v>
      </c>
      <c r="J320" s="276" t="str">
        <f t="shared" si="722"/>
        <v>30–39 éves</v>
      </c>
      <c r="K320" s="269" t="str">
        <f>IFERROR(INDEX(admin_feor[#All],MATCH(Bérköltség!H320,admin_feor[[#All],[Foglalkozás]],0),2),"NA")</f>
        <v>Egyéb, máshova nem sorolható mérnök</v>
      </c>
      <c r="L320" s="270">
        <f>IFERROR(
INDEX('Admin - FEOR'!$A$4:$F$465,MATCH(Bérköltség!H320,'Admin - FEOR'!$A$4:$A$465,0),
IF(J320="30 év alatt",3,
IF(J320="30–39 éves",4,
IF(J320="40–49 éves",5,
IF(J320="50 év és afelett",6
)))))*1,"NA")</f>
        <v>845378</v>
      </c>
      <c r="M320" s="270">
        <f t="shared" si="723"/>
        <v>200000</v>
      </c>
      <c r="N320" s="318">
        <f t="shared" si="724"/>
        <v>0.23658055922912591</v>
      </c>
      <c r="O320" s="270">
        <f>IFERROR(
INDEX('Admin - FEOR'!$A$4:$F$465,MATCH(Bérköltség!H320,'Admin - FEOR'!$A$4:$A$465,0),
IF(J320="30 év alatt",3,
IF(J320="30–39 éves",4,
IF(J320="40–49 éves",5,
IF(J320="50 év és afelett",6
)))))*1.5,"NA")</f>
        <v>1268067</v>
      </c>
      <c r="P320" s="270">
        <f t="shared" si="725"/>
        <v>1268067</v>
      </c>
      <c r="Q320" s="270">
        <f t="shared" si="726"/>
        <v>200000</v>
      </c>
      <c r="R320" s="275">
        <f t="shared" si="727"/>
        <v>1</v>
      </c>
      <c r="S320" s="270">
        <f t="shared" si="728"/>
        <v>0</v>
      </c>
      <c r="T320" s="270">
        <f t="shared" si="729"/>
        <v>0</v>
      </c>
      <c r="U320" s="271">
        <f t="shared" si="730"/>
        <v>0</v>
      </c>
      <c r="V320" s="272">
        <f t="shared" si="731"/>
        <v>226000</v>
      </c>
      <c r="W320" s="273" t="str">
        <f t="shared" si="732"/>
        <v>Nem szükséges indoklás.</v>
      </c>
      <c r="X320" s="372">
        <f t="shared" si="733"/>
        <v>0</v>
      </c>
      <c r="Y320" s="317">
        <f t="shared" si="734"/>
        <v>200000</v>
      </c>
      <c r="Z320" s="317">
        <f t="shared" si="735"/>
        <v>26000</v>
      </c>
      <c r="AA320" s="36"/>
      <c r="AB320" s="274">
        <v>8447632261</v>
      </c>
      <c r="AC320" s="40" t="s">
        <v>250</v>
      </c>
      <c r="AD320" s="82" t="s">
        <v>75</v>
      </c>
      <c r="AE320" s="41" t="s">
        <v>52</v>
      </c>
      <c r="AF320" s="11" t="s">
        <v>151</v>
      </c>
      <c r="AG320" s="11" t="s">
        <v>246</v>
      </c>
      <c r="AH320" s="14" t="s">
        <v>122</v>
      </c>
      <c r="AI320" s="86" t="s">
        <v>37</v>
      </c>
      <c r="AJ320" s="113" t="str">
        <f>IF(COUNTIFS(Admin!$A$29:$A$40,AI320)&gt;0,Admin!$A$28,IF(COUNTIFS(Admin!$B$29:$B$40,AI320)&gt;0,Admin!$B$28,IF(COUNTIFS(Admin!$C$29:$C$40,AI320)&gt;0,Admin!$C$28,IF(COUNTIFS(Admin!$D$29:$D$40,AI320)&gt;0,Admin!$D$28,"-"))))</f>
        <v>3. mérföldkő</v>
      </c>
      <c r="AK320" s="14" t="s">
        <v>141</v>
      </c>
      <c r="AL320" s="9" t="s">
        <v>56</v>
      </c>
      <c r="AM320" s="131">
        <v>200000</v>
      </c>
      <c r="AN320" s="132">
        <f t="shared" si="741"/>
        <v>26000</v>
      </c>
      <c r="AO320" s="121">
        <v>87</v>
      </c>
      <c r="AP320" s="121">
        <v>87</v>
      </c>
      <c r="AQ320" s="354">
        <f t="shared" si="742"/>
        <v>1</v>
      </c>
      <c r="AR320" s="133">
        <f t="shared" si="743"/>
        <v>200000</v>
      </c>
      <c r="AS320" s="133">
        <f t="shared" si="744"/>
        <v>26000</v>
      </c>
      <c r="AT320" s="123">
        <f t="shared" si="745"/>
        <v>0</v>
      </c>
      <c r="AU320" s="124">
        <v>0.13</v>
      </c>
      <c r="AV320" s="394" t="s">
        <v>2788</v>
      </c>
      <c r="AW320" s="15">
        <v>44991</v>
      </c>
      <c r="AX320" s="12" t="s">
        <v>206</v>
      </c>
      <c r="BC320" s="1" t="s">
        <v>2842</v>
      </c>
    </row>
    <row r="321" spans="1:56" s="1" customFormat="1" hidden="1" x14ac:dyDescent="0.25">
      <c r="A321" s="264" t="str">
        <f>Bérköltség!$B321</f>
        <v>FEOR</v>
      </c>
      <c r="B321" s="264" t="str">
        <f>IFERROR(
IF(AND(Bérköltség!$F321="",H321="NA"),"HIÁNYOS ADATOK",
IF(Bérköltség!$F321&lt;Bérköltség!$U321,Admin!$B$18,Admin!$B$17)),
"")</f>
        <v>FEOR</v>
      </c>
      <c r="C321" s="265">
        <f>IFERROR(INDEX('Historikus berek_2021-2'!$A$1:$F$903,MATCH(AB321,'Historikus berek_2021-2'!$A$1:$A$903,0),4),"")</f>
        <v>394253.33333333331</v>
      </c>
      <c r="D321" s="279">
        <f t="shared" si="673"/>
        <v>70240.536398467433</v>
      </c>
      <c r="E321" s="265">
        <f t="shared" si="674"/>
        <v>99770</v>
      </c>
      <c r="F321" s="266">
        <f t="shared" si="675"/>
        <v>33368.293869731802</v>
      </c>
      <c r="G321" s="267">
        <f t="shared" si="676"/>
        <v>79371.806130268189</v>
      </c>
      <c r="H321" s="268">
        <f>IFERROR(INDEX('FEOR kodok'!$A$2:$J$1126,MATCH(Bérköltség!AB321,'FEOR kodok'!$B$2:$B$1126,0),8),"NA")</f>
        <v>2910</v>
      </c>
      <c r="I321" s="269">
        <f>IFERROR(INDEX('FEOR kodok'!$A$2:$J$1126,MATCH(Bérköltség!AB321,'FEOR kodok'!$B$2:$B$1126,0),10),"NA")</f>
        <v>37</v>
      </c>
      <c r="J321" s="276" t="str">
        <f t="shared" si="677"/>
        <v>30–39 éves</v>
      </c>
      <c r="K321" s="269" t="str">
        <f>IFERROR(INDEX(admin_feor[#All],MATCH(Bérköltség!H321,admin_feor[[#All],[Foglalkozás]],0),2),"NA")</f>
        <v>Egyéb magasan képzett ügyintéző</v>
      </c>
      <c r="L321" s="270">
        <f>IFERROR(
INDEX('Admin - FEOR'!$A$4:$F$465,MATCH(Bérköltség!H321,'Admin - FEOR'!$A$4:$A$465,0),
IF(J321="30 év alatt",3,
IF(J321="30–39 éves",4,
IF(J321="40–49 éves",5,
IF(J321="50 év és afelett",6
)))))*1,"NA")</f>
        <v>652117</v>
      </c>
      <c r="M321" s="270">
        <f t="shared" si="678"/>
        <v>560000</v>
      </c>
      <c r="N321" s="318">
        <f t="shared" si="679"/>
        <v>0.85874160618416628</v>
      </c>
      <c r="O321" s="270">
        <f>IFERROR(
INDEX('Admin - FEOR'!$A$4:$F$465,MATCH(Bérköltség!H321,'Admin - FEOR'!$A$4:$A$465,0),
IF(J321="30 év alatt",3,
IF(J321="30–39 éves",4,
IF(J321="40–49 éves",5,
IF(J321="50 év és afelett",6
)))))*1.5,"NA")</f>
        <v>978175.5</v>
      </c>
      <c r="P321" s="270">
        <f t="shared" si="680"/>
        <v>174272.64655172414</v>
      </c>
      <c r="Q321" s="270">
        <f t="shared" si="681"/>
        <v>99770</v>
      </c>
      <c r="R321" s="275">
        <f t="shared" si="682"/>
        <v>0.17816091954022989</v>
      </c>
      <c r="S321" s="270">
        <f t="shared" si="683"/>
        <v>0</v>
      </c>
      <c r="T321" s="270">
        <f t="shared" si="684"/>
        <v>0</v>
      </c>
      <c r="U321" s="271">
        <f t="shared" si="685"/>
        <v>0</v>
      </c>
      <c r="V321" s="272">
        <f t="shared" si="686"/>
        <v>112740</v>
      </c>
      <c r="W321" s="273" t="str">
        <f t="shared" si="687"/>
        <v>Nem szükséges indoklás.</v>
      </c>
      <c r="X321" s="372">
        <f t="shared" si="688"/>
        <v>0</v>
      </c>
      <c r="Y321" s="317">
        <f t="shared" si="689"/>
        <v>99770</v>
      </c>
      <c r="Z321" s="317">
        <f t="shared" si="690"/>
        <v>12970</v>
      </c>
      <c r="AA321" s="12" t="s">
        <v>2800</v>
      </c>
      <c r="AB321" s="274">
        <v>8437320062</v>
      </c>
      <c r="AC321" s="40" t="s">
        <v>198</v>
      </c>
      <c r="AD321" s="82" t="s">
        <v>76</v>
      </c>
      <c r="AE321" s="41" t="s">
        <v>55</v>
      </c>
      <c r="AF321" s="11" t="s">
        <v>160</v>
      </c>
      <c r="AG321" s="11" t="s">
        <v>196</v>
      </c>
      <c r="AH321" s="14" t="s">
        <v>142</v>
      </c>
      <c r="AI321" s="86" t="s">
        <v>21</v>
      </c>
      <c r="AJ321" s="113" t="str">
        <f>IF(COUNTIFS(Admin!$A$29:$A$40,AI321)&gt;0,Admin!$A$28,IF(COUNTIFS(Admin!$B$29:$B$40,AI321)&gt;0,Admin!$B$28,IF(COUNTIFS(Admin!$C$29:$C$40,AI321)&gt;0,Admin!$C$28,IF(COUNTIFS(Admin!$D$29:$D$40,AI321)&gt;0,Admin!$D$28,"-"))))</f>
        <v>2. mérföldkő</v>
      </c>
      <c r="AK321" s="14" t="s">
        <v>7</v>
      </c>
      <c r="AL321" s="9" t="s">
        <v>56</v>
      </c>
      <c r="AM321" s="131">
        <v>560000</v>
      </c>
      <c r="AN321" s="132">
        <f t="shared" si="584"/>
        <v>72800</v>
      </c>
      <c r="AO321" s="121">
        <v>174</v>
      </c>
      <c r="AP321" s="121">
        <v>31</v>
      </c>
      <c r="AQ321" s="354">
        <f t="shared" si="585"/>
        <v>0.17816091954022989</v>
      </c>
      <c r="AR321" s="133">
        <f t="shared" si="214"/>
        <v>99770</v>
      </c>
      <c r="AS321" s="133">
        <f t="shared" si="500"/>
        <v>12970</v>
      </c>
      <c r="AT321" s="123">
        <f t="shared" si="586"/>
        <v>2.0525451560615693E-7</v>
      </c>
      <c r="AU321" s="124">
        <v>0.13</v>
      </c>
      <c r="AV321" s="394" t="s">
        <v>2789</v>
      </c>
      <c r="AW321" s="15">
        <v>44736</v>
      </c>
      <c r="AX321" s="12" t="s">
        <v>206</v>
      </c>
    </row>
    <row r="322" spans="1:56" s="1" customFormat="1" hidden="1" x14ac:dyDescent="0.25">
      <c r="A322" s="264" t="str">
        <f>Bérköltség!$B322</f>
        <v>FEOR</v>
      </c>
      <c r="B322" s="264" t="str">
        <f>IFERROR(
IF(AND(Bérköltség!$F322="",H322="NA"),"HIÁNYOS ADATOK",
IF(Bérköltség!$F322&lt;Bérköltség!$U322,Admin!$B$18,Admin!$B$17)),
"")</f>
        <v>FEOR</v>
      </c>
      <c r="C322" s="265">
        <f>IFERROR(INDEX('Historikus berek_2021-2'!$A$1:$F$903,MATCH(AB322,'Historikus berek_2021-2'!$A$1:$A$903,0),4),"")</f>
        <v>394253.33333333331</v>
      </c>
      <c r="D322" s="279">
        <f t="shared" si="673"/>
        <v>70240.536398467433</v>
      </c>
      <c r="E322" s="265">
        <f t="shared" si="674"/>
        <v>86757</v>
      </c>
      <c r="F322" s="266">
        <f t="shared" si="675"/>
        <v>18663.6038697318</v>
      </c>
      <c r="G322" s="267">
        <f t="shared" si="676"/>
        <v>79371.806130268189</v>
      </c>
      <c r="H322" s="268">
        <f>IFERROR(INDEX('FEOR kodok'!$A$2:$J$1126,MATCH(Bérköltség!AB322,'FEOR kodok'!$B$2:$B$1126,0),8),"NA")</f>
        <v>2910</v>
      </c>
      <c r="I322" s="269">
        <f>IFERROR(INDEX('FEOR kodok'!$A$2:$J$1126,MATCH(Bérköltség!AB322,'FEOR kodok'!$B$2:$B$1126,0),10),"NA")</f>
        <v>37</v>
      </c>
      <c r="J322" s="276" t="str">
        <f t="shared" si="677"/>
        <v>30–39 éves</v>
      </c>
      <c r="K322" s="269" t="str">
        <f>IFERROR(INDEX(admin_feor[#All],MATCH(Bérköltség!H322,admin_feor[[#All],[Foglalkozás]],0),2),"NA")</f>
        <v>Egyéb magasan képzett ügyintéző</v>
      </c>
      <c r="L322" s="270">
        <f>IFERROR(
INDEX('Admin - FEOR'!$A$4:$F$465,MATCH(Bérköltség!H322,'Admin - FEOR'!$A$4:$A$465,0),
IF(J322="30 év alatt",3,
IF(J322="30–39 éves",4,
IF(J322="40–49 éves",5,
IF(J322="50 év és afelett",6
)))))*1,"NA")</f>
        <v>652117</v>
      </c>
      <c r="M322" s="270">
        <f t="shared" si="678"/>
        <v>486957</v>
      </c>
      <c r="N322" s="318">
        <f t="shared" si="679"/>
        <v>0.74673256486182693</v>
      </c>
      <c r="O322" s="270">
        <f>IFERROR(
INDEX('Admin - FEOR'!$A$4:$F$465,MATCH(Bérköltség!H322,'Admin - FEOR'!$A$4:$A$465,0),
IF(J322="30 év alatt",3,
IF(J322="30–39 éves",4,
IF(J322="40–49 éves",5,
IF(J322="50 év és afelett",6
)))))*1.5,"NA")</f>
        <v>978175.5</v>
      </c>
      <c r="P322" s="270">
        <f t="shared" si="680"/>
        <v>174272.64655172414</v>
      </c>
      <c r="Q322" s="270">
        <f t="shared" si="681"/>
        <v>86757</v>
      </c>
      <c r="R322" s="275">
        <f t="shared" si="682"/>
        <v>0.17816091954022989</v>
      </c>
      <c r="S322" s="270">
        <f t="shared" si="683"/>
        <v>0</v>
      </c>
      <c r="T322" s="270">
        <f t="shared" si="684"/>
        <v>0</v>
      </c>
      <c r="U322" s="271">
        <f t="shared" si="685"/>
        <v>0</v>
      </c>
      <c r="V322" s="272">
        <f t="shared" si="686"/>
        <v>98035</v>
      </c>
      <c r="W322" s="273" t="str">
        <f t="shared" si="687"/>
        <v>Nem szükséges indoklás.</v>
      </c>
      <c r="X322" s="372">
        <f t="shared" si="688"/>
        <v>0</v>
      </c>
      <c r="Y322" s="317">
        <f t="shared" si="689"/>
        <v>86757</v>
      </c>
      <c r="Z322" s="317">
        <f t="shared" si="690"/>
        <v>11278</v>
      </c>
      <c r="AA322" s="12" t="s">
        <v>2800</v>
      </c>
      <c r="AB322" s="274">
        <v>8437320062</v>
      </c>
      <c r="AC322" s="40" t="s">
        <v>198</v>
      </c>
      <c r="AD322" s="82" t="s">
        <v>76</v>
      </c>
      <c r="AE322" s="41" t="s">
        <v>55</v>
      </c>
      <c r="AF322" s="11" t="s">
        <v>160</v>
      </c>
      <c r="AG322" s="11" t="s">
        <v>196</v>
      </c>
      <c r="AH322" s="14" t="s">
        <v>142</v>
      </c>
      <c r="AI322" s="86" t="s">
        <v>22</v>
      </c>
      <c r="AJ322" s="113" t="str">
        <f>IF(COUNTIFS(Admin!$A$29:$A$40,AI322)&gt;0,Admin!$A$28,IF(COUNTIFS(Admin!$B$29:$B$40,AI322)&gt;0,Admin!$B$28,IF(COUNTIFS(Admin!$C$29:$C$40,AI322)&gt;0,Admin!$C$28,IF(COUNTIFS(Admin!$D$29:$D$40,AI322)&gt;0,Admin!$D$28,"-"))))</f>
        <v>2. mérföldkő</v>
      </c>
      <c r="AK322" s="14" t="s">
        <v>7</v>
      </c>
      <c r="AL322" s="9" t="s">
        <v>56</v>
      </c>
      <c r="AM322" s="131">
        <v>486957</v>
      </c>
      <c r="AN322" s="132">
        <f t="shared" si="584"/>
        <v>63304</v>
      </c>
      <c r="AO322" s="121">
        <v>174</v>
      </c>
      <c r="AP322" s="121">
        <v>31</v>
      </c>
      <c r="AQ322" s="354">
        <f t="shared" ref="AQ322:AQ411" si="746">IFERROR(AP322/AO322,"")</f>
        <v>0.17816091954022989</v>
      </c>
      <c r="AR322" s="133">
        <f t="shared" si="214"/>
        <v>86757</v>
      </c>
      <c r="AS322" s="133">
        <f t="shared" si="500"/>
        <v>11278</v>
      </c>
      <c r="AT322" s="123">
        <f t="shared" ref="AT322:AT411" si="747">IFERROR(AP322/AO322-AR322/AM322,"")</f>
        <v>-6.0190827583239681E-7</v>
      </c>
      <c r="AU322" s="124">
        <v>0.13</v>
      </c>
      <c r="AV322" s="394" t="s">
        <v>2789</v>
      </c>
      <c r="AW322" s="15">
        <v>44736</v>
      </c>
      <c r="AX322" s="12" t="s">
        <v>206</v>
      </c>
    </row>
    <row r="323" spans="1:56" s="1" customFormat="1" hidden="1" x14ac:dyDescent="0.25">
      <c r="A323" s="264" t="str">
        <f>Bérköltség!$B323</f>
        <v>FEOR</v>
      </c>
      <c r="B323" s="264" t="str">
        <f>IFERROR(
IF(AND(Bérköltség!$F323="",H323="NA"),"HIÁNYOS ADATOK",
IF(Bérköltség!$F323&lt;Bérköltség!$U323,Admin!$B$18,Admin!$B$17)),
"")</f>
        <v>FEOR</v>
      </c>
      <c r="C323" s="265">
        <f>IFERROR(INDEX('Historikus berek_2021-2'!$A$1:$F$903,MATCH(AB323,'Historikus berek_2021-2'!$A$1:$A$903,0),4),"")</f>
        <v>394253.33333333331</v>
      </c>
      <c r="D323" s="279">
        <f t="shared" si="673"/>
        <v>70240.536398467433</v>
      </c>
      <c r="E323" s="265">
        <f t="shared" si="674"/>
        <v>90700</v>
      </c>
      <c r="F323" s="266">
        <f t="shared" si="675"/>
        <v>23119.193869731796</v>
      </c>
      <c r="G323" s="267">
        <f t="shared" si="676"/>
        <v>79371.806130268189</v>
      </c>
      <c r="H323" s="268">
        <f>IFERROR(INDEX('FEOR kodok'!$A$2:$J$1126,MATCH(Bérköltség!AB323,'FEOR kodok'!$B$2:$B$1126,0),8),"NA")</f>
        <v>2910</v>
      </c>
      <c r="I323" s="269">
        <f>IFERROR(INDEX('FEOR kodok'!$A$2:$J$1126,MATCH(Bérköltség!AB323,'FEOR kodok'!$B$2:$B$1126,0),10),"NA")</f>
        <v>37</v>
      </c>
      <c r="J323" s="276" t="str">
        <f t="shared" si="677"/>
        <v>30–39 éves</v>
      </c>
      <c r="K323" s="269" t="str">
        <f>IFERROR(INDEX(admin_feor[#All],MATCH(Bérköltség!H323,admin_feor[[#All],[Foglalkozás]],0),2),"NA")</f>
        <v>Egyéb magasan képzett ügyintéző</v>
      </c>
      <c r="L323" s="270">
        <f>IFERROR(
INDEX('Admin - FEOR'!$A$4:$F$465,MATCH(Bérköltség!H323,'Admin - FEOR'!$A$4:$A$465,0),
IF(J323="30 év alatt",3,
IF(J323="30–39 éves",4,
IF(J323="40–49 éves",5,
IF(J323="50 év és afelett",6
)))))*1,"NA")</f>
        <v>652117</v>
      </c>
      <c r="M323" s="270">
        <f t="shared" si="678"/>
        <v>509091</v>
      </c>
      <c r="N323" s="318">
        <f t="shared" si="679"/>
        <v>0.78067432684625615</v>
      </c>
      <c r="O323" s="270">
        <f>IFERROR(
INDEX('Admin - FEOR'!$A$4:$F$465,MATCH(Bérköltség!H323,'Admin - FEOR'!$A$4:$A$465,0),
IF(J323="30 év alatt",3,
IF(J323="30–39 éves",4,
IF(J323="40–49 éves",5,
IF(J323="50 év és afelett",6
)))))*1.5,"NA")</f>
        <v>978175.5</v>
      </c>
      <c r="P323" s="270">
        <f t="shared" si="680"/>
        <v>174272.64655172414</v>
      </c>
      <c r="Q323" s="270">
        <f t="shared" si="681"/>
        <v>90700</v>
      </c>
      <c r="R323" s="275">
        <f t="shared" si="682"/>
        <v>0.17816091954022989</v>
      </c>
      <c r="S323" s="270">
        <f t="shared" si="683"/>
        <v>0</v>
      </c>
      <c r="T323" s="270">
        <f t="shared" si="684"/>
        <v>0</v>
      </c>
      <c r="U323" s="271">
        <f t="shared" si="685"/>
        <v>0</v>
      </c>
      <c r="V323" s="272">
        <f t="shared" si="686"/>
        <v>102491</v>
      </c>
      <c r="W323" s="273" t="str">
        <f t="shared" si="687"/>
        <v>Nem szükséges indoklás.</v>
      </c>
      <c r="X323" s="372">
        <f t="shared" si="688"/>
        <v>0</v>
      </c>
      <c r="Y323" s="317">
        <f t="shared" si="689"/>
        <v>90700</v>
      </c>
      <c r="Z323" s="317">
        <f t="shared" si="690"/>
        <v>11791</v>
      </c>
      <c r="AA323" s="12" t="s">
        <v>2800</v>
      </c>
      <c r="AB323" s="274">
        <v>8437320062</v>
      </c>
      <c r="AC323" s="40" t="s">
        <v>198</v>
      </c>
      <c r="AD323" s="82" t="s">
        <v>76</v>
      </c>
      <c r="AE323" s="41" t="s">
        <v>55</v>
      </c>
      <c r="AF323" s="11" t="s">
        <v>160</v>
      </c>
      <c r="AG323" s="11" t="s">
        <v>196</v>
      </c>
      <c r="AH323" s="14" t="s">
        <v>142</v>
      </c>
      <c r="AI323" s="86" t="s">
        <v>23</v>
      </c>
      <c r="AJ323" s="113" t="str">
        <f>IF(COUNTIFS(Admin!$A$29:$A$40,AI323)&gt;0,Admin!$A$28,IF(COUNTIFS(Admin!$B$29:$B$40,AI323)&gt;0,Admin!$B$28,IF(COUNTIFS(Admin!$C$29:$C$40,AI323)&gt;0,Admin!$C$28,IF(COUNTIFS(Admin!$D$29:$D$40,AI323)&gt;0,Admin!$D$28,"-"))))</f>
        <v>2. mérföldkő</v>
      </c>
      <c r="AK323" s="14" t="s">
        <v>7</v>
      </c>
      <c r="AL323" s="9" t="s">
        <v>56</v>
      </c>
      <c r="AM323" s="131">
        <v>509091</v>
      </c>
      <c r="AN323" s="132">
        <f t="shared" si="584"/>
        <v>66182</v>
      </c>
      <c r="AO323" s="121">
        <v>174</v>
      </c>
      <c r="AP323" s="121">
        <v>31</v>
      </c>
      <c r="AQ323" s="354">
        <f t="shared" si="746"/>
        <v>0.17816091954022989</v>
      </c>
      <c r="AR323" s="133">
        <f t="shared" si="214"/>
        <v>90700</v>
      </c>
      <c r="AS323" s="133">
        <f t="shared" si="500"/>
        <v>11791</v>
      </c>
      <c r="AT323" s="123">
        <f t="shared" si="747"/>
        <v>2.3706892318675621E-7</v>
      </c>
      <c r="AU323" s="124">
        <v>0.13</v>
      </c>
      <c r="AV323" s="394" t="s">
        <v>2789</v>
      </c>
      <c r="AW323" s="15">
        <v>44736</v>
      </c>
      <c r="AX323" s="12" t="s">
        <v>206</v>
      </c>
    </row>
    <row r="324" spans="1:56" s="1" customFormat="1" hidden="1" x14ac:dyDescent="0.25">
      <c r="A324" s="264" t="str">
        <f>Bérköltség!$B324</f>
        <v>FEOR</v>
      </c>
      <c r="B324" s="264" t="str">
        <f>IFERROR(
IF(AND(Bérköltség!$F324="",H324="NA"),"HIÁNYOS ADATOK",
IF(Bérköltség!$F324&lt;Bérköltség!$U324,Admin!$B$18,Admin!$B$17)),
"")</f>
        <v>FEOR</v>
      </c>
      <c r="C324" s="265">
        <f>IFERROR(INDEX('Historikus berek_2021-2'!$A$1:$F$903,MATCH(AB324,'Historikus berek_2021-2'!$A$1:$A$903,0),4),"")</f>
        <v>394253.33333333331</v>
      </c>
      <c r="D324" s="279">
        <f t="shared" si="673"/>
        <v>192595.01915708813</v>
      </c>
      <c r="E324" s="265">
        <f t="shared" si="674"/>
        <v>273563</v>
      </c>
      <c r="F324" s="266">
        <f t="shared" si="675"/>
        <v>91493.818352490372</v>
      </c>
      <c r="G324" s="267">
        <f t="shared" si="676"/>
        <v>217632.37164750957</v>
      </c>
      <c r="H324" s="268">
        <f>IFERROR(INDEX('FEOR kodok'!$A$2:$J$1126,MATCH(Bérköltség!AB324,'FEOR kodok'!$B$2:$B$1126,0),8),"NA")</f>
        <v>2910</v>
      </c>
      <c r="I324" s="269">
        <f>IFERROR(INDEX('FEOR kodok'!$A$2:$J$1126,MATCH(Bérköltség!AB324,'FEOR kodok'!$B$2:$B$1126,0),10),"NA")</f>
        <v>37</v>
      </c>
      <c r="J324" s="276" t="str">
        <f t="shared" si="677"/>
        <v>30–39 éves</v>
      </c>
      <c r="K324" s="269" t="str">
        <f>IFERROR(INDEX(admin_feor[#All],MATCH(Bérköltség!H324,admin_feor[[#All],[Foglalkozás]],0),2),"NA")</f>
        <v>Egyéb magasan képzett ügyintéző</v>
      </c>
      <c r="L324" s="270">
        <f>IFERROR(
INDEX('Admin - FEOR'!$A$4:$F$465,MATCH(Bérköltség!H324,'Admin - FEOR'!$A$4:$A$465,0),
IF(J324="30 év alatt",3,
IF(J324="30–39 éves",4,
IF(J324="40–49 éves",5,
IF(J324="50 év és afelett",6
)))))*1,"NA")</f>
        <v>652117</v>
      </c>
      <c r="M324" s="270">
        <f t="shared" si="678"/>
        <v>560000</v>
      </c>
      <c r="N324" s="318">
        <f t="shared" si="679"/>
        <v>0.85874160618416628</v>
      </c>
      <c r="O324" s="270">
        <f>IFERROR(
INDEX('Admin - FEOR'!$A$4:$F$465,MATCH(Bérköltség!H324,'Admin - FEOR'!$A$4:$A$465,0),
IF(J324="30 év alatt",3,
IF(J324="30–39 éves",4,
IF(J324="40–49 éves",5,
IF(J324="50 év és afelett",6
)))))*1.5,"NA")</f>
        <v>978175.5</v>
      </c>
      <c r="P324" s="270">
        <f t="shared" si="680"/>
        <v>477844.35344827588</v>
      </c>
      <c r="Q324" s="270">
        <f t="shared" si="681"/>
        <v>273563</v>
      </c>
      <c r="R324" s="275">
        <f t="shared" si="682"/>
        <v>0.4885057471264368</v>
      </c>
      <c r="S324" s="270">
        <f t="shared" si="683"/>
        <v>0</v>
      </c>
      <c r="T324" s="270">
        <f t="shared" si="684"/>
        <v>0</v>
      </c>
      <c r="U324" s="271">
        <f t="shared" si="685"/>
        <v>0</v>
      </c>
      <c r="V324" s="272">
        <f t="shared" si="686"/>
        <v>309126</v>
      </c>
      <c r="W324" s="273" t="str">
        <f t="shared" si="687"/>
        <v>Nem szükséges indoklás.</v>
      </c>
      <c r="X324" s="372">
        <f t="shared" si="688"/>
        <v>0</v>
      </c>
      <c r="Y324" s="317">
        <f t="shared" si="689"/>
        <v>273563</v>
      </c>
      <c r="Z324" s="317">
        <f t="shared" si="690"/>
        <v>35563</v>
      </c>
      <c r="AA324" s="12" t="s">
        <v>2800</v>
      </c>
      <c r="AB324" s="274">
        <v>8437320062</v>
      </c>
      <c r="AC324" s="40" t="s">
        <v>198</v>
      </c>
      <c r="AD324" s="82" t="s">
        <v>76</v>
      </c>
      <c r="AE324" s="41" t="s">
        <v>55</v>
      </c>
      <c r="AF324" s="11" t="s">
        <v>160</v>
      </c>
      <c r="AG324" s="11" t="s">
        <v>196</v>
      </c>
      <c r="AH324" s="14" t="s">
        <v>142</v>
      </c>
      <c r="AI324" s="86" t="s">
        <v>24</v>
      </c>
      <c r="AJ324" s="113" t="str">
        <f>IF(COUNTIFS(Admin!$A$29:$A$40,AI324)&gt;0,Admin!$A$28,IF(COUNTIFS(Admin!$B$29:$B$40,AI324)&gt;0,Admin!$B$28,IF(COUNTIFS(Admin!$C$29:$C$40,AI324)&gt;0,Admin!$C$28,IF(COUNTIFS(Admin!$D$29:$D$40,AI324)&gt;0,Admin!$D$28,"-"))))</f>
        <v>2. mérföldkő</v>
      </c>
      <c r="AK324" s="14" t="s">
        <v>7</v>
      </c>
      <c r="AL324" s="9" t="s">
        <v>56</v>
      </c>
      <c r="AM324" s="131">
        <v>560000</v>
      </c>
      <c r="AN324" s="132">
        <f t="shared" si="584"/>
        <v>72800</v>
      </c>
      <c r="AO324" s="121">
        <v>174</v>
      </c>
      <c r="AP324" s="121">
        <v>85</v>
      </c>
      <c r="AQ324" s="354">
        <f t="shared" si="746"/>
        <v>0.4885057471264368</v>
      </c>
      <c r="AR324" s="133">
        <f t="shared" si="214"/>
        <v>273563</v>
      </c>
      <c r="AS324" s="133">
        <f t="shared" si="500"/>
        <v>35563</v>
      </c>
      <c r="AT324" s="123">
        <f t="shared" si="747"/>
        <v>3.8998357965169816E-7</v>
      </c>
      <c r="AU324" s="124">
        <v>0.13</v>
      </c>
      <c r="AV324" s="394" t="s">
        <v>2789</v>
      </c>
      <c r="AW324" s="15">
        <v>44823</v>
      </c>
      <c r="AX324" s="12" t="s">
        <v>206</v>
      </c>
    </row>
    <row r="325" spans="1:56" s="1" customFormat="1" hidden="1" x14ac:dyDescent="0.25">
      <c r="A325" s="264" t="str">
        <f>Bérköltség!$B325</f>
        <v>FEOR</v>
      </c>
      <c r="B325" s="264" t="str">
        <f>IFERROR(
IF(AND(Bérköltség!$F325="",H325="NA"),"HIÁNYOS ADATOK",
IF(Bérköltség!$F325&lt;Bérköltség!$U325,Admin!$B$18,Admin!$B$17)),
"")</f>
        <v>FEOR</v>
      </c>
      <c r="C325" s="265">
        <f>IFERROR(INDEX('Historikus berek_2021-2'!$A$1:$F$903,MATCH(AB325,'Historikus berek_2021-2'!$A$1:$A$903,0),4),"")</f>
        <v>394253.33333333331</v>
      </c>
      <c r="D325" s="279">
        <f t="shared" si="673"/>
        <v>192595.01915708813</v>
      </c>
      <c r="E325" s="265">
        <f t="shared" si="674"/>
        <v>273563</v>
      </c>
      <c r="F325" s="266">
        <f t="shared" si="675"/>
        <v>91493.818352490372</v>
      </c>
      <c r="G325" s="267">
        <f t="shared" si="676"/>
        <v>217632.37164750957</v>
      </c>
      <c r="H325" s="268">
        <f>IFERROR(INDEX('FEOR kodok'!$A$2:$J$1126,MATCH(Bérköltség!AB325,'FEOR kodok'!$B$2:$B$1126,0),8),"NA")</f>
        <v>2910</v>
      </c>
      <c r="I325" s="269">
        <f>IFERROR(INDEX('FEOR kodok'!$A$2:$J$1126,MATCH(Bérköltség!AB325,'FEOR kodok'!$B$2:$B$1126,0),10),"NA")</f>
        <v>37</v>
      </c>
      <c r="J325" s="276" t="str">
        <f t="shared" si="677"/>
        <v>30–39 éves</v>
      </c>
      <c r="K325" s="269" t="str">
        <f>IFERROR(INDEX(admin_feor[#All],MATCH(Bérköltség!H325,admin_feor[[#All],[Foglalkozás]],0),2),"NA")</f>
        <v>Egyéb magasan képzett ügyintéző</v>
      </c>
      <c r="L325" s="270">
        <f>IFERROR(
INDEX('Admin - FEOR'!$A$4:$F$465,MATCH(Bérköltség!H325,'Admin - FEOR'!$A$4:$A$465,0),
IF(J325="30 év alatt",3,
IF(J325="30–39 éves",4,
IF(J325="40–49 éves",5,
IF(J325="50 év és afelett",6
)))))*1,"NA")</f>
        <v>652117</v>
      </c>
      <c r="M325" s="270">
        <f t="shared" si="678"/>
        <v>560000</v>
      </c>
      <c r="N325" s="318">
        <f t="shared" si="679"/>
        <v>0.85874160618416628</v>
      </c>
      <c r="O325" s="270">
        <f>IFERROR(
INDEX('Admin - FEOR'!$A$4:$F$465,MATCH(Bérköltség!H325,'Admin - FEOR'!$A$4:$A$465,0),
IF(J325="30 év alatt",3,
IF(J325="30–39 éves",4,
IF(J325="40–49 éves",5,
IF(J325="50 év és afelett",6
)))))*1.5,"NA")</f>
        <v>978175.5</v>
      </c>
      <c r="P325" s="270">
        <f t="shared" si="680"/>
        <v>477844.35344827588</v>
      </c>
      <c r="Q325" s="270">
        <f t="shared" si="681"/>
        <v>273563</v>
      </c>
      <c r="R325" s="275">
        <f t="shared" si="682"/>
        <v>0.4885057471264368</v>
      </c>
      <c r="S325" s="270">
        <f t="shared" si="683"/>
        <v>0</v>
      </c>
      <c r="T325" s="270">
        <f t="shared" si="684"/>
        <v>0</v>
      </c>
      <c r="U325" s="271">
        <f t="shared" si="685"/>
        <v>0</v>
      </c>
      <c r="V325" s="272">
        <f t="shared" si="686"/>
        <v>309126</v>
      </c>
      <c r="W325" s="273" t="str">
        <f t="shared" si="687"/>
        <v>Nem szükséges indoklás.</v>
      </c>
      <c r="X325" s="372">
        <f t="shared" si="688"/>
        <v>0</v>
      </c>
      <c r="Y325" s="317">
        <f t="shared" si="689"/>
        <v>273563</v>
      </c>
      <c r="Z325" s="317">
        <f t="shared" si="690"/>
        <v>35563</v>
      </c>
      <c r="AA325" s="12" t="s">
        <v>2800</v>
      </c>
      <c r="AB325" s="274">
        <v>8437320062</v>
      </c>
      <c r="AC325" s="40" t="s">
        <v>198</v>
      </c>
      <c r="AD325" s="82" t="s">
        <v>76</v>
      </c>
      <c r="AE325" s="41" t="s">
        <v>55</v>
      </c>
      <c r="AF325" s="11" t="s">
        <v>160</v>
      </c>
      <c r="AG325" s="11" t="s">
        <v>196</v>
      </c>
      <c r="AH325" s="14" t="s">
        <v>142</v>
      </c>
      <c r="AI325" s="86" t="s">
        <v>25</v>
      </c>
      <c r="AJ325" s="113" t="str">
        <f>IF(COUNTIFS(Admin!$A$29:$A$40,AI325)&gt;0,Admin!$A$28,IF(COUNTIFS(Admin!$B$29:$B$40,AI325)&gt;0,Admin!$B$28,IF(COUNTIFS(Admin!$C$29:$C$40,AI325)&gt;0,Admin!$C$28,IF(COUNTIFS(Admin!$D$29:$D$40,AI325)&gt;0,Admin!$D$28,"-"))))</f>
        <v>2. mérföldkő</v>
      </c>
      <c r="AK325" s="14" t="s">
        <v>7</v>
      </c>
      <c r="AL325" s="9" t="s">
        <v>56</v>
      </c>
      <c r="AM325" s="131">
        <v>560000</v>
      </c>
      <c r="AN325" s="132">
        <f t="shared" si="584"/>
        <v>72800</v>
      </c>
      <c r="AO325" s="121">
        <v>174</v>
      </c>
      <c r="AP325" s="121">
        <v>85</v>
      </c>
      <c r="AQ325" s="354">
        <f t="shared" si="746"/>
        <v>0.4885057471264368</v>
      </c>
      <c r="AR325" s="133">
        <f t="shared" si="214"/>
        <v>273563</v>
      </c>
      <c r="AS325" s="133">
        <f t="shared" si="500"/>
        <v>35563</v>
      </c>
      <c r="AT325" s="123">
        <f t="shared" si="747"/>
        <v>3.8998357965169816E-7</v>
      </c>
      <c r="AU325" s="124">
        <v>0.13</v>
      </c>
      <c r="AV325" s="394" t="s">
        <v>2789</v>
      </c>
      <c r="AW325" s="15">
        <v>44823</v>
      </c>
      <c r="AX325" s="12" t="s">
        <v>206</v>
      </c>
      <c r="AZ325" s="1" t="s">
        <v>2667</v>
      </c>
      <c r="BA325" s="1" t="s">
        <v>2667</v>
      </c>
      <c r="BB325" s="1" t="s">
        <v>2667</v>
      </c>
    </row>
    <row r="326" spans="1:56" s="1" customFormat="1" hidden="1" x14ac:dyDescent="0.25">
      <c r="A326" s="264" t="str">
        <f>Bérköltség!$B326</f>
        <v>FEOR</v>
      </c>
      <c r="B326" s="264" t="str">
        <f>IFERROR(
IF(AND(Bérköltség!$F326="",H326="NA"),"HIÁNYOS ADATOK",
IF(Bérköltség!$F326&lt;Bérköltség!$U326,Admin!$B$18,Admin!$B$17)),
"")</f>
        <v>FEOR</v>
      </c>
      <c r="C326" s="265">
        <f>IFERROR(INDEX('Historikus berek_2021-2'!$A$1:$F$903,MATCH(AB326,'Historikus berek_2021-2'!$A$1:$A$903,0),4),"")</f>
        <v>394253.33333333331</v>
      </c>
      <c r="D326" s="279">
        <f t="shared" si="673"/>
        <v>192595.01915708813</v>
      </c>
      <c r="E326" s="265">
        <f t="shared" si="674"/>
        <v>273563</v>
      </c>
      <c r="F326" s="266">
        <f t="shared" si="675"/>
        <v>91493.818352490372</v>
      </c>
      <c r="G326" s="267">
        <f t="shared" si="676"/>
        <v>217632.37164750957</v>
      </c>
      <c r="H326" s="268">
        <f>IFERROR(INDEX('FEOR kodok'!$A$2:$J$1126,MATCH(Bérköltség!AB326,'FEOR kodok'!$B$2:$B$1126,0),8),"NA")</f>
        <v>2910</v>
      </c>
      <c r="I326" s="269">
        <f>IFERROR(INDEX('FEOR kodok'!$A$2:$J$1126,MATCH(Bérköltség!AB326,'FEOR kodok'!$B$2:$B$1126,0),10),"NA")</f>
        <v>37</v>
      </c>
      <c r="J326" s="276" t="str">
        <f t="shared" si="677"/>
        <v>30–39 éves</v>
      </c>
      <c r="K326" s="269" t="str">
        <f>IFERROR(INDEX(admin_feor[#All],MATCH(Bérköltség!H326,admin_feor[[#All],[Foglalkozás]],0),2),"NA")</f>
        <v>Egyéb magasan képzett ügyintéző</v>
      </c>
      <c r="L326" s="270">
        <f>IFERROR(
INDEX('Admin - FEOR'!$A$4:$F$465,MATCH(Bérköltség!H326,'Admin - FEOR'!$A$4:$A$465,0),
IF(J326="30 év alatt",3,
IF(J326="30–39 éves",4,
IF(J326="40–49 éves",5,
IF(J326="50 év és afelett",6
)))))*1,"NA")</f>
        <v>652117</v>
      </c>
      <c r="M326" s="270">
        <f t="shared" si="678"/>
        <v>560000</v>
      </c>
      <c r="N326" s="318">
        <f t="shared" si="679"/>
        <v>0.85874160618416628</v>
      </c>
      <c r="O326" s="270">
        <f>IFERROR(
INDEX('Admin - FEOR'!$A$4:$F$465,MATCH(Bérköltség!H326,'Admin - FEOR'!$A$4:$A$465,0),
IF(J326="30 év alatt",3,
IF(J326="30–39 éves",4,
IF(J326="40–49 éves",5,
IF(J326="50 év és afelett",6
)))))*1.5,"NA")</f>
        <v>978175.5</v>
      </c>
      <c r="P326" s="270">
        <f t="shared" si="680"/>
        <v>477844.35344827588</v>
      </c>
      <c r="Q326" s="270">
        <f t="shared" si="681"/>
        <v>273563</v>
      </c>
      <c r="R326" s="275">
        <f t="shared" si="682"/>
        <v>0.4885057471264368</v>
      </c>
      <c r="S326" s="270">
        <f t="shared" si="683"/>
        <v>0</v>
      </c>
      <c r="T326" s="270">
        <f t="shared" si="684"/>
        <v>0</v>
      </c>
      <c r="U326" s="271">
        <f t="shared" si="685"/>
        <v>0</v>
      </c>
      <c r="V326" s="272">
        <f t="shared" si="686"/>
        <v>309126</v>
      </c>
      <c r="W326" s="273" t="str">
        <f t="shared" si="687"/>
        <v>Nem szükséges indoklás.</v>
      </c>
      <c r="X326" s="372">
        <f t="shared" si="688"/>
        <v>0</v>
      </c>
      <c r="Y326" s="317">
        <f t="shared" si="689"/>
        <v>273563</v>
      </c>
      <c r="Z326" s="317">
        <f t="shared" si="690"/>
        <v>35563</v>
      </c>
      <c r="AA326" s="12" t="s">
        <v>2800</v>
      </c>
      <c r="AB326" s="274">
        <v>8437320062</v>
      </c>
      <c r="AC326" s="40" t="s">
        <v>198</v>
      </c>
      <c r="AD326" s="82" t="s">
        <v>76</v>
      </c>
      <c r="AE326" s="41" t="s">
        <v>55</v>
      </c>
      <c r="AF326" s="11" t="s">
        <v>160</v>
      </c>
      <c r="AG326" s="11" t="s">
        <v>196</v>
      </c>
      <c r="AH326" s="14" t="s">
        <v>142</v>
      </c>
      <c r="AI326" s="86" t="s">
        <v>26</v>
      </c>
      <c r="AJ326" s="113" t="str">
        <f>IF(COUNTIFS(Admin!$A$29:$A$40,AI326)&gt;0,Admin!$A$28,IF(COUNTIFS(Admin!$B$29:$B$40,AI326)&gt;0,Admin!$B$28,IF(COUNTIFS(Admin!$C$29:$C$40,AI326)&gt;0,Admin!$C$28,IF(COUNTIFS(Admin!$D$29:$D$40,AI326)&gt;0,Admin!$D$28,"-"))))</f>
        <v>2. mérföldkő</v>
      </c>
      <c r="AK326" s="14" t="s">
        <v>7</v>
      </c>
      <c r="AL326" s="9" t="s">
        <v>56</v>
      </c>
      <c r="AM326" s="131">
        <v>560000</v>
      </c>
      <c r="AN326" s="132">
        <f t="shared" si="584"/>
        <v>72800</v>
      </c>
      <c r="AO326" s="121">
        <v>174</v>
      </c>
      <c r="AP326" s="121">
        <v>85</v>
      </c>
      <c r="AQ326" s="354">
        <f t="shared" si="746"/>
        <v>0.4885057471264368</v>
      </c>
      <c r="AR326" s="133">
        <f t="shared" si="214"/>
        <v>273563</v>
      </c>
      <c r="AS326" s="133">
        <f t="shared" si="500"/>
        <v>35563</v>
      </c>
      <c r="AT326" s="123">
        <f t="shared" si="747"/>
        <v>3.8998357965169816E-7</v>
      </c>
      <c r="AU326" s="124">
        <v>0.13</v>
      </c>
      <c r="AV326" s="394" t="s">
        <v>2789</v>
      </c>
      <c r="AW326" s="15">
        <v>44823</v>
      </c>
      <c r="AX326" s="12" t="s">
        <v>206</v>
      </c>
      <c r="AZ326" s="1" t="s">
        <v>2667</v>
      </c>
      <c r="BA326" s="1" t="s">
        <v>2668</v>
      </c>
      <c r="BB326" s="1" t="s">
        <v>2668</v>
      </c>
    </row>
    <row r="327" spans="1:56" s="1" customFormat="1" hidden="1" x14ac:dyDescent="0.25">
      <c r="A327" s="264" t="str">
        <f>Bérköltség!$B327</f>
        <v>FEOR</v>
      </c>
      <c r="B327" s="264" t="str">
        <f>IFERROR(
IF(AND(Bérköltség!$F327="",H327="NA"),"HIÁNYOS ADATOK",
IF(Bérköltség!$F327&lt;Bérköltség!$U327,Admin!$B$18,Admin!$B$17)),
"")</f>
        <v>FEOR</v>
      </c>
      <c r="C327" s="265">
        <f>IFERROR(INDEX('Historikus berek_2021-2'!$A$1:$F$903,MATCH(AB327,'Historikus berek_2021-2'!$A$1:$A$903,0),4),"")</f>
        <v>394253.33333333331</v>
      </c>
      <c r="D327" s="279">
        <f t="shared" si="673"/>
        <v>192595.01915708813</v>
      </c>
      <c r="E327" s="265">
        <f t="shared" si="674"/>
        <v>293103</v>
      </c>
      <c r="F327" s="266">
        <f t="shared" si="675"/>
        <v>113574.01835249038</v>
      </c>
      <c r="G327" s="267">
        <f t="shared" si="676"/>
        <v>217632.37164750957</v>
      </c>
      <c r="H327" s="268">
        <f>IFERROR(INDEX('FEOR kodok'!$A$2:$J$1126,MATCH(Bérköltség!AB327,'FEOR kodok'!$B$2:$B$1126,0),8),"NA")</f>
        <v>2910</v>
      </c>
      <c r="I327" s="269">
        <f>IFERROR(INDEX('FEOR kodok'!$A$2:$J$1126,MATCH(Bérköltség!AB327,'FEOR kodok'!$B$2:$B$1126,0),10),"NA")</f>
        <v>37</v>
      </c>
      <c r="J327" s="276" t="str">
        <f t="shared" si="677"/>
        <v>30–39 éves</v>
      </c>
      <c r="K327" s="269" t="str">
        <f>IFERROR(INDEX(admin_feor[#All],MATCH(Bérköltség!H327,admin_feor[[#All],[Foglalkozás]],0),2),"NA")</f>
        <v>Egyéb magasan képzett ügyintéző</v>
      </c>
      <c r="L327" s="270">
        <f>IFERROR(
INDEX('Admin - FEOR'!$A$4:$F$465,MATCH(Bérköltség!H327,'Admin - FEOR'!$A$4:$A$465,0),
IF(J327="30 év alatt",3,
IF(J327="30–39 éves",4,
IF(J327="40–49 éves",5,
IF(J327="50 év és afelett",6
)))))*1,"NA")</f>
        <v>652117</v>
      </c>
      <c r="M327" s="270">
        <f t="shared" si="678"/>
        <v>600000</v>
      </c>
      <c r="N327" s="318">
        <f t="shared" si="679"/>
        <v>0.92008029234017819</v>
      </c>
      <c r="O327" s="270">
        <f>IFERROR(
INDEX('Admin - FEOR'!$A$4:$F$465,MATCH(Bérköltség!H327,'Admin - FEOR'!$A$4:$A$465,0),
IF(J327="30 év alatt",3,
IF(J327="30–39 éves",4,
IF(J327="40–49 éves",5,
IF(J327="50 év és afelett",6
)))))*1.5,"NA")</f>
        <v>978175.5</v>
      </c>
      <c r="P327" s="270">
        <f t="shared" si="680"/>
        <v>477844.35344827588</v>
      </c>
      <c r="Q327" s="270">
        <f t="shared" si="681"/>
        <v>293103</v>
      </c>
      <c r="R327" s="275">
        <f t="shared" si="682"/>
        <v>0.4885057471264368</v>
      </c>
      <c r="S327" s="270">
        <f t="shared" si="683"/>
        <v>0</v>
      </c>
      <c r="T327" s="270">
        <f t="shared" si="684"/>
        <v>0</v>
      </c>
      <c r="U327" s="271">
        <f t="shared" si="685"/>
        <v>0</v>
      </c>
      <c r="V327" s="272">
        <f t="shared" si="686"/>
        <v>331206</v>
      </c>
      <c r="W327" s="273" t="str">
        <f t="shared" si="687"/>
        <v>Nem szükséges indoklás.</v>
      </c>
      <c r="X327" s="372">
        <f t="shared" si="688"/>
        <v>0</v>
      </c>
      <c r="Y327" s="317">
        <f t="shared" si="689"/>
        <v>293103</v>
      </c>
      <c r="Z327" s="317">
        <f t="shared" si="690"/>
        <v>38103</v>
      </c>
      <c r="AA327" s="12" t="s">
        <v>2800</v>
      </c>
      <c r="AB327" s="274">
        <v>8437320062</v>
      </c>
      <c r="AC327" s="40" t="s">
        <v>198</v>
      </c>
      <c r="AD327" s="82" t="s">
        <v>76</v>
      </c>
      <c r="AE327" s="41" t="s">
        <v>55</v>
      </c>
      <c r="AF327" s="11" t="s">
        <v>160</v>
      </c>
      <c r="AG327" s="11" t="s">
        <v>196</v>
      </c>
      <c r="AH327" s="14" t="s">
        <v>142</v>
      </c>
      <c r="AI327" s="86" t="s">
        <v>32</v>
      </c>
      <c r="AJ327" s="113" t="str">
        <f>IF(COUNTIFS(Admin!$A$29:$A$40,AI327)&gt;0,Admin!$A$28,IF(COUNTIFS(Admin!$B$29:$B$40,AI327)&gt;0,Admin!$B$28,IF(COUNTIFS(Admin!$C$29:$C$40,AI327)&gt;0,Admin!$C$28,IF(COUNTIFS(Admin!$D$29:$D$40,AI327)&gt;0,Admin!$D$28,"-"))))</f>
        <v>2. mérföldkő</v>
      </c>
      <c r="AK327" s="14" t="s">
        <v>7</v>
      </c>
      <c r="AL327" s="9" t="s">
        <v>56</v>
      </c>
      <c r="AM327" s="131">
        <v>600000</v>
      </c>
      <c r="AN327" s="132">
        <f t="shared" si="584"/>
        <v>78000</v>
      </c>
      <c r="AO327" s="121">
        <v>174</v>
      </c>
      <c r="AP327" s="121">
        <v>85</v>
      </c>
      <c r="AQ327" s="354">
        <f t="shared" si="746"/>
        <v>0.4885057471264368</v>
      </c>
      <c r="AR327" s="133">
        <f t="shared" si="214"/>
        <v>293103</v>
      </c>
      <c r="AS327" s="133">
        <f t="shared" si="500"/>
        <v>38103</v>
      </c>
      <c r="AT327" s="123">
        <f t="shared" si="747"/>
        <v>7.4712643677310453E-7</v>
      </c>
      <c r="AU327" s="124">
        <v>0.13</v>
      </c>
      <c r="AV327" s="394" t="s">
        <v>2789</v>
      </c>
      <c r="AW327" s="15">
        <v>44946</v>
      </c>
      <c r="AX327" s="12" t="s">
        <v>206</v>
      </c>
      <c r="AZ327" s="1" t="s">
        <v>2667</v>
      </c>
      <c r="BA327" s="1">
        <v>0</v>
      </c>
      <c r="BB327" s="1">
        <v>0</v>
      </c>
    </row>
    <row r="328" spans="1:56" s="1" customFormat="1" hidden="1" x14ac:dyDescent="0.25">
      <c r="A328" s="264" t="str">
        <f>Bérköltség!$B328</f>
        <v>FEOR</v>
      </c>
      <c r="B328" s="264" t="str">
        <f>IFERROR(
IF(AND(Bérköltség!$F328="",H328="NA"),"HIÁNYOS ADATOK",
IF(Bérköltség!$F328&lt;Bérköltség!$U328,Admin!$B$18,Admin!$B$17)),
"")</f>
        <v>FEOR</v>
      </c>
      <c r="C328" s="265">
        <f>IFERROR(INDEX('Historikus berek_2021-2'!$A$1:$F$903,MATCH(AB328,'Historikus berek_2021-2'!$A$1:$A$903,0),4),"")</f>
        <v>394253.33333333331</v>
      </c>
      <c r="D328" s="279">
        <f t="shared" si="673"/>
        <v>192595.01915708813</v>
      </c>
      <c r="E328" s="265">
        <f t="shared" si="674"/>
        <v>293103</v>
      </c>
      <c r="F328" s="266">
        <f t="shared" si="675"/>
        <v>113574.01835249038</v>
      </c>
      <c r="G328" s="267">
        <f t="shared" si="676"/>
        <v>217632.37164750957</v>
      </c>
      <c r="H328" s="268">
        <f>IFERROR(INDEX('FEOR kodok'!$A$2:$J$1126,MATCH(Bérköltség!AB328,'FEOR kodok'!$B$2:$B$1126,0),8),"NA")</f>
        <v>2910</v>
      </c>
      <c r="I328" s="269">
        <f>IFERROR(INDEX('FEOR kodok'!$A$2:$J$1126,MATCH(Bérköltség!AB328,'FEOR kodok'!$B$2:$B$1126,0),10),"NA")</f>
        <v>37</v>
      </c>
      <c r="J328" s="276" t="str">
        <f t="shared" si="677"/>
        <v>30–39 éves</v>
      </c>
      <c r="K328" s="269" t="str">
        <f>IFERROR(INDEX(admin_feor[#All],MATCH(Bérköltség!H328,admin_feor[[#All],[Foglalkozás]],0),2),"NA")</f>
        <v>Egyéb magasan képzett ügyintéző</v>
      </c>
      <c r="L328" s="270">
        <f>IFERROR(
INDEX('Admin - FEOR'!$A$4:$F$465,MATCH(Bérköltség!H328,'Admin - FEOR'!$A$4:$A$465,0),
IF(J328="30 év alatt",3,
IF(J328="30–39 éves",4,
IF(J328="40–49 éves",5,
IF(J328="50 év és afelett",6
)))))*1,"NA")</f>
        <v>652117</v>
      </c>
      <c r="M328" s="270">
        <f t="shared" si="678"/>
        <v>600000</v>
      </c>
      <c r="N328" s="318">
        <f t="shared" si="679"/>
        <v>0.92008029234017819</v>
      </c>
      <c r="O328" s="270">
        <f>IFERROR(
INDEX('Admin - FEOR'!$A$4:$F$465,MATCH(Bérköltség!H328,'Admin - FEOR'!$A$4:$A$465,0),
IF(J328="30 év alatt",3,
IF(J328="30–39 éves",4,
IF(J328="40–49 éves",5,
IF(J328="50 év és afelett",6
)))))*1.5,"NA")</f>
        <v>978175.5</v>
      </c>
      <c r="P328" s="270">
        <f t="shared" si="680"/>
        <v>477844.35344827588</v>
      </c>
      <c r="Q328" s="270">
        <f t="shared" si="681"/>
        <v>293103</v>
      </c>
      <c r="R328" s="275">
        <f t="shared" si="682"/>
        <v>0.4885057471264368</v>
      </c>
      <c r="S328" s="270">
        <f t="shared" si="683"/>
        <v>0</v>
      </c>
      <c r="T328" s="270">
        <f t="shared" si="684"/>
        <v>0</v>
      </c>
      <c r="U328" s="271">
        <f t="shared" si="685"/>
        <v>0</v>
      </c>
      <c r="V328" s="272">
        <f t="shared" si="686"/>
        <v>331206</v>
      </c>
      <c r="W328" s="273" t="str">
        <f t="shared" si="687"/>
        <v>Nem szükséges indoklás.</v>
      </c>
      <c r="X328" s="372">
        <f t="shared" si="688"/>
        <v>0</v>
      </c>
      <c r="Y328" s="317">
        <f t="shared" si="689"/>
        <v>293103</v>
      </c>
      <c r="Z328" s="317">
        <f t="shared" si="690"/>
        <v>38103</v>
      </c>
      <c r="AA328" s="12" t="s">
        <v>2800</v>
      </c>
      <c r="AB328" s="274">
        <v>8437320062</v>
      </c>
      <c r="AC328" s="40" t="s">
        <v>198</v>
      </c>
      <c r="AD328" s="82" t="s">
        <v>76</v>
      </c>
      <c r="AE328" s="41" t="s">
        <v>55</v>
      </c>
      <c r="AF328" s="11" t="s">
        <v>160</v>
      </c>
      <c r="AG328" s="11" t="s">
        <v>2734</v>
      </c>
      <c r="AH328" s="14" t="s">
        <v>142</v>
      </c>
      <c r="AI328" s="86" t="s">
        <v>33</v>
      </c>
      <c r="AJ328" s="113" t="str">
        <f>IF(COUNTIFS(Admin!$A$29:$A$40,AI328)&gt;0,Admin!$A$28,IF(COUNTIFS(Admin!$B$29:$B$40,AI328)&gt;0,Admin!$B$28,IF(COUNTIFS(Admin!$C$29:$C$40,AI328)&gt;0,Admin!$C$28,IF(COUNTIFS(Admin!$D$29:$D$40,AI328)&gt;0,Admin!$D$28,"-"))))</f>
        <v>2. mérföldkő</v>
      </c>
      <c r="AK328" s="14" t="s">
        <v>7</v>
      </c>
      <c r="AL328" s="9" t="s">
        <v>56</v>
      </c>
      <c r="AM328" s="131">
        <v>600000</v>
      </c>
      <c r="AN328" s="132">
        <f t="shared" ref="AN328:AN423" si="748">IFERROR(ROUND(AM328*AU328,0),"")</f>
        <v>78000</v>
      </c>
      <c r="AO328" s="121">
        <v>174</v>
      </c>
      <c r="AP328" s="121">
        <v>85</v>
      </c>
      <c r="AQ328" s="354">
        <f t="shared" si="746"/>
        <v>0.4885057471264368</v>
      </c>
      <c r="AR328" s="133">
        <f t="shared" si="214"/>
        <v>293103</v>
      </c>
      <c r="AS328" s="133">
        <f t="shared" si="500"/>
        <v>38103</v>
      </c>
      <c r="AT328" s="123">
        <f t="shared" si="747"/>
        <v>7.4712643677310453E-7</v>
      </c>
      <c r="AU328" s="124">
        <v>0.13</v>
      </c>
      <c r="AV328" s="394" t="s">
        <v>2789</v>
      </c>
      <c r="AW328" s="15">
        <v>44946</v>
      </c>
      <c r="AX328" s="12" t="s">
        <v>206</v>
      </c>
      <c r="AZ328" s="8" t="str">
        <f>IF(VLOOKUP(LEFT($AB328,10),'Havi béradatok'!$B:$E,2,FALSE)=AG328,"EGYEZIK","HIBÁS")</f>
        <v>EGYEZIK</v>
      </c>
      <c r="BA328" s="1">
        <f>VLOOKUP(LEFT($AB328,10),'Havi béradatok'!$B:$E,3,FALSE)-AM328</f>
        <v>0</v>
      </c>
      <c r="BB328" s="1">
        <f>VLOOKUP(LEFT($AB328,10),'Havi béradatok'!$B:$E,4,FALSE)-AN328</f>
        <v>43680</v>
      </c>
    </row>
    <row r="329" spans="1:56" s="1" customFormat="1" hidden="1" x14ac:dyDescent="0.25">
      <c r="A329" s="264" t="str">
        <f>Bérköltség!$B329</f>
        <v>FEOR</v>
      </c>
      <c r="B329" s="264" t="str">
        <f>IFERROR(
IF(AND(Bérköltség!$F329="",H329="NA"),"HIÁNYOS ADATOK",
IF(Bérköltség!$F329&lt;Bérköltség!$U329,Admin!$B$18,Admin!$B$17)),
"")</f>
        <v>FEOR</v>
      </c>
      <c r="C329" s="265">
        <f>IFERROR(INDEX('Historikus berek_2021-2'!$A$1:$F$903,MATCH(AB329,'Historikus berek_2021-2'!$A$1:$A$903,0),4),"")</f>
        <v>394253.33333333331</v>
      </c>
      <c r="D329" s="279">
        <f t="shared" si="673"/>
        <v>192595.01915708813</v>
      </c>
      <c r="E329" s="265">
        <f t="shared" si="674"/>
        <v>293103</v>
      </c>
      <c r="F329" s="266">
        <f t="shared" si="675"/>
        <v>113574.01835249038</v>
      </c>
      <c r="G329" s="267">
        <f t="shared" si="676"/>
        <v>217632.37164750957</v>
      </c>
      <c r="H329" s="268">
        <f>IFERROR(INDEX('FEOR kodok'!$A$2:$J$1126,MATCH(Bérköltség!AB329,'FEOR kodok'!$B$2:$B$1126,0),8),"NA")</f>
        <v>2910</v>
      </c>
      <c r="I329" s="269">
        <f>IFERROR(INDEX('FEOR kodok'!$A$2:$J$1126,MATCH(Bérköltség!AB329,'FEOR kodok'!$B$2:$B$1126,0),10),"NA")</f>
        <v>37</v>
      </c>
      <c r="J329" s="276" t="str">
        <f t="shared" si="677"/>
        <v>30–39 éves</v>
      </c>
      <c r="K329" s="269" t="str">
        <f>IFERROR(INDEX(admin_feor[#All],MATCH(Bérköltség!H329,admin_feor[[#All],[Foglalkozás]],0),2),"NA")</f>
        <v>Egyéb magasan képzett ügyintéző</v>
      </c>
      <c r="L329" s="270">
        <f>IFERROR(
INDEX('Admin - FEOR'!$A$4:$F$465,MATCH(Bérköltség!H329,'Admin - FEOR'!$A$4:$A$465,0),
IF(J329="30 év alatt",3,
IF(J329="30–39 éves",4,
IF(J329="40–49 éves",5,
IF(J329="50 év és afelett",6
)))))*1,"NA")</f>
        <v>652117</v>
      </c>
      <c r="M329" s="270">
        <f t="shared" si="678"/>
        <v>600000</v>
      </c>
      <c r="N329" s="318">
        <f t="shared" si="679"/>
        <v>0.92008029234017819</v>
      </c>
      <c r="O329" s="270">
        <f>IFERROR(
INDEX('Admin - FEOR'!$A$4:$F$465,MATCH(Bérköltség!H329,'Admin - FEOR'!$A$4:$A$465,0),
IF(J329="30 év alatt",3,
IF(J329="30–39 éves",4,
IF(J329="40–49 éves",5,
IF(J329="50 év és afelett",6
)))))*1.5,"NA")</f>
        <v>978175.5</v>
      </c>
      <c r="P329" s="270">
        <f t="shared" si="680"/>
        <v>477844.35344827588</v>
      </c>
      <c r="Q329" s="270">
        <f t="shared" si="681"/>
        <v>293103</v>
      </c>
      <c r="R329" s="275">
        <f t="shared" si="682"/>
        <v>0.4885057471264368</v>
      </c>
      <c r="S329" s="270">
        <f t="shared" si="683"/>
        <v>0</v>
      </c>
      <c r="T329" s="270">
        <f t="shared" si="684"/>
        <v>0</v>
      </c>
      <c r="U329" s="271">
        <f t="shared" si="685"/>
        <v>0</v>
      </c>
      <c r="V329" s="272">
        <f t="shared" si="686"/>
        <v>331206</v>
      </c>
      <c r="W329" s="273" t="str">
        <f t="shared" si="687"/>
        <v>Nem szükséges indoklás.</v>
      </c>
      <c r="X329" s="372">
        <f t="shared" si="688"/>
        <v>0</v>
      </c>
      <c r="Y329" s="317">
        <f t="shared" si="689"/>
        <v>293103</v>
      </c>
      <c r="Z329" s="317">
        <f t="shared" si="690"/>
        <v>38103</v>
      </c>
      <c r="AA329" s="12" t="s">
        <v>2800</v>
      </c>
      <c r="AB329" s="274">
        <v>8437320062</v>
      </c>
      <c r="AC329" s="40" t="s">
        <v>198</v>
      </c>
      <c r="AD329" s="82" t="s">
        <v>76</v>
      </c>
      <c r="AE329" s="41" t="s">
        <v>55</v>
      </c>
      <c r="AF329" s="11" t="s">
        <v>160</v>
      </c>
      <c r="AG329" s="11" t="s">
        <v>2734</v>
      </c>
      <c r="AH329" s="14" t="s">
        <v>142</v>
      </c>
      <c r="AI329" s="86" t="s">
        <v>34</v>
      </c>
      <c r="AJ329" s="113" t="str">
        <f>IF(COUNTIFS(Admin!$A$29:$A$40,AI329)&gt;0,Admin!$A$28,IF(COUNTIFS(Admin!$B$29:$B$40,AI329)&gt;0,Admin!$B$28,IF(COUNTIFS(Admin!$C$29:$C$40,AI329)&gt;0,Admin!$C$28,IF(COUNTIFS(Admin!$D$29:$D$40,AI329)&gt;0,Admin!$D$28,"-"))))</f>
        <v>2. mérföldkő</v>
      </c>
      <c r="AK329" s="14" t="s">
        <v>7</v>
      </c>
      <c r="AL329" s="9" t="s">
        <v>56</v>
      </c>
      <c r="AM329" s="131">
        <v>600000</v>
      </c>
      <c r="AN329" s="132">
        <f t="shared" si="748"/>
        <v>78000</v>
      </c>
      <c r="AO329" s="121">
        <v>174</v>
      </c>
      <c r="AP329" s="121">
        <v>85</v>
      </c>
      <c r="AQ329" s="354">
        <f t="shared" si="746"/>
        <v>0.4885057471264368</v>
      </c>
      <c r="AR329" s="133">
        <f t="shared" si="214"/>
        <v>293103</v>
      </c>
      <c r="AS329" s="133">
        <f t="shared" si="500"/>
        <v>38103</v>
      </c>
      <c r="AT329" s="123">
        <f t="shared" si="747"/>
        <v>7.4712643677310453E-7</v>
      </c>
      <c r="AU329" s="124">
        <v>0.13</v>
      </c>
      <c r="AV329" s="394" t="s">
        <v>2789</v>
      </c>
      <c r="AW329" s="15">
        <v>44946</v>
      </c>
      <c r="AX329" s="12" t="s">
        <v>206</v>
      </c>
    </row>
    <row r="330" spans="1:56" s="1" customFormat="1" x14ac:dyDescent="0.25">
      <c r="A330" s="264" t="str">
        <f>Bérköltség!$B330</f>
        <v>FEOR</v>
      </c>
      <c r="B330" s="264" t="str">
        <f>IFERROR(
IF(AND(Bérköltség!$F330="",H330="NA"),"HIÁNYOS ADATOK",
IF(Bérköltség!$F330&lt;Bérköltség!$U330,Admin!$B$18,Admin!$B$17)),
"")</f>
        <v>FEOR</v>
      </c>
      <c r="C330" s="265">
        <f>IFERROR(INDEX('Historikus berek_2021-2'!$A$1:$F$903,MATCH(AB330,'Historikus berek_2021-2'!$A$1:$A$903,0),4),"")</f>
        <v>394253.33333333331</v>
      </c>
      <c r="D330" s="279">
        <f t="shared" ref="D330:D334" si="749">IFERROR(C330*AQ330,"")</f>
        <v>52113.946360153255</v>
      </c>
      <c r="E330" s="265">
        <f t="shared" ref="E330:E334" si="750">AR330</f>
        <v>79310</v>
      </c>
      <c r="F330" s="266">
        <f t="shared" ref="F330:F334" si="751">IFERROR(IF((E330*(1+AU330)-D330*(1+AU330))&lt;0,0,(E330*(1+AU330)-D330*(1+AU330))),"")</f>
        <v>30731.540613026817</v>
      </c>
      <c r="G330" s="267">
        <f t="shared" ref="G330:G334" si="752">IFERROR((E330*(1+AU330)-F330),"")</f>
        <v>58888.759386973172</v>
      </c>
      <c r="H330" s="268">
        <f>IFERROR(INDEX('FEOR kodok'!$A$2:$J$1126,MATCH(Bérköltség!AB330,'FEOR kodok'!$B$2:$B$1126,0),8),"NA")</f>
        <v>2910</v>
      </c>
      <c r="I330" s="269">
        <f>IFERROR(INDEX('FEOR kodok'!$A$2:$J$1126,MATCH(Bérköltség!AB330,'FEOR kodok'!$B$2:$B$1126,0),10),"NA")</f>
        <v>37</v>
      </c>
      <c r="J330" s="276" t="str">
        <f t="shared" ref="J330:J334" si="753">IF(I330="NA","NA",
IF(I330&lt;30,"30 év alatt",
IF(AND(I330&gt;=30,I330&lt;=39),"30–39 éves",
IF(AND(I330&gt;=40,I330&lt;=49),"40–49 éves",
IF(I330&gt;=50,"50 év és afelett",
"")))))</f>
        <v>30–39 éves</v>
      </c>
      <c r="K330" s="269" t="str">
        <f>IFERROR(INDEX(admin_feor[#All],MATCH(Bérköltség!H330,admin_feor[[#All],[Foglalkozás]],0),2),"NA")</f>
        <v>Egyéb magasan képzett ügyintéző</v>
      </c>
      <c r="L330" s="270">
        <f>IFERROR(
INDEX('Admin - FEOR'!$A$4:$F$465,MATCH(Bérköltség!H330,'Admin - FEOR'!$A$4:$A$465,0),
IF(J330="30 év alatt",3,
IF(J330="30–39 éves",4,
IF(J330="40–49 éves",5,
IF(J330="50 év és afelett",6
)))))*1,"NA")</f>
        <v>652117</v>
      </c>
      <c r="M330" s="270">
        <f t="shared" ref="M330:M334" si="754">AM330</f>
        <v>600000</v>
      </c>
      <c r="N330" s="318">
        <f t="shared" ref="N330:N334" si="755">IFERROR(
M330/L330,"NA")</f>
        <v>0.92008029234017819</v>
      </c>
      <c r="O330" s="270">
        <f>IFERROR(
INDEX('Admin - FEOR'!$A$4:$F$465,MATCH(Bérköltség!H330,'Admin - FEOR'!$A$4:$A$465,0),
IF(J330="30 év alatt",3,
IF(J330="30–39 éves",4,
IF(J330="40–49 éves",5,
IF(J330="50 év és afelett",6
)))))*1.5,"NA")</f>
        <v>978175.5</v>
      </c>
      <c r="P330" s="270">
        <f t="shared" ref="P330:P334" si="756">IFERROR(
AQ330*O330,"NA")</f>
        <v>129299.06034482759</v>
      </c>
      <c r="Q330" s="270">
        <f t="shared" ref="Q330:Q334" si="757">IFERROR(AR330,"")</f>
        <v>79310</v>
      </c>
      <c r="R330" s="275">
        <f t="shared" ref="R330:R334" si="758">IFERROR(AQ330,"")</f>
        <v>0.13218390804597702</v>
      </c>
      <c r="S330" s="270">
        <f t="shared" ref="S330:S334" si="759">IFERROR(
IF(AR330-P330&lt;0,0,AR330-P330),"NA")</f>
        <v>0</v>
      </c>
      <c r="T330" s="270">
        <f t="shared" ref="T330:T334" si="760">IFERROR(
S330*AU330,"NA")</f>
        <v>0</v>
      </c>
      <c r="U330" s="271">
        <f t="shared" ref="U330:U334" si="761">IFERROR(
S330+T330,"NA")</f>
        <v>0</v>
      </c>
      <c r="V330" s="272">
        <f t="shared" ref="V330:V334" si="762">IFERROR(
IF(U330&gt;0,AR330+AS330-U330,AR330+AS330),"NA")</f>
        <v>89620</v>
      </c>
      <c r="W330" s="273" t="str">
        <f t="shared" ref="W330:W334" si="763">IF(P330="NA","FEOR hiányzik",
IF(AND(N330&gt;1,A330="FEOR"),CONCATENATE("Indoklás szükséges mivel a FEOR: ",ROUND(N330*100,1),"%"),"Nem szükséges indoklás.")
)</f>
        <v>Nem szükséges indoklás.</v>
      </c>
      <c r="X330" s="372">
        <f t="shared" ref="X330:X334" si="764">IF(A330="FEOR",U330,IF(A330="HIÁNYOS ADATOK","HIÁNYOS ADATOK",F330))</f>
        <v>0</v>
      </c>
      <c r="Y330" s="317">
        <f t="shared" ref="Y330:Y334" si="765">IF(A330="FEOR",ROUND((V330/(1+AU330)),0),IF(A330="HIÁNYOS ADATOK","HIÁNYOS ADATOK",ROUND(G330/(1+AU330),0)))</f>
        <v>79310</v>
      </c>
      <c r="Z330" s="317">
        <f t="shared" ref="Z330:Z334" si="766">IF(A330="FEOR",ROUND((V330-Y330),0),IF(A330="HIÁNYOS ADATOK","HIÁNYOS ADATOK",ROUND((G330-Y330),0)))</f>
        <v>10310</v>
      </c>
      <c r="AA330" s="36"/>
      <c r="AB330" s="274">
        <v>8437320062</v>
      </c>
      <c r="AC330" s="40" t="s">
        <v>198</v>
      </c>
      <c r="AD330" s="82" t="s">
        <v>76</v>
      </c>
      <c r="AE330" s="41" t="s">
        <v>55</v>
      </c>
      <c r="AF330" s="11" t="s">
        <v>160</v>
      </c>
      <c r="AG330" s="11" t="s">
        <v>2734</v>
      </c>
      <c r="AH330" s="14" t="s">
        <v>142</v>
      </c>
      <c r="AI330" s="86" t="s">
        <v>35</v>
      </c>
      <c r="AJ330" s="113" t="str">
        <f>IF(COUNTIFS(Admin!$A$29:$A$40,AI330)&gt;0,Admin!$A$28,IF(COUNTIFS(Admin!$B$29:$B$40,AI330)&gt;0,Admin!$B$28,IF(COUNTIFS(Admin!$C$29:$C$40,AI330)&gt;0,Admin!$C$28,IF(COUNTIFS(Admin!$D$29:$D$40,AI330)&gt;0,Admin!$D$28,"-"))))</f>
        <v>3. mérföldkő</v>
      </c>
      <c r="AK330" s="14" t="s">
        <v>7</v>
      </c>
      <c r="AL330" s="9" t="s">
        <v>56</v>
      </c>
      <c r="AM330" s="131">
        <v>600000</v>
      </c>
      <c r="AN330" s="132">
        <f t="shared" ref="AN330" si="767">IFERROR(ROUND(AM330*AU330,0),"")</f>
        <v>78000</v>
      </c>
      <c r="AO330" s="121">
        <v>174</v>
      </c>
      <c r="AP330" s="121">
        <v>23</v>
      </c>
      <c r="AQ330" s="354">
        <f t="shared" ref="AQ330" si="768">IFERROR(AP330/AO330,"")</f>
        <v>0.13218390804597702</v>
      </c>
      <c r="AR330" s="133">
        <f t="shared" ref="AR330" si="769">IFERROR(ROUND(AM330*AP330/AO330,0),"")</f>
        <v>79310</v>
      </c>
      <c r="AS330" s="133">
        <f t="shared" ref="AS330" si="770">IFERROR(ROUND(AR330*AU330,0),"")</f>
        <v>10310</v>
      </c>
      <c r="AT330" s="123">
        <f t="shared" ref="AT330" si="771">IFERROR(AP330/AO330-AR330/AM330,"")</f>
        <v>5.7471264366948382E-7</v>
      </c>
      <c r="AU330" s="124">
        <v>0.13</v>
      </c>
      <c r="AV330" s="394" t="s">
        <v>2789</v>
      </c>
      <c r="AW330" s="15">
        <v>45002</v>
      </c>
      <c r="AX330" s="12" t="s">
        <v>206</v>
      </c>
      <c r="AZ330" s="1" t="str">
        <f>IF(VLOOKUP(LEFT($AB330,10),'Havi béradatok'!$B:$E,2,FALSE)=AG330,"EGYEZIK","HIBÁS")</f>
        <v>EGYEZIK</v>
      </c>
      <c r="BA330" s="1">
        <f>VLOOKUP(LEFT($AB330,10),'Havi béradatok'!$B:$E,3,FALSE)-AM330</f>
        <v>0</v>
      </c>
      <c r="BB330" s="391">
        <f>VLOOKUP(LEFT($AB330,10),'Havi béradatok'!$B:$E,4,FALSE)-AN330</f>
        <v>43680</v>
      </c>
      <c r="BC330" s="400"/>
      <c r="BD330" s="400"/>
    </row>
    <row r="331" spans="1:56" s="1" customFormat="1" hidden="1" x14ac:dyDescent="0.25">
      <c r="A331" s="264" t="str">
        <f>Bérköltség!$B331</f>
        <v>FEOR</v>
      </c>
      <c r="B331" s="264" t="str">
        <f>IFERROR(
IF(AND(Bérköltség!$F331="",H331="NA"),"HIÁNYOS ADATOK",
IF(Bérköltség!$F331&lt;Bérköltség!$U331,Admin!$B$18,Admin!$B$17)),
"")</f>
        <v>FEOR</v>
      </c>
      <c r="C331" s="265">
        <f>IFERROR(INDEX('Historikus berek_2021-2'!$A$1:$F$903,MATCH(AB331,'Historikus berek_2021-2'!$A$1:$A$903,0),4),"")</f>
        <v>394253.33333333331</v>
      </c>
      <c r="D331" s="279">
        <f t="shared" si="749"/>
        <v>52113.946360153255</v>
      </c>
      <c r="E331" s="265">
        <f t="shared" si="750"/>
        <v>79310</v>
      </c>
      <c r="F331" s="266">
        <f t="shared" si="751"/>
        <v>30731.540613026817</v>
      </c>
      <c r="G331" s="267">
        <f t="shared" si="752"/>
        <v>58888.759386973172</v>
      </c>
      <c r="H331" s="268">
        <f>IFERROR(INDEX('FEOR kodok'!$A$2:$J$1126,MATCH(Bérköltség!AB331,'FEOR kodok'!$B$2:$B$1126,0),8),"NA")</f>
        <v>2910</v>
      </c>
      <c r="I331" s="269">
        <f>IFERROR(INDEX('FEOR kodok'!$A$2:$J$1126,MATCH(Bérköltség!AB331,'FEOR kodok'!$B$2:$B$1126,0),10),"NA")</f>
        <v>37</v>
      </c>
      <c r="J331" s="276" t="str">
        <f t="shared" si="753"/>
        <v>30–39 éves</v>
      </c>
      <c r="K331" s="269" t="str">
        <f>IFERROR(INDEX(admin_feor[#All],MATCH(Bérköltség!H331,admin_feor[[#All],[Foglalkozás]],0),2),"NA")</f>
        <v>Egyéb magasan képzett ügyintéző</v>
      </c>
      <c r="L331" s="270">
        <f>IFERROR(
INDEX('Admin - FEOR'!$A$4:$F$465,MATCH(Bérköltség!H331,'Admin - FEOR'!$A$4:$A$465,0),
IF(J331="30 év alatt",3,
IF(J331="30–39 éves",4,
IF(J331="40–49 éves",5,
IF(J331="50 év és afelett",6
)))))*1,"NA")</f>
        <v>652117</v>
      </c>
      <c r="M331" s="270">
        <f t="shared" si="754"/>
        <v>600000</v>
      </c>
      <c r="N331" s="318">
        <f t="shared" si="755"/>
        <v>0.92008029234017819</v>
      </c>
      <c r="O331" s="270">
        <f>IFERROR(
INDEX('Admin - FEOR'!$A$4:$F$465,MATCH(Bérköltség!H331,'Admin - FEOR'!$A$4:$A$465,0),
IF(J331="30 év alatt",3,
IF(J331="30–39 éves",4,
IF(J331="40–49 éves",5,
IF(J331="50 év és afelett",6
)))))*1.5,"NA")</f>
        <v>978175.5</v>
      </c>
      <c r="P331" s="270">
        <f t="shared" si="756"/>
        <v>129299.06034482759</v>
      </c>
      <c r="Q331" s="270">
        <f t="shared" si="757"/>
        <v>79310</v>
      </c>
      <c r="R331" s="275">
        <f t="shared" si="758"/>
        <v>0.13218390804597702</v>
      </c>
      <c r="S331" s="270">
        <f t="shared" si="759"/>
        <v>0</v>
      </c>
      <c r="T331" s="270">
        <f t="shared" si="760"/>
        <v>0</v>
      </c>
      <c r="U331" s="271">
        <f t="shared" si="761"/>
        <v>0</v>
      </c>
      <c r="V331" s="272">
        <f t="shared" si="762"/>
        <v>89620</v>
      </c>
      <c r="W331" s="273" t="str">
        <f t="shared" si="763"/>
        <v>Nem szükséges indoklás.</v>
      </c>
      <c r="X331" s="372">
        <f t="shared" si="764"/>
        <v>0</v>
      </c>
      <c r="Y331" s="317">
        <f t="shared" si="765"/>
        <v>79310</v>
      </c>
      <c r="Z331" s="317">
        <f t="shared" si="766"/>
        <v>10310</v>
      </c>
      <c r="AA331" s="36"/>
      <c r="AB331" s="274">
        <v>8437320062</v>
      </c>
      <c r="AC331" s="40" t="s">
        <v>198</v>
      </c>
      <c r="AD331" s="82" t="s">
        <v>76</v>
      </c>
      <c r="AE331" s="41" t="s">
        <v>55</v>
      </c>
      <c r="AF331" s="11" t="s">
        <v>160</v>
      </c>
      <c r="AG331" s="11" t="s">
        <v>2734</v>
      </c>
      <c r="AH331" s="14" t="s">
        <v>142</v>
      </c>
      <c r="AI331" s="86" t="s">
        <v>36</v>
      </c>
      <c r="AJ331" s="113" t="str">
        <f>IF(COUNTIFS(Admin!$A$29:$A$40,AI331)&gt;0,Admin!$A$28,IF(COUNTIFS(Admin!$B$29:$B$40,AI331)&gt;0,Admin!$B$28,IF(COUNTIFS(Admin!$C$29:$C$40,AI331)&gt;0,Admin!$C$28,IF(COUNTIFS(Admin!$D$29:$D$40,AI331)&gt;0,Admin!$D$28,"-"))))</f>
        <v>3. mérföldkő</v>
      </c>
      <c r="AK331" s="14" t="s">
        <v>141</v>
      </c>
      <c r="AL331" s="9" t="s">
        <v>56</v>
      </c>
      <c r="AM331" s="131">
        <v>600000</v>
      </c>
      <c r="AN331" s="132">
        <f t="shared" ref="AN331:AN334" si="772">IFERROR(ROUND(AM331*AU331,0),"")</f>
        <v>78000</v>
      </c>
      <c r="AO331" s="121">
        <v>174</v>
      </c>
      <c r="AP331" s="121">
        <v>23</v>
      </c>
      <c r="AQ331" s="354">
        <f t="shared" ref="AQ331:AQ334" si="773">IFERROR(AP331/AO331,"")</f>
        <v>0.13218390804597702</v>
      </c>
      <c r="AR331" s="133">
        <f t="shared" ref="AR331:AR334" si="774">IFERROR(ROUND(AM331*AP331/AO331,0),"")</f>
        <v>79310</v>
      </c>
      <c r="AS331" s="133">
        <f t="shared" ref="AS331:AS334" si="775">IFERROR(ROUND(AR331*AU331,0),"")</f>
        <v>10310</v>
      </c>
      <c r="AT331" s="123">
        <f t="shared" ref="AT331:AT334" si="776">IFERROR(AP331/AO331-AR331/AM331,"")</f>
        <v>5.7471264366948382E-7</v>
      </c>
      <c r="AU331" s="124">
        <v>0.13</v>
      </c>
      <c r="AV331" s="394" t="s">
        <v>2789</v>
      </c>
      <c r="AW331" s="15">
        <v>45002</v>
      </c>
      <c r="AX331" s="12" t="s">
        <v>206</v>
      </c>
    </row>
    <row r="332" spans="1:56" s="1" customFormat="1" hidden="1" x14ac:dyDescent="0.25">
      <c r="A332" s="264" t="str">
        <f>Bérköltség!$B332</f>
        <v>FEOR</v>
      </c>
      <c r="B332" s="264" t="str">
        <f>IFERROR(
IF(AND(Bérköltség!$F332="",H332="NA"),"HIÁNYOS ADATOK",
IF(Bérköltség!$F332&lt;Bérköltség!$U332,Admin!$B$18,Admin!$B$17)),
"")</f>
        <v>FEOR</v>
      </c>
      <c r="C332" s="265">
        <f>IFERROR(INDEX('Historikus berek_2021-2'!$A$1:$F$903,MATCH(AB332,'Historikus berek_2021-2'!$A$1:$A$903,0),4),"")</f>
        <v>394253.33333333331</v>
      </c>
      <c r="D332" s="279">
        <f t="shared" si="749"/>
        <v>52113.946360153255</v>
      </c>
      <c r="E332" s="265">
        <f t="shared" si="750"/>
        <v>79310</v>
      </c>
      <c r="F332" s="266">
        <f t="shared" si="751"/>
        <v>30731.540613026817</v>
      </c>
      <c r="G332" s="267">
        <f t="shared" si="752"/>
        <v>58888.759386973172</v>
      </c>
      <c r="H332" s="268">
        <f>IFERROR(INDEX('FEOR kodok'!$A$2:$J$1126,MATCH(Bérköltség!AB332,'FEOR kodok'!$B$2:$B$1126,0),8),"NA")</f>
        <v>2910</v>
      </c>
      <c r="I332" s="269">
        <f>IFERROR(INDEX('FEOR kodok'!$A$2:$J$1126,MATCH(Bérköltség!AB332,'FEOR kodok'!$B$2:$B$1126,0),10),"NA")</f>
        <v>37</v>
      </c>
      <c r="J332" s="276" t="str">
        <f t="shared" si="753"/>
        <v>30–39 éves</v>
      </c>
      <c r="K332" s="269" t="str">
        <f>IFERROR(INDEX(admin_feor[#All],MATCH(Bérköltség!H332,admin_feor[[#All],[Foglalkozás]],0),2),"NA")</f>
        <v>Egyéb magasan képzett ügyintéző</v>
      </c>
      <c r="L332" s="270">
        <f>IFERROR(
INDEX('Admin - FEOR'!$A$4:$F$465,MATCH(Bérköltség!H332,'Admin - FEOR'!$A$4:$A$465,0),
IF(J332="30 év alatt",3,
IF(J332="30–39 éves",4,
IF(J332="40–49 éves",5,
IF(J332="50 év és afelett",6
)))))*1,"NA")</f>
        <v>652117</v>
      </c>
      <c r="M332" s="270">
        <f t="shared" si="754"/>
        <v>600000</v>
      </c>
      <c r="N332" s="318">
        <f t="shared" si="755"/>
        <v>0.92008029234017819</v>
      </c>
      <c r="O332" s="270">
        <f>IFERROR(
INDEX('Admin - FEOR'!$A$4:$F$465,MATCH(Bérköltség!H332,'Admin - FEOR'!$A$4:$A$465,0),
IF(J332="30 év alatt",3,
IF(J332="30–39 éves",4,
IF(J332="40–49 éves",5,
IF(J332="50 év és afelett",6
)))))*1.5,"NA")</f>
        <v>978175.5</v>
      </c>
      <c r="P332" s="270">
        <f t="shared" si="756"/>
        <v>129299.06034482759</v>
      </c>
      <c r="Q332" s="270">
        <f t="shared" si="757"/>
        <v>79310</v>
      </c>
      <c r="R332" s="275">
        <f t="shared" si="758"/>
        <v>0.13218390804597702</v>
      </c>
      <c r="S332" s="270">
        <f t="shared" si="759"/>
        <v>0</v>
      </c>
      <c r="T332" s="270">
        <f t="shared" si="760"/>
        <v>0</v>
      </c>
      <c r="U332" s="271">
        <f t="shared" si="761"/>
        <v>0</v>
      </c>
      <c r="V332" s="272">
        <f t="shared" si="762"/>
        <v>89620</v>
      </c>
      <c r="W332" s="273" t="str">
        <f t="shared" si="763"/>
        <v>Nem szükséges indoklás.</v>
      </c>
      <c r="X332" s="372">
        <f t="shared" si="764"/>
        <v>0</v>
      </c>
      <c r="Y332" s="317">
        <f t="shared" si="765"/>
        <v>79310</v>
      </c>
      <c r="Z332" s="317">
        <f t="shared" si="766"/>
        <v>10310</v>
      </c>
      <c r="AA332" s="36"/>
      <c r="AB332" s="274">
        <v>8437320062</v>
      </c>
      <c r="AC332" s="40" t="s">
        <v>198</v>
      </c>
      <c r="AD332" s="82" t="s">
        <v>76</v>
      </c>
      <c r="AE332" s="41" t="s">
        <v>55</v>
      </c>
      <c r="AF332" s="11" t="s">
        <v>160</v>
      </c>
      <c r="AG332" s="11" t="s">
        <v>2734</v>
      </c>
      <c r="AH332" s="14" t="s">
        <v>142</v>
      </c>
      <c r="AI332" s="86" t="s">
        <v>37</v>
      </c>
      <c r="AJ332" s="113" t="str">
        <f>IF(COUNTIFS(Admin!$A$29:$A$40,AI332)&gt;0,Admin!$A$28,IF(COUNTIFS(Admin!$B$29:$B$40,AI332)&gt;0,Admin!$B$28,IF(COUNTIFS(Admin!$C$29:$C$40,AI332)&gt;0,Admin!$C$28,IF(COUNTIFS(Admin!$D$29:$D$40,AI332)&gt;0,Admin!$D$28,"-"))))</f>
        <v>3. mérföldkő</v>
      </c>
      <c r="AK332" s="14" t="s">
        <v>141</v>
      </c>
      <c r="AL332" s="9" t="s">
        <v>56</v>
      </c>
      <c r="AM332" s="131">
        <v>600000</v>
      </c>
      <c r="AN332" s="132">
        <f t="shared" si="772"/>
        <v>78000</v>
      </c>
      <c r="AO332" s="121">
        <v>174</v>
      </c>
      <c r="AP332" s="121">
        <v>23</v>
      </c>
      <c r="AQ332" s="354">
        <f t="shared" si="773"/>
        <v>0.13218390804597702</v>
      </c>
      <c r="AR332" s="133">
        <f t="shared" si="774"/>
        <v>79310</v>
      </c>
      <c r="AS332" s="133">
        <f t="shared" si="775"/>
        <v>10310</v>
      </c>
      <c r="AT332" s="123">
        <f t="shared" si="776"/>
        <v>5.7471264366948382E-7</v>
      </c>
      <c r="AU332" s="124">
        <v>0.13</v>
      </c>
      <c r="AV332" s="394" t="s">
        <v>2789</v>
      </c>
      <c r="AW332" s="15">
        <v>45002</v>
      </c>
      <c r="AX332" s="12" t="s">
        <v>206</v>
      </c>
    </row>
    <row r="333" spans="1:56" s="1" customFormat="1" hidden="1" x14ac:dyDescent="0.25">
      <c r="A333" s="264" t="str">
        <f>Bérköltség!$B333</f>
        <v>FEOR</v>
      </c>
      <c r="B333" s="264" t="str">
        <f>IFERROR(
IF(AND(Bérköltség!$F333="",H333="NA"),"HIÁNYOS ADATOK",
IF(Bérköltség!$F333&lt;Bérköltség!$U333,Admin!$B$18,Admin!$B$17)),
"")</f>
        <v>FEOR</v>
      </c>
      <c r="C333" s="265">
        <f>IFERROR(INDEX('Historikus berek_2021-2'!$A$1:$F$903,MATCH(AB333,'Historikus berek_2021-2'!$A$1:$A$903,0),4),"")</f>
        <v>394253.33333333331</v>
      </c>
      <c r="D333" s="279">
        <f t="shared" si="749"/>
        <v>52113.946360153255</v>
      </c>
      <c r="E333" s="265">
        <f t="shared" si="750"/>
        <v>79310</v>
      </c>
      <c r="F333" s="266">
        <f t="shared" si="751"/>
        <v>30731.540613026817</v>
      </c>
      <c r="G333" s="267">
        <f t="shared" si="752"/>
        <v>58888.759386973172</v>
      </c>
      <c r="H333" s="268">
        <f>IFERROR(INDEX('FEOR kodok'!$A$2:$J$1126,MATCH(Bérköltség!AB333,'FEOR kodok'!$B$2:$B$1126,0),8),"NA")</f>
        <v>2910</v>
      </c>
      <c r="I333" s="269">
        <f>IFERROR(INDEX('FEOR kodok'!$A$2:$J$1126,MATCH(Bérköltség!AB333,'FEOR kodok'!$B$2:$B$1126,0),10),"NA")</f>
        <v>37</v>
      </c>
      <c r="J333" s="276" t="str">
        <f t="shared" si="753"/>
        <v>30–39 éves</v>
      </c>
      <c r="K333" s="269" t="str">
        <f>IFERROR(INDEX(admin_feor[#All],MATCH(Bérköltség!H333,admin_feor[[#All],[Foglalkozás]],0),2),"NA")</f>
        <v>Egyéb magasan képzett ügyintéző</v>
      </c>
      <c r="L333" s="270">
        <f>IFERROR(
INDEX('Admin - FEOR'!$A$4:$F$465,MATCH(Bérköltség!H333,'Admin - FEOR'!$A$4:$A$465,0),
IF(J333="30 év alatt",3,
IF(J333="30–39 éves",4,
IF(J333="40–49 éves",5,
IF(J333="50 év és afelett",6
)))))*1,"NA")</f>
        <v>652117</v>
      </c>
      <c r="M333" s="270">
        <f t="shared" si="754"/>
        <v>600000</v>
      </c>
      <c r="N333" s="318">
        <f t="shared" si="755"/>
        <v>0.92008029234017819</v>
      </c>
      <c r="O333" s="270">
        <f>IFERROR(
INDEX('Admin - FEOR'!$A$4:$F$465,MATCH(Bérköltség!H333,'Admin - FEOR'!$A$4:$A$465,0),
IF(J333="30 év alatt",3,
IF(J333="30–39 éves",4,
IF(J333="40–49 éves",5,
IF(J333="50 év és afelett",6
)))))*1.5,"NA")</f>
        <v>978175.5</v>
      </c>
      <c r="P333" s="270">
        <f t="shared" si="756"/>
        <v>129299.06034482759</v>
      </c>
      <c r="Q333" s="270">
        <f t="shared" si="757"/>
        <v>79310</v>
      </c>
      <c r="R333" s="275">
        <f t="shared" si="758"/>
        <v>0.13218390804597702</v>
      </c>
      <c r="S333" s="270">
        <f t="shared" si="759"/>
        <v>0</v>
      </c>
      <c r="T333" s="270">
        <f t="shared" si="760"/>
        <v>0</v>
      </c>
      <c r="U333" s="271">
        <f t="shared" si="761"/>
        <v>0</v>
      </c>
      <c r="V333" s="272">
        <f t="shared" si="762"/>
        <v>89620</v>
      </c>
      <c r="W333" s="273" t="str">
        <f t="shared" si="763"/>
        <v>Nem szükséges indoklás.</v>
      </c>
      <c r="X333" s="372">
        <f t="shared" si="764"/>
        <v>0</v>
      </c>
      <c r="Y333" s="317">
        <f t="shared" si="765"/>
        <v>79310</v>
      </c>
      <c r="Z333" s="317">
        <f t="shared" si="766"/>
        <v>10310</v>
      </c>
      <c r="AA333" s="36"/>
      <c r="AB333" s="274">
        <v>8437320062</v>
      </c>
      <c r="AC333" s="40" t="s">
        <v>198</v>
      </c>
      <c r="AD333" s="82" t="s">
        <v>76</v>
      </c>
      <c r="AE333" s="41" t="s">
        <v>55</v>
      </c>
      <c r="AF333" s="11" t="s">
        <v>160</v>
      </c>
      <c r="AG333" s="11" t="s">
        <v>2734</v>
      </c>
      <c r="AH333" s="14" t="s">
        <v>142</v>
      </c>
      <c r="AI333" s="86" t="s">
        <v>38</v>
      </c>
      <c r="AJ333" s="113" t="str">
        <f>IF(COUNTIFS(Admin!$A$29:$A$40,AI333)&gt;0,Admin!$A$28,IF(COUNTIFS(Admin!$B$29:$B$40,AI333)&gt;0,Admin!$B$28,IF(COUNTIFS(Admin!$C$29:$C$40,AI333)&gt;0,Admin!$C$28,IF(COUNTIFS(Admin!$D$29:$D$40,AI333)&gt;0,Admin!$D$28,"-"))))</f>
        <v>3. mérföldkő</v>
      </c>
      <c r="AK333" s="14" t="s">
        <v>141</v>
      </c>
      <c r="AL333" s="9" t="s">
        <v>56</v>
      </c>
      <c r="AM333" s="131">
        <v>600000</v>
      </c>
      <c r="AN333" s="132">
        <f t="shared" si="772"/>
        <v>78000</v>
      </c>
      <c r="AO333" s="121">
        <v>174</v>
      </c>
      <c r="AP333" s="121">
        <v>23</v>
      </c>
      <c r="AQ333" s="354">
        <f t="shared" si="773"/>
        <v>0.13218390804597702</v>
      </c>
      <c r="AR333" s="133">
        <f t="shared" si="774"/>
        <v>79310</v>
      </c>
      <c r="AS333" s="133">
        <f t="shared" si="775"/>
        <v>10310</v>
      </c>
      <c r="AT333" s="123">
        <f t="shared" si="776"/>
        <v>5.7471264366948382E-7</v>
      </c>
      <c r="AU333" s="124">
        <v>0.13</v>
      </c>
      <c r="AV333" s="394" t="s">
        <v>2789</v>
      </c>
      <c r="AW333" s="15">
        <v>45002</v>
      </c>
      <c r="AX333" s="12" t="s">
        <v>206</v>
      </c>
    </row>
    <row r="334" spans="1:56" s="1" customFormat="1" hidden="1" x14ac:dyDescent="0.25">
      <c r="A334" s="264" t="str">
        <f>Bérköltség!$B334</f>
        <v>FEOR</v>
      </c>
      <c r="B334" s="264" t="str">
        <f>IFERROR(
IF(AND(Bérköltség!$F334="",H334="NA"),"HIÁNYOS ADATOK",
IF(Bérköltség!$F334&lt;Bérköltség!$U334,Admin!$B$18,Admin!$B$17)),
"")</f>
        <v>FEOR</v>
      </c>
      <c r="C334" s="265">
        <f>IFERROR(INDEX('Historikus berek_2021-2'!$A$1:$F$903,MATCH(AB334,'Historikus berek_2021-2'!$A$1:$A$903,0),4),"")</f>
        <v>394253.33333333331</v>
      </c>
      <c r="D334" s="279">
        <f t="shared" si="749"/>
        <v>52113.946360153255</v>
      </c>
      <c r="E334" s="265">
        <f t="shared" si="750"/>
        <v>79310</v>
      </c>
      <c r="F334" s="266">
        <f t="shared" si="751"/>
        <v>30731.540613026817</v>
      </c>
      <c r="G334" s="267">
        <f t="shared" si="752"/>
        <v>58888.759386973172</v>
      </c>
      <c r="H334" s="268">
        <f>IFERROR(INDEX('FEOR kodok'!$A$2:$J$1126,MATCH(Bérköltség!AB334,'FEOR kodok'!$B$2:$B$1126,0),8),"NA")</f>
        <v>2910</v>
      </c>
      <c r="I334" s="269">
        <f>IFERROR(INDEX('FEOR kodok'!$A$2:$J$1126,MATCH(Bérköltség!AB334,'FEOR kodok'!$B$2:$B$1126,0),10),"NA")</f>
        <v>37</v>
      </c>
      <c r="J334" s="276" t="str">
        <f t="shared" si="753"/>
        <v>30–39 éves</v>
      </c>
      <c r="K334" s="269" t="str">
        <f>IFERROR(INDEX(admin_feor[#All],MATCH(Bérköltség!H334,admin_feor[[#All],[Foglalkozás]],0),2),"NA")</f>
        <v>Egyéb magasan képzett ügyintéző</v>
      </c>
      <c r="L334" s="270">
        <f>IFERROR(
INDEX('Admin - FEOR'!$A$4:$F$465,MATCH(Bérköltség!H334,'Admin - FEOR'!$A$4:$A$465,0),
IF(J334="30 év alatt",3,
IF(J334="30–39 éves",4,
IF(J334="40–49 éves",5,
IF(J334="50 év és afelett",6
)))))*1,"NA")</f>
        <v>652117</v>
      </c>
      <c r="M334" s="270">
        <f t="shared" si="754"/>
        <v>600000</v>
      </c>
      <c r="N334" s="318">
        <f t="shared" si="755"/>
        <v>0.92008029234017819</v>
      </c>
      <c r="O334" s="270">
        <f>IFERROR(
INDEX('Admin - FEOR'!$A$4:$F$465,MATCH(Bérköltség!H334,'Admin - FEOR'!$A$4:$A$465,0),
IF(J334="30 év alatt",3,
IF(J334="30–39 éves",4,
IF(J334="40–49 éves",5,
IF(J334="50 év és afelett",6
)))))*1.5,"NA")</f>
        <v>978175.5</v>
      </c>
      <c r="P334" s="270">
        <f t="shared" si="756"/>
        <v>129299.06034482759</v>
      </c>
      <c r="Q334" s="270">
        <f t="shared" si="757"/>
        <v>79310</v>
      </c>
      <c r="R334" s="275">
        <f t="shared" si="758"/>
        <v>0.13218390804597702</v>
      </c>
      <c r="S334" s="270">
        <f t="shared" si="759"/>
        <v>0</v>
      </c>
      <c r="T334" s="270">
        <f t="shared" si="760"/>
        <v>0</v>
      </c>
      <c r="U334" s="271">
        <f t="shared" si="761"/>
        <v>0</v>
      </c>
      <c r="V334" s="272">
        <f t="shared" si="762"/>
        <v>89620</v>
      </c>
      <c r="W334" s="273" t="str">
        <f t="shared" si="763"/>
        <v>Nem szükséges indoklás.</v>
      </c>
      <c r="X334" s="372">
        <f t="shared" si="764"/>
        <v>0</v>
      </c>
      <c r="Y334" s="317">
        <f t="shared" si="765"/>
        <v>79310</v>
      </c>
      <c r="Z334" s="317">
        <f t="shared" si="766"/>
        <v>10310</v>
      </c>
      <c r="AA334" s="36"/>
      <c r="AB334" s="274">
        <v>8437320062</v>
      </c>
      <c r="AC334" s="40" t="s">
        <v>198</v>
      </c>
      <c r="AD334" s="82" t="s">
        <v>76</v>
      </c>
      <c r="AE334" s="41" t="s">
        <v>55</v>
      </c>
      <c r="AF334" s="11" t="s">
        <v>160</v>
      </c>
      <c r="AG334" s="11" t="s">
        <v>2734</v>
      </c>
      <c r="AH334" s="14" t="s">
        <v>142</v>
      </c>
      <c r="AI334" s="86" t="s">
        <v>39</v>
      </c>
      <c r="AJ334" s="113" t="str">
        <f>IF(COUNTIFS(Admin!$A$29:$A$40,AI334)&gt;0,Admin!$A$28,IF(COUNTIFS(Admin!$B$29:$B$40,AI334)&gt;0,Admin!$B$28,IF(COUNTIFS(Admin!$C$29:$C$40,AI334)&gt;0,Admin!$C$28,IF(COUNTIFS(Admin!$D$29:$D$40,AI334)&gt;0,Admin!$D$28,"-"))))</f>
        <v>3. mérföldkő</v>
      </c>
      <c r="AK334" s="14" t="s">
        <v>141</v>
      </c>
      <c r="AL334" s="9" t="s">
        <v>56</v>
      </c>
      <c r="AM334" s="131">
        <v>600000</v>
      </c>
      <c r="AN334" s="132">
        <f t="shared" si="772"/>
        <v>78000</v>
      </c>
      <c r="AO334" s="121">
        <v>174</v>
      </c>
      <c r="AP334" s="121">
        <v>23</v>
      </c>
      <c r="AQ334" s="354">
        <f t="shared" si="773"/>
        <v>0.13218390804597702</v>
      </c>
      <c r="AR334" s="133">
        <f t="shared" si="774"/>
        <v>79310</v>
      </c>
      <c r="AS334" s="133">
        <f t="shared" si="775"/>
        <v>10310</v>
      </c>
      <c r="AT334" s="123">
        <f t="shared" si="776"/>
        <v>5.7471264366948382E-7</v>
      </c>
      <c r="AU334" s="124">
        <v>0.13</v>
      </c>
      <c r="AV334" s="394" t="s">
        <v>2789</v>
      </c>
      <c r="AW334" s="15">
        <v>45002</v>
      </c>
      <c r="AX334" s="12" t="s">
        <v>206</v>
      </c>
    </row>
    <row r="335" spans="1:56" s="1" customFormat="1" hidden="1" x14ac:dyDescent="0.25">
      <c r="A335" s="264" t="str">
        <f>Bérköltség!$B335</f>
        <v>FEOR</v>
      </c>
      <c r="B335" s="264" t="str">
        <f>IFERROR(
IF(AND(Bérköltség!$F335="",H335="NA"),"HIÁNYOS ADATOK",
IF(Bérköltség!$F335&lt;Bérköltség!$U335,Admin!$B$18,Admin!$B$17)),
"")</f>
        <v>FEOR</v>
      </c>
      <c r="C335" s="265">
        <f>IFERROR(INDEX('Historikus berek_2021-2'!$A$1:$F$903,MATCH(AB335,'Historikus berek_2021-2'!$A$1:$A$903,0),4),"")</f>
        <v>751966.66666666663</v>
      </c>
      <c r="D335" s="279">
        <f t="shared" si="673"/>
        <v>272263.79310344829</v>
      </c>
      <c r="E335" s="265">
        <f t="shared" si="674"/>
        <v>298707</v>
      </c>
      <c r="F335" s="266">
        <f t="shared" si="675"/>
        <v>29880.823793103453</v>
      </c>
      <c r="G335" s="267">
        <f t="shared" si="676"/>
        <v>307658.08620689652</v>
      </c>
      <c r="H335" s="268">
        <f>IFERROR(INDEX('FEOR kodok'!$A$2:$J$1126,MATCH(Bérköltség!AB335,'FEOR kodok'!$B$2:$B$1126,0),8),"NA")</f>
        <v>2117</v>
      </c>
      <c r="I335" s="269">
        <f>IFERROR(INDEX('FEOR kodok'!$A$2:$J$1126,MATCH(Bérköltség!AB335,'FEOR kodok'!$B$2:$B$1126,0),10),"NA")</f>
        <v>36</v>
      </c>
      <c r="J335" s="276" t="str">
        <f t="shared" si="677"/>
        <v>30–39 éves</v>
      </c>
      <c r="K335" s="269" t="str">
        <f>IFERROR(INDEX(admin_feor[#All],MATCH(Bérköltség!H335,admin_feor[[#All],[Foglalkozás]],0),2),"NA")</f>
        <v>Vegyészmérnök</v>
      </c>
      <c r="L335" s="270">
        <f>IFERROR(
INDEX('Admin - FEOR'!$A$4:$F$465,MATCH(Bérköltség!H335,'Admin - FEOR'!$A$4:$A$465,0),
IF(J335="30 év alatt",3,
IF(J335="30–39 éves",4,
IF(J335="40–49 éves",5,
IF(J335="50 év és afelett",6
)))))*1,"NA")</f>
        <v>696588</v>
      </c>
      <c r="M335" s="270">
        <f t="shared" si="678"/>
        <v>825000</v>
      </c>
      <c r="N335" s="318">
        <f t="shared" si="679"/>
        <v>1.184344260883047</v>
      </c>
      <c r="O335" s="270">
        <f>IFERROR(
INDEX('Admin - FEOR'!$A$4:$F$465,MATCH(Bérköltség!H335,'Admin - FEOR'!$A$4:$A$465,0),
IF(J335="30 év alatt",3,
IF(J335="30–39 éves",4,
IF(J335="40–49 éves",5,
IF(J335="50 év és afelett",6
)))))*1.5,"NA")</f>
        <v>1044882</v>
      </c>
      <c r="P335" s="270">
        <f t="shared" si="680"/>
        <v>378319.3448275862</v>
      </c>
      <c r="Q335" s="270">
        <f t="shared" si="681"/>
        <v>298707</v>
      </c>
      <c r="R335" s="275">
        <f t="shared" si="682"/>
        <v>0.36206896551724138</v>
      </c>
      <c r="S335" s="270">
        <f t="shared" si="683"/>
        <v>0</v>
      </c>
      <c r="T335" s="270">
        <f t="shared" si="684"/>
        <v>0</v>
      </c>
      <c r="U335" s="271">
        <f t="shared" si="685"/>
        <v>0</v>
      </c>
      <c r="V335" s="272">
        <f t="shared" si="686"/>
        <v>337539</v>
      </c>
      <c r="W335" s="273" t="str">
        <f t="shared" si="687"/>
        <v>Indoklás szükséges mivel a FEOR: 118,4%</v>
      </c>
      <c r="X335" s="372">
        <f t="shared" si="688"/>
        <v>0</v>
      </c>
      <c r="Y335" s="317">
        <f t="shared" si="689"/>
        <v>298707</v>
      </c>
      <c r="Z335" s="317">
        <f t="shared" si="690"/>
        <v>38832</v>
      </c>
      <c r="AA335" s="12">
        <v>2</v>
      </c>
      <c r="AB335" s="274">
        <v>8439201346</v>
      </c>
      <c r="AC335" s="40" t="s">
        <v>231</v>
      </c>
      <c r="AD335" s="82" t="s">
        <v>75</v>
      </c>
      <c r="AE335" s="41" t="s">
        <v>52</v>
      </c>
      <c r="AF335" s="11" t="s">
        <v>152</v>
      </c>
      <c r="AG335" s="11" t="s">
        <v>170</v>
      </c>
      <c r="AH335" s="14" t="s">
        <v>122</v>
      </c>
      <c r="AI335" s="86" t="s">
        <v>24</v>
      </c>
      <c r="AJ335" s="113" t="str">
        <f>IF(COUNTIFS(Admin!$A$29:$A$40,AI335)&gt;0,Admin!$A$28,IF(COUNTIFS(Admin!$B$29:$B$40,AI335)&gt;0,Admin!$B$28,IF(COUNTIFS(Admin!$C$29:$C$40,AI335)&gt;0,Admin!$C$28,IF(COUNTIFS(Admin!$D$29:$D$40,AI335)&gt;0,Admin!$D$28,"-"))))</f>
        <v>2. mérföldkő</v>
      </c>
      <c r="AK335" s="14" t="s">
        <v>7</v>
      </c>
      <c r="AL335" s="9" t="s">
        <v>56</v>
      </c>
      <c r="AM335" s="131">
        <v>825000</v>
      </c>
      <c r="AN335" s="132">
        <f t="shared" si="748"/>
        <v>107250</v>
      </c>
      <c r="AO335" s="121">
        <v>174</v>
      </c>
      <c r="AP335" s="121">
        <v>63</v>
      </c>
      <c r="AQ335" s="354">
        <f t="shared" si="746"/>
        <v>0.36206896551724138</v>
      </c>
      <c r="AR335" s="133">
        <f t="shared" si="214"/>
        <v>298707</v>
      </c>
      <c r="AS335" s="133">
        <f t="shared" si="500"/>
        <v>38832</v>
      </c>
      <c r="AT335" s="123">
        <f t="shared" si="747"/>
        <v>-1.2539184951476656E-7</v>
      </c>
      <c r="AU335" s="124">
        <v>0.13</v>
      </c>
      <c r="AV335" s="394" t="s">
        <v>2790</v>
      </c>
      <c r="AW335" s="15">
        <v>44838</v>
      </c>
      <c r="AX335" s="12" t="s">
        <v>206</v>
      </c>
      <c r="BC335" s="1" t="s">
        <v>2843</v>
      </c>
      <c r="BD335" s="1" t="str">
        <f t="shared" ref="BD335:BD353" si="777">CONCATENATE(BC335," - ",AE335)</f>
        <v>Kutató_VM_2 - Kutató</v>
      </c>
    </row>
    <row r="336" spans="1:56" s="1" customFormat="1" hidden="1" x14ac:dyDescent="0.25">
      <c r="A336" s="264" t="str">
        <f>Bérköltség!$B336</f>
        <v>FEOR</v>
      </c>
      <c r="B336" s="264" t="str">
        <f>IFERROR(
IF(AND(Bérköltség!$F336="",H336="NA"),"HIÁNYOS ADATOK",
IF(Bérköltség!$F336&lt;Bérköltség!$U336,Admin!$B$18,Admin!$B$17)),
"")</f>
        <v>FEOR</v>
      </c>
      <c r="C336" s="265">
        <f>IFERROR(INDEX('Historikus berek_2021-2'!$A$1:$F$903,MATCH(AB336,'Historikus berek_2021-2'!$A$1:$A$903,0),4),"")</f>
        <v>751966.66666666663</v>
      </c>
      <c r="D336" s="279">
        <f t="shared" si="673"/>
        <v>272263.79310344829</v>
      </c>
      <c r="E336" s="265">
        <f t="shared" si="674"/>
        <v>298707</v>
      </c>
      <c r="F336" s="266">
        <f t="shared" si="675"/>
        <v>29880.823793103453</v>
      </c>
      <c r="G336" s="267">
        <f t="shared" si="676"/>
        <v>307658.08620689652</v>
      </c>
      <c r="H336" s="268">
        <f>IFERROR(INDEX('FEOR kodok'!$A$2:$J$1126,MATCH(Bérköltség!AB336,'FEOR kodok'!$B$2:$B$1126,0),8),"NA")</f>
        <v>2117</v>
      </c>
      <c r="I336" s="269">
        <f>IFERROR(INDEX('FEOR kodok'!$A$2:$J$1126,MATCH(Bérköltség!AB336,'FEOR kodok'!$B$2:$B$1126,0),10),"NA")</f>
        <v>36</v>
      </c>
      <c r="J336" s="276" t="str">
        <f t="shared" si="677"/>
        <v>30–39 éves</v>
      </c>
      <c r="K336" s="269" t="str">
        <f>IFERROR(INDEX(admin_feor[#All],MATCH(Bérköltség!H336,admin_feor[[#All],[Foglalkozás]],0),2),"NA")</f>
        <v>Vegyészmérnök</v>
      </c>
      <c r="L336" s="270">
        <f>IFERROR(
INDEX('Admin - FEOR'!$A$4:$F$465,MATCH(Bérköltség!H336,'Admin - FEOR'!$A$4:$A$465,0),
IF(J336="30 év alatt",3,
IF(J336="30–39 éves",4,
IF(J336="40–49 éves",5,
IF(J336="50 év és afelett",6
)))))*1,"NA")</f>
        <v>696588</v>
      </c>
      <c r="M336" s="270">
        <f t="shared" si="678"/>
        <v>825000</v>
      </c>
      <c r="N336" s="318">
        <f t="shared" si="679"/>
        <v>1.184344260883047</v>
      </c>
      <c r="O336" s="270">
        <f>IFERROR(
INDEX('Admin - FEOR'!$A$4:$F$465,MATCH(Bérköltség!H336,'Admin - FEOR'!$A$4:$A$465,0),
IF(J336="30 év alatt",3,
IF(J336="30–39 éves",4,
IF(J336="40–49 éves",5,
IF(J336="50 év és afelett",6
)))))*1.5,"NA")</f>
        <v>1044882</v>
      </c>
      <c r="P336" s="270">
        <f t="shared" si="680"/>
        <v>378319.3448275862</v>
      </c>
      <c r="Q336" s="270">
        <f t="shared" si="681"/>
        <v>298707</v>
      </c>
      <c r="R336" s="275">
        <f t="shared" si="682"/>
        <v>0.36206896551724138</v>
      </c>
      <c r="S336" s="270">
        <f t="shared" si="683"/>
        <v>0</v>
      </c>
      <c r="T336" s="270">
        <f t="shared" si="684"/>
        <v>0</v>
      </c>
      <c r="U336" s="271">
        <f t="shared" si="685"/>
        <v>0</v>
      </c>
      <c r="V336" s="272">
        <f t="shared" si="686"/>
        <v>337539</v>
      </c>
      <c r="W336" s="273" t="str">
        <f t="shared" si="687"/>
        <v>Indoklás szükséges mivel a FEOR: 118,4%</v>
      </c>
      <c r="X336" s="372">
        <f t="shared" si="688"/>
        <v>0</v>
      </c>
      <c r="Y336" s="317">
        <f t="shared" si="689"/>
        <v>298707</v>
      </c>
      <c r="Z336" s="317">
        <f t="shared" si="690"/>
        <v>38832</v>
      </c>
      <c r="AA336" s="12">
        <v>2</v>
      </c>
      <c r="AB336" s="274">
        <v>8439201346</v>
      </c>
      <c r="AC336" s="40" t="s">
        <v>231</v>
      </c>
      <c r="AD336" s="82" t="s">
        <v>75</v>
      </c>
      <c r="AE336" s="41" t="s">
        <v>52</v>
      </c>
      <c r="AF336" s="11" t="s">
        <v>152</v>
      </c>
      <c r="AG336" s="11" t="s">
        <v>170</v>
      </c>
      <c r="AH336" s="14" t="s">
        <v>122</v>
      </c>
      <c r="AI336" s="86" t="s">
        <v>25</v>
      </c>
      <c r="AJ336" s="113" t="str">
        <f>IF(COUNTIFS(Admin!$A$29:$A$40,AI336)&gt;0,Admin!$A$28,IF(COUNTIFS(Admin!$B$29:$B$40,AI336)&gt;0,Admin!$B$28,IF(COUNTIFS(Admin!$C$29:$C$40,AI336)&gt;0,Admin!$C$28,IF(COUNTIFS(Admin!$D$29:$D$40,AI336)&gt;0,Admin!$D$28,"-"))))</f>
        <v>2. mérföldkő</v>
      </c>
      <c r="AK336" s="14" t="s">
        <v>7</v>
      </c>
      <c r="AL336" s="9" t="s">
        <v>56</v>
      </c>
      <c r="AM336" s="131">
        <v>825000</v>
      </c>
      <c r="AN336" s="132">
        <f t="shared" si="748"/>
        <v>107250</v>
      </c>
      <c r="AO336" s="121">
        <v>174</v>
      </c>
      <c r="AP336" s="121">
        <v>63</v>
      </c>
      <c r="AQ336" s="354">
        <f t="shared" si="746"/>
        <v>0.36206896551724138</v>
      </c>
      <c r="AR336" s="133">
        <f t="shared" si="214"/>
        <v>298707</v>
      </c>
      <c r="AS336" s="133">
        <f t="shared" si="500"/>
        <v>38832</v>
      </c>
      <c r="AT336" s="123">
        <f t="shared" si="747"/>
        <v>-1.2539184951476656E-7</v>
      </c>
      <c r="AU336" s="124">
        <v>0.13</v>
      </c>
      <c r="AV336" s="394" t="s">
        <v>2790</v>
      </c>
      <c r="AW336" s="15">
        <v>44838</v>
      </c>
      <c r="AX336" s="12" t="s">
        <v>206</v>
      </c>
      <c r="AZ336" s="1" t="s">
        <v>2667</v>
      </c>
      <c r="BA336" s="1" t="s">
        <v>2667</v>
      </c>
      <c r="BB336" s="1" t="s">
        <v>2667</v>
      </c>
      <c r="BC336" s="1" t="s">
        <v>2843</v>
      </c>
      <c r="BD336" s="1" t="str">
        <f t="shared" si="777"/>
        <v>Kutató_VM_2 - Kutató</v>
      </c>
    </row>
    <row r="337" spans="1:56" s="1" customFormat="1" hidden="1" x14ac:dyDescent="0.25">
      <c r="A337" s="264" t="str">
        <f>Bérköltség!$B337</f>
        <v>FEOR</v>
      </c>
      <c r="B337" s="264" t="str">
        <f>IFERROR(
IF(AND(Bérköltség!$F337="",H337="NA"),"HIÁNYOS ADATOK",
IF(Bérköltség!$F337&lt;Bérköltség!$U337,Admin!$B$18,Admin!$B$17)),
"")</f>
        <v>FEOR</v>
      </c>
      <c r="C337" s="265">
        <f>IFERROR(INDEX('Historikus berek_2021-2'!$A$1:$F$903,MATCH(AB337,'Historikus berek_2021-2'!$A$1:$A$903,0),4),"")</f>
        <v>751966.66666666663</v>
      </c>
      <c r="D337" s="279">
        <f t="shared" si="673"/>
        <v>272263.79310344829</v>
      </c>
      <c r="E337" s="265">
        <f t="shared" si="674"/>
        <v>298707</v>
      </c>
      <c r="F337" s="266">
        <f t="shared" si="675"/>
        <v>29880.823793103453</v>
      </c>
      <c r="G337" s="267">
        <f t="shared" si="676"/>
        <v>307658.08620689652</v>
      </c>
      <c r="H337" s="268">
        <f>IFERROR(INDEX('FEOR kodok'!$A$2:$J$1126,MATCH(Bérköltség!AB337,'FEOR kodok'!$B$2:$B$1126,0),8),"NA")</f>
        <v>2117</v>
      </c>
      <c r="I337" s="269">
        <f>IFERROR(INDEX('FEOR kodok'!$A$2:$J$1126,MATCH(Bérköltség!AB337,'FEOR kodok'!$B$2:$B$1126,0),10),"NA")</f>
        <v>36</v>
      </c>
      <c r="J337" s="276" t="str">
        <f t="shared" si="677"/>
        <v>30–39 éves</v>
      </c>
      <c r="K337" s="269" t="str">
        <f>IFERROR(INDEX(admin_feor[#All],MATCH(Bérköltség!H337,admin_feor[[#All],[Foglalkozás]],0),2),"NA")</f>
        <v>Vegyészmérnök</v>
      </c>
      <c r="L337" s="270">
        <f>IFERROR(
INDEX('Admin - FEOR'!$A$4:$F$465,MATCH(Bérköltség!H337,'Admin - FEOR'!$A$4:$A$465,0),
IF(J337="30 év alatt",3,
IF(J337="30–39 éves",4,
IF(J337="40–49 éves",5,
IF(J337="50 év és afelett",6
)))))*1,"NA")</f>
        <v>696588</v>
      </c>
      <c r="M337" s="270">
        <f t="shared" si="678"/>
        <v>825000</v>
      </c>
      <c r="N337" s="318">
        <f t="shared" si="679"/>
        <v>1.184344260883047</v>
      </c>
      <c r="O337" s="270">
        <f>IFERROR(
INDEX('Admin - FEOR'!$A$4:$F$465,MATCH(Bérköltség!H337,'Admin - FEOR'!$A$4:$A$465,0),
IF(J337="30 év alatt",3,
IF(J337="30–39 éves",4,
IF(J337="40–49 éves",5,
IF(J337="50 év és afelett",6
)))))*1.5,"NA")</f>
        <v>1044882</v>
      </c>
      <c r="P337" s="270">
        <f t="shared" si="680"/>
        <v>378319.3448275862</v>
      </c>
      <c r="Q337" s="270">
        <f t="shared" si="681"/>
        <v>298707</v>
      </c>
      <c r="R337" s="275">
        <f t="shared" si="682"/>
        <v>0.36206896551724138</v>
      </c>
      <c r="S337" s="270">
        <f t="shared" si="683"/>
        <v>0</v>
      </c>
      <c r="T337" s="270">
        <f t="shared" si="684"/>
        <v>0</v>
      </c>
      <c r="U337" s="271">
        <f t="shared" si="685"/>
        <v>0</v>
      </c>
      <c r="V337" s="272">
        <f t="shared" si="686"/>
        <v>337539</v>
      </c>
      <c r="W337" s="273" t="str">
        <f t="shared" si="687"/>
        <v>Indoklás szükséges mivel a FEOR: 118,4%</v>
      </c>
      <c r="X337" s="372">
        <f t="shared" si="688"/>
        <v>0</v>
      </c>
      <c r="Y337" s="317">
        <f t="shared" si="689"/>
        <v>298707</v>
      </c>
      <c r="Z337" s="317">
        <f t="shared" si="690"/>
        <v>38832</v>
      </c>
      <c r="AA337" s="12">
        <v>2</v>
      </c>
      <c r="AB337" s="274">
        <v>8439201346</v>
      </c>
      <c r="AC337" s="40" t="s">
        <v>231</v>
      </c>
      <c r="AD337" s="82" t="s">
        <v>75</v>
      </c>
      <c r="AE337" s="41" t="s">
        <v>52</v>
      </c>
      <c r="AF337" s="11" t="s">
        <v>152</v>
      </c>
      <c r="AG337" s="11" t="s">
        <v>170</v>
      </c>
      <c r="AH337" s="14" t="s">
        <v>122</v>
      </c>
      <c r="AI337" s="86" t="s">
        <v>26</v>
      </c>
      <c r="AJ337" s="113" t="str">
        <f>IF(COUNTIFS(Admin!$A$29:$A$40,AI337)&gt;0,Admin!$A$28,IF(COUNTIFS(Admin!$B$29:$B$40,AI337)&gt;0,Admin!$B$28,IF(COUNTIFS(Admin!$C$29:$C$40,AI337)&gt;0,Admin!$C$28,IF(COUNTIFS(Admin!$D$29:$D$40,AI337)&gt;0,Admin!$D$28,"-"))))</f>
        <v>2. mérföldkő</v>
      </c>
      <c r="AK337" s="14" t="s">
        <v>7</v>
      </c>
      <c r="AL337" s="9" t="s">
        <v>56</v>
      </c>
      <c r="AM337" s="131">
        <v>825000</v>
      </c>
      <c r="AN337" s="132">
        <f>IFERROR(ROUND(AM337*AU337,0),"")</f>
        <v>107250</v>
      </c>
      <c r="AO337" s="121">
        <v>174</v>
      </c>
      <c r="AP337" s="121">
        <v>63</v>
      </c>
      <c r="AQ337" s="354">
        <f>IFERROR(AP337/AO337,"")</f>
        <v>0.36206896551724138</v>
      </c>
      <c r="AR337" s="133">
        <f>IFERROR(ROUND(AM337*AP337/AO337,0),"")</f>
        <v>298707</v>
      </c>
      <c r="AS337" s="133">
        <f>IFERROR(ROUND(AR337*AU337,0),"")</f>
        <v>38832</v>
      </c>
      <c r="AT337" s="123">
        <f>IFERROR(AP337/AO337-AR337/AM337,"")</f>
        <v>-1.2539184951476656E-7</v>
      </c>
      <c r="AU337" s="124">
        <v>0.13</v>
      </c>
      <c r="AV337" s="394" t="s">
        <v>2790</v>
      </c>
      <c r="AW337" s="15">
        <v>44838</v>
      </c>
      <c r="AX337" s="12" t="s">
        <v>206</v>
      </c>
      <c r="AZ337" s="1" t="s">
        <v>2667</v>
      </c>
      <c r="BA337" s="1" t="s">
        <v>2667</v>
      </c>
      <c r="BB337" s="1" t="s">
        <v>2667</v>
      </c>
      <c r="BC337" s="1" t="s">
        <v>2843</v>
      </c>
      <c r="BD337" s="1" t="str">
        <f t="shared" si="777"/>
        <v>Kutató_VM_2 - Kutató</v>
      </c>
    </row>
    <row r="338" spans="1:56" s="1" customFormat="1" hidden="1" x14ac:dyDescent="0.25">
      <c r="A338" s="264" t="str">
        <f>Bérköltség!$B338</f>
        <v>FEOR</v>
      </c>
      <c r="B338" s="264" t="str">
        <f>IFERROR(
IF(AND(Bérköltség!$F338="",H338="NA"),"HIÁNYOS ADATOK",
IF(Bérköltség!$F338&lt;Bérköltség!$U338,Admin!$B$18,Admin!$B$17)),
"")</f>
        <v>FEOR</v>
      </c>
      <c r="C338" s="265">
        <f>IFERROR(INDEX('Historikus berek_2021-2'!$A$1:$F$903,MATCH(AB338,'Historikus berek_2021-2'!$A$1:$A$903,0),4),"")</f>
        <v>751966.66666666663</v>
      </c>
      <c r="D338" s="279">
        <f t="shared" si="673"/>
        <v>272263.79310344829</v>
      </c>
      <c r="E338" s="265">
        <f t="shared" si="674"/>
        <v>298707</v>
      </c>
      <c r="F338" s="266">
        <f t="shared" si="675"/>
        <v>29880.823793103453</v>
      </c>
      <c r="G338" s="267">
        <f t="shared" si="676"/>
        <v>307658.08620689652</v>
      </c>
      <c r="H338" s="268">
        <f>IFERROR(INDEX('FEOR kodok'!$A$2:$J$1126,MATCH(Bérköltség!AB338,'FEOR kodok'!$B$2:$B$1126,0),8),"NA")</f>
        <v>2117</v>
      </c>
      <c r="I338" s="269">
        <f>IFERROR(INDEX('FEOR kodok'!$A$2:$J$1126,MATCH(Bérköltség!AB338,'FEOR kodok'!$B$2:$B$1126,0),10),"NA")</f>
        <v>36</v>
      </c>
      <c r="J338" s="276" t="str">
        <f t="shared" si="677"/>
        <v>30–39 éves</v>
      </c>
      <c r="K338" s="269" t="str">
        <f>IFERROR(INDEX(admin_feor[#All],MATCH(Bérköltség!H338,admin_feor[[#All],[Foglalkozás]],0),2),"NA")</f>
        <v>Vegyészmérnök</v>
      </c>
      <c r="L338" s="270">
        <f>IFERROR(
INDEX('Admin - FEOR'!$A$4:$F$465,MATCH(Bérköltség!H338,'Admin - FEOR'!$A$4:$A$465,0),
IF(J338="30 év alatt",3,
IF(J338="30–39 éves",4,
IF(J338="40–49 éves",5,
IF(J338="50 év és afelett",6
)))))*1,"NA")</f>
        <v>696588</v>
      </c>
      <c r="M338" s="270">
        <f t="shared" si="678"/>
        <v>825000</v>
      </c>
      <c r="N338" s="318">
        <f t="shared" si="679"/>
        <v>1.184344260883047</v>
      </c>
      <c r="O338" s="270">
        <f>IFERROR(
INDEX('Admin - FEOR'!$A$4:$F$465,MATCH(Bérköltség!H338,'Admin - FEOR'!$A$4:$A$465,0),
IF(J338="30 év alatt",3,
IF(J338="30–39 éves",4,
IF(J338="40–49 éves",5,
IF(J338="50 év és afelett",6
)))))*1.5,"NA")</f>
        <v>1044882</v>
      </c>
      <c r="P338" s="270">
        <f t="shared" si="680"/>
        <v>378319.3448275862</v>
      </c>
      <c r="Q338" s="270">
        <f t="shared" si="681"/>
        <v>298707</v>
      </c>
      <c r="R338" s="275">
        <f t="shared" si="682"/>
        <v>0.36206896551724138</v>
      </c>
      <c r="S338" s="270">
        <f t="shared" si="683"/>
        <v>0</v>
      </c>
      <c r="T338" s="270">
        <f t="shared" si="684"/>
        <v>0</v>
      </c>
      <c r="U338" s="271">
        <f t="shared" si="685"/>
        <v>0</v>
      </c>
      <c r="V338" s="272">
        <f t="shared" si="686"/>
        <v>337539</v>
      </c>
      <c r="W338" s="273" t="str">
        <f t="shared" si="687"/>
        <v>Indoklás szükséges mivel a FEOR: 118,4%</v>
      </c>
      <c r="X338" s="372">
        <f t="shared" si="688"/>
        <v>0</v>
      </c>
      <c r="Y338" s="317">
        <f t="shared" si="689"/>
        <v>298707</v>
      </c>
      <c r="Z338" s="317">
        <f t="shared" si="690"/>
        <v>38832</v>
      </c>
      <c r="AA338" s="12">
        <v>2</v>
      </c>
      <c r="AB338" s="274">
        <v>8439201346</v>
      </c>
      <c r="AC338" s="40" t="s">
        <v>231</v>
      </c>
      <c r="AD338" s="82" t="s">
        <v>75</v>
      </c>
      <c r="AE338" s="41" t="s">
        <v>52</v>
      </c>
      <c r="AF338" s="11" t="s">
        <v>152</v>
      </c>
      <c r="AG338" s="11" t="s">
        <v>170</v>
      </c>
      <c r="AH338" s="14" t="s">
        <v>122</v>
      </c>
      <c r="AI338" s="86" t="s">
        <v>32</v>
      </c>
      <c r="AJ338" s="113" t="str">
        <f>IF(COUNTIFS(Admin!$A$29:$A$40,AI338)&gt;0,Admin!$A$28,IF(COUNTIFS(Admin!$B$29:$B$40,AI338)&gt;0,Admin!$B$28,IF(COUNTIFS(Admin!$C$29:$C$40,AI338)&gt;0,Admin!$C$28,IF(COUNTIFS(Admin!$D$29:$D$40,AI338)&gt;0,Admin!$D$28,"-"))))</f>
        <v>2. mérföldkő</v>
      </c>
      <c r="AK338" s="14" t="s">
        <v>7</v>
      </c>
      <c r="AL338" s="9" t="s">
        <v>56</v>
      </c>
      <c r="AM338" s="131">
        <v>825000</v>
      </c>
      <c r="AN338" s="132">
        <f t="shared" ref="AN338:AN340" si="778">IFERROR(ROUND(AM338*AU338,0),"")</f>
        <v>107250</v>
      </c>
      <c r="AO338" s="121">
        <v>174</v>
      </c>
      <c r="AP338" s="121">
        <v>63</v>
      </c>
      <c r="AQ338" s="354">
        <f t="shared" ref="AQ338:AQ340" si="779">IFERROR(AP338/AO338,"")</f>
        <v>0.36206896551724138</v>
      </c>
      <c r="AR338" s="133">
        <f t="shared" ref="AR338:AR340" si="780">IFERROR(ROUND(AM338*AP338/AO338,0),"")</f>
        <v>298707</v>
      </c>
      <c r="AS338" s="133">
        <f t="shared" ref="AS338:AS340" si="781">IFERROR(ROUND(AR338*AU338,0),"")</f>
        <v>38832</v>
      </c>
      <c r="AT338" s="123">
        <f t="shared" ref="AT338:AT340" si="782">IFERROR(AP338/AO338-AR338/AM338,"")</f>
        <v>-1.2539184951476656E-7</v>
      </c>
      <c r="AU338" s="124">
        <v>0.13</v>
      </c>
      <c r="AV338" s="394" t="s">
        <v>2790</v>
      </c>
      <c r="AW338" s="15">
        <v>44936</v>
      </c>
      <c r="AX338" s="12" t="s">
        <v>206</v>
      </c>
      <c r="AZ338" s="1" t="s">
        <v>2667</v>
      </c>
      <c r="BA338" s="1">
        <v>0</v>
      </c>
      <c r="BB338" s="1">
        <v>0</v>
      </c>
      <c r="BC338" s="1" t="s">
        <v>2843</v>
      </c>
      <c r="BD338" s="1" t="str">
        <f t="shared" si="777"/>
        <v>Kutató_VM_2 - Kutató</v>
      </c>
    </row>
    <row r="339" spans="1:56" s="1" customFormat="1" hidden="1" x14ac:dyDescent="0.25">
      <c r="A339" s="264" t="str">
        <f>Bérköltség!$B339</f>
        <v>FEOR</v>
      </c>
      <c r="B339" s="264" t="str">
        <f>IFERROR(
IF(AND(Bérköltség!$F339="",H339="NA"),"HIÁNYOS ADATOK",
IF(Bérköltség!$F339&lt;Bérköltség!$U339,Admin!$B$18,Admin!$B$17)),
"")</f>
        <v>FEOR</v>
      </c>
      <c r="C339" s="265">
        <f>IFERROR(INDEX('Historikus berek_2021-2'!$A$1:$F$903,MATCH(AB339,'Historikus berek_2021-2'!$A$1:$A$903,0),4),"")</f>
        <v>751966.66666666663</v>
      </c>
      <c r="D339" s="279">
        <f t="shared" si="673"/>
        <v>272263.79310344829</v>
      </c>
      <c r="E339" s="265">
        <f t="shared" si="674"/>
        <v>298707</v>
      </c>
      <c r="F339" s="266">
        <f t="shared" si="675"/>
        <v>29880.823793103453</v>
      </c>
      <c r="G339" s="267">
        <f t="shared" si="676"/>
        <v>307658.08620689652</v>
      </c>
      <c r="H339" s="268">
        <f>IFERROR(INDEX('FEOR kodok'!$A$2:$J$1126,MATCH(Bérköltség!AB339,'FEOR kodok'!$B$2:$B$1126,0),8),"NA")</f>
        <v>2117</v>
      </c>
      <c r="I339" s="269">
        <f>IFERROR(INDEX('FEOR kodok'!$A$2:$J$1126,MATCH(Bérköltség!AB339,'FEOR kodok'!$B$2:$B$1126,0),10),"NA")</f>
        <v>36</v>
      </c>
      <c r="J339" s="276" t="str">
        <f t="shared" si="677"/>
        <v>30–39 éves</v>
      </c>
      <c r="K339" s="269" t="str">
        <f>IFERROR(INDEX(admin_feor[#All],MATCH(Bérköltség!H339,admin_feor[[#All],[Foglalkozás]],0),2),"NA")</f>
        <v>Vegyészmérnök</v>
      </c>
      <c r="L339" s="270">
        <f>IFERROR(
INDEX('Admin - FEOR'!$A$4:$F$465,MATCH(Bérköltség!H339,'Admin - FEOR'!$A$4:$A$465,0),
IF(J339="30 év alatt",3,
IF(J339="30–39 éves",4,
IF(J339="40–49 éves",5,
IF(J339="50 év és afelett",6
)))))*1,"NA")</f>
        <v>696588</v>
      </c>
      <c r="M339" s="270">
        <f t="shared" si="678"/>
        <v>825000</v>
      </c>
      <c r="N339" s="318">
        <f t="shared" si="679"/>
        <v>1.184344260883047</v>
      </c>
      <c r="O339" s="270">
        <f>IFERROR(
INDEX('Admin - FEOR'!$A$4:$F$465,MATCH(Bérköltség!H339,'Admin - FEOR'!$A$4:$A$465,0),
IF(J339="30 év alatt",3,
IF(J339="30–39 éves",4,
IF(J339="40–49 éves",5,
IF(J339="50 év és afelett",6
)))))*1.5,"NA")</f>
        <v>1044882</v>
      </c>
      <c r="P339" s="270">
        <f t="shared" si="680"/>
        <v>378319.3448275862</v>
      </c>
      <c r="Q339" s="270">
        <f t="shared" si="681"/>
        <v>298707</v>
      </c>
      <c r="R339" s="275">
        <f t="shared" si="682"/>
        <v>0.36206896551724138</v>
      </c>
      <c r="S339" s="270">
        <f t="shared" si="683"/>
        <v>0</v>
      </c>
      <c r="T339" s="270">
        <f t="shared" si="684"/>
        <v>0</v>
      </c>
      <c r="U339" s="271">
        <f t="shared" si="685"/>
        <v>0</v>
      </c>
      <c r="V339" s="272">
        <f t="shared" si="686"/>
        <v>337539</v>
      </c>
      <c r="W339" s="273" t="str">
        <f t="shared" si="687"/>
        <v>Indoklás szükséges mivel a FEOR: 118,4%</v>
      </c>
      <c r="X339" s="372">
        <f t="shared" si="688"/>
        <v>0</v>
      </c>
      <c r="Y339" s="317">
        <f t="shared" si="689"/>
        <v>298707</v>
      </c>
      <c r="Z339" s="317">
        <f t="shared" si="690"/>
        <v>38832</v>
      </c>
      <c r="AA339" s="12">
        <v>2</v>
      </c>
      <c r="AB339" s="274">
        <v>8439201346</v>
      </c>
      <c r="AC339" s="40" t="s">
        <v>231</v>
      </c>
      <c r="AD339" s="82" t="s">
        <v>75</v>
      </c>
      <c r="AE339" s="41" t="s">
        <v>52</v>
      </c>
      <c r="AF339" s="11" t="s">
        <v>152</v>
      </c>
      <c r="AG339" s="11" t="s">
        <v>170</v>
      </c>
      <c r="AH339" s="14" t="s">
        <v>122</v>
      </c>
      <c r="AI339" s="86" t="s">
        <v>33</v>
      </c>
      <c r="AJ339" s="113" t="str">
        <f>IF(COUNTIFS(Admin!$A$29:$A$40,AI339)&gt;0,Admin!$A$28,IF(COUNTIFS(Admin!$B$29:$B$40,AI339)&gt;0,Admin!$B$28,IF(COUNTIFS(Admin!$C$29:$C$40,AI339)&gt;0,Admin!$C$28,IF(COUNTIFS(Admin!$D$29:$D$40,AI339)&gt;0,Admin!$D$28,"-"))))</f>
        <v>2. mérföldkő</v>
      </c>
      <c r="AK339" s="14" t="s">
        <v>7</v>
      </c>
      <c r="AL339" s="9" t="s">
        <v>56</v>
      </c>
      <c r="AM339" s="131">
        <v>825000</v>
      </c>
      <c r="AN339" s="132">
        <f t="shared" si="778"/>
        <v>107250</v>
      </c>
      <c r="AO339" s="121">
        <v>174</v>
      </c>
      <c r="AP339" s="121">
        <v>63</v>
      </c>
      <c r="AQ339" s="354">
        <f t="shared" si="779"/>
        <v>0.36206896551724138</v>
      </c>
      <c r="AR339" s="133">
        <f t="shared" si="780"/>
        <v>298707</v>
      </c>
      <c r="AS339" s="133">
        <f t="shared" si="781"/>
        <v>38832</v>
      </c>
      <c r="AT339" s="123">
        <f t="shared" si="782"/>
        <v>-1.2539184951476656E-7</v>
      </c>
      <c r="AU339" s="124">
        <v>0.13</v>
      </c>
      <c r="AV339" s="394" t="s">
        <v>2790</v>
      </c>
      <c r="AW339" s="15">
        <v>44936</v>
      </c>
      <c r="AX339" s="12" t="s">
        <v>206</v>
      </c>
      <c r="AZ339" s="8" t="e">
        <f>IF(VLOOKUP(LEFT($AB339,10),'Havi béradatok'!$B:$E,2,FALSE)=AG339,"EGYEZIK","HIBÁS")</f>
        <v>#N/A</v>
      </c>
      <c r="BA339" s="1" t="e">
        <f>VLOOKUP(LEFT($AB339,10),'Havi béradatok'!$B:$E,3,FALSE)-AM339</f>
        <v>#N/A</v>
      </c>
      <c r="BB339" s="1" t="e">
        <f>VLOOKUP(LEFT($AB339,10),'Havi béradatok'!$B:$E,4,FALSE)-AN339</f>
        <v>#N/A</v>
      </c>
      <c r="BC339" s="1" t="s">
        <v>2843</v>
      </c>
      <c r="BD339" s="1" t="str">
        <f t="shared" si="777"/>
        <v>Kutató_VM_2 - Kutató</v>
      </c>
    </row>
    <row r="340" spans="1:56" s="1" customFormat="1" hidden="1" x14ac:dyDescent="0.25">
      <c r="A340" s="264" t="str">
        <f>Bérköltség!$B340</f>
        <v>FEOR</v>
      </c>
      <c r="B340" s="264" t="str">
        <f>IFERROR(
IF(AND(Bérköltség!$F340="",H340="NA"),"HIÁNYOS ADATOK",
IF(Bérköltség!$F340&lt;Bérköltség!$U340,Admin!$B$18,Admin!$B$17)),
"")</f>
        <v>FEOR</v>
      </c>
      <c r="C340" s="265">
        <f>IFERROR(INDEX('Historikus berek_2021-2'!$A$1:$F$903,MATCH(AB340,'Historikus berek_2021-2'!$A$1:$A$903,0),4),"")</f>
        <v>751966.66666666663</v>
      </c>
      <c r="D340" s="279">
        <f t="shared" si="673"/>
        <v>272263.79310344829</v>
      </c>
      <c r="E340" s="265">
        <f t="shared" si="674"/>
        <v>298707</v>
      </c>
      <c r="F340" s="266">
        <f t="shared" si="675"/>
        <v>29880.823793103453</v>
      </c>
      <c r="G340" s="267">
        <f t="shared" si="676"/>
        <v>307658.08620689652</v>
      </c>
      <c r="H340" s="268">
        <f>IFERROR(INDEX('FEOR kodok'!$A$2:$J$1126,MATCH(Bérköltség!AB340,'FEOR kodok'!$B$2:$B$1126,0),8),"NA")</f>
        <v>2117</v>
      </c>
      <c r="I340" s="269">
        <f>IFERROR(INDEX('FEOR kodok'!$A$2:$J$1126,MATCH(Bérköltség!AB340,'FEOR kodok'!$B$2:$B$1126,0),10),"NA")</f>
        <v>36</v>
      </c>
      <c r="J340" s="276" t="str">
        <f t="shared" si="677"/>
        <v>30–39 éves</v>
      </c>
      <c r="K340" s="269" t="str">
        <f>IFERROR(INDEX(admin_feor[#All],MATCH(Bérköltség!H340,admin_feor[[#All],[Foglalkozás]],0),2),"NA")</f>
        <v>Vegyészmérnök</v>
      </c>
      <c r="L340" s="270">
        <f>IFERROR(
INDEX('Admin - FEOR'!$A$4:$F$465,MATCH(Bérköltség!H340,'Admin - FEOR'!$A$4:$A$465,0),
IF(J340="30 év alatt",3,
IF(J340="30–39 éves",4,
IF(J340="40–49 éves",5,
IF(J340="50 év és afelett",6
)))))*1,"NA")</f>
        <v>696588</v>
      </c>
      <c r="M340" s="270">
        <f t="shared" si="678"/>
        <v>825000</v>
      </c>
      <c r="N340" s="318">
        <f t="shared" si="679"/>
        <v>1.184344260883047</v>
      </c>
      <c r="O340" s="270">
        <f>IFERROR(
INDEX('Admin - FEOR'!$A$4:$F$465,MATCH(Bérköltség!H340,'Admin - FEOR'!$A$4:$A$465,0),
IF(J340="30 év alatt",3,
IF(J340="30–39 éves",4,
IF(J340="40–49 éves",5,
IF(J340="50 év és afelett",6
)))))*1.5,"NA")</f>
        <v>1044882</v>
      </c>
      <c r="P340" s="270">
        <f t="shared" si="680"/>
        <v>378319.3448275862</v>
      </c>
      <c r="Q340" s="270">
        <f t="shared" si="681"/>
        <v>298707</v>
      </c>
      <c r="R340" s="275">
        <f t="shared" si="682"/>
        <v>0.36206896551724138</v>
      </c>
      <c r="S340" s="270">
        <f t="shared" si="683"/>
        <v>0</v>
      </c>
      <c r="T340" s="270">
        <f t="shared" si="684"/>
        <v>0</v>
      </c>
      <c r="U340" s="271">
        <f t="shared" si="685"/>
        <v>0</v>
      </c>
      <c r="V340" s="272">
        <f t="shared" si="686"/>
        <v>337539</v>
      </c>
      <c r="W340" s="273" t="str">
        <f t="shared" si="687"/>
        <v>Indoklás szükséges mivel a FEOR: 118,4%</v>
      </c>
      <c r="X340" s="372">
        <f t="shared" si="688"/>
        <v>0</v>
      </c>
      <c r="Y340" s="317">
        <f t="shared" si="689"/>
        <v>298707</v>
      </c>
      <c r="Z340" s="317">
        <f t="shared" si="690"/>
        <v>38832</v>
      </c>
      <c r="AA340" s="12">
        <v>2</v>
      </c>
      <c r="AB340" s="274">
        <v>8439201346</v>
      </c>
      <c r="AC340" s="40" t="s">
        <v>231</v>
      </c>
      <c r="AD340" s="82" t="s">
        <v>75</v>
      </c>
      <c r="AE340" s="41" t="s">
        <v>52</v>
      </c>
      <c r="AF340" s="11" t="s">
        <v>152</v>
      </c>
      <c r="AG340" s="11" t="s">
        <v>170</v>
      </c>
      <c r="AH340" s="14" t="s">
        <v>122</v>
      </c>
      <c r="AI340" s="86" t="s">
        <v>34</v>
      </c>
      <c r="AJ340" s="113" t="str">
        <f>IF(COUNTIFS(Admin!$A$29:$A$40,AI340)&gt;0,Admin!$A$28,IF(COUNTIFS(Admin!$B$29:$B$40,AI340)&gt;0,Admin!$B$28,IF(COUNTIFS(Admin!$C$29:$C$40,AI340)&gt;0,Admin!$C$28,IF(COUNTIFS(Admin!$D$29:$D$40,AI340)&gt;0,Admin!$D$28,"-"))))</f>
        <v>2. mérföldkő</v>
      </c>
      <c r="AK340" s="14" t="s">
        <v>7</v>
      </c>
      <c r="AL340" s="9" t="s">
        <v>56</v>
      </c>
      <c r="AM340" s="131">
        <v>825000</v>
      </c>
      <c r="AN340" s="132">
        <f t="shared" si="778"/>
        <v>107250</v>
      </c>
      <c r="AO340" s="121">
        <v>174</v>
      </c>
      <c r="AP340" s="121">
        <v>63</v>
      </c>
      <c r="AQ340" s="354">
        <f t="shared" si="779"/>
        <v>0.36206896551724138</v>
      </c>
      <c r="AR340" s="133">
        <f t="shared" si="780"/>
        <v>298707</v>
      </c>
      <c r="AS340" s="133">
        <f t="shared" si="781"/>
        <v>38832</v>
      </c>
      <c r="AT340" s="123">
        <f t="shared" si="782"/>
        <v>-1.2539184951476656E-7</v>
      </c>
      <c r="AU340" s="124">
        <v>0.13</v>
      </c>
      <c r="AV340" s="394" t="s">
        <v>2790</v>
      </c>
      <c r="AW340" s="15">
        <v>44936</v>
      </c>
      <c r="AX340" s="12" t="s">
        <v>206</v>
      </c>
      <c r="BC340" s="1" t="s">
        <v>2843</v>
      </c>
      <c r="BD340" s="1" t="str">
        <f t="shared" si="777"/>
        <v>Kutató_VM_2 - Kutató</v>
      </c>
    </row>
    <row r="341" spans="1:56" s="1" customFormat="1" hidden="1" x14ac:dyDescent="0.25">
      <c r="A341" s="264" t="str">
        <f>Bérköltség!$B341</f>
        <v>FEOR</v>
      </c>
      <c r="B341" s="264" t="str">
        <f>IFERROR(
IF(AND(Bérköltség!$F341="",H341="NA"),"HIÁNYOS ADATOK",
IF(Bérköltség!$F341&lt;Bérköltség!$U341,Admin!$B$18,Admin!$B$17)),
"")</f>
        <v>FEOR</v>
      </c>
      <c r="C341" s="265">
        <f>IFERROR(INDEX('Historikus berek_2021-2'!$A$1:$F$903,MATCH(AB341,'Historikus berek_2021-2'!$A$1:$A$903,0),4),"")</f>
        <v>640500</v>
      </c>
      <c r="D341" s="279">
        <f t="shared" si="673"/>
        <v>187732.75862068965</v>
      </c>
      <c r="E341" s="265">
        <f t="shared" si="674"/>
        <v>215724</v>
      </c>
      <c r="F341" s="266">
        <f t="shared" si="675"/>
        <v>31630.102758620691</v>
      </c>
      <c r="G341" s="267">
        <f t="shared" si="676"/>
        <v>212138.01724137928</v>
      </c>
      <c r="H341" s="268">
        <f>IFERROR(INDEX('FEOR kodok'!$A$2:$J$1126,MATCH(Bérköltség!AB341,'FEOR kodok'!$B$2:$B$1126,0),8),"NA")</f>
        <v>2117</v>
      </c>
      <c r="I341" s="269">
        <f>IFERROR(INDEX('FEOR kodok'!$A$2:$J$1126,MATCH(Bérköltség!AB341,'FEOR kodok'!$B$2:$B$1126,0),10),"NA")</f>
        <v>33</v>
      </c>
      <c r="J341" s="276" t="str">
        <f t="shared" si="677"/>
        <v>30–39 éves</v>
      </c>
      <c r="K341" s="269" t="str">
        <f>IFERROR(INDEX(admin_feor[#All],MATCH(Bérköltség!H341,admin_feor[[#All],[Foglalkozás]],0),2),"NA")</f>
        <v>Vegyészmérnök</v>
      </c>
      <c r="L341" s="270">
        <f>IFERROR(
INDEX('Admin - FEOR'!$A$4:$F$465,MATCH(Bérköltség!H341,'Admin - FEOR'!$A$4:$A$465,0),
IF(J341="30 év alatt",3,
IF(J341="30–39 éves",4,
IF(J341="40–49 éves",5,
IF(J341="50 év és afelett",6
)))))*1,"NA")</f>
        <v>696588</v>
      </c>
      <c r="M341" s="270">
        <f t="shared" si="678"/>
        <v>736000</v>
      </c>
      <c r="N341" s="318">
        <f t="shared" si="679"/>
        <v>1.056578637587785</v>
      </c>
      <c r="O341" s="270">
        <f>IFERROR(
INDEX('Admin - FEOR'!$A$4:$F$465,MATCH(Bérköltség!H341,'Admin - FEOR'!$A$4:$A$465,0),
IF(J341="30 év alatt",3,
IF(J341="30–39 éves",4,
IF(J341="40–49 éves",5,
IF(J341="50 év és afelett",6
)))))*1.5,"NA")</f>
        <v>1044882</v>
      </c>
      <c r="P341" s="270">
        <f t="shared" si="680"/>
        <v>306258.5172413793</v>
      </c>
      <c r="Q341" s="270">
        <f t="shared" si="681"/>
        <v>215724</v>
      </c>
      <c r="R341" s="275">
        <f t="shared" si="682"/>
        <v>0.29310344827586204</v>
      </c>
      <c r="S341" s="270">
        <f t="shared" si="683"/>
        <v>0</v>
      </c>
      <c r="T341" s="270">
        <f t="shared" si="684"/>
        <v>0</v>
      </c>
      <c r="U341" s="271">
        <f t="shared" si="685"/>
        <v>0</v>
      </c>
      <c r="V341" s="272">
        <f t="shared" si="686"/>
        <v>243768</v>
      </c>
      <c r="W341" s="273" t="str">
        <f t="shared" si="687"/>
        <v>Indoklás szükséges mivel a FEOR: 105,7%</v>
      </c>
      <c r="X341" s="372">
        <f t="shared" si="688"/>
        <v>0</v>
      </c>
      <c r="Y341" s="317">
        <f t="shared" si="689"/>
        <v>215724</v>
      </c>
      <c r="Z341" s="317">
        <f t="shared" si="690"/>
        <v>28044</v>
      </c>
      <c r="AA341" s="12">
        <v>2</v>
      </c>
      <c r="AB341" s="274">
        <v>8450063418</v>
      </c>
      <c r="AC341" s="40" t="s">
        <v>204</v>
      </c>
      <c r="AD341" s="82" t="s">
        <v>75</v>
      </c>
      <c r="AE341" s="41" t="s">
        <v>52</v>
      </c>
      <c r="AF341" s="11" t="s">
        <v>152</v>
      </c>
      <c r="AG341" s="11" t="s">
        <v>203</v>
      </c>
      <c r="AH341" s="14" t="s">
        <v>122</v>
      </c>
      <c r="AI341" s="86" t="s">
        <v>21</v>
      </c>
      <c r="AJ341" s="113" t="str">
        <f>IF(COUNTIFS(Admin!$A$29:$A$40,AI341)&gt;0,Admin!$A$28,IF(COUNTIFS(Admin!$B$29:$B$40,AI341)&gt;0,Admin!$B$28,IF(COUNTIFS(Admin!$C$29:$C$40,AI341)&gt;0,Admin!$C$28,IF(COUNTIFS(Admin!$D$29:$D$40,AI341)&gt;0,Admin!$D$28,"-"))))</f>
        <v>2. mérföldkő</v>
      </c>
      <c r="AK341" s="14" t="s">
        <v>7</v>
      </c>
      <c r="AL341" s="9" t="s">
        <v>56</v>
      </c>
      <c r="AM341" s="131">
        <v>736000</v>
      </c>
      <c r="AN341" s="132">
        <f t="shared" si="748"/>
        <v>95680</v>
      </c>
      <c r="AO341" s="121">
        <v>174</v>
      </c>
      <c r="AP341" s="121">
        <v>51</v>
      </c>
      <c r="AQ341" s="354">
        <f t="shared" si="746"/>
        <v>0.29310344827586204</v>
      </c>
      <c r="AR341" s="133">
        <f t="shared" si="214"/>
        <v>215724</v>
      </c>
      <c r="AS341" s="133">
        <f t="shared" si="500"/>
        <v>28044</v>
      </c>
      <c r="AT341" s="123">
        <f t="shared" si="747"/>
        <v>1.8740629681435195E-7</v>
      </c>
      <c r="AU341" s="124">
        <v>0.13</v>
      </c>
      <c r="AV341" s="394" t="s">
        <v>2791</v>
      </c>
      <c r="AW341" s="15">
        <v>44736</v>
      </c>
      <c r="AX341" s="12" t="s">
        <v>206</v>
      </c>
      <c r="BC341" s="1" t="s">
        <v>2844</v>
      </c>
      <c r="BD341" s="1" t="str">
        <f t="shared" si="777"/>
        <v>Kutató_VM_3 - Kutató</v>
      </c>
    </row>
    <row r="342" spans="1:56" s="1" customFormat="1" hidden="1" x14ac:dyDescent="0.25">
      <c r="A342" s="264" t="str">
        <f>Bérköltség!$B342</f>
        <v>FEOR</v>
      </c>
      <c r="B342" s="264" t="str">
        <f>IFERROR(
IF(AND(Bérköltség!$F342="",H342="NA"),"HIÁNYOS ADATOK",
IF(Bérköltség!$F342&lt;Bérköltség!$U342,Admin!$B$18,Admin!$B$17)),
"")</f>
        <v>FEOR</v>
      </c>
      <c r="C342" s="265">
        <f>IFERROR(INDEX('Historikus berek_2021-2'!$A$1:$F$903,MATCH(AB342,'Historikus berek_2021-2'!$A$1:$A$903,0),4),"")</f>
        <v>640500</v>
      </c>
      <c r="D342" s="279">
        <f t="shared" si="673"/>
        <v>187732.75862068965</v>
      </c>
      <c r="E342" s="265">
        <f t="shared" si="674"/>
        <v>215724</v>
      </c>
      <c r="F342" s="266">
        <f t="shared" si="675"/>
        <v>31630.102758620691</v>
      </c>
      <c r="G342" s="267">
        <f t="shared" si="676"/>
        <v>212138.01724137928</v>
      </c>
      <c r="H342" s="268">
        <f>IFERROR(INDEX('FEOR kodok'!$A$2:$J$1126,MATCH(Bérköltség!AB342,'FEOR kodok'!$B$2:$B$1126,0),8),"NA")</f>
        <v>2117</v>
      </c>
      <c r="I342" s="269">
        <f>IFERROR(INDEX('FEOR kodok'!$A$2:$J$1126,MATCH(Bérköltség!AB342,'FEOR kodok'!$B$2:$B$1126,0),10),"NA")</f>
        <v>33</v>
      </c>
      <c r="J342" s="276" t="str">
        <f t="shared" si="677"/>
        <v>30–39 éves</v>
      </c>
      <c r="K342" s="269" t="str">
        <f>IFERROR(INDEX(admin_feor[#All],MATCH(Bérköltség!H342,admin_feor[[#All],[Foglalkozás]],0),2),"NA")</f>
        <v>Vegyészmérnök</v>
      </c>
      <c r="L342" s="270">
        <f>IFERROR(
INDEX('Admin - FEOR'!$A$4:$F$465,MATCH(Bérköltség!H342,'Admin - FEOR'!$A$4:$A$465,0),
IF(J342="30 év alatt",3,
IF(J342="30–39 éves",4,
IF(J342="40–49 éves",5,
IF(J342="50 év és afelett",6
)))))*1,"NA")</f>
        <v>696588</v>
      </c>
      <c r="M342" s="270">
        <f t="shared" si="678"/>
        <v>736000</v>
      </c>
      <c r="N342" s="318">
        <f t="shared" si="679"/>
        <v>1.056578637587785</v>
      </c>
      <c r="O342" s="270">
        <f>IFERROR(
INDEX('Admin - FEOR'!$A$4:$F$465,MATCH(Bérköltség!H342,'Admin - FEOR'!$A$4:$A$465,0),
IF(J342="30 év alatt",3,
IF(J342="30–39 éves",4,
IF(J342="40–49 éves",5,
IF(J342="50 év és afelett",6
)))))*1.5,"NA")</f>
        <v>1044882</v>
      </c>
      <c r="P342" s="270">
        <f t="shared" si="680"/>
        <v>306258.5172413793</v>
      </c>
      <c r="Q342" s="270">
        <f t="shared" si="681"/>
        <v>215724</v>
      </c>
      <c r="R342" s="275">
        <f t="shared" si="682"/>
        <v>0.29310344827586204</v>
      </c>
      <c r="S342" s="270">
        <f t="shared" si="683"/>
        <v>0</v>
      </c>
      <c r="T342" s="270">
        <f t="shared" si="684"/>
        <v>0</v>
      </c>
      <c r="U342" s="271">
        <f t="shared" si="685"/>
        <v>0</v>
      </c>
      <c r="V342" s="272">
        <f t="shared" si="686"/>
        <v>243768</v>
      </c>
      <c r="W342" s="273" t="str">
        <f t="shared" si="687"/>
        <v>Indoklás szükséges mivel a FEOR: 105,7%</v>
      </c>
      <c r="X342" s="372">
        <f t="shared" si="688"/>
        <v>0</v>
      </c>
      <c r="Y342" s="317">
        <f t="shared" si="689"/>
        <v>215724</v>
      </c>
      <c r="Z342" s="317">
        <f t="shared" si="690"/>
        <v>28044</v>
      </c>
      <c r="AA342" s="12">
        <v>2</v>
      </c>
      <c r="AB342" s="274">
        <v>8450063418</v>
      </c>
      <c r="AC342" s="40" t="s">
        <v>204</v>
      </c>
      <c r="AD342" s="82" t="s">
        <v>75</v>
      </c>
      <c r="AE342" s="41" t="s">
        <v>52</v>
      </c>
      <c r="AF342" s="11" t="s">
        <v>152</v>
      </c>
      <c r="AG342" s="11" t="s">
        <v>203</v>
      </c>
      <c r="AH342" s="14" t="s">
        <v>122</v>
      </c>
      <c r="AI342" s="86" t="s">
        <v>22</v>
      </c>
      <c r="AJ342" s="113" t="str">
        <f>IF(COUNTIFS(Admin!$A$29:$A$40,AI342)&gt;0,Admin!$A$28,IF(COUNTIFS(Admin!$B$29:$B$40,AI342)&gt;0,Admin!$B$28,IF(COUNTIFS(Admin!$C$29:$C$40,AI342)&gt;0,Admin!$C$28,IF(COUNTIFS(Admin!$D$29:$D$40,AI342)&gt;0,Admin!$D$28,"-"))))</f>
        <v>2. mérföldkő</v>
      </c>
      <c r="AK342" s="14" t="s">
        <v>7</v>
      </c>
      <c r="AL342" s="9" t="s">
        <v>56</v>
      </c>
      <c r="AM342" s="131">
        <v>736000</v>
      </c>
      <c r="AN342" s="132">
        <f t="shared" si="748"/>
        <v>95680</v>
      </c>
      <c r="AO342" s="121">
        <v>174</v>
      </c>
      <c r="AP342" s="121">
        <v>51</v>
      </c>
      <c r="AQ342" s="354">
        <f t="shared" si="746"/>
        <v>0.29310344827586204</v>
      </c>
      <c r="AR342" s="133">
        <f t="shared" si="214"/>
        <v>215724</v>
      </c>
      <c r="AS342" s="133">
        <f t="shared" si="500"/>
        <v>28044</v>
      </c>
      <c r="AT342" s="123">
        <f t="shared" si="747"/>
        <v>1.8740629681435195E-7</v>
      </c>
      <c r="AU342" s="124">
        <v>0.13</v>
      </c>
      <c r="AV342" s="394" t="s">
        <v>2791</v>
      </c>
      <c r="AW342" s="15">
        <v>44736</v>
      </c>
      <c r="AX342" s="12" t="s">
        <v>206</v>
      </c>
      <c r="BC342" s="1" t="s">
        <v>2844</v>
      </c>
      <c r="BD342" s="1" t="str">
        <f t="shared" si="777"/>
        <v>Kutató_VM_3 - Kutató</v>
      </c>
    </row>
    <row r="343" spans="1:56" s="1" customFormat="1" hidden="1" x14ac:dyDescent="0.25">
      <c r="A343" s="264" t="str">
        <f>Bérköltség!$B343</f>
        <v>FEOR</v>
      </c>
      <c r="B343" s="264" t="str">
        <f>IFERROR(
IF(AND(Bérköltség!$F343="",H343="NA"),"HIÁNYOS ADATOK",
IF(Bérköltség!$F343&lt;Bérköltség!$U343,Admin!$B$18,Admin!$B$17)),
"")</f>
        <v>FEOR</v>
      </c>
      <c r="C343" s="265">
        <f>IFERROR(INDEX('Historikus berek_2021-2'!$A$1:$F$903,MATCH(AB343,'Historikus berek_2021-2'!$A$1:$A$903,0),4),"")</f>
        <v>640500</v>
      </c>
      <c r="D343" s="279">
        <f t="shared" si="673"/>
        <v>401232.75862068962</v>
      </c>
      <c r="E343" s="265">
        <f t="shared" si="674"/>
        <v>489247</v>
      </c>
      <c r="F343" s="266">
        <f t="shared" si="675"/>
        <v>99456.09275862074</v>
      </c>
      <c r="G343" s="267">
        <f t="shared" si="676"/>
        <v>453393.01724137925</v>
      </c>
      <c r="H343" s="268">
        <f>IFERROR(INDEX('FEOR kodok'!$A$2:$J$1126,MATCH(Bérköltség!AB343,'FEOR kodok'!$B$2:$B$1126,0),8),"NA")</f>
        <v>2117</v>
      </c>
      <c r="I343" s="269">
        <f>IFERROR(INDEX('FEOR kodok'!$A$2:$J$1126,MATCH(Bérköltség!AB343,'FEOR kodok'!$B$2:$B$1126,0),10),"NA")</f>
        <v>33</v>
      </c>
      <c r="J343" s="276" t="str">
        <f t="shared" si="677"/>
        <v>30–39 éves</v>
      </c>
      <c r="K343" s="269" t="str">
        <f>IFERROR(INDEX(admin_feor[#All],MATCH(Bérköltség!H343,admin_feor[[#All],[Foglalkozás]],0),2),"NA")</f>
        <v>Vegyészmérnök</v>
      </c>
      <c r="L343" s="270">
        <f>IFERROR(
INDEX('Admin - FEOR'!$A$4:$F$465,MATCH(Bérköltség!H343,'Admin - FEOR'!$A$4:$A$465,0),
IF(J343="30 év alatt",3,
IF(J343="30–39 éves",4,
IF(J343="40–49 éves",5,
IF(J343="50 év és afelett",6
)))))*1,"NA")</f>
        <v>696588</v>
      </c>
      <c r="M343" s="270">
        <f t="shared" si="678"/>
        <v>781000</v>
      </c>
      <c r="N343" s="318">
        <f t="shared" si="679"/>
        <v>1.1211792336359512</v>
      </c>
      <c r="O343" s="270">
        <f>IFERROR(
INDEX('Admin - FEOR'!$A$4:$F$465,MATCH(Bérköltség!H343,'Admin - FEOR'!$A$4:$A$465,0),
IF(J343="30 év alatt",3,
IF(J343="30–39 éves",4,
IF(J343="40–49 éves",5,
IF(J343="50 év és afelett",6
)))))*1.5,"NA")</f>
        <v>1044882</v>
      </c>
      <c r="P343" s="270">
        <f t="shared" si="680"/>
        <v>654552.51724137925</v>
      </c>
      <c r="Q343" s="270">
        <f t="shared" si="681"/>
        <v>489247</v>
      </c>
      <c r="R343" s="275">
        <f t="shared" si="682"/>
        <v>0.62643678160919536</v>
      </c>
      <c r="S343" s="270">
        <f t="shared" si="683"/>
        <v>0</v>
      </c>
      <c r="T343" s="270">
        <f t="shared" si="684"/>
        <v>0</v>
      </c>
      <c r="U343" s="271">
        <f t="shared" si="685"/>
        <v>0</v>
      </c>
      <c r="V343" s="272">
        <f t="shared" si="686"/>
        <v>552849</v>
      </c>
      <c r="W343" s="273" t="str">
        <f t="shared" si="687"/>
        <v>Indoklás szükséges mivel a FEOR: 112,1%</v>
      </c>
      <c r="X343" s="372">
        <f t="shared" si="688"/>
        <v>0</v>
      </c>
      <c r="Y343" s="317">
        <f t="shared" si="689"/>
        <v>489247</v>
      </c>
      <c r="Z343" s="317">
        <f t="shared" si="690"/>
        <v>63602</v>
      </c>
      <c r="AA343" s="12">
        <v>2</v>
      </c>
      <c r="AB343" s="274">
        <v>8450063418</v>
      </c>
      <c r="AC343" s="40" t="s">
        <v>204</v>
      </c>
      <c r="AD343" s="82" t="s">
        <v>75</v>
      </c>
      <c r="AE343" s="41" t="s">
        <v>52</v>
      </c>
      <c r="AF343" s="11" t="s">
        <v>152</v>
      </c>
      <c r="AG343" s="11" t="s">
        <v>203</v>
      </c>
      <c r="AH343" s="14" t="s">
        <v>122</v>
      </c>
      <c r="AI343" s="86" t="s">
        <v>23</v>
      </c>
      <c r="AJ343" s="113" t="str">
        <f>IF(COUNTIFS(Admin!$A$29:$A$40,AI343)&gt;0,Admin!$A$28,IF(COUNTIFS(Admin!$B$29:$B$40,AI343)&gt;0,Admin!$B$28,IF(COUNTIFS(Admin!$C$29:$C$40,AI343)&gt;0,Admin!$C$28,IF(COUNTIFS(Admin!$D$29:$D$40,AI343)&gt;0,Admin!$D$28,"-"))))</f>
        <v>2. mérföldkő</v>
      </c>
      <c r="AK343" s="14" t="s">
        <v>7</v>
      </c>
      <c r="AL343" s="9" t="s">
        <v>56</v>
      </c>
      <c r="AM343" s="131">
        <v>781000</v>
      </c>
      <c r="AN343" s="132">
        <f t="shared" si="748"/>
        <v>101530</v>
      </c>
      <c r="AO343" s="121">
        <v>174</v>
      </c>
      <c r="AP343" s="121">
        <v>109</v>
      </c>
      <c r="AQ343" s="354">
        <f t="shared" si="746"/>
        <v>0.62643678160919536</v>
      </c>
      <c r="AR343" s="133">
        <f t="shared" si="214"/>
        <v>489247</v>
      </c>
      <c r="AS343" s="133">
        <f t="shared" si="500"/>
        <v>63602</v>
      </c>
      <c r="AT343" s="123">
        <f t="shared" si="747"/>
        <v>1.618908854750245E-7</v>
      </c>
      <c r="AU343" s="124">
        <v>0.13</v>
      </c>
      <c r="AV343" s="394" t="s">
        <v>2791</v>
      </c>
      <c r="AW343" s="15">
        <v>44796</v>
      </c>
      <c r="AX343" s="12" t="s">
        <v>206</v>
      </c>
      <c r="BC343" s="1" t="s">
        <v>2844</v>
      </c>
      <c r="BD343" s="1" t="str">
        <f t="shared" si="777"/>
        <v>Kutató_VM_3 - Kutató</v>
      </c>
    </row>
    <row r="344" spans="1:56" s="1" customFormat="1" hidden="1" x14ac:dyDescent="0.25">
      <c r="A344" s="264" t="str">
        <f>Bérköltség!$B344</f>
        <v>FEOR</v>
      </c>
      <c r="B344" s="264" t="str">
        <f>IFERROR(
IF(AND(Bérköltség!$F344="",H344="NA"),"HIÁNYOS ADATOK",
IF(Bérköltség!$F344&lt;Bérköltség!$U344,Admin!$B$18,Admin!$B$17)),
"")</f>
        <v>FEOR</v>
      </c>
      <c r="C344" s="265">
        <f>IFERROR(INDEX('Historikus berek_2021-2'!$A$1:$F$903,MATCH(AB344,'Historikus berek_2021-2'!$A$1:$A$903,0),4),"")</f>
        <v>640500</v>
      </c>
      <c r="D344" s="279">
        <f t="shared" si="673"/>
        <v>401232.75862068962</v>
      </c>
      <c r="E344" s="265">
        <f t="shared" si="674"/>
        <v>432868</v>
      </c>
      <c r="F344" s="266">
        <f t="shared" si="675"/>
        <v>35747.822758620721</v>
      </c>
      <c r="G344" s="267">
        <f t="shared" si="676"/>
        <v>453393.01724137925</v>
      </c>
      <c r="H344" s="268">
        <f>IFERROR(INDEX('FEOR kodok'!$A$2:$J$1126,MATCH(Bérköltség!AB344,'FEOR kodok'!$B$2:$B$1126,0),8),"NA")</f>
        <v>2117</v>
      </c>
      <c r="I344" s="269">
        <f>IFERROR(INDEX('FEOR kodok'!$A$2:$J$1126,MATCH(Bérköltség!AB344,'FEOR kodok'!$B$2:$B$1126,0),10),"NA")</f>
        <v>33</v>
      </c>
      <c r="J344" s="276" t="str">
        <f t="shared" si="677"/>
        <v>30–39 éves</v>
      </c>
      <c r="K344" s="269" t="str">
        <f>IFERROR(INDEX(admin_feor[#All],MATCH(Bérköltség!H344,admin_feor[[#All],[Foglalkozás]],0),2),"NA")</f>
        <v>Vegyészmérnök</v>
      </c>
      <c r="L344" s="270">
        <f>IFERROR(
INDEX('Admin - FEOR'!$A$4:$F$465,MATCH(Bérköltség!H344,'Admin - FEOR'!$A$4:$A$465,0),
IF(J344="30 év alatt",3,
IF(J344="30–39 éves",4,
IF(J344="40–49 éves",5,
IF(J344="50 év és afelett",6
)))))*1,"NA")</f>
        <v>696588</v>
      </c>
      <c r="M344" s="270">
        <f t="shared" si="678"/>
        <v>691000</v>
      </c>
      <c r="N344" s="318">
        <f t="shared" si="679"/>
        <v>0.99197804153961888</v>
      </c>
      <c r="O344" s="270">
        <f>IFERROR(
INDEX('Admin - FEOR'!$A$4:$F$465,MATCH(Bérköltség!H344,'Admin - FEOR'!$A$4:$A$465,0),
IF(J344="30 év alatt",3,
IF(J344="30–39 éves",4,
IF(J344="40–49 éves",5,
IF(J344="50 év és afelett",6
)))))*1.5,"NA")</f>
        <v>1044882</v>
      </c>
      <c r="P344" s="270">
        <f t="shared" si="680"/>
        <v>654552.51724137925</v>
      </c>
      <c r="Q344" s="270">
        <f t="shared" si="681"/>
        <v>432868</v>
      </c>
      <c r="R344" s="275">
        <f t="shared" si="682"/>
        <v>0.62643678160919536</v>
      </c>
      <c r="S344" s="270">
        <f t="shared" si="683"/>
        <v>0</v>
      </c>
      <c r="T344" s="270">
        <f t="shared" si="684"/>
        <v>0</v>
      </c>
      <c r="U344" s="271">
        <f t="shared" si="685"/>
        <v>0</v>
      </c>
      <c r="V344" s="272">
        <f t="shared" si="686"/>
        <v>489141</v>
      </c>
      <c r="W344" s="273" t="str">
        <f t="shared" si="687"/>
        <v>Nem szükséges indoklás.</v>
      </c>
      <c r="X344" s="372">
        <f t="shared" si="688"/>
        <v>0</v>
      </c>
      <c r="Y344" s="317">
        <f t="shared" si="689"/>
        <v>432868</v>
      </c>
      <c r="Z344" s="317">
        <f t="shared" si="690"/>
        <v>56273</v>
      </c>
      <c r="AA344" s="12">
        <v>2</v>
      </c>
      <c r="AB344" s="274">
        <v>8450063418</v>
      </c>
      <c r="AC344" s="40" t="s">
        <v>204</v>
      </c>
      <c r="AD344" s="82" t="s">
        <v>75</v>
      </c>
      <c r="AE344" s="41" t="s">
        <v>52</v>
      </c>
      <c r="AF344" s="11" t="s">
        <v>152</v>
      </c>
      <c r="AG344" s="11" t="s">
        <v>203</v>
      </c>
      <c r="AH344" s="14" t="s">
        <v>122</v>
      </c>
      <c r="AI344" s="86" t="s">
        <v>24</v>
      </c>
      <c r="AJ344" s="113" t="str">
        <f>IF(COUNTIFS(Admin!$A$29:$A$40,AI344)&gt;0,Admin!$A$28,IF(COUNTIFS(Admin!$B$29:$B$40,AI344)&gt;0,Admin!$B$28,IF(COUNTIFS(Admin!$C$29:$C$40,AI344)&gt;0,Admin!$C$28,IF(COUNTIFS(Admin!$D$29:$D$40,AI344)&gt;0,Admin!$D$28,"-"))))</f>
        <v>2. mérföldkő</v>
      </c>
      <c r="AK344" s="14" t="s">
        <v>7</v>
      </c>
      <c r="AL344" s="9" t="s">
        <v>56</v>
      </c>
      <c r="AM344" s="131">
        <v>691000</v>
      </c>
      <c r="AN344" s="132">
        <f t="shared" si="748"/>
        <v>89830</v>
      </c>
      <c r="AO344" s="121">
        <v>174</v>
      </c>
      <c r="AP344" s="121">
        <v>109</v>
      </c>
      <c r="AQ344" s="354">
        <f t="shared" si="746"/>
        <v>0.62643678160919536</v>
      </c>
      <c r="AR344" s="133">
        <f t="shared" si="214"/>
        <v>432868</v>
      </c>
      <c r="AS344" s="133">
        <f t="shared" si="500"/>
        <v>56273</v>
      </c>
      <c r="AT344" s="123">
        <f t="shared" si="747"/>
        <v>-2.6614767878463397E-7</v>
      </c>
      <c r="AU344" s="124">
        <v>0.13</v>
      </c>
      <c r="AV344" s="394" t="s">
        <v>2791</v>
      </c>
      <c r="AW344" s="15">
        <v>44840</v>
      </c>
      <c r="AX344" s="12" t="s">
        <v>206</v>
      </c>
      <c r="BC344" s="1" t="s">
        <v>2844</v>
      </c>
      <c r="BD344" s="1" t="str">
        <f t="shared" si="777"/>
        <v>Kutató_VM_3 - Kutató</v>
      </c>
    </row>
    <row r="345" spans="1:56" s="1" customFormat="1" hidden="1" x14ac:dyDescent="0.25">
      <c r="A345" s="264" t="str">
        <f>Bérköltség!$B345</f>
        <v>FEOR</v>
      </c>
      <c r="B345" s="264" t="str">
        <f>IFERROR(
IF(AND(Bérköltség!$F345="",H345="NA"),"HIÁNYOS ADATOK",
IF(Bérköltség!$F345&lt;Bérköltség!$U345,Admin!$B$18,Admin!$B$17)),
"")</f>
        <v>FEOR</v>
      </c>
      <c r="C345" s="265">
        <f>IFERROR(INDEX('Historikus berek_2021-2'!$A$1:$F$903,MATCH(AB345,'Historikus berek_2021-2'!$A$1:$A$903,0),4),"")</f>
        <v>640500</v>
      </c>
      <c r="D345" s="279">
        <f t="shared" si="673"/>
        <v>401232.75862068962</v>
      </c>
      <c r="E345" s="265">
        <f t="shared" si="674"/>
        <v>432868</v>
      </c>
      <c r="F345" s="266">
        <f t="shared" si="675"/>
        <v>35747.822758620721</v>
      </c>
      <c r="G345" s="267">
        <f t="shared" si="676"/>
        <v>453393.01724137925</v>
      </c>
      <c r="H345" s="268">
        <f>IFERROR(INDEX('FEOR kodok'!$A$2:$J$1126,MATCH(Bérköltség!AB345,'FEOR kodok'!$B$2:$B$1126,0),8),"NA")</f>
        <v>2117</v>
      </c>
      <c r="I345" s="269">
        <f>IFERROR(INDEX('FEOR kodok'!$A$2:$J$1126,MATCH(Bérköltség!AB345,'FEOR kodok'!$B$2:$B$1126,0),10),"NA")</f>
        <v>33</v>
      </c>
      <c r="J345" s="276" t="str">
        <f t="shared" si="677"/>
        <v>30–39 éves</v>
      </c>
      <c r="K345" s="269" t="str">
        <f>IFERROR(INDEX(admin_feor[#All],MATCH(Bérköltség!H345,admin_feor[[#All],[Foglalkozás]],0),2),"NA")</f>
        <v>Vegyészmérnök</v>
      </c>
      <c r="L345" s="270">
        <f>IFERROR(
INDEX('Admin - FEOR'!$A$4:$F$465,MATCH(Bérköltség!H345,'Admin - FEOR'!$A$4:$A$465,0),
IF(J345="30 év alatt",3,
IF(J345="30–39 éves",4,
IF(J345="40–49 éves",5,
IF(J345="50 év és afelett",6
)))))*1,"NA")</f>
        <v>696588</v>
      </c>
      <c r="M345" s="270">
        <f t="shared" si="678"/>
        <v>691000</v>
      </c>
      <c r="N345" s="318">
        <f t="shared" si="679"/>
        <v>0.99197804153961888</v>
      </c>
      <c r="O345" s="270">
        <f>IFERROR(
INDEX('Admin - FEOR'!$A$4:$F$465,MATCH(Bérköltség!H345,'Admin - FEOR'!$A$4:$A$465,0),
IF(J345="30 év alatt",3,
IF(J345="30–39 éves",4,
IF(J345="40–49 éves",5,
IF(J345="50 év és afelett",6
)))))*1.5,"NA")</f>
        <v>1044882</v>
      </c>
      <c r="P345" s="270">
        <f t="shared" si="680"/>
        <v>654552.51724137925</v>
      </c>
      <c r="Q345" s="270">
        <f t="shared" si="681"/>
        <v>432868</v>
      </c>
      <c r="R345" s="275">
        <f t="shared" si="682"/>
        <v>0.62643678160919536</v>
      </c>
      <c r="S345" s="270">
        <f t="shared" si="683"/>
        <v>0</v>
      </c>
      <c r="T345" s="270">
        <f t="shared" si="684"/>
        <v>0</v>
      </c>
      <c r="U345" s="271">
        <f t="shared" si="685"/>
        <v>0</v>
      </c>
      <c r="V345" s="272">
        <f t="shared" si="686"/>
        <v>489141</v>
      </c>
      <c r="W345" s="273" t="str">
        <f t="shared" si="687"/>
        <v>Nem szükséges indoklás.</v>
      </c>
      <c r="X345" s="372">
        <f t="shared" si="688"/>
        <v>0</v>
      </c>
      <c r="Y345" s="317">
        <f t="shared" si="689"/>
        <v>432868</v>
      </c>
      <c r="Z345" s="317">
        <f t="shared" si="690"/>
        <v>56273</v>
      </c>
      <c r="AA345" s="12">
        <v>2</v>
      </c>
      <c r="AB345" s="274">
        <v>8450063418</v>
      </c>
      <c r="AC345" s="40" t="s">
        <v>204</v>
      </c>
      <c r="AD345" s="82" t="s">
        <v>75</v>
      </c>
      <c r="AE345" s="41" t="s">
        <v>52</v>
      </c>
      <c r="AF345" s="11" t="s">
        <v>152</v>
      </c>
      <c r="AG345" s="11" t="s">
        <v>203</v>
      </c>
      <c r="AH345" s="14" t="s">
        <v>122</v>
      </c>
      <c r="AI345" s="86" t="s">
        <v>25</v>
      </c>
      <c r="AJ345" s="113" t="str">
        <f>IF(COUNTIFS(Admin!$A$29:$A$40,AI345)&gt;0,Admin!$A$28,IF(COUNTIFS(Admin!$B$29:$B$40,AI345)&gt;0,Admin!$B$28,IF(COUNTIFS(Admin!$C$29:$C$40,AI345)&gt;0,Admin!$C$28,IF(COUNTIFS(Admin!$D$29:$D$40,AI345)&gt;0,Admin!$D$28,"-"))))</f>
        <v>2. mérföldkő</v>
      </c>
      <c r="AK345" s="14" t="s">
        <v>7</v>
      </c>
      <c r="AL345" s="9" t="s">
        <v>56</v>
      </c>
      <c r="AM345" s="131">
        <v>691000</v>
      </c>
      <c r="AN345" s="132">
        <f t="shared" si="748"/>
        <v>89830</v>
      </c>
      <c r="AO345" s="121">
        <v>174</v>
      </c>
      <c r="AP345" s="121">
        <v>109</v>
      </c>
      <c r="AQ345" s="354">
        <f t="shared" si="746"/>
        <v>0.62643678160919536</v>
      </c>
      <c r="AR345" s="133">
        <f t="shared" si="214"/>
        <v>432868</v>
      </c>
      <c r="AS345" s="133">
        <f t="shared" si="500"/>
        <v>56273</v>
      </c>
      <c r="AT345" s="123">
        <f t="shared" si="747"/>
        <v>-2.6614767878463397E-7</v>
      </c>
      <c r="AU345" s="124">
        <v>0.13</v>
      </c>
      <c r="AV345" s="394" t="s">
        <v>2791</v>
      </c>
      <c r="AW345" s="15">
        <v>44840</v>
      </c>
      <c r="AX345" s="12" t="s">
        <v>206</v>
      </c>
      <c r="AZ345" s="1" t="s">
        <v>2668</v>
      </c>
      <c r="BA345" s="1" t="s">
        <v>2668</v>
      </c>
      <c r="BB345" s="1" t="s">
        <v>2668</v>
      </c>
      <c r="BC345" s="1" t="s">
        <v>2844</v>
      </c>
      <c r="BD345" s="1" t="str">
        <f t="shared" si="777"/>
        <v>Kutató_VM_3 - Kutató</v>
      </c>
    </row>
    <row r="346" spans="1:56" s="1" customFormat="1" hidden="1" x14ac:dyDescent="0.25">
      <c r="A346" s="264" t="str">
        <f>Bérköltség!$B346</f>
        <v>FEOR</v>
      </c>
      <c r="B346" s="264" t="str">
        <f>IFERROR(
IF(AND(Bérköltség!$F346="",H346="NA"),"HIÁNYOS ADATOK",
IF(Bérköltség!$F346&lt;Bérköltség!$U346,Admin!$B$18,Admin!$B$17)),
"")</f>
        <v>FEOR</v>
      </c>
      <c r="C346" s="265">
        <f>IFERROR(INDEX('Historikus berek_2021-2'!$A$1:$F$903,MATCH(AB346,'Historikus berek_2021-2'!$A$1:$A$903,0),4),"")</f>
        <v>640500</v>
      </c>
      <c r="D346" s="279">
        <f t="shared" si="673"/>
        <v>401232.75862068962</v>
      </c>
      <c r="E346" s="265">
        <f t="shared" si="674"/>
        <v>432868</v>
      </c>
      <c r="F346" s="266">
        <f t="shared" si="675"/>
        <v>35747.822758620721</v>
      </c>
      <c r="G346" s="267">
        <f t="shared" si="676"/>
        <v>453393.01724137925</v>
      </c>
      <c r="H346" s="268">
        <f>IFERROR(INDEX('FEOR kodok'!$A$2:$J$1126,MATCH(Bérköltség!AB346,'FEOR kodok'!$B$2:$B$1126,0),8),"NA")</f>
        <v>2117</v>
      </c>
      <c r="I346" s="269">
        <f>IFERROR(INDEX('FEOR kodok'!$A$2:$J$1126,MATCH(Bérköltség!AB346,'FEOR kodok'!$B$2:$B$1126,0),10),"NA")</f>
        <v>33</v>
      </c>
      <c r="J346" s="276" t="str">
        <f t="shared" si="677"/>
        <v>30–39 éves</v>
      </c>
      <c r="K346" s="269" t="str">
        <f>IFERROR(INDEX(admin_feor[#All],MATCH(Bérköltség!H346,admin_feor[[#All],[Foglalkozás]],0),2),"NA")</f>
        <v>Vegyészmérnök</v>
      </c>
      <c r="L346" s="270">
        <f>IFERROR(
INDEX('Admin - FEOR'!$A$4:$F$465,MATCH(Bérköltség!H346,'Admin - FEOR'!$A$4:$A$465,0),
IF(J346="30 év alatt",3,
IF(J346="30–39 éves",4,
IF(J346="40–49 éves",5,
IF(J346="50 év és afelett",6
)))))*1,"NA")</f>
        <v>696588</v>
      </c>
      <c r="M346" s="270">
        <f t="shared" si="678"/>
        <v>691000</v>
      </c>
      <c r="N346" s="318">
        <f t="shared" si="679"/>
        <v>0.99197804153961888</v>
      </c>
      <c r="O346" s="270">
        <f>IFERROR(
INDEX('Admin - FEOR'!$A$4:$F$465,MATCH(Bérköltség!H346,'Admin - FEOR'!$A$4:$A$465,0),
IF(J346="30 év alatt",3,
IF(J346="30–39 éves",4,
IF(J346="40–49 éves",5,
IF(J346="50 év és afelett",6
)))))*1.5,"NA")</f>
        <v>1044882</v>
      </c>
      <c r="P346" s="270">
        <f t="shared" si="680"/>
        <v>654552.51724137925</v>
      </c>
      <c r="Q346" s="270">
        <f t="shared" si="681"/>
        <v>432868</v>
      </c>
      <c r="R346" s="275">
        <f t="shared" si="682"/>
        <v>0.62643678160919536</v>
      </c>
      <c r="S346" s="270">
        <f t="shared" si="683"/>
        <v>0</v>
      </c>
      <c r="T346" s="270">
        <f t="shared" si="684"/>
        <v>0</v>
      </c>
      <c r="U346" s="271">
        <f t="shared" si="685"/>
        <v>0</v>
      </c>
      <c r="V346" s="272">
        <f t="shared" si="686"/>
        <v>489141</v>
      </c>
      <c r="W346" s="273" t="str">
        <f t="shared" si="687"/>
        <v>Nem szükséges indoklás.</v>
      </c>
      <c r="X346" s="372">
        <f t="shared" si="688"/>
        <v>0</v>
      </c>
      <c r="Y346" s="317">
        <f t="shared" si="689"/>
        <v>432868</v>
      </c>
      <c r="Z346" s="317">
        <f t="shared" si="690"/>
        <v>56273</v>
      </c>
      <c r="AA346" s="12">
        <v>2</v>
      </c>
      <c r="AB346" s="274">
        <v>8450063418</v>
      </c>
      <c r="AC346" s="40" t="s">
        <v>204</v>
      </c>
      <c r="AD346" s="82" t="s">
        <v>75</v>
      </c>
      <c r="AE346" s="41" t="s">
        <v>52</v>
      </c>
      <c r="AF346" s="11" t="s">
        <v>152</v>
      </c>
      <c r="AG346" s="11" t="s">
        <v>203</v>
      </c>
      <c r="AH346" s="14" t="s">
        <v>122</v>
      </c>
      <c r="AI346" s="86" t="s">
        <v>26</v>
      </c>
      <c r="AJ346" s="113" t="str">
        <f>IF(COUNTIFS(Admin!$A$29:$A$40,AI346)&gt;0,Admin!$A$28,IF(COUNTIFS(Admin!$B$29:$B$40,AI346)&gt;0,Admin!$B$28,IF(COUNTIFS(Admin!$C$29:$C$40,AI346)&gt;0,Admin!$C$28,IF(COUNTIFS(Admin!$D$29:$D$40,AI346)&gt;0,Admin!$D$28,"-"))))</f>
        <v>2. mérföldkő</v>
      </c>
      <c r="AK346" s="14" t="s">
        <v>7</v>
      </c>
      <c r="AL346" s="9" t="s">
        <v>56</v>
      </c>
      <c r="AM346" s="131">
        <v>691000</v>
      </c>
      <c r="AN346" s="132">
        <f t="shared" si="748"/>
        <v>89830</v>
      </c>
      <c r="AO346" s="121">
        <v>174</v>
      </c>
      <c r="AP346" s="121">
        <v>109</v>
      </c>
      <c r="AQ346" s="354">
        <f t="shared" si="746"/>
        <v>0.62643678160919536</v>
      </c>
      <c r="AR346" s="133">
        <f t="shared" si="214"/>
        <v>432868</v>
      </c>
      <c r="AS346" s="133">
        <f t="shared" si="500"/>
        <v>56273</v>
      </c>
      <c r="AT346" s="123">
        <f t="shared" si="747"/>
        <v>-2.6614767878463397E-7</v>
      </c>
      <c r="AU346" s="124">
        <v>0.13</v>
      </c>
      <c r="AV346" s="394" t="s">
        <v>2791</v>
      </c>
      <c r="AW346" s="15">
        <v>44840</v>
      </c>
      <c r="AX346" s="12" t="s">
        <v>206</v>
      </c>
      <c r="AZ346" s="1" t="s">
        <v>2667</v>
      </c>
      <c r="BA346" s="1" t="s">
        <v>2667</v>
      </c>
      <c r="BB346" s="1" t="s">
        <v>2667</v>
      </c>
      <c r="BC346" s="1" t="s">
        <v>2844</v>
      </c>
      <c r="BD346" s="1" t="str">
        <f t="shared" si="777"/>
        <v>Kutató_VM_3 - Kutató</v>
      </c>
    </row>
    <row r="347" spans="1:56" s="1" customFormat="1" hidden="1" x14ac:dyDescent="0.25">
      <c r="A347" s="264" t="str">
        <f>Bérköltség!$B347</f>
        <v>FEOR</v>
      </c>
      <c r="B347" s="264" t="str">
        <f>IFERROR(
IF(AND(Bérköltség!$F347="",H347="NA"),"HIÁNYOS ADATOK",
IF(Bérköltség!$F347&lt;Bérköltség!$U347,Admin!$B$18,Admin!$B$17)),
"")</f>
        <v>FEOR</v>
      </c>
      <c r="C347" s="265">
        <f>IFERROR(INDEX('Historikus berek_2021-2'!$A$1:$F$903,MATCH(AB347,'Historikus berek_2021-2'!$A$1:$A$903,0),4),"")</f>
        <v>640500</v>
      </c>
      <c r="D347" s="279">
        <f t="shared" si="673"/>
        <v>401232.75862068962</v>
      </c>
      <c r="E347" s="265">
        <f t="shared" si="674"/>
        <v>432868</v>
      </c>
      <c r="F347" s="266">
        <f t="shared" si="675"/>
        <v>35747.822758620721</v>
      </c>
      <c r="G347" s="267">
        <f t="shared" si="676"/>
        <v>453393.01724137925</v>
      </c>
      <c r="H347" s="268">
        <f>IFERROR(INDEX('FEOR kodok'!$A$2:$J$1126,MATCH(Bérköltség!AB347,'FEOR kodok'!$B$2:$B$1126,0),8),"NA")</f>
        <v>2117</v>
      </c>
      <c r="I347" s="269">
        <f>IFERROR(INDEX('FEOR kodok'!$A$2:$J$1126,MATCH(Bérköltség!AB347,'FEOR kodok'!$B$2:$B$1126,0),10),"NA")</f>
        <v>33</v>
      </c>
      <c r="J347" s="276" t="str">
        <f t="shared" si="677"/>
        <v>30–39 éves</v>
      </c>
      <c r="K347" s="269" t="str">
        <f>IFERROR(INDEX(admin_feor[#All],MATCH(Bérköltség!H347,admin_feor[[#All],[Foglalkozás]],0),2),"NA")</f>
        <v>Vegyészmérnök</v>
      </c>
      <c r="L347" s="270">
        <f>IFERROR(
INDEX('Admin - FEOR'!$A$4:$F$465,MATCH(Bérköltség!H347,'Admin - FEOR'!$A$4:$A$465,0),
IF(J347="30 év alatt",3,
IF(J347="30–39 éves",4,
IF(J347="40–49 éves",5,
IF(J347="50 év és afelett",6
)))))*1,"NA")</f>
        <v>696588</v>
      </c>
      <c r="M347" s="270">
        <f t="shared" si="678"/>
        <v>691000</v>
      </c>
      <c r="N347" s="318">
        <f t="shared" si="679"/>
        <v>0.99197804153961888</v>
      </c>
      <c r="O347" s="270">
        <f>IFERROR(
INDEX('Admin - FEOR'!$A$4:$F$465,MATCH(Bérköltség!H347,'Admin - FEOR'!$A$4:$A$465,0),
IF(J347="30 év alatt",3,
IF(J347="30–39 éves",4,
IF(J347="40–49 éves",5,
IF(J347="50 év és afelett",6
)))))*1.5,"NA")</f>
        <v>1044882</v>
      </c>
      <c r="P347" s="270">
        <f t="shared" si="680"/>
        <v>654552.51724137925</v>
      </c>
      <c r="Q347" s="270">
        <f t="shared" si="681"/>
        <v>432868</v>
      </c>
      <c r="R347" s="275">
        <f t="shared" si="682"/>
        <v>0.62643678160919536</v>
      </c>
      <c r="S347" s="270">
        <f t="shared" si="683"/>
        <v>0</v>
      </c>
      <c r="T347" s="270">
        <f t="shared" si="684"/>
        <v>0</v>
      </c>
      <c r="U347" s="271">
        <f t="shared" si="685"/>
        <v>0</v>
      </c>
      <c r="V347" s="272">
        <f t="shared" si="686"/>
        <v>489141</v>
      </c>
      <c r="W347" s="273" t="str">
        <f t="shared" si="687"/>
        <v>Nem szükséges indoklás.</v>
      </c>
      <c r="X347" s="372">
        <f t="shared" si="688"/>
        <v>0</v>
      </c>
      <c r="Y347" s="317">
        <f t="shared" si="689"/>
        <v>432868</v>
      </c>
      <c r="Z347" s="317">
        <f t="shared" si="690"/>
        <v>56273</v>
      </c>
      <c r="AA347" s="12">
        <v>2</v>
      </c>
      <c r="AB347" s="274">
        <v>8450063418</v>
      </c>
      <c r="AC347" s="40" t="s">
        <v>204</v>
      </c>
      <c r="AD347" s="82" t="s">
        <v>75</v>
      </c>
      <c r="AE347" s="41" t="s">
        <v>52</v>
      </c>
      <c r="AF347" s="11" t="s">
        <v>152</v>
      </c>
      <c r="AG347" s="11" t="s">
        <v>203</v>
      </c>
      <c r="AH347" s="14" t="s">
        <v>122</v>
      </c>
      <c r="AI347" s="86" t="s">
        <v>32</v>
      </c>
      <c r="AJ347" s="113" t="str">
        <f>IF(COUNTIFS(Admin!$A$29:$A$40,AI347)&gt;0,Admin!$A$28,IF(COUNTIFS(Admin!$B$29:$B$40,AI347)&gt;0,Admin!$B$28,IF(COUNTIFS(Admin!$C$29:$C$40,AI347)&gt;0,Admin!$C$28,IF(COUNTIFS(Admin!$D$29:$D$40,AI347)&gt;0,Admin!$D$28,"-"))))</f>
        <v>2. mérföldkő</v>
      </c>
      <c r="AK347" s="14" t="s">
        <v>7</v>
      </c>
      <c r="AL347" s="9" t="s">
        <v>56</v>
      </c>
      <c r="AM347" s="131">
        <v>691000</v>
      </c>
      <c r="AN347" s="132">
        <f t="shared" si="748"/>
        <v>89830</v>
      </c>
      <c r="AO347" s="121">
        <v>174</v>
      </c>
      <c r="AP347" s="121">
        <v>109</v>
      </c>
      <c r="AQ347" s="354">
        <f t="shared" si="746"/>
        <v>0.62643678160919536</v>
      </c>
      <c r="AR347" s="133">
        <f t="shared" si="214"/>
        <v>432868</v>
      </c>
      <c r="AS347" s="133">
        <f t="shared" si="500"/>
        <v>56273</v>
      </c>
      <c r="AT347" s="123">
        <f t="shared" si="747"/>
        <v>-2.6614767878463397E-7</v>
      </c>
      <c r="AU347" s="124">
        <v>0.13</v>
      </c>
      <c r="AV347" s="394" t="s">
        <v>2791</v>
      </c>
      <c r="AW347" s="15">
        <v>44939</v>
      </c>
      <c r="AX347" s="12" t="s">
        <v>206</v>
      </c>
      <c r="AZ347" s="1" t="s">
        <v>2667</v>
      </c>
      <c r="BA347" s="1">
        <v>0</v>
      </c>
      <c r="BB347" s="1">
        <v>0</v>
      </c>
      <c r="BC347" s="1" t="s">
        <v>2844</v>
      </c>
      <c r="BD347" s="1" t="str">
        <f t="shared" si="777"/>
        <v>Kutató_VM_3 - Kutató</v>
      </c>
    </row>
    <row r="348" spans="1:56" s="1" customFormat="1" hidden="1" x14ac:dyDescent="0.25">
      <c r="A348" s="264" t="str">
        <f>Bérköltség!$B348</f>
        <v>FEOR</v>
      </c>
      <c r="B348" s="264" t="str">
        <f>IFERROR(
IF(AND(Bérköltség!$F348="",H348="NA"),"HIÁNYOS ADATOK",
IF(Bérköltség!$F348&lt;Bérköltség!$U348,Admin!$B$18,Admin!$B$17)),
"")</f>
        <v>FEOR</v>
      </c>
      <c r="C348" s="265">
        <f>IFERROR(INDEX('Historikus berek_2021-2'!$A$1:$F$903,MATCH(AB348,'Historikus berek_2021-2'!$A$1:$A$903,0),4),"")</f>
        <v>640500</v>
      </c>
      <c r="D348" s="279">
        <f t="shared" si="673"/>
        <v>401232.75862068962</v>
      </c>
      <c r="E348" s="265">
        <f t="shared" si="674"/>
        <v>432868</v>
      </c>
      <c r="F348" s="266">
        <f t="shared" si="675"/>
        <v>35747.822758620721</v>
      </c>
      <c r="G348" s="267">
        <f t="shared" si="676"/>
        <v>453393.01724137925</v>
      </c>
      <c r="H348" s="268">
        <f>IFERROR(INDEX('FEOR kodok'!$A$2:$J$1126,MATCH(Bérköltség!AB348,'FEOR kodok'!$B$2:$B$1126,0),8),"NA")</f>
        <v>2117</v>
      </c>
      <c r="I348" s="269">
        <f>IFERROR(INDEX('FEOR kodok'!$A$2:$J$1126,MATCH(Bérköltség!AB348,'FEOR kodok'!$B$2:$B$1126,0),10),"NA")</f>
        <v>33</v>
      </c>
      <c r="J348" s="276" t="str">
        <f t="shared" si="677"/>
        <v>30–39 éves</v>
      </c>
      <c r="K348" s="269" t="str">
        <f>IFERROR(INDEX(admin_feor[#All],MATCH(Bérköltség!H348,admin_feor[[#All],[Foglalkozás]],0),2),"NA")</f>
        <v>Vegyészmérnök</v>
      </c>
      <c r="L348" s="270">
        <f>IFERROR(
INDEX('Admin - FEOR'!$A$4:$F$465,MATCH(Bérköltség!H348,'Admin - FEOR'!$A$4:$A$465,0),
IF(J348="30 év alatt",3,
IF(J348="30–39 éves",4,
IF(J348="40–49 éves",5,
IF(J348="50 év és afelett",6
)))))*1,"NA")</f>
        <v>696588</v>
      </c>
      <c r="M348" s="270">
        <f t="shared" si="678"/>
        <v>691000</v>
      </c>
      <c r="N348" s="318">
        <f t="shared" si="679"/>
        <v>0.99197804153961888</v>
      </c>
      <c r="O348" s="270">
        <f>IFERROR(
INDEX('Admin - FEOR'!$A$4:$F$465,MATCH(Bérköltség!H348,'Admin - FEOR'!$A$4:$A$465,0),
IF(J348="30 év alatt",3,
IF(J348="30–39 éves",4,
IF(J348="40–49 éves",5,
IF(J348="50 év és afelett",6
)))))*1.5,"NA")</f>
        <v>1044882</v>
      </c>
      <c r="P348" s="270">
        <f t="shared" si="680"/>
        <v>654552.51724137925</v>
      </c>
      <c r="Q348" s="270">
        <f t="shared" si="681"/>
        <v>432868</v>
      </c>
      <c r="R348" s="275">
        <f t="shared" si="682"/>
        <v>0.62643678160919536</v>
      </c>
      <c r="S348" s="270">
        <f t="shared" si="683"/>
        <v>0</v>
      </c>
      <c r="T348" s="270">
        <f t="shared" si="684"/>
        <v>0</v>
      </c>
      <c r="U348" s="271">
        <f t="shared" si="685"/>
        <v>0</v>
      </c>
      <c r="V348" s="272">
        <f t="shared" si="686"/>
        <v>489141</v>
      </c>
      <c r="W348" s="273" t="str">
        <f t="shared" si="687"/>
        <v>Nem szükséges indoklás.</v>
      </c>
      <c r="X348" s="372">
        <f t="shared" si="688"/>
        <v>0</v>
      </c>
      <c r="Y348" s="317">
        <f t="shared" si="689"/>
        <v>432868</v>
      </c>
      <c r="Z348" s="317">
        <f t="shared" si="690"/>
        <v>56273</v>
      </c>
      <c r="AA348" s="12">
        <v>2</v>
      </c>
      <c r="AB348" s="274">
        <v>8450063418</v>
      </c>
      <c r="AC348" s="40" t="s">
        <v>204</v>
      </c>
      <c r="AD348" s="82" t="s">
        <v>75</v>
      </c>
      <c r="AE348" s="41" t="s">
        <v>52</v>
      </c>
      <c r="AF348" s="11" t="s">
        <v>152</v>
      </c>
      <c r="AG348" s="11" t="s">
        <v>203</v>
      </c>
      <c r="AH348" s="14" t="s">
        <v>122</v>
      </c>
      <c r="AI348" s="86" t="s">
        <v>33</v>
      </c>
      <c r="AJ348" s="113" t="str">
        <f>IF(COUNTIFS(Admin!$A$29:$A$40,AI348)&gt;0,Admin!$A$28,IF(COUNTIFS(Admin!$B$29:$B$40,AI348)&gt;0,Admin!$B$28,IF(COUNTIFS(Admin!$C$29:$C$40,AI348)&gt;0,Admin!$C$28,IF(COUNTIFS(Admin!$D$29:$D$40,AI348)&gt;0,Admin!$D$28,"-"))))</f>
        <v>2. mérföldkő</v>
      </c>
      <c r="AK348" s="14" t="s">
        <v>7</v>
      </c>
      <c r="AL348" s="9" t="s">
        <v>56</v>
      </c>
      <c r="AM348" s="131">
        <v>691000</v>
      </c>
      <c r="AN348" s="132">
        <f t="shared" si="748"/>
        <v>89830</v>
      </c>
      <c r="AO348" s="121">
        <v>174</v>
      </c>
      <c r="AP348" s="121">
        <v>109</v>
      </c>
      <c r="AQ348" s="354">
        <f t="shared" si="746"/>
        <v>0.62643678160919536</v>
      </c>
      <c r="AR348" s="133">
        <f t="shared" si="214"/>
        <v>432868</v>
      </c>
      <c r="AS348" s="133">
        <f t="shared" si="500"/>
        <v>56273</v>
      </c>
      <c r="AT348" s="123">
        <f t="shared" si="747"/>
        <v>-2.6614767878463397E-7</v>
      </c>
      <c r="AU348" s="124">
        <v>0.13</v>
      </c>
      <c r="AV348" s="394" t="s">
        <v>2791</v>
      </c>
      <c r="AW348" s="15">
        <v>44939</v>
      </c>
      <c r="AX348" s="12" t="s">
        <v>206</v>
      </c>
      <c r="AZ348" s="8" t="e">
        <f>IF(VLOOKUP(LEFT($AB348,10),'Havi béradatok'!$B:$E,2,FALSE)=AG348,"EGYEZIK","HIBÁS")</f>
        <v>#N/A</v>
      </c>
      <c r="BA348" s="1" t="e">
        <f>VLOOKUP(LEFT($AB348,10),'Havi béradatok'!$B:$E,3,FALSE)-AM348</f>
        <v>#N/A</v>
      </c>
      <c r="BB348" s="1" t="e">
        <f>VLOOKUP(LEFT($AB348,10),'Havi béradatok'!$B:$E,4,FALSE)-AN348</f>
        <v>#N/A</v>
      </c>
      <c r="BC348" s="1" t="s">
        <v>2844</v>
      </c>
      <c r="BD348" s="1" t="str">
        <f t="shared" si="777"/>
        <v>Kutató_VM_3 - Kutató</v>
      </c>
    </row>
    <row r="349" spans="1:56" s="1" customFormat="1" hidden="1" x14ac:dyDescent="0.25">
      <c r="A349" s="264" t="str">
        <f>Bérköltség!$B349</f>
        <v>FEOR</v>
      </c>
      <c r="B349" s="264" t="str">
        <f>IFERROR(
IF(AND(Bérköltség!$F349="",H349="NA"),"HIÁNYOS ADATOK",
IF(Bérköltség!$F349&lt;Bérköltség!$U349,Admin!$B$18,Admin!$B$17)),
"")</f>
        <v>FEOR</v>
      </c>
      <c r="C349" s="265">
        <f>IFERROR(INDEX('Historikus berek_2021-2'!$A$1:$F$903,MATCH(AB349,'Historikus berek_2021-2'!$A$1:$A$903,0),4),"")</f>
        <v>316933.33333333331</v>
      </c>
      <c r="D349" s="279">
        <f t="shared" si="673"/>
        <v>158466.66666666666</v>
      </c>
      <c r="E349" s="265">
        <f t="shared" si="674"/>
        <v>200000</v>
      </c>
      <c r="F349" s="266">
        <f t="shared" si="675"/>
        <v>46932.666666666657</v>
      </c>
      <c r="G349" s="267">
        <f t="shared" si="676"/>
        <v>179067.33333333331</v>
      </c>
      <c r="H349" s="268">
        <f>IFERROR(INDEX('FEOR kodok'!$A$2:$J$1126,MATCH(Bérköltség!AB349,'FEOR kodok'!$B$2:$B$1126,0),8),"NA")</f>
        <v>2139</v>
      </c>
      <c r="I349" s="269">
        <f>IFERROR(INDEX('FEOR kodok'!$A$2:$J$1126,MATCH(Bérköltség!AB349,'FEOR kodok'!$B$2:$B$1126,0),10),"NA")</f>
        <v>40</v>
      </c>
      <c r="J349" s="276" t="str">
        <f t="shared" si="677"/>
        <v>40–49 éves</v>
      </c>
      <c r="K349" s="269" t="str">
        <f>IFERROR(INDEX(admin_feor[#All],MATCH(Bérköltség!H349,admin_feor[[#All],[Foglalkozás]],0),2),"NA")</f>
        <v>Egyéb, máshova nem sorolható mérnök</v>
      </c>
      <c r="L349" s="270">
        <f>IFERROR(
INDEX('Admin - FEOR'!$A$4:$F$465,MATCH(Bérköltség!H349,'Admin - FEOR'!$A$4:$A$465,0),
IF(J349="30 év alatt",3,
IF(J349="30–39 éves",4,
IF(J349="40–49 éves",5,
IF(J349="50 év és afelett",6
)))))*1,"NA")</f>
        <v>916594</v>
      </c>
      <c r="M349" s="270">
        <f t="shared" si="678"/>
        <v>400000</v>
      </c>
      <c r="N349" s="318">
        <f t="shared" si="679"/>
        <v>0.43639823084157214</v>
      </c>
      <c r="O349" s="270">
        <f>IFERROR(
INDEX('Admin - FEOR'!$A$4:$F$465,MATCH(Bérköltség!H349,'Admin - FEOR'!$A$4:$A$465,0),
IF(J349="30 év alatt",3,
IF(J349="30–39 éves",4,
IF(J349="40–49 éves",5,
IF(J349="50 év és afelett",6
)))))*1.5,"NA")</f>
        <v>1374891</v>
      </c>
      <c r="P349" s="270">
        <f t="shared" si="680"/>
        <v>687445.5</v>
      </c>
      <c r="Q349" s="270">
        <f t="shared" si="681"/>
        <v>200000</v>
      </c>
      <c r="R349" s="275">
        <f t="shared" si="682"/>
        <v>0.5</v>
      </c>
      <c r="S349" s="270">
        <f t="shared" si="683"/>
        <v>0</v>
      </c>
      <c r="T349" s="270">
        <f t="shared" si="684"/>
        <v>0</v>
      </c>
      <c r="U349" s="271">
        <f t="shared" si="685"/>
        <v>0</v>
      </c>
      <c r="V349" s="272">
        <f t="shared" si="686"/>
        <v>226000</v>
      </c>
      <c r="W349" s="273" t="str">
        <f t="shared" si="687"/>
        <v>Nem szükséges indoklás.</v>
      </c>
      <c r="X349" s="372">
        <f t="shared" si="688"/>
        <v>0</v>
      </c>
      <c r="Y349" s="317">
        <f t="shared" si="689"/>
        <v>200000</v>
      </c>
      <c r="Z349" s="317">
        <f t="shared" si="690"/>
        <v>26000</v>
      </c>
      <c r="AA349" s="12">
        <v>2</v>
      </c>
      <c r="AB349" s="274">
        <v>8426142613</v>
      </c>
      <c r="AC349" s="40" t="s">
        <v>247</v>
      </c>
      <c r="AD349" s="82" t="s">
        <v>75</v>
      </c>
      <c r="AE349" s="41" t="s">
        <v>52</v>
      </c>
      <c r="AF349" s="11" t="s">
        <v>151</v>
      </c>
      <c r="AG349" s="11" t="s">
        <v>170</v>
      </c>
      <c r="AH349" s="14" t="s">
        <v>122</v>
      </c>
      <c r="AI349" s="86" t="s">
        <v>25</v>
      </c>
      <c r="AJ349" s="113" t="str">
        <f>IF(COUNTIFS(Admin!$A$29:$A$40,AI349)&gt;0,Admin!$A$28,IF(COUNTIFS(Admin!$B$29:$B$40,AI349)&gt;0,Admin!$B$28,IF(COUNTIFS(Admin!$C$29:$C$40,AI349)&gt;0,Admin!$C$28,IF(COUNTIFS(Admin!$D$29:$D$40,AI349)&gt;0,Admin!$D$28,"-"))))</f>
        <v>2. mérföldkő</v>
      </c>
      <c r="AK349" s="14" t="s">
        <v>7</v>
      </c>
      <c r="AL349" s="9" t="s">
        <v>56</v>
      </c>
      <c r="AM349" s="131">
        <v>400000</v>
      </c>
      <c r="AN349" s="132">
        <f t="shared" si="748"/>
        <v>52000</v>
      </c>
      <c r="AO349" s="121">
        <v>174</v>
      </c>
      <c r="AP349" s="121">
        <v>87</v>
      </c>
      <c r="AQ349" s="354">
        <f t="shared" si="746"/>
        <v>0.5</v>
      </c>
      <c r="AR349" s="133">
        <f t="shared" si="214"/>
        <v>200000</v>
      </c>
      <c r="AS349" s="133">
        <f t="shared" si="500"/>
        <v>26000</v>
      </c>
      <c r="AT349" s="123">
        <f t="shared" si="747"/>
        <v>0</v>
      </c>
      <c r="AU349" s="124">
        <v>0.13</v>
      </c>
      <c r="AV349" s="394" t="s">
        <v>2792</v>
      </c>
      <c r="AW349" s="15">
        <v>44853</v>
      </c>
      <c r="AX349" s="12" t="s">
        <v>206</v>
      </c>
      <c r="AZ349" s="1" t="s">
        <v>2667</v>
      </c>
      <c r="BA349" s="1" t="s">
        <v>2667</v>
      </c>
      <c r="BB349" s="1" t="s">
        <v>2667</v>
      </c>
      <c r="BC349" s="1" t="s">
        <v>2845</v>
      </c>
      <c r="BD349" s="1" t="str">
        <f t="shared" si="777"/>
        <v>Kutató_BM_6 - Kutató</v>
      </c>
    </row>
    <row r="350" spans="1:56" s="1" customFormat="1" hidden="1" x14ac:dyDescent="0.25">
      <c r="A350" s="264" t="str">
        <f>Bérköltség!$B350</f>
        <v>FEOR</v>
      </c>
      <c r="B350" s="264" t="str">
        <f>IFERROR(
IF(AND(Bérköltség!$F350="",H350="NA"),"HIÁNYOS ADATOK",
IF(Bérköltség!$F350&lt;Bérköltség!$U350,Admin!$B$18,Admin!$B$17)),
"")</f>
        <v>FEOR</v>
      </c>
      <c r="C350" s="265">
        <f>IFERROR(INDEX('Historikus berek_2021-2'!$A$1:$F$903,MATCH(AB350,'Historikus berek_2021-2'!$A$1:$A$903,0),4),"")</f>
        <v>316933.33333333331</v>
      </c>
      <c r="D350" s="279">
        <f t="shared" si="673"/>
        <v>158466.66666666666</v>
      </c>
      <c r="E350" s="265">
        <f t="shared" si="674"/>
        <v>200000</v>
      </c>
      <c r="F350" s="266">
        <f t="shared" si="675"/>
        <v>46932.666666666657</v>
      </c>
      <c r="G350" s="267">
        <f t="shared" si="676"/>
        <v>179067.33333333331</v>
      </c>
      <c r="H350" s="268">
        <f>IFERROR(INDEX('FEOR kodok'!$A$2:$J$1126,MATCH(Bérköltség!AB350,'FEOR kodok'!$B$2:$B$1126,0),8),"NA")</f>
        <v>2139</v>
      </c>
      <c r="I350" s="269">
        <f>IFERROR(INDEX('FEOR kodok'!$A$2:$J$1126,MATCH(Bérköltség!AB350,'FEOR kodok'!$B$2:$B$1126,0),10),"NA")</f>
        <v>40</v>
      </c>
      <c r="J350" s="276" t="str">
        <f t="shared" si="677"/>
        <v>40–49 éves</v>
      </c>
      <c r="K350" s="269" t="str">
        <f>IFERROR(INDEX(admin_feor[#All],MATCH(Bérköltség!H350,admin_feor[[#All],[Foglalkozás]],0),2),"NA")</f>
        <v>Egyéb, máshova nem sorolható mérnök</v>
      </c>
      <c r="L350" s="270">
        <f>IFERROR(
INDEX('Admin - FEOR'!$A$4:$F$465,MATCH(Bérköltség!H350,'Admin - FEOR'!$A$4:$A$465,0),
IF(J350="30 év alatt",3,
IF(J350="30–39 éves",4,
IF(J350="40–49 éves",5,
IF(J350="50 év és afelett",6
)))))*1,"NA")</f>
        <v>916594</v>
      </c>
      <c r="M350" s="270">
        <f t="shared" si="678"/>
        <v>399999</v>
      </c>
      <c r="N350" s="318">
        <f t="shared" si="679"/>
        <v>0.43639713984599504</v>
      </c>
      <c r="O350" s="270">
        <f>IFERROR(
INDEX('Admin - FEOR'!$A$4:$F$465,MATCH(Bérköltség!H350,'Admin - FEOR'!$A$4:$A$465,0),
IF(J350="30 év alatt",3,
IF(J350="30–39 éves",4,
IF(J350="40–49 éves",5,
IF(J350="50 év és afelett",6
)))))*1.5,"NA")</f>
        <v>1374891</v>
      </c>
      <c r="P350" s="270">
        <f t="shared" si="680"/>
        <v>687445.5</v>
      </c>
      <c r="Q350" s="270">
        <f t="shared" si="681"/>
        <v>200000</v>
      </c>
      <c r="R350" s="275">
        <f t="shared" si="682"/>
        <v>0.5</v>
      </c>
      <c r="S350" s="270">
        <f t="shared" si="683"/>
        <v>0</v>
      </c>
      <c r="T350" s="270">
        <f t="shared" si="684"/>
        <v>0</v>
      </c>
      <c r="U350" s="271">
        <f t="shared" si="685"/>
        <v>0</v>
      </c>
      <c r="V350" s="272">
        <f t="shared" si="686"/>
        <v>226000</v>
      </c>
      <c r="W350" s="273" t="str">
        <f t="shared" si="687"/>
        <v>Nem szükséges indoklás.</v>
      </c>
      <c r="X350" s="372">
        <f t="shared" si="688"/>
        <v>0</v>
      </c>
      <c r="Y350" s="317">
        <f t="shared" si="689"/>
        <v>200000</v>
      </c>
      <c r="Z350" s="317">
        <f t="shared" si="690"/>
        <v>26000</v>
      </c>
      <c r="AA350" s="12">
        <v>2</v>
      </c>
      <c r="AB350" s="274">
        <v>8426142613</v>
      </c>
      <c r="AC350" s="40" t="s">
        <v>247</v>
      </c>
      <c r="AD350" s="82" t="s">
        <v>75</v>
      </c>
      <c r="AE350" s="41" t="s">
        <v>52</v>
      </c>
      <c r="AF350" s="11" t="s">
        <v>151</v>
      </c>
      <c r="AG350" s="11" t="s">
        <v>170</v>
      </c>
      <c r="AH350" s="14" t="s">
        <v>122</v>
      </c>
      <c r="AI350" s="86" t="s">
        <v>26</v>
      </c>
      <c r="AJ350" s="113" t="str">
        <f>IF(COUNTIFS(Admin!$A$29:$A$40,AI350)&gt;0,Admin!$A$28,IF(COUNTIFS(Admin!$B$29:$B$40,AI350)&gt;0,Admin!$B$28,IF(COUNTIFS(Admin!$C$29:$C$40,AI350)&gt;0,Admin!$C$28,IF(COUNTIFS(Admin!$D$29:$D$40,AI350)&gt;0,Admin!$D$28,"-"))))</f>
        <v>2. mérföldkő</v>
      </c>
      <c r="AK350" s="14" t="s">
        <v>7</v>
      </c>
      <c r="AL350" s="9" t="s">
        <v>56</v>
      </c>
      <c r="AM350" s="131">
        <v>399999</v>
      </c>
      <c r="AN350" s="132">
        <f t="shared" si="748"/>
        <v>52000</v>
      </c>
      <c r="AO350" s="121">
        <v>174</v>
      </c>
      <c r="AP350" s="121">
        <v>87</v>
      </c>
      <c r="AQ350" s="354">
        <f t="shared" si="746"/>
        <v>0.5</v>
      </c>
      <c r="AR350" s="133">
        <f t="shared" si="214"/>
        <v>200000</v>
      </c>
      <c r="AS350" s="133">
        <f t="shared" si="500"/>
        <v>26000</v>
      </c>
      <c r="AT350" s="123">
        <f t="shared" si="747"/>
        <v>-1.2500031250084476E-6</v>
      </c>
      <c r="AU350" s="124">
        <v>0.13</v>
      </c>
      <c r="AV350" s="394" t="s">
        <v>2792</v>
      </c>
      <c r="AW350" s="15">
        <v>44853</v>
      </c>
      <c r="AX350" s="12" t="s">
        <v>206</v>
      </c>
      <c r="AZ350" s="1" t="s">
        <v>2667</v>
      </c>
      <c r="BA350" s="1" t="s">
        <v>2668</v>
      </c>
      <c r="BB350" s="1" t="s">
        <v>2668</v>
      </c>
      <c r="BC350" s="1" t="s">
        <v>2845</v>
      </c>
      <c r="BD350" s="1" t="str">
        <f t="shared" si="777"/>
        <v>Kutató_BM_6 - Kutató</v>
      </c>
    </row>
    <row r="351" spans="1:56" s="1" customFormat="1" hidden="1" x14ac:dyDescent="0.25">
      <c r="A351" s="264" t="str">
        <f>Bérköltség!$B351</f>
        <v>FEOR</v>
      </c>
      <c r="B351" s="264" t="str">
        <f>IFERROR(
IF(AND(Bérköltség!$F351="",H351="NA"),"HIÁNYOS ADATOK",
IF(Bérköltség!$F351&lt;Bérköltség!$U351,Admin!$B$18,Admin!$B$17)),
"")</f>
        <v>FEOR</v>
      </c>
      <c r="C351" s="265">
        <f>IFERROR(INDEX('Historikus berek_2021-2'!$A$1:$F$903,MATCH(AB351,'Historikus berek_2021-2'!$A$1:$A$903,0),4),"")</f>
        <v>316933.33333333331</v>
      </c>
      <c r="D351" s="279">
        <f t="shared" si="673"/>
        <v>158466.66666666666</v>
      </c>
      <c r="E351" s="265">
        <f t="shared" si="674"/>
        <v>230000</v>
      </c>
      <c r="F351" s="266">
        <f t="shared" si="675"/>
        <v>80832.666666666657</v>
      </c>
      <c r="G351" s="267">
        <f t="shared" si="676"/>
        <v>179067.33333333331</v>
      </c>
      <c r="H351" s="268">
        <f>IFERROR(INDEX('FEOR kodok'!$A$2:$J$1126,MATCH(Bérköltség!AB351,'FEOR kodok'!$B$2:$B$1126,0),8),"NA")</f>
        <v>2139</v>
      </c>
      <c r="I351" s="269">
        <f>IFERROR(INDEX('FEOR kodok'!$A$2:$J$1126,MATCH(Bérköltség!AB351,'FEOR kodok'!$B$2:$B$1126,0),10),"NA")</f>
        <v>40</v>
      </c>
      <c r="J351" s="276" t="str">
        <f t="shared" si="677"/>
        <v>40–49 éves</v>
      </c>
      <c r="K351" s="269" t="str">
        <f>IFERROR(INDEX(admin_feor[#All],MATCH(Bérköltség!H351,admin_feor[[#All],[Foglalkozás]],0),2),"NA")</f>
        <v>Egyéb, máshova nem sorolható mérnök</v>
      </c>
      <c r="L351" s="270">
        <f>IFERROR(
INDEX('Admin - FEOR'!$A$4:$F$465,MATCH(Bérköltség!H351,'Admin - FEOR'!$A$4:$A$465,0),
IF(J351="30 év alatt",3,
IF(J351="30–39 éves",4,
IF(J351="40–49 éves",5,
IF(J351="50 év és afelett",6
)))))*1,"NA")</f>
        <v>916594</v>
      </c>
      <c r="M351" s="270">
        <f t="shared" si="678"/>
        <v>460000</v>
      </c>
      <c r="N351" s="318">
        <f t="shared" si="679"/>
        <v>0.50185796546780803</v>
      </c>
      <c r="O351" s="270">
        <f>IFERROR(
INDEX('Admin - FEOR'!$A$4:$F$465,MATCH(Bérköltség!H351,'Admin - FEOR'!$A$4:$A$465,0),
IF(J351="30 év alatt",3,
IF(J351="30–39 éves",4,
IF(J351="40–49 éves",5,
IF(J351="50 év és afelett",6
)))))*1.5,"NA")</f>
        <v>1374891</v>
      </c>
      <c r="P351" s="270">
        <f t="shared" si="680"/>
        <v>687445.5</v>
      </c>
      <c r="Q351" s="270">
        <f t="shared" si="681"/>
        <v>230000</v>
      </c>
      <c r="R351" s="275">
        <f t="shared" si="682"/>
        <v>0.5</v>
      </c>
      <c r="S351" s="270">
        <f t="shared" si="683"/>
        <v>0</v>
      </c>
      <c r="T351" s="270">
        <f t="shared" si="684"/>
        <v>0</v>
      </c>
      <c r="U351" s="271">
        <f t="shared" si="685"/>
        <v>0</v>
      </c>
      <c r="V351" s="272">
        <f t="shared" si="686"/>
        <v>259900</v>
      </c>
      <c r="W351" s="273" t="str">
        <f t="shared" si="687"/>
        <v>Nem szükséges indoklás.</v>
      </c>
      <c r="X351" s="372">
        <f t="shared" si="688"/>
        <v>0</v>
      </c>
      <c r="Y351" s="317">
        <f t="shared" si="689"/>
        <v>230000</v>
      </c>
      <c r="Z351" s="317">
        <f t="shared" si="690"/>
        <v>29900</v>
      </c>
      <c r="AA351" s="12">
        <v>2</v>
      </c>
      <c r="AB351" s="274">
        <v>8426142613</v>
      </c>
      <c r="AC351" s="40" t="s">
        <v>247</v>
      </c>
      <c r="AD351" s="82" t="s">
        <v>75</v>
      </c>
      <c r="AE351" s="41" t="s">
        <v>52</v>
      </c>
      <c r="AF351" s="11" t="s">
        <v>151</v>
      </c>
      <c r="AG351" s="11" t="s">
        <v>170</v>
      </c>
      <c r="AH351" s="14" t="s">
        <v>122</v>
      </c>
      <c r="AI351" s="86" t="s">
        <v>32</v>
      </c>
      <c r="AJ351" s="113" t="str">
        <f>IF(COUNTIFS(Admin!$A$29:$A$40,AI351)&gt;0,Admin!$A$28,IF(COUNTIFS(Admin!$B$29:$B$40,AI351)&gt;0,Admin!$B$28,IF(COUNTIFS(Admin!$C$29:$C$40,AI351)&gt;0,Admin!$C$28,IF(COUNTIFS(Admin!$D$29:$D$40,AI351)&gt;0,Admin!$D$28,"-"))))</f>
        <v>2. mérföldkő</v>
      </c>
      <c r="AK351" s="14" t="s">
        <v>7</v>
      </c>
      <c r="AL351" s="9" t="s">
        <v>56</v>
      </c>
      <c r="AM351" s="131">
        <v>460000</v>
      </c>
      <c r="AN351" s="132">
        <f t="shared" si="748"/>
        <v>59800</v>
      </c>
      <c r="AO351" s="121">
        <v>174</v>
      </c>
      <c r="AP351" s="121">
        <v>87</v>
      </c>
      <c r="AQ351" s="354">
        <f t="shared" si="746"/>
        <v>0.5</v>
      </c>
      <c r="AR351" s="133">
        <f t="shared" si="214"/>
        <v>230000</v>
      </c>
      <c r="AS351" s="133">
        <f t="shared" si="500"/>
        <v>29900</v>
      </c>
      <c r="AT351" s="123">
        <f t="shared" si="747"/>
        <v>0</v>
      </c>
      <c r="AU351" s="124">
        <v>0.13</v>
      </c>
      <c r="AV351" s="394" t="s">
        <v>2792</v>
      </c>
      <c r="AW351" s="15">
        <v>44853</v>
      </c>
      <c r="AX351" s="12" t="s">
        <v>206</v>
      </c>
      <c r="AZ351" s="1" t="s">
        <v>2667</v>
      </c>
      <c r="BA351" s="1">
        <v>1</v>
      </c>
      <c r="BB351" s="1">
        <v>59800</v>
      </c>
      <c r="BC351" s="1" t="s">
        <v>2845</v>
      </c>
      <c r="BD351" s="1" t="str">
        <f t="shared" si="777"/>
        <v>Kutató_BM_6 - Kutató</v>
      </c>
    </row>
    <row r="352" spans="1:56" s="1" customFormat="1" hidden="1" x14ac:dyDescent="0.25">
      <c r="A352" s="264" t="str">
        <f>Bérköltség!$B352</f>
        <v>FEOR</v>
      </c>
      <c r="B352" s="264" t="str">
        <f>IFERROR(
IF(AND(Bérköltség!$F352="",H352="NA"),"HIÁNYOS ADATOK",
IF(Bérköltség!$F352&lt;Bérköltség!$U352,Admin!$B$18,Admin!$B$17)),
"")</f>
        <v>FEOR</v>
      </c>
      <c r="C352" s="265">
        <f>IFERROR(INDEX('Historikus berek_2021-2'!$A$1:$F$903,MATCH(AB352,'Historikus berek_2021-2'!$A$1:$A$903,0),4),"")</f>
        <v>316933.33333333331</v>
      </c>
      <c r="D352" s="279">
        <f t="shared" si="673"/>
        <v>138430.65134099618</v>
      </c>
      <c r="E352" s="265">
        <f t="shared" si="674"/>
        <v>200920</v>
      </c>
      <c r="F352" s="266">
        <f t="shared" si="675"/>
        <v>70612.963984674308</v>
      </c>
      <c r="G352" s="267">
        <f t="shared" si="676"/>
        <v>156426.63601532567</v>
      </c>
      <c r="H352" s="268">
        <f>IFERROR(INDEX('FEOR kodok'!$A$2:$J$1126,MATCH(Bérköltség!AB352,'FEOR kodok'!$B$2:$B$1126,0),8),"NA")</f>
        <v>2139</v>
      </c>
      <c r="I352" s="269">
        <f>IFERROR(INDEX('FEOR kodok'!$A$2:$J$1126,MATCH(Bérköltség!AB352,'FEOR kodok'!$B$2:$B$1126,0),10),"NA")</f>
        <v>40</v>
      </c>
      <c r="J352" s="276" t="str">
        <f t="shared" si="677"/>
        <v>40–49 éves</v>
      </c>
      <c r="K352" s="269" t="str">
        <f>IFERROR(INDEX(admin_feor[#All],MATCH(Bérköltség!H352,admin_feor[[#All],[Foglalkozás]],0),2),"NA")</f>
        <v>Egyéb, máshova nem sorolható mérnök</v>
      </c>
      <c r="L352" s="270">
        <f>IFERROR(
INDEX('Admin - FEOR'!$A$4:$F$465,MATCH(Bérköltség!H352,'Admin - FEOR'!$A$4:$A$465,0),
IF(J352="30 év alatt",3,
IF(J352="30–39 éves",4,
IF(J352="40–49 éves",5,
IF(J352="50 év és afelett",6
)))))*1,"NA")</f>
        <v>916594</v>
      </c>
      <c r="M352" s="270">
        <f t="shared" si="678"/>
        <v>460000</v>
      </c>
      <c r="N352" s="318">
        <f t="shared" si="679"/>
        <v>0.50185796546780803</v>
      </c>
      <c r="O352" s="270">
        <f>IFERROR(
INDEX('Admin - FEOR'!$A$4:$F$465,MATCH(Bérköltség!H352,'Admin - FEOR'!$A$4:$A$465,0),
IF(J352="30 év alatt",3,
IF(J352="30–39 éves",4,
IF(J352="40–49 éves",5,
IF(J352="50 év és afelett",6
)))))*1.5,"NA")</f>
        <v>1374891</v>
      </c>
      <c r="P352" s="270">
        <f t="shared" si="680"/>
        <v>600527.10344827594</v>
      </c>
      <c r="Q352" s="270">
        <f t="shared" si="681"/>
        <v>200920</v>
      </c>
      <c r="R352" s="275">
        <f t="shared" si="682"/>
        <v>0.43678160919540232</v>
      </c>
      <c r="S352" s="270">
        <f t="shared" si="683"/>
        <v>0</v>
      </c>
      <c r="T352" s="270">
        <f t="shared" si="684"/>
        <v>0</v>
      </c>
      <c r="U352" s="271">
        <f t="shared" si="685"/>
        <v>0</v>
      </c>
      <c r="V352" s="272">
        <f t="shared" si="686"/>
        <v>227040</v>
      </c>
      <c r="W352" s="273" t="str">
        <f t="shared" si="687"/>
        <v>Nem szükséges indoklás.</v>
      </c>
      <c r="X352" s="372">
        <f t="shared" si="688"/>
        <v>0</v>
      </c>
      <c r="Y352" s="317">
        <f t="shared" si="689"/>
        <v>200920</v>
      </c>
      <c r="Z352" s="317">
        <f t="shared" si="690"/>
        <v>26120</v>
      </c>
      <c r="AA352" s="12">
        <v>2</v>
      </c>
      <c r="AB352" s="274">
        <v>8426142613</v>
      </c>
      <c r="AC352" s="40" t="s">
        <v>247</v>
      </c>
      <c r="AD352" s="82" t="s">
        <v>75</v>
      </c>
      <c r="AE352" s="41" t="s">
        <v>52</v>
      </c>
      <c r="AF352" s="11" t="s">
        <v>151</v>
      </c>
      <c r="AG352" s="11" t="s">
        <v>170</v>
      </c>
      <c r="AH352" s="14" t="s">
        <v>122</v>
      </c>
      <c r="AI352" s="86" t="s">
        <v>33</v>
      </c>
      <c r="AJ352" s="113" t="str">
        <f>IF(COUNTIFS(Admin!$A$29:$A$40,AI352)&gt;0,Admin!$A$28,IF(COUNTIFS(Admin!$B$29:$B$40,AI352)&gt;0,Admin!$B$28,IF(COUNTIFS(Admin!$C$29:$C$40,AI352)&gt;0,Admin!$C$28,IF(COUNTIFS(Admin!$D$29:$D$40,AI352)&gt;0,Admin!$D$28,"-"))))</f>
        <v>2. mérföldkő</v>
      </c>
      <c r="AK352" s="14" t="s">
        <v>7</v>
      </c>
      <c r="AL352" s="9" t="s">
        <v>56</v>
      </c>
      <c r="AM352" s="131">
        <v>460000</v>
      </c>
      <c r="AN352" s="132">
        <f t="shared" si="748"/>
        <v>59800</v>
      </c>
      <c r="AO352" s="121">
        <v>174</v>
      </c>
      <c r="AP352" s="121">
        <v>76</v>
      </c>
      <c r="AQ352" s="354">
        <f t="shared" si="746"/>
        <v>0.43678160919540232</v>
      </c>
      <c r="AR352" s="133">
        <f t="shared" si="214"/>
        <v>200920</v>
      </c>
      <c r="AS352" s="133">
        <f t="shared" si="500"/>
        <v>26120</v>
      </c>
      <c r="AT352" s="123">
        <f t="shared" si="747"/>
        <v>-9.9950024984307717E-7</v>
      </c>
      <c r="AU352" s="124">
        <v>0.13</v>
      </c>
      <c r="AV352" s="394" t="s">
        <v>2792</v>
      </c>
      <c r="AW352" s="15">
        <v>44938</v>
      </c>
      <c r="AX352" s="12" t="s">
        <v>206</v>
      </c>
      <c r="AZ352" s="8" t="str">
        <f>IF(VLOOKUP(LEFT($AB352,10),'Havi béradatok'!$B:$E,2,FALSE)=AG352,"EGYEZIK","HIBÁS")</f>
        <v>EGYEZIK</v>
      </c>
      <c r="BA352" s="1">
        <f>VLOOKUP(LEFT($AB352,10),'Havi béradatok'!$B:$E,3,FALSE)-AM352</f>
        <v>0</v>
      </c>
      <c r="BB352" s="1">
        <f>VLOOKUP(LEFT($AB352,10),'Havi béradatok'!$B:$E,4,FALSE)-AN352</f>
        <v>0</v>
      </c>
      <c r="BC352" s="1" t="s">
        <v>2845</v>
      </c>
      <c r="BD352" s="1" t="str">
        <f t="shared" si="777"/>
        <v>Kutató_BM_6 - Kutató</v>
      </c>
    </row>
    <row r="353" spans="1:56" s="1" customFormat="1" hidden="1" x14ac:dyDescent="0.25">
      <c r="A353" s="264" t="str">
        <f>Bérköltség!$B353</f>
        <v>FEOR</v>
      </c>
      <c r="B353" s="264" t="str">
        <f>IFERROR(
IF(AND(Bérköltség!$F353="",H353="NA"),"HIÁNYOS ADATOK",
IF(Bérköltség!$F353&lt;Bérköltség!$U353,Admin!$B$18,Admin!$B$17)),
"")</f>
        <v>FEOR</v>
      </c>
      <c r="C353" s="265">
        <f>IFERROR(INDEX('Historikus berek_2021-2'!$A$1:$F$903,MATCH(AB353,'Historikus berek_2021-2'!$A$1:$A$903,0),4),"")</f>
        <v>316933.33333333331</v>
      </c>
      <c r="D353" s="279">
        <f t="shared" si="673"/>
        <v>138430.65134099618</v>
      </c>
      <c r="E353" s="265">
        <f t="shared" si="674"/>
        <v>200920</v>
      </c>
      <c r="F353" s="266">
        <f t="shared" si="675"/>
        <v>70612.963984674308</v>
      </c>
      <c r="G353" s="267">
        <f t="shared" si="676"/>
        <v>156426.63601532567</v>
      </c>
      <c r="H353" s="268">
        <f>IFERROR(INDEX('FEOR kodok'!$A$2:$J$1126,MATCH(Bérköltség!AB353,'FEOR kodok'!$B$2:$B$1126,0),8),"NA")</f>
        <v>2139</v>
      </c>
      <c r="I353" s="269">
        <f>IFERROR(INDEX('FEOR kodok'!$A$2:$J$1126,MATCH(Bérköltség!AB353,'FEOR kodok'!$B$2:$B$1126,0),10),"NA")</f>
        <v>40</v>
      </c>
      <c r="J353" s="276" t="str">
        <f t="shared" si="677"/>
        <v>40–49 éves</v>
      </c>
      <c r="K353" s="269" t="str">
        <f>IFERROR(INDEX(admin_feor[#All],MATCH(Bérköltség!H353,admin_feor[[#All],[Foglalkozás]],0),2),"NA")</f>
        <v>Egyéb, máshova nem sorolható mérnök</v>
      </c>
      <c r="L353" s="270">
        <f>IFERROR(
INDEX('Admin - FEOR'!$A$4:$F$465,MATCH(Bérköltség!H353,'Admin - FEOR'!$A$4:$A$465,0),
IF(J353="30 év alatt",3,
IF(J353="30–39 éves",4,
IF(J353="40–49 éves",5,
IF(J353="50 év és afelett",6
)))))*1,"NA")</f>
        <v>916594</v>
      </c>
      <c r="M353" s="270">
        <f t="shared" si="678"/>
        <v>460000</v>
      </c>
      <c r="N353" s="318">
        <f t="shared" si="679"/>
        <v>0.50185796546780803</v>
      </c>
      <c r="O353" s="270">
        <f>IFERROR(
INDEX('Admin - FEOR'!$A$4:$F$465,MATCH(Bérköltség!H353,'Admin - FEOR'!$A$4:$A$465,0),
IF(J353="30 év alatt",3,
IF(J353="30–39 éves",4,
IF(J353="40–49 éves",5,
IF(J353="50 év és afelett",6
)))))*1.5,"NA")</f>
        <v>1374891</v>
      </c>
      <c r="P353" s="270">
        <f t="shared" si="680"/>
        <v>600527.10344827594</v>
      </c>
      <c r="Q353" s="270">
        <f t="shared" si="681"/>
        <v>200920</v>
      </c>
      <c r="R353" s="275">
        <f t="shared" si="682"/>
        <v>0.43678160919540232</v>
      </c>
      <c r="S353" s="270">
        <f t="shared" si="683"/>
        <v>0</v>
      </c>
      <c r="T353" s="270">
        <f t="shared" si="684"/>
        <v>0</v>
      </c>
      <c r="U353" s="271">
        <f t="shared" si="685"/>
        <v>0</v>
      </c>
      <c r="V353" s="272">
        <f t="shared" si="686"/>
        <v>227040</v>
      </c>
      <c r="W353" s="273" t="str">
        <f t="shared" si="687"/>
        <v>Nem szükséges indoklás.</v>
      </c>
      <c r="X353" s="372">
        <f t="shared" si="688"/>
        <v>0</v>
      </c>
      <c r="Y353" s="317">
        <f t="shared" si="689"/>
        <v>200920</v>
      </c>
      <c r="Z353" s="317">
        <f t="shared" si="690"/>
        <v>26120</v>
      </c>
      <c r="AA353" s="12">
        <v>2</v>
      </c>
      <c r="AB353" s="274">
        <v>8426142613</v>
      </c>
      <c r="AC353" s="40" t="s">
        <v>247</v>
      </c>
      <c r="AD353" s="82" t="s">
        <v>75</v>
      </c>
      <c r="AE353" s="41" t="s">
        <v>52</v>
      </c>
      <c r="AF353" s="11" t="s">
        <v>151</v>
      </c>
      <c r="AG353" s="11" t="s">
        <v>170</v>
      </c>
      <c r="AH353" s="14" t="s">
        <v>122</v>
      </c>
      <c r="AI353" s="86" t="s">
        <v>34</v>
      </c>
      <c r="AJ353" s="113" t="str">
        <f>IF(COUNTIFS(Admin!$A$29:$A$40,AI353)&gt;0,Admin!$A$28,IF(COUNTIFS(Admin!$B$29:$B$40,AI353)&gt;0,Admin!$B$28,IF(COUNTIFS(Admin!$C$29:$C$40,AI353)&gt;0,Admin!$C$28,IF(COUNTIFS(Admin!$D$29:$D$40,AI353)&gt;0,Admin!$D$28,"-"))))</f>
        <v>2. mérföldkő</v>
      </c>
      <c r="AK353" s="14" t="s">
        <v>7</v>
      </c>
      <c r="AL353" s="9" t="s">
        <v>56</v>
      </c>
      <c r="AM353" s="131">
        <v>460000</v>
      </c>
      <c r="AN353" s="132">
        <f t="shared" si="748"/>
        <v>59800</v>
      </c>
      <c r="AO353" s="121">
        <v>174</v>
      </c>
      <c r="AP353" s="121">
        <v>76</v>
      </c>
      <c r="AQ353" s="354">
        <f t="shared" si="746"/>
        <v>0.43678160919540232</v>
      </c>
      <c r="AR353" s="133">
        <f t="shared" si="214"/>
        <v>200920</v>
      </c>
      <c r="AS353" s="133">
        <f t="shared" si="500"/>
        <v>26120</v>
      </c>
      <c r="AT353" s="123">
        <f t="shared" si="747"/>
        <v>-9.9950024984307717E-7</v>
      </c>
      <c r="AU353" s="124">
        <v>0.13</v>
      </c>
      <c r="AV353" s="394" t="s">
        <v>2792</v>
      </c>
      <c r="AW353" s="15">
        <v>44938</v>
      </c>
      <c r="AX353" s="12" t="s">
        <v>206</v>
      </c>
      <c r="BC353" s="1" t="s">
        <v>2845</v>
      </c>
      <c r="BD353" s="1" t="str">
        <f t="shared" si="777"/>
        <v>Kutató_BM_6 - Kutató</v>
      </c>
    </row>
    <row r="354" spans="1:56" s="1" customFormat="1" x14ac:dyDescent="0.25">
      <c r="A354" s="264" t="str">
        <f>Bérköltség!$B354</f>
        <v>FEOR</v>
      </c>
      <c r="B354" s="264" t="str">
        <f>IFERROR(
IF(AND(Bérköltség!$F354="",H354="NA"),"HIÁNYOS ADATOK",
IF(Bérköltség!$F354&lt;Bérköltség!$U354,Admin!$B$18,Admin!$B$17)),
"")</f>
        <v>FEOR</v>
      </c>
      <c r="C354" s="265">
        <f>IFERROR(INDEX('Historikus berek_2021-2'!$A$1:$F$903,MATCH(AB354,'Historikus berek_2021-2'!$A$1:$A$903,0),4),"")</f>
        <v>316933.33333333331</v>
      </c>
      <c r="D354" s="279">
        <f t="shared" ref="D354:D359" si="783">IFERROR(C354*AQ354,"")</f>
        <v>158466.66666666666</v>
      </c>
      <c r="E354" s="265">
        <f t="shared" ref="E354:E359" si="784">AR354</f>
        <v>230000</v>
      </c>
      <c r="F354" s="266">
        <f t="shared" ref="F354:F359" si="785">IFERROR(IF((E354*(1+AU354)-D354*(1+AU354))&lt;0,0,(E354*(1+AU354)-D354*(1+AU354))),"")</f>
        <v>80832.666666666657</v>
      </c>
      <c r="G354" s="267">
        <f t="shared" ref="G354:G359" si="786">IFERROR((E354*(1+AU354)-F354),"")</f>
        <v>179067.33333333331</v>
      </c>
      <c r="H354" s="268">
        <f>IFERROR(INDEX('FEOR kodok'!$A$2:$J$1126,MATCH(Bérköltség!AB354,'FEOR kodok'!$B$2:$B$1126,0),8),"NA")</f>
        <v>2139</v>
      </c>
      <c r="I354" s="269">
        <f>IFERROR(INDEX('FEOR kodok'!$A$2:$J$1126,MATCH(Bérköltség!AB354,'FEOR kodok'!$B$2:$B$1126,0),10),"NA")</f>
        <v>40</v>
      </c>
      <c r="J354" s="276" t="str">
        <f t="shared" ref="J354:J359" si="787">IF(I354="NA","NA",
IF(I354&lt;30,"30 év alatt",
IF(AND(I354&gt;=30,I354&lt;=39),"30–39 éves",
IF(AND(I354&gt;=40,I354&lt;=49),"40–49 éves",
IF(I354&gt;=50,"50 év és afelett",
"")))))</f>
        <v>40–49 éves</v>
      </c>
      <c r="K354" s="269" t="str">
        <f>IFERROR(INDEX(admin_feor[#All],MATCH(Bérköltség!H354,admin_feor[[#All],[Foglalkozás]],0),2),"NA")</f>
        <v>Egyéb, máshova nem sorolható mérnök</v>
      </c>
      <c r="L354" s="270">
        <f>IFERROR(
INDEX('Admin - FEOR'!$A$4:$F$465,MATCH(Bérköltség!H354,'Admin - FEOR'!$A$4:$A$465,0),
IF(J354="30 év alatt",3,
IF(J354="30–39 éves",4,
IF(J354="40–49 éves",5,
IF(J354="50 év és afelett",6
)))))*1,"NA")</f>
        <v>916594</v>
      </c>
      <c r="M354" s="270">
        <f t="shared" ref="M354:M359" si="788">AM354</f>
        <v>460000</v>
      </c>
      <c r="N354" s="318">
        <f t="shared" ref="N354:N359" si="789">IFERROR(
M354/L354,"NA")</f>
        <v>0.50185796546780803</v>
      </c>
      <c r="O354" s="270">
        <f>IFERROR(
INDEX('Admin - FEOR'!$A$4:$F$465,MATCH(Bérköltség!H354,'Admin - FEOR'!$A$4:$A$465,0),
IF(J354="30 év alatt",3,
IF(J354="30–39 éves",4,
IF(J354="40–49 éves",5,
IF(J354="50 év és afelett",6
)))))*1.5,"NA")</f>
        <v>1374891</v>
      </c>
      <c r="P354" s="270">
        <f t="shared" ref="P354:P359" si="790">IFERROR(
AQ354*O354,"NA")</f>
        <v>687445.5</v>
      </c>
      <c r="Q354" s="270">
        <f t="shared" ref="Q354:Q359" si="791">IFERROR(AR354,"")</f>
        <v>230000</v>
      </c>
      <c r="R354" s="275">
        <f t="shared" ref="R354:R359" si="792">IFERROR(AQ354,"")</f>
        <v>0.5</v>
      </c>
      <c r="S354" s="270">
        <f t="shared" ref="S354:S359" si="793">IFERROR(
IF(AR354-P354&lt;0,0,AR354-P354),"NA")</f>
        <v>0</v>
      </c>
      <c r="T354" s="270">
        <f t="shared" ref="T354:T359" si="794">IFERROR(
S354*AU354,"NA")</f>
        <v>0</v>
      </c>
      <c r="U354" s="271">
        <f t="shared" ref="U354:U359" si="795">IFERROR(
S354+T354,"NA")</f>
        <v>0</v>
      </c>
      <c r="V354" s="272">
        <f t="shared" ref="V354:V359" si="796">IFERROR(
IF(U354&gt;0,AR354+AS354-U354,AR354+AS354),"NA")</f>
        <v>259900</v>
      </c>
      <c r="W354" s="273" t="str">
        <f t="shared" ref="W354:W359" si="797">IF(P354="NA","FEOR hiányzik",
IF(AND(N354&gt;1,A354="FEOR"),CONCATENATE("Indoklás szükséges mivel a FEOR: ",ROUND(N354*100,1),"%"),"Nem szükséges indoklás.")
)</f>
        <v>Nem szükséges indoklás.</v>
      </c>
      <c r="X354" s="372">
        <f t="shared" ref="X354:X359" si="798">IF(A354="FEOR",U354,IF(A354="HIÁNYOS ADATOK","HIÁNYOS ADATOK",F354))</f>
        <v>0</v>
      </c>
      <c r="Y354" s="317">
        <f t="shared" ref="Y354:Y359" si="799">IF(A354="FEOR",ROUND((V354/(1+AU354)),0),IF(A354="HIÁNYOS ADATOK","HIÁNYOS ADATOK",ROUND(G354/(1+AU354),0)))</f>
        <v>230000</v>
      </c>
      <c r="Z354" s="317">
        <f t="shared" ref="Z354:Z359" si="800">IF(A354="FEOR",ROUND((V354-Y354),0),IF(A354="HIÁNYOS ADATOK","HIÁNYOS ADATOK",ROUND((G354-Y354),0)))</f>
        <v>29900</v>
      </c>
      <c r="AA354" s="36"/>
      <c r="AB354" s="274">
        <v>8426142613</v>
      </c>
      <c r="AC354" s="40" t="s">
        <v>247</v>
      </c>
      <c r="AD354" s="82" t="s">
        <v>75</v>
      </c>
      <c r="AE354" s="41" t="s">
        <v>52</v>
      </c>
      <c r="AF354" s="11" t="s">
        <v>151</v>
      </c>
      <c r="AG354" s="11" t="s">
        <v>170</v>
      </c>
      <c r="AH354" s="14" t="s">
        <v>122</v>
      </c>
      <c r="AI354" s="86" t="s">
        <v>35</v>
      </c>
      <c r="AJ354" s="113" t="str">
        <f>IF(COUNTIFS(Admin!$A$29:$A$40,AI354)&gt;0,Admin!$A$28,IF(COUNTIFS(Admin!$B$29:$B$40,AI354)&gt;0,Admin!$B$28,IF(COUNTIFS(Admin!$C$29:$C$40,AI354)&gt;0,Admin!$C$28,IF(COUNTIFS(Admin!$D$29:$D$40,AI354)&gt;0,Admin!$D$28,"-"))))</f>
        <v>3. mérföldkő</v>
      </c>
      <c r="AK354" s="14" t="s">
        <v>7</v>
      </c>
      <c r="AL354" s="9" t="s">
        <v>56</v>
      </c>
      <c r="AM354" s="131">
        <v>460000</v>
      </c>
      <c r="AN354" s="132">
        <f t="shared" ref="AN354" si="801">IFERROR(ROUND(AM354*AU354,0),"")</f>
        <v>59800</v>
      </c>
      <c r="AO354" s="121">
        <v>174</v>
      </c>
      <c r="AP354" s="121">
        <v>87</v>
      </c>
      <c r="AQ354" s="354">
        <f t="shared" ref="AQ354" si="802">IFERROR(AP354/AO354,"")</f>
        <v>0.5</v>
      </c>
      <c r="AR354" s="133">
        <f t="shared" ref="AR354" si="803">IFERROR(ROUND(AM354*AP354/AO354,0),"")</f>
        <v>230000</v>
      </c>
      <c r="AS354" s="133">
        <f t="shared" ref="AS354" si="804">IFERROR(ROUND(AR354*AU354,0),"")</f>
        <v>29900</v>
      </c>
      <c r="AT354" s="123">
        <f t="shared" ref="AT354" si="805">IFERROR(AP354/AO354-AR354/AM354,"")</f>
        <v>0</v>
      </c>
      <c r="AU354" s="124">
        <v>0.13</v>
      </c>
      <c r="AV354" s="394" t="s">
        <v>2792</v>
      </c>
      <c r="AW354" s="15">
        <v>44995</v>
      </c>
      <c r="AX354" s="12" t="s">
        <v>206</v>
      </c>
      <c r="AZ354" s="1" t="str">
        <f>IF(VLOOKUP(LEFT($AB354,10),'Havi béradatok'!$B:$E,2,FALSE)=AG354,"EGYEZIK","HIBÁS")</f>
        <v>EGYEZIK</v>
      </c>
      <c r="BA354" s="1">
        <f>VLOOKUP(LEFT($AB354,10),'Havi béradatok'!$B:$E,3,FALSE)-AM354</f>
        <v>0</v>
      </c>
      <c r="BB354" s="1">
        <f>VLOOKUP(LEFT($AB354,10),'Havi béradatok'!$B:$E,4,FALSE)-AN354</f>
        <v>0</v>
      </c>
      <c r="BC354" s="400" t="s">
        <v>2845</v>
      </c>
      <c r="BD354" s="400"/>
    </row>
    <row r="355" spans="1:56" s="1" customFormat="1" hidden="1" x14ac:dyDescent="0.25">
      <c r="A355" s="264" t="str">
        <f>Bérköltség!$B355</f>
        <v>FEOR</v>
      </c>
      <c r="B355" s="264" t="str">
        <f>IFERROR(
IF(AND(Bérköltség!$F355="",H355="NA"),"HIÁNYOS ADATOK",
IF(Bérköltség!$F355&lt;Bérköltség!$U355,Admin!$B$18,Admin!$B$17)),
"")</f>
        <v>FEOR</v>
      </c>
      <c r="C355" s="265">
        <f>IFERROR(INDEX('Historikus berek_2021-2'!$A$1:$F$903,MATCH(AB355,'Historikus berek_2021-2'!$A$1:$A$903,0),4),"")</f>
        <v>316933.33333333331</v>
      </c>
      <c r="D355" s="279">
        <f t="shared" si="783"/>
        <v>158466.66666666666</v>
      </c>
      <c r="E355" s="265">
        <f t="shared" si="784"/>
        <v>230000</v>
      </c>
      <c r="F355" s="266">
        <f t="shared" si="785"/>
        <v>80832.666666666657</v>
      </c>
      <c r="G355" s="267">
        <f t="shared" si="786"/>
        <v>179067.33333333331</v>
      </c>
      <c r="H355" s="268">
        <f>IFERROR(INDEX('FEOR kodok'!$A$2:$J$1126,MATCH(Bérköltség!AB355,'FEOR kodok'!$B$2:$B$1126,0),8),"NA")</f>
        <v>2139</v>
      </c>
      <c r="I355" s="269">
        <f>IFERROR(INDEX('FEOR kodok'!$A$2:$J$1126,MATCH(Bérköltség!AB355,'FEOR kodok'!$B$2:$B$1126,0),10),"NA")</f>
        <v>40</v>
      </c>
      <c r="J355" s="276" t="str">
        <f t="shared" si="787"/>
        <v>40–49 éves</v>
      </c>
      <c r="K355" s="269" t="str">
        <f>IFERROR(INDEX(admin_feor[#All],MATCH(Bérköltség!H355,admin_feor[[#All],[Foglalkozás]],0),2),"NA")</f>
        <v>Egyéb, máshova nem sorolható mérnök</v>
      </c>
      <c r="L355" s="270">
        <f>IFERROR(
INDEX('Admin - FEOR'!$A$4:$F$465,MATCH(Bérköltség!H355,'Admin - FEOR'!$A$4:$A$465,0),
IF(J355="30 év alatt",3,
IF(J355="30–39 éves",4,
IF(J355="40–49 éves",5,
IF(J355="50 év és afelett",6
)))))*1,"NA")</f>
        <v>916594</v>
      </c>
      <c r="M355" s="270">
        <f t="shared" si="788"/>
        <v>460000</v>
      </c>
      <c r="N355" s="318">
        <f t="shared" si="789"/>
        <v>0.50185796546780803</v>
      </c>
      <c r="O355" s="270">
        <f>IFERROR(
INDEX('Admin - FEOR'!$A$4:$F$465,MATCH(Bérköltség!H355,'Admin - FEOR'!$A$4:$A$465,0),
IF(J355="30 év alatt",3,
IF(J355="30–39 éves",4,
IF(J355="40–49 éves",5,
IF(J355="50 év és afelett",6
)))))*1.5,"NA")</f>
        <v>1374891</v>
      </c>
      <c r="P355" s="270">
        <f t="shared" si="790"/>
        <v>687445.5</v>
      </c>
      <c r="Q355" s="270">
        <f t="shared" si="791"/>
        <v>230000</v>
      </c>
      <c r="R355" s="275">
        <f t="shared" si="792"/>
        <v>0.5</v>
      </c>
      <c r="S355" s="270">
        <f t="shared" si="793"/>
        <v>0</v>
      </c>
      <c r="T355" s="270">
        <f t="shared" si="794"/>
        <v>0</v>
      </c>
      <c r="U355" s="271">
        <f t="shared" si="795"/>
        <v>0</v>
      </c>
      <c r="V355" s="272">
        <f t="shared" si="796"/>
        <v>259900</v>
      </c>
      <c r="W355" s="273" t="str">
        <f t="shared" si="797"/>
        <v>Nem szükséges indoklás.</v>
      </c>
      <c r="X355" s="372">
        <f t="shared" si="798"/>
        <v>0</v>
      </c>
      <c r="Y355" s="317">
        <f t="shared" si="799"/>
        <v>230000</v>
      </c>
      <c r="Z355" s="317">
        <f t="shared" si="800"/>
        <v>29900</v>
      </c>
      <c r="AA355" s="36"/>
      <c r="AB355" s="274">
        <v>8426142613</v>
      </c>
      <c r="AC355" s="40" t="s">
        <v>247</v>
      </c>
      <c r="AD355" s="82" t="s">
        <v>75</v>
      </c>
      <c r="AE355" s="41" t="s">
        <v>52</v>
      </c>
      <c r="AF355" s="11" t="s">
        <v>151</v>
      </c>
      <c r="AG355" s="11" t="s">
        <v>170</v>
      </c>
      <c r="AH355" s="14" t="s">
        <v>122</v>
      </c>
      <c r="AI355" s="86" t="s">
        <v>36</v>
      </c>
      <c r="AJ355" s="113" t="str">
        <f>IF(COUNTIFS(Admin!$A$29:$A$40,AI355)&gt;0,Admin!$A$28,IF(COUNTIFS(Admin!$B$29:$B$40,AI355)&gt;0,Admin!$B$28,IF(COUNTIFS(Admin!$C$29:$C$40,AI355)&gt;0,Admin!$C$28,IF(COUNTIFS(Admin!$D$29:$D$40,AI355)&gt;0,Admin!$D$28,"-"))))</f>
        <v>3. mérföldkő</v>
      </c>
      <c r="AK355" s="14" t="s">
        <v>141</v>
      </c>
      <c r="AL355" s="9" t="s">
        <v>56</v>
      </c>
      <c r="AM355" s="131">
        <v>460000</v>
      </c>
      <c r="AN355" s="132">
        <f t="shared" ref="AN355:AN359" si="806">IFERROR(ROUND(AM355*AU355,0),"")</f>
        <v>59800</v>
      </c>
      <c r="AO355" s="121">
        <v>174</v>
      </c>
      <c r="AP355" s="121">
        <v>87</v>
      </c>
      <c r="AQ355" s="354">
        <f t="shared" ref="AQ355:AQ359" si="807">IFERROR(AP355/AO355,"")</f>
        <v>0.5</v>
      </c>
      <c r="AR355" s="133">
        <f t="shared" ref="AR355:AR359" si="808">IFERROR(ROUND(AM355*AP355/AO355,0),"")</f>
        <v>230000</v>
      </c>
      <c r="AS355" s="133">
        <f t="shared" ref="AS355:AS359" si="809">IFERROR(ROUND(AR355*AU355,0),"")</f>
        <v>29900</v>
      </c>
      <c r="AT355" s="123">
        <f t="shared" ref="AT355:AT359" si="810">IFERROR(AP355/AO355-AR355/AM355,"")</f>
        <v>0</v>
      </c>
      <c r="AU355" s="124">
        <v>0.13</v>
      </c>
      <c r="AV355" s="394" t="s">
        <v>2792</v>
      </c>
      <c r="AW355" s="15">
        <v>44995</v>
      </c>
      <c r="AX355" s="12" t="s">
        <v>206</v>
      </c>
      <c r="BC355" s="1" t="s">
        <v>2845</v>
      </c>
    </row>
    <row r="356" spans="1:56" s="1" customFormat="1" hidden="1" x14ac:dyDescent="0.25">
      <c r="A356" s="264" t="str">
        <f>Bérköltség!$B356</f>
        <v>FEOR</v>
      </c>
      <c r="B356" s="264" t="str">
        <f>IFERROR(
IF(AND(Bérköltség!$F356="",H356="NA"),"HIÁNYOS ADATOK",
IF(Bérköltség!$F356&lt;Bérköltség!$U356,Admin!$B$18,Admin!$B$17)),
"")</f>
        <v>FEOR</v>
      </c>
      <c r="C356" s="265">
        <f>IFERROR(INDEX('Historikus berek_2021-2'!$A$1:$F$903,MATCH(AB356,'Historikus berek_2021-2'!$A$1:$A$903,0),4),"")</f>
        <v>316933.33333333331</v>
      </c>
      <c r="D356" s="279">
        <f t="shared" si="783"/>
        <v>158466.66666666666</v>
      </c>
      <c r="E356" s="265">
        <f t="shared" si="784"/>
        <v>230000</v>
      </c>
      <c r="F356" s="266">
        <f t="shared" si="785"/>
        <v>80832.666666666657</v>
      </c>
      <c r="G356" s="267">
        <f t="shared" si="786"/>
        <v>179067.33333333331</v>
      </c>
      <c r="H356" s="268">
        <f>IFERROR(INDEX('FEOR kodok'!$A$2:$J$1126,MATCH(Bérköltség!AB356,'FEOR kodok'!$B$2:$B$1126,0),8),"NA")</f>
        <v>2139</v>
      </c>
      <c r="I356" s="269">
        <f>IFERROR(INDEX('FEOR kodok'!$A$2:$J$1126,MATCH(Bérköltség!AB356,'FEOR kodok'!$B$2:$B$1126,0),10),"NA")</f>
        <v>40</v>
      </c>
      <c r="J356" s="276" t="str">
        <f t="shared" si="787"/>
        <v>40–49 éves</v>
      </c>
      <c r="K356" s="269" t="str">
        <f>IFERROR(INDEX(admin_feor[#All],MATCH(Bérköltség!H356,admin_feor[[#All],[Foglalkozás]],0),2),"NA")</f>
        <v>Egyéb, máshova nem sorolható mérnök</v>
      </c>
      <c r="L356" s="270">
        <f>IFERROR(
INDEX('Admin - FEOR'!$A$4:$F$465,MATCH(Bérköltség!H356,'Admin - FEOR'!$A$4:$A$465,0),
IF(J356="30 év alatt",3,
IF(J356="30–39 éves",4,
IF(J356="40–49 éves",5,
IF(J356="50 év és afelett",6
)))))*1,"NA")</f>
        <v>916594</v>
      </c>
      <c r="M356" s="270">
        <f t="shared" si="788"/>
        <v>460000</v>
      </c>
      <c r="N356" s="318">
        <f t="shared" si="789"/>
        <v>0.50185796546780803</v>
      </c>
      <c r="O356" s="270">
        <f>IFERROR(
INDEX('Admin - FEOR'!$A$4:$F$465,MATCH(Bérköltség!H356,'Admin - FEOR'!$A$4:$A$465,0),
IF(J356="30 év alatt",3,
IF(J356="30–39 éves",4,
IF(J356="40–49 éves",5,
IF(J356="50 év és afelett",6
)))))*1.5,"NA")</f>
        <v>1374891</v>
      </c>
      <c r="P356" s="270">
        <f t="shared" si="790"/>
        <v>687445.5</v>
      </c>
      <c r="Q356" s="270">
        <f t="shared" si="791"/>
        <v>230000</v>
      </c>
      <c r="R356" s="275">
        <f t="shared" si="792"/>
        <v>0.5</v>
      </c>
      <c r="S356" s="270">
        <f t="shared" si="793"/>
        <v>0</v>
      </c>
      <c r="T356" s="270">
        <f t="shared" si="794"/>
        <v>0</v>
      </c>
      <c r="U356" s="271">
        <f t="shared" si="795"/>
        <v>0</v>
      </c>
      <c r="V356" s="272">
        <f t="shared" si="796"/>
        <v>259900</v>
      </c>
      <c r="W356" s="273" t="str">
        <f t="shared" si="797"/>
        <v>Nem szükséges indoklás.</v>
      </c>
      <c r="X356" s="372">
        <f t="shared" si="798"/>
        <v>0</v>
      </c>
      <c r="Y356" s="317">
        <f t="shared" si="799"/>
        <v>230000</v>
      </c>
      <c r="Z356" s="317">
        <f t="shared" si="800"/>
        <v>29900</v>
      </c>
      <c r="AA356" s="36"/>
      <c r="AB356" s="274">
        <v>8426142613</v>
      </c>
      <c r="AC356" s="40" t="s">
        <v>247</v>
      </c>
      <c r="AD356" s="82" t="s">
        <v>75</v>
      </c>
      <c r="AE356" s="41" t="s">
        <v>52</v>
      </c>
      <c r="AF356" s="11" t="s">
        <v>151</v>
      </c>
      <c r="AG356" s="11" t="s">
        <v>170</v>
      </c>
      <c r="AH356" s="14" t="s">
        <v>122</v>
      </c>
      <c r="AI356" s="86" t="s">
        <v>37</v>
      </c>
      <c r="AJ356" s="113" t="str">
        <f>IF(COUNTIFS(Admin!$A$29:$A$40,AI356)&gt;0,Admin!$A$28,IF(COUNTIFS(Admin!$B$29:$B$40,AI356)&gt;0,Admin!$B$28,IF(COUNTIFS(Admin!$C$29:$C$40,AI356)&gt;0,Admin!$C$28,IF(COUNTIFS(Admin!$D$29:$D$40,AI356)&gt;0,Admin!$D$28,"-"))))</f>
        <v>3. mérföldkő</v>
      </c>
      <c r="AK356" s="14" t="s">
        <v>141</v>
      </c>
      <c r="AL356" s="9" t="s">
        <v>56</v>
      </c>
      <c r="AM356" s="131">
        <v>460000</v>
      </c>
      <c r="AN356" s="132">
        <f t="shared" si="806"/>
        <v>59800</v>
      </c>
      <c r="AO356" s="121">
        <v>174</v>
      </c>
      <c r="AP356" s="121">
        <v>87</v>
      </c>
      <c r="AQ356" s="354">
        <f t="shared" si="807"/>
        <v>0.5</v>
      </c>
      <c r="AR356" s="133">
        <f t="shared" si="808"/>
        <v>230000</v>
      </c>
      <c r="AS356" s="133">
        <f t="shared" si="809"/>
        <v>29900</v>
      </c>
      <c r="AT356" s="123">
        <f t="shared" si="810"/>
        <v>0</v>
      </c>
      <c r="AU356" s="124">
        <v>0.13</v>
      </c>
      <c r="AV356" s="394" t="s">
        <v>2792</v>
      </c>
      <c r="AW356" s="15">
        <v>44995</v>
      </c>
      <c r="AX356" s="12" t="s">
        <v>206</v>
      </c>
      <c r="BC356" s="1" t="s">
        <v>2845</v>
      </c>
    </row>
    <row r="357" spans="1:56" s="1" customFormat="1" hidden="1" x14ac:dyDescent="0.25">
      <c r="A357" s="264" t="str">
        <f>Bérköltség!$B357</f>
        <v>FEOR</v>
      </c>
      <c r="B357" s="264" t="str">
        <f>IFERROR(
IF(AND(Bérköltség!$F357="",H357="NA"),"HIÁNYOS ADATOK",
IF(Bérköltség!$F357&lt;Bérköltség!$U357,Admin!$B$18,Admin!$B$17)),
"")</f>
        <v>FEOR</v>
      </c>
      <c r="C357" s="265">
        <f>IFERROR(INDEX('Historikus berek_2021-2'!$A$1:$F$903,MATCH(AB357,'Historikus berek_2021-2'!$A$1:$A$903,0),4),"")</f>
        <v>316933.33333333331</v>
      </c>
      <c r="D357" s="279">
        <f t="shared" si="783"/>
        <v>158466.66666666666</v>
      </c>
      <c r="E357" s="265">
        <f t="shared" si="784"/>
        <v>230000</v>
      </c>
      <c r="F357" s="266">
        <f t="shared" si="785"/>
        <v>80832.666666666657</v>
      </c>
      <c r="G357" s="267">
        <f t="shared" si="786"/>
        <v>179067.33333333331</v>
      </c>
      <c r="H357" s="268">
        <f>IFERROR(INDEX('FEOR kodok'!$A$2:$J$1126,MATCH(Bérköltség!AB357,'FEOR kodok'!$B$2:$B$1126,0),8),"NA")</f>
        <v>2139</v>
      </c>
      <c r="I357" s="269">
        <f>IFERROR(INDEX('FEOR kodok'!$A$2:$J$1126,MATCH(Bérköltség!AB357,'FEOR kodok'!$B$2:$B$1126,0),10),"NA")</f>
        <v>40</v>
      </c>
      <c r="J357" s="276" t="str">
        <f t="shared" si="787"/>
        <v>40–49 éves</v>
      </c>
      <c r="K357" s="269" t="str">
        <f>IFERROR(INDEX(admin_feor[#All],MATCH(Bérköltség!H357,admin_feor[[#All],[Foglalkozás]],0),2),"NA")</f>
        <v>Egyéb, máshova nem sorolható mérnök</v>
      </c>
      <c r="L357" s="270">
        <f>IFERROR(
INDEX('Admin - FEOR'!$A$4:$F$465,MATCH(Bérköltség!H357,'Admin - FEOR'!$A$4:$A$465,0),
IF(J357="30 év alatt",3,
IF(J357="30–39 éves",4,
IF(J357="40–49 éves",5,
IF(J357="50 év és afelett",6
)))))*1,"NA")</f>
        <v>916594</v>
      </c>
      <c r="M357" s="270">
        <f t="shared" si="788"/>
        <v>460000</v>
      </c>
      <c r="N357" s="318">
        <f t="shared" si="789"/>
        <v>0.50185796546780803</v>
      </c>
      <c r="O357" s="270">
        <f>IFERROR(
INDEX('Admin - FEOR'!$A$4:$F$465,MATCH(Bérköltség!H357,'Admin - FEOR'!$A$4:$A$465,0),
IF(J357="30 év alatt",3,
IF(J357="30–39 éves",4,
IF(J357="40–49 éves",5,
IF(J357="50 év és afelett",6
)))))*1.5,"NA")</f>
        <v>1374891</v>
      </c>
      <c r="P357" s="270">
        <f t="shared" si="790"/>
        <v>687445.5</v>
      </c>
      <c r="Q357" s="270">
        <f t="shared" si="791"/>
        <v>230000</v>
      </c>
      <c r="R357" s="275">
        <f t="shared" si="792"/>
        <v>0.5</v>
      </c>
      <c r="S357" s="270">
        <f t="shared" si="793"/>
        <v>0</v>
      </c>
      <c r="T357" s="270">
        <f t="shared" si="794"/>
        <v>0</v>
      </c>
      <c r="U357" s="271">
        <f t="shared" si="795"/>
        <v>0</v>
      </c>
      <c r="V357" s="272">
        <f t="shared" si="796"/>
        <v>259900</v>
      </c>
      <c r="W357" s="273" t="str">
        <f t="shared" si="797"/>
        <v>Nem szükséges indoklás.</v>
      </c>
      <c r="X357" s="372">
        <f t="shared" si="798"/>
        <v>0</v>
      </c>
      <c r="Y357" s="317">
        <f t="shared" si="799"/>
        <v>230000</v>
      </c>
      <c r="Z357" s="317">
        <f t="shared" si="800"/>
        <v>29900</v>
      </c>
      <c r="AA357" s="36"/>
      <c r="AB357" s="274">
        <v>8426142613</v>
      </c>
      <c r="AC357" s="40" t="s">
        <v>247</v>
      </c>
      <c r="AD357" s="82" t="s">
        <v>75</v>
      </c>
      <c r="AE357" s="41" t="s">
        <v>52</v>
      </c>
      <c r="AF357" s="11" t="s">
        <v>151</v>
      </c>
      <c r="AG357" s="11" t="s">
        <v>170</v>
      </c>
      <c r="AH357" s="14" t="s">
        <v>122</v>
      </c>
      <c r="AI357" s="86" t="s">
        <v>38</v>
      </c>
      <c r="AJ357" s="113" t="str">
        <f>IF(COUNTIFS(Admin!$A$29:$A$40,AI357)&gt;0,Admin!$A$28,IF(COUNTIFS(Admin!$B$29:$B$40,AI357)&gt;0,Admin!$B$28,IF(COUNTIFS(Admin!$C$29:$C$40,AI357)&gt;0,Admin!$C$28,IF(COUNTIFS(Admin!$D$29:$D$40,AI357)&gt;0,Admin!$D$28,"-"))))</f>
        <v>3. mérföldkő</v>
      </c>
      <c r="AK357" s="14" t="s">
        <v>141</v>
      </c>
      <c r="AL357" s="9" t="s">
        <v>56</v>
      </c>
      <c r="AM357" s="131">
        <v>460000</v>
      </c>
      <c r="AN357" s="132">
        <f t="shared" si="806"/>
        <v>59800</v>
      </c>
      <c r="AO357" s="121">
        <v>174</v>
      </c>
      <c r="AP357" s="121">
        <v>87</v>
      </c>
      <c r="AQ357" s="354">
        <f t="shared" si="807"/>
        <v>0.5</v>
      </c>
      <c r="AR357" s="133">
        <f t="shared" si="808"/>
        <v>230000</v>
      </c>
      <c r="AS357" s="133">
        <f t="shared" si="809"/>
        <v>29900</v>
      </c>
      <c r="AT357" s="123">
        <f t="shared" si="810"/>
        <v>0</v>
      </c>
      <c r="AU357" s="124">
        <v>0.13</v>
      </c>
      <c r="AV357" s="394" t="s">
        <v>2792</v>
      </c>
      <c r="AW357" s="15">
        <v>44995</v>
      </c>
      <c r="AX357" s="12" t="s">
        <v>206</v>
      </c>
      <c r="BC357" s="1" t="s">
        <v>2845</v>
      </c>
    </row>
    <row r="358" spans="1:56" s="1" customFormat="1" hidden="1" x14ac:dyDescent="0.25">
      <c r="A358" s="264" t="str">
        <f>Bérköltség!$B358</f>
        <v>FEOR</v>
      </c>
      <c r="B358" s="264" t="str">
        <f>IFERROR(
IF(AND(Bérköltség!$F358="",H358="NA"),"HIÁNYOS ADATOK",
IF(Bérköltség!$F358&lt;Bérköltség!$U358,Admin!$B$18,Admin!$B$17)),
"")</f>
        <v>FEOR</v>
      </c>
      <c r="C358" s="265">
        <f>IFERROR(INDEX('Historikus berek_2021-2'!$A$1:$F$903,MATCH(AB358,'Historikus berek_2021-2'!$A$1:$A$903,0),4),"")</f>
        <v>316933.33333333331</v>
      </c>
      <c r="D358" s="279">
        <f t="shared" si="783"/>
        <v>158466.66666666666</v>
      </c>
      <c r="E358" s="265">
        <f t="shared" si="784"/>
        <v>230000</v>
      </c>
      <c r="F358" s="266">
        <f t="shared" si="785"/>
        <v>80832.666666666657</v>
      </c>
      <c r="G358" s="267">
        <f t="shared" si="786"/>
        <v>179067.33333333331</v>
      </c>
      <c r="H358" s="268">
        <f>IFERROR(INDEX('FEOR kodok'!$A$2:$J$1126,MATCH(Bérköltség!AB358,'FEOR kodok'!$B$2:$B$1126,0),8),"NA")</f>
        <v>2139</v>
      </c>
      <c r="I358" s="269">
        <f>IFERROR(INDEX('FEOR kodok'!$A$2:$J$1126,MATCH(Bérköltség!AB358,'FEOR kodok'!$B$2:$B$1126,0),10),"NA")</f>
        <v>40</v>
      </c>
      <c r="J358" s="276" t="str">
        <f t="shared" si="787"/>
        <v>40–49 éves</v>
      </c>
      <c r="K358" s="269" t="str">
        <f>IFERROR(INDEX(admin_feor[#All],MATCH(Bérköltség!H358,admin_feor[[#All],[Foglalkozás]],0),2),"NA")</f>
        <v>Egyéb, máshova nem sorolható mérnök</v>
      </c>
      <c r="L358" s="270">
        <f>IFERROR(
INDEX('Admin - FEOR'!$A$4:$F$465,MATCH(Bérköltség!H358,'Admin - FEOR'!$A$4:$A$465,0),
IF(J358="30 év alatt",3,
IF(J358="30–39 éves",4,
IF(J358="40–49 éves",5,
IF(J358="50 év és afelett",6
)))))*1,"NA")</f>
        <v>916594</v>
      </c>
      <c r="M358" s="270">
        <f t="shared" si="788"/>
        <v>460000</v>
      </c>
      <c r="N358" s="318">
        <f t="shared" si="789"/>
        <v>0.50185796546780803</v>
      </c>
      <c r="O358" s="270">
        <f>IFERROR(
INDEX('Admin - FEOR'!$A$4:$F$465,MATCH(Bérköltség!H358,'Admin - FEOR'!$A$4:$A$465,0),
IF(J358="30 év alatt",3,
IF(J358="30–39 éves",4,
IF(J358="40–49 éves",5,
IF(J358="50 év és afelett",6
)))))*1.5,"NA")</f>
        <v>1374891</v>
      </c>
      <c r="P358" s="270">
        <f t="shared" si="790"/>
        <v>687445.5</v>
      </c>
      <c r="Q358" s="270">
        <f t="shared" si="791"/>
        <v>230000</v>
      </c>
      <c r="R358" s="275">
        <f t="shared" si="792"/>
        <v>0.5</v>
      </c>
      <c r="S358" s="270">
        <f t="shared" si="793"/>
        <v>0</v>
      </c>
      <c r="T358" s="270">
        <f t="shared" si="794"/>
        <v>0</v>
      </c>
      <c r="U358" s="271">
        <f t="shared" si="795"/>
        <v>0</v>
      </c>
      <c r="V358" s="272">
        <f t="shared" si="796"/>
        <v>259900</v>
      </c>
      <c r="W358" s="273" t="str">
        <f t="shared" si="797"/>
        <v>Nem szükséges indoklás.</v>
      </c>
      <c r="X358" s="372">
        <f t="shared" si="798"/>
        <v>0</v>
      </c>
      <c r="Y358" s="317">
        <f t="shared" si="799"/>
        <v>230000</v>
      </c>
      <c r="Z358" s="317">
        <f t="shared" si="800"/>
        <v>29900</v>
      </c>
      <c r="AA358" s="36"/>
      <c r="AB358" s="274">
        <v>8426142613</v>
      </c>
      <c r="AC358" s="40" t="s">
        <v>247</v>
      </c>
      <c r="AD358" s="82" t="s">
        <v>75</v>
      </c>
      <c r="AE358" s="41" t="s">
        <v>52</v>
      </c>
      <c r="AF358" s="11" t="s">
        <v>151</v>
      </c>
      <c r="AG358" s="11" t="s">
        <v>170</v>
      </c>
      <c r="AH358" s="14" t="s">
        <v>122</v>
      </c>
      <c r="AI358" s="86" t="s">
        <v>39</v>
      </c>
      <c r="AJ358" s="113" t="str">
        <f>IF(COUNTIFS(Admin!$A$29:$A$40,AI358)&gt;0,Admin!$A$28,IF(COUNTIFS(Admin!$B$29:$B$40,AI358)&gt;0,Admin!$B$28,IF(COUNTIFS(Admin!$C$29:$C$40,AI358)&gt;0,Admin!$C$28,IF(COUNTIFS(Admin!$D$29:$D$40,AI358)&gt;0,Admin!$D$28,"-"))))</f>
        <v>3. mérföldkő</v>
      </c>
      <c r="AK358" s="14" t="s">
        <v>141</v>
      </c>
      <c r="AL358" s="9" t="s">
        <v>56</v>
      </c>
      <c r="AM358" s="131">
        <v>460000</v>
      </c>
      <c r="AN358" s="132">
        <f t="shared" si="806"/>
        <v>59800</v>
      </c>
      <c r="AO358" s="121">
        <v>174</v>
      </c>
      <c r="AP358" s="121">
        <v>87</v>
      </c>
      <c r="AQ358" s="354">
        <f t="shared" si="807"/>
        <v>0.5</v>
      </c>
      <c r="AR358" s="133">
        <f t="shared" si="808"/>
        <v>230000</v>
      </c>
      <c r="AS358" s="133">
        <f t="shared" si="809"/>
        <v>29900</v>
      </c>
      <c r="AT358" s="123">
        <f t="shared" si="810"/>
        <v>0</v>
      </c>
      <c r="AU358" s="124">
        <v>0.13</v>
      </c>
      <c r="AV358" s="394" t="s">
        <v>2792</v>
      </c>
      <c r="AW358" s="15">
        <v>44995</v>
      </c>
      <c r="AX358" s="12" t="s">
        <v>206</v>
      </c>
      <c r="BC358" s="1" t="s">
        <v>2845</v>
      </c>
    </row>
    <row r="359" spans="1:56" s="1" customFormat="1" hidden="1" x14ac:dyDescent="0.25">
      <c r="A359" s="264" t="str">
        <f>Bérköltség!$B359</f>
        <v>FEOR</v>
      </c>
      <c r="B359" s="264" t="str">
        <f>IFERROR(
IF(AND(Bérköltség!$F359="",H359="NA"),"HIÁNYOS ADATOK",
IF(Bérköltség!$F359&lt;Bérköltség!$U359,Admin!$B$18,Admin!$B$17)),
"")</f>
        <v>FEOR</v>
      </c>
      <c r="C359" s="265">
        <f>IFERROR(INDEX('Historikus berek_2021-2'!$A$1:$F$903,MATCH(AB359,'Historikus berek_2021-2'!$A$1:$A$903,0),4),"")</f>
        <v>316933.33333333331</v>
      </c>
      <c r="D359" s="279">
        <f t="shared" si="783"/>
        <v>158466.66666666666</v>
      </c>
      <c r="E359" s="265">
        <f t="shared" si="784"/>
        <v>230000</v>
      </c>
      <c r="F359" s="266">
        <f t="shared" si="785"/>
        <v>80832.666666666657</v>
      </c>
      <c r="G359" s="267">
        <f t="shared" si="786"/>
        <v>179067.33333333331</v>
      </c>
      <c r="H359" s="268">
        <f>IFERROR(INDEX('FEOR kodok'!$A$2:$J$1126,MATCH(Bérköltség!AB359,'FEOR kodok'!$B$2:$B$1126,0),8),"NA")</f>
        <v>2139</v>
      </c>
      <c r="I359" s="269">
        <f>IFERROR(INDEX('FEOR kodok'!$A$2:$J$1126,MATCH(Bérköltség!AB359,'FEOR kodok'!$B$2:$B$1126,0),10),"NA")</f>
        <v>40</v>
      </c>
      <c r="J359" s="276" t="str">
        <f t="shared" si="787"/>
        <v>40–49 éves</v>
      </c>
      <c r="K359" s="269" t="str">
        <f>IFERROR(INDEX(admin_feor[#All],MATCH(Bérköltség!H359,admin_feor[[#All],[Foglalkozás]],0),2),"NA")</f>
        <v>Egyéb, máshova nem sorolható mérnök</v>
      </c>
      <c r="L359" s="270">
        <f>IFERROR(
INDEX('Admin - FEOR'!$A$4:$F$465,MATCH(Bérköltség!H359,'Admin - FEOR'!$A$4:$A$465,0),
IF(J359="30 év alatt",3,
IF(J359="30–39 éves",4,
IF(J359="40–49 éves",5,
IF(J359="50 év és afelett",6
)))))*1,"NA")</f>
        <v>916594</v>
      </c>
      <c r="M359" s="270">
        <f t="shared" si="788"/>
        <v>460000</v>
      </c>
      <c r="N359" s="318">
        <f t="shared" si="789"/>
        <v>0.50185796546780803</v>
      </c>
      <c r="O359" s="270">
        <f>IFERROR(
INDEX('Admin - FEOR'!$A$4:$F$465,MATCH(Bérköltség!H359,'Admin - FEOR'!$A$4:$A$465,0),
IF(J359="30 év alatt",3,
IF(J359="30–39 éves",4,
IF(J359="40–49 éves",5,
IF(J359="50 év és afelett",6
)))))*1.5,"NA")</f>
        <v>1374891</v>
      </c>
      <c r="P359" s="270">
        <f t="shared" si="790"/>
        <v>687445.5</v>
      </c>
      <c r="Q359" s="270">
        <f t="shared" si="791"/>
        <v>230000</v>
      </c>
      <c r="R359" s="275">
        <f t="shared" si="792"/>
        <v>0.5</v>
      </c>
      <c r="S359" s="270">
        <f t="shared" si="793"/>
        <v>0</v>
      </c>
      <c r="T359" s="270">
        <f t="shared" si="794"/>
        <v>0</v>
      </c>
      <c r="U359" s="271">
        <f t="shared" si="795"/>
        <v>0</v>
      </c>
      <c r="V359" s="272">
        <f t="shared" si="796"/>
        <v>259900</v>
      </c>
      <c r="W359" s="273" t="str">
        <f t="shared" si="797"/>
        <v>Nem szükséges indoklás.</v>
      </c>
      <c r="X359" s="372">
        <f t="shared" si="798"/>
        <v>0</v>
      </c>
      <c r="Y359" s="317">
        <f t="shared" si="799"/>
        <v>230000</v>
      </c>
      <c r="Z359" s="317">
        <f t="shared" si="800"/>
        <v>29900</v>
      </c>
      <c r="AA359" s="36"/>
      <c r="AB359" s="274">
        <v>8426142613</v>
      </c>
      <c r="AC359" s="40" t="s">
        <v>247</v>
      </c>
      <c r="AD359" s="82" t="s">
        <v>75</v>
      </c>
      <c r="AE359" s="41" t="s">
        <v>52</v>
      </c>
      <c r="AF359" s="11" t="s">
        <v>151</v>
      </c>
      <c r="AG359" s="11" t="s">
        <v>170</v>
      </c>
      <c r="AH359" s="14" t="s">
        <v>122</v>
      </c>
      <c r="AI359" s="86" t="s">
        <v>40</v>
      </c>
      <c r="AJ359" s="113" t="str">
        <f>IF(COUNTIFS(Admin!$A$29:$A$40,AI359)&gt;0,Admin!$A$28,IF(COUNTIFS(Admin!$B$29:$B$40,AI359)&gt;0,Admin!$B$28,IF(COUNTIFS(Admin!$C$29:$C$40,AI359)&gt;0,Admin!$C$28,IF(COUNTIFS(Admin!$D$29:$D$40,AI359)&gt;0,Admin!$D$28,"-"))))</f>
        <v>3. mérföldkő</v>
      </c>
      <c r="AK359" s="14" t="s">
        <v>141</v>
      </c>
      <c r="AL359" s="9" t="s">
        <v>56</v>
      </c>
      <c r="AM359" s="131">
        <v>460000</v>
      </c>
      <c r="AN359" s="132">
        <f t="shared" si="806"/>
        <v>59800</v>
      </c>
      <c r="AO359" s="121">
        <v>174</v>
      </c>
      <c r="AP359" s="121">
        <v>87</v>
      </c>
      <c r="AQ359" s="354">
        <f t="shared" si="807"/>
        <v>0.5</v>
      </c>
      <c r="AR359" s="133">
        <f t="shared" si="808"/>
        <v>230000</v>
      </c>
      <c r="AS359" s="133">
        <f t="shared" si="809"/>
        <v>29900</v>
      </c>
      <c r="AT359" s="123">
        <f t="shared" si="810"/>
        <v>0</v>
      </c>
      <c r="AU359" s="124">
        <v>0.13</v>
      </c>
      <c r="AV359" s="394" t="s">
        <v>2792</v>
      </c>
      <c r="AW359" s="15">
        <v>44995</v>
      </c>
      <c r="AX359" s="12" t="s">
        <v>206</v>
      </c>
      <c r="BC359" s="1" t="s">
        <v>2845</v>
      </c>
    </row>
    <row r="360" spans="1:56" s="1" customFormat="1" hidden="1" x14ac:dyDescent="0.25">
      <c r="A360" s="264" t="str">
        <f>Bérköltség!$B360</f>
        <v>FEOR</v>
      </c>
      <c r="B360" s="264" t="str">
        <f>IFERROR(
IF(AND(Bérköltség!$F360="",H360="NA"),"HIÁNYOS ADATOK",
IF(Bérköltség!$F360&lt;Bérköltség!$U360,Admin!$B$18,Admin!$B$17)),
"")</f>
        <v>FEOR</v>
      </c>
      <c r="C360" s="265" t="str">
        <f>IFERROR(INDEX('Historikus berek_2021-2'!$A$1:$F$903,MATCH(AB360,'Historikus berek_2021-2'!$A$1:$A$903,0),4),"")</f>
        <v/>
      </c>
      <c r="D360" s="279" t="str">
        <f t="shared" si="673"/>
        <v/>
      </c>
      <c r="E360" s="265">
        <f t="shared" si="674"/>
        <v>350000</v>
      </c>
      <c r="F360" s="266" t="str">
        <f t="shared" si="675"/>
        <v/>
      </c>
      <c r="G360" s="267" t="str">
        <f t="shared" si="676"/>
        <v/>
      </c>
      <c r="H360" s="268">
        <f>IFERROR(INDEX('FEOR kodok'!$A$2:$J$1126,MATCH(Bérköltség!AB360,'FEOR kodok'!$B$2:$B$1126,0),8),"NA")</f>
        <v>3134</v>
      </c>
      <c r="I360" s="269">
        <f>IFERROR(INDEX('FEOR kodok'!$A$2:$J$1126,MATCH(Bérköltség!AB360,'FEOR kodok'!$B$2:$B$1126,0),10),"NA")</f>
        <v>21</v>
      </c>
      <c r="J360" s="276" t="str">
        <f t="shared" si="677"/>
        <v>30 év alatt</v>
      </c>
      <c r="K360" s="269" t="str">
        <f>IFERROR(INDEX(admin_feor[#All],MATCH(Bérköltség!H360,admin_feor[[#All],[Foglalkozás]],0),2),"NA")</f>
        <v>Környezetvédelmi technikus</v>
      </c>
      <c r="L360" s="270">
        <f>IFERROR(
INDEX('Admin - FEOR'!$A$4:$F$465,MATCH(Bérköltség!H360,'Admin - FEOR'!$A$4:$A$465,0),
IF(J360="30 év alatt",3,
IF(J360="30–39 éves",4,
IF(J360="40–49 éves",5,
IF(J360="50 év és afelett",6
)))))*1,"NA")</f>
        <v>361327</v>
      </c>
      <c r="M360" s="270">
        <f t="shared" si="678"/>
        <v>350000</v>
      </c>
      <c r="N360" s="318">
        <f t="shared" si="679"/>
        <v>0.96865166455869611</v>
      </c>
      <c r="O360" s="270">
        <f>IFERROR(
INDEX('Admin - FEOR'!$A$4:$F$465,MATCH(Bérköltség!H360,'Admin - FEOR'!$A$4:$A$465,0),
IF(J360="30 év alatt",3,
IF(J360="30–39 éves",4,
IF(J360="40–49 éves",5,
IF(J360="50 év és afelett",6
)))))*1.5,"NA")</f>
        <v>541990.5</v>
      </c>
      <c r="P360" s="270">
        <f t="shared" si="680"/>
        <v>541990.5</v>
      </c>
      <c r="Q360" s="270">
        <f t="shared" si="681"/>
        <v>350000</v>
      </c>
      <c r="R360" s="275">
        <f t="shared" si="682"/>
        <v>1</v>
      </c>
      <c r="S360" s="270">
        <f t="shared" si="683"/>
        <v>0</v>
      </c>
      <c r="T360" s="270">
        <f t="shared" si="684"/>
        <v>0</v>
      </c>
      <c r="U360" s="271">
        <f t="shared" si="685"/>
        <v>0</v>
      </c>
      <c r="V360" s="272">
        <f t="shared" si="686"/>
        <v>395500</v>
      </c>
      <c r="W360" s="273" t="str">
        <f t="shared" si="687"/>
        <v>Nem szükséges indoklás.</v>
      </c>
      <c r="X360" s="372">
        <f t="shared" si="688"/>
        <v>0</v>
      </c>
      <c r="Y360" s="317">
        <f t="shared" si="689"/>
        <v>350000</v>
      </c>
      <c r="Z360" s="317">
        <f t="shared" si="690"/>
        <v>45500</v>
      </c>
      <c r="AA360" s="12">
        <v>2</v>
      </c>
      <c r="AB360" s="274">
        <v>8494880098</v>
      </c>
      <c r="AC360" s="40" t="s">
        <v>199</v>
      </c>
      <c r="AD360" s="82" t="s">
        <v>75</v>
      </c>
      <c r="AE360" s="41" t="s">
        <v>54</v>
      </c>
      <c r="AF360" s="11" t="s">
        <v>152</v>
      </c>
      <c r="AG360" s="11" t="s">
        <v>200</v>
      </c>
      <c r="AH360" s="14" t="s">
        <v>123</v>
      </c>
      <c r="AI360" s="86" t="s">
        <v>21</v>
      </c>
      <c r="AJ360" s="113" t="str">
        <f>IF(COUNTIFS(Admin!$A$29:$A$40,AI360)&gt;0,Admin!$A$28,IF(COUNTIFS(Admin!$B$29:$B$40,AI360)&gt;0,Admin!$B$28,IF(COUNTIFS(Admin!$C$29:$C$40,AI360)&gt;0,Admin!$C$28,IF(COUNTIFS(Admin!$D$29:$D$40,AI360)&gt;0,Admin!$D$28,"-"))))</f>
        <v>2. mérföldkő</v>
      </c>
      <c r="AK360" s="14" t="s">
        <v>7</v>
      </c>
      <c r="AL360" s="9" t="s">
        <v>56</v>
      </c>
      <c r="AM360" s="131">
        <v>350000</v>
      </c>
      <c r="AN360" s="132">
        <f t="shared" si="748"/>
        <v>45500</v>
      </c>
      <c r="AO360" s="121">
        <v>174</v>
      </c>
      <c r="AP360" s="121">
        <v>174</v>
      </c>
      <c r="AQ360" s="354">
        <f t="shared" si="746"/>
        <v>1</v>
      </c>
      <c r="AR360" s="133">
        <f t="shared" si="214"/>
        <v>350000</v>
      </c>
      <c r="AS360" s="133">
        <f t="shared" si="500"/>
        <v>45500</v>
      </c>
      <c r="AT360" s="123">
        <f t="shared" si="747"/>
        <v>0</v>
      </c>
      <c r="AU360" s="124">
        <v>0.13</v>
      </c>
      <c r="AV360" s="394" t="s">
        <v>2793</v>
      </c>
      <c r="AW360" s="15">
        <v>44736</v>
      </c>
      <c r="AX360" s="12" t="s">
        <v>206</v>
      </c>
      <c r="BC360" s="1" t="s">
        <v>2846</v>
      </c>
      <c r="BD360" s="1" t="str">
        <f t="shared" ref="BD360:BD368" si="811">CONCATENATE(BC360," - ",AE360)</f>
        <v>Segédszemélyzet_VM_1 - Segédszemélyzet</v>
      </c>
    </row>
    <row r="361" spans="1:56" s="1" customFormat="1" hidden="1" x14ac:dyDescent="0.25">
      <c r="A361" s="264" t="str">
        <f>Bérköltség!$B361</f>
        <v>FEOR</v>
      </c>
      <c r="B361" s="264" t="str">
        <f>IFERROR(
IF(AND(Bérköltség!$F361="",H361="NA"),"HIÁNYOS ADATOK",
IF(Bérköltség!$F361&lt;Bérköltség!$U361,Admin!$B$18,Admin!$B$17)),
"")</f>
        <v>FEOR</v>
      </c>
      <c r="C361" s="265" t="str">
        <f>IFERROR(INDEX('Historikus berek_2021-2'!$A$1:$F$903,MATCH(AB361,'Historikus berek_2021-2'!$A$1:$A$903,0),4),"")</f>
        <v/>
      </c>
      <c r="D361" s="279" t="str">
        <f t="shared" si="673"/>
        <v/>
      </c>
      <c r="E361" s="265">
        <f t="shared" si="674"/>
        <v>273913</v>
      </c>
      <c r="F361" s="266" t="str">
        <f t="shared" si="675"/>
        <v/>
      </c>
      <c r="G361" s="267" t="str">
        <f t="shared" si="676"/>
        <v/>
      </c>
      <c r="H361" s="268">
        <f>IFERROR(INDEX('FEOR kodok'!$A$2:$J$1126,MATCH(Bérköltség!AB361,'FEOR kodok'!$B$2:$B$1126,0),8),"NA")</f>
        <v>3134</v>
      </c>
      <c r="I361" s="269">
        <f>IFERROR(INDEX('FEOR kodok'!$A$2:$J$1126,MATCH(Bérköltség!AB361,'FEOR kodok'!$B$2:$B$1126,0),10),"NA")</f>
        <v>21</v>
      </c>
      <c r="J361" s="276" t="str">
        <f t="shared" si="677"/>
        <v>30 év alatt</v>
      </c>
      <c r="K361" s="269" t="str">
        <f>IFERROR(INDEX(admin_feor[#All],MATCH(Bérköltség!H361,admin_feor[[#All],[Foglalkozás]],0),2),"NA")</f>
        <v>Környezetvédelmi technikus</v>
      </c>
      <c r="L361" s="270">
        <f>IFERROR(
INDEX('Admin - FEOR'!$A$4:$F$465,MATCH(Bérköltség!H361,'Admin - FEOR'!$A$4:$A$465,0),
IF(J361="30 év alatt",3,
IF(J361="30–39 éves",4,
IF(J361="40–49 éves",5,
IF(J361="50 év és afelett",6
)))))*1,"NA")</f>
        <v>361327</v>
      </c>
      <c r="M361" s="270">
        <f t="shared" si="678"/>
        <v>273913</v>
      </c>
      <c r="N361" s="318">
        <f t="shared" si="679"/>
        <v>0.75807509541218898</v>
      </c>
      <c r="O361" s="270">
        <f>IFERROR(
INDEX('Admin - FEOR'!$A$4:$F$465,MATCH(Bérköltség!H361,'Admin - FEOR'!$A$4:$A$465,0),
IF(J361="30 év alatt",3,
IF(J361="30–39 éves",4,
IF(J361="40–49 éves",5,
IF(J361="50 év és afelett",6
)))))*1.5,"NA")</f>
        <v>541990.5</v>
      </c>
      <c r="P361" s="270">
        <f t="shared" si="680"/>
        <v>541990.5</v>
      </c>
      <c r="Q361" s="270">
        <f t="shared" si="681"/>
        <v>273913</v>
      </c>
      <c r="R361" s="275">
        <f t="shared" si="682"/>
        <v>1</v>
      </c>
      <c r="S361" s="270">
        <f t="shared" si="683"/>
        <v>0</v>
      </c>
      <c r="T361" s="270">
        <f t="shared" si="684"/>
        <v>0</v>
      </c>
      <c r="U361" s="271">
        <f t="shared" si="685"/>
        <v>0</v>
      </c>
      <c r="V361" s="272">
        <f t="shared" si="686"/>
        <v>289174</v>
      </c>
      <c r="W361" s="273" t="str">
        <f t="shared" si="687"/>
        <v>Nem szükséges indoklás.</v>
      </c>
      <c r="X361" s="372">
        <f t="shared" si="688"/>
        <v>0</v>
      </c>
      <c r="Y361" s="317">
        <f t="shared" si="689"/>
        <v>273913</v>
      </c>
      <c r="Z361" s="317">
        <f t="shared" si="690"/>
        <v>15261</v>
      </c>
      <c r="AA361" s="12">
        <v>2</v>
      </c>
      <c r="AB361" s="274">
        <v>8494880098</v>
      </c>
      <c r="AC361" s="40" t="s">
        <v>199</v>
      </c>
      <c r="AD361" s="82" t="s">
        <v>75</v>
      </c>
      <c r="AE361" s="41" t="s">
        <v>54</v>
      </c>
      <c r="AF361" s="11" t="s">
        <v>152</v>
      </c>
      <c r="AG361" s="11" t="s">
        <v>200</v>
      </c>
      <c r="AH361" s="14" t="s">
        <v>123</v>
      </c>
      <c r="AI361" s="86" t="s">
        <v>22</v>
      </c>
      <c r="AJ361" s="113" t="str">
        <f>IF(COUNTIFS(Admin!$A$29:$A$40,AI361)&gt;0,Admin!$A$28,IF(COUNTIFS(Admin!$B$29:$B$40,AI361)&gt;0,Admin!$B$28,IF(COUNTIFS(Admin!$C$29:$C$40,AI361)&gt;0,Admin!$C$28,IF(COUNTIFS(Admin!$D$29:$D$40,AI361)&gt;0,Admin!$D$28,"-"))))</f>
        <v>2. mérföldkő</v>
      </c>
      <c r="AK361" s="14" t="s">
        <v>7</v>
      </c>
      <c r="AL361" s="9" t="s">
        <v>56</v>
      </c>
      <c r="AM361" s="131">
        <v>273913</v>
      </c>
      <c r="AN361" s="132">
        <v>15261</v>
      </c>
      <c r="AO361" s="121">
        <v>174</v>
      </c>
      <c r="AP361" s="121">
        <v>174</v>
      </c>
      <c r="AQ361" s="354">
        <f t="shared" si="746"/>
        <v>1</v>
      </c>
      <c r="AR361" s="133">
        <f t="shared" si="214"/>
        <v>273913</v>
      </c>
      <c r="AS361" s="133">
        <f t="shared" ref="AS361:AS367" si="812">IFERROR(ROUND(AR361*AU361,0),"")</f>
        <v>15261</v>
      </c>
      <c r="AT361" s="123">
        <f t="shared" si="747"/>
        <v>0</v>
      </c>
      <c r="AU361" s="393">
        <f t="shared" ref="AU361:AU367" si="813">AN361/AM361</f>
        <v>5.5714770748376309E-2</v>
      </c>
      <c r="AV361" s="394" t="s">
        <v>2793</v>
      </c>
      <c r="AW361" s="15">
        <v>44736</v>
      </c>
      <c r="AX361" s="12" t="s">
        <v>206</v>
      </c>
      <c r="BC361" s="1" t="s">
        <v>2846</v>
      </c>
      <c r="BD361" s="1" t="str">
        <f t="shared" si="811"/>
        <v>Segédszemélyzet_VM_1 - Segédszemélyzet</v>
      </c>
    </row>
    <row r="362" spans="1:56" s="1" customFormat="1" hidden="1" x14ac:dyDescent="0.25">
      <c r="A362" s="264" t="str">
        <f>Bérköltség!$B362</f>
        <v>FEOR</v>
      </c>
      <c r="B362" s="264" t="str">
        <f>IFERROR(
IF(AND(Bérköltség!$F362="",H362="NA"),"HIÁNYOS ADATOK",
IF(Bérköltség!$F362&lt;Bérköltség!$U362,Admin!$B$18,Admin!$B$17)),
"")</f>
        <v>FEOR</v>
      </c>
      <c r="C362" s="265" t="str">
        <f>IFERROR(INDEX('Historikus berek_2021-2'!$A$1:$F$903,MATCH(AB362,'Historikus berek_2021-2'!$A$1:$A$903,0),4),"")</f>
        <v/>
      </c>
      <c r="D362" s="279" t="str">
        <f t="shared" si="673"/>
        <v/>
      </c>
      <c r="E362" s="265">
        <f t="shared" si="674"/>
        <v>350000</v>
      </c>
      <c r="F362" s="266" t="str">
        <f t="shared" si="675"/>
        <v/>
      </c>
      <c r="G362" s="267" t="str">
        <f t="shared" si="676"/>
        <v/>
      </c>
      <c r="H362" s="268">
        <f>IFERROR(INDEX('FEOR kodok'!$A$2:$J$1126,MATCH(Bérköltség!AB362,'FEOR kodok'!$B$2:$B$1126,0),8),"NA")</f>
        <v>3134</v>
      </c>
      <c r="I362" s="269">
        <f>IFERROR(INDEX('FEOR kodok'!$A$2:$J$1126,MATCH(Bérköltség!AB362,'FEOR kodok'!$B$2:$B$1126,0),10),"NA")</f>
        <v>21</v>
      </c>
      <c r="J362" s="276" t="str">
        <f t="shared" si="677"/>
        <v>30 év alatt</v>
      </c>
      <c r="K362" s="269" t="str">
        <f>IFERROR(INDEX(admin_feor[#All],MATCH(Bérköltség!H362,admin_feor[[#All],[Foglalkozás]],0),2),"NA")</f>
        <v>Környezetvédelmi technikus</v>
      </c>
      <c r="L362" s="270">
        <f>IFERROR(
INDEX('Admin - FEOR'!$A$4:$F$465,MATCH(Bérköltség!H362,'Admin - FEOR'!$A$4:$A$465,0),
IF(J362="30 év alatt",3,
IF(J362="30–39 éves",4,
IF(J362="40–49 éves",5,
IF(J362="50 év és afelett",6
)))))*1,"NA")</f>
        <v>361327</v>
      </c>
      <c r="M362" s="270">
        <f t="shared" si="678"/>
        <v>350000</v>
      </c>
      <c r="N362" s="318">
        <f t="shared" si="679"/>
        <v>0.96865166455869611</v>
      </c>
      <c r="O362" s="270">
        <f>IFERROR(
INDEX('Admin - FEOR'!$A$4:$F$465,MATCH(Bérköltség!H362,'Admin - FEOR'!$A$4:$A$465,0),
IF(J362="30 év alatt",3,
IF(J362="30–39 éves",4,
IF(J362="40–49 éves",5,
IF(J362="50 év és afelett",6
)))))*1.5,"NA")</f>
        <v>541990.5</v>
      </c>
      <c r="P362" s="270">
        <f t="shared" si="680"/>
        <v>541990.5</v>
      </c>
      <c r="Q362" s="270">
        <f t="shared" si="681"/>
        <v>350000</v>
      </c>
      <c r="R362" s="275">
        <f t="shared" si="682"/>
        <v>1</v>
      </c>
      <c r="S362" s="270">
        <f t="shared" si="683"/>
        <v>0</v>
      </c>
      <c r="T362" s="270">
        <f t="shared" si="684"/>
        <v>0</v>
      </c>
      <c r="U362" s="271">
        <f t="shared" si="685"/>
        <v>0</v>
      </c>
      <c r="V362" s="272">
        <f t="shared" si="686"/>
        <v>369500</v>
      </c>
      <c r="W362" s="273" t="str">
        <f t="shared" si="687"/>
        <v>Nem szükséges indoklás.</v>
      </c>
      <c r="X362" s="372">
        <f t="shared" si="688"/>
        <v>0</v>
      </c>
      <c r="Y362" s="317">
        <f t="shared" si="689"/>
        <v>350000</v>
      </c>
      <c r="Z362" s="317">
        <f t="shared" si="690"/>
        <v>19500</v>
      </c>
      <c r="AA362" s="12">
        <v>2</v>
      </c>
      <c r="AB362" s="274">
        <v>8494880098</v>
      </c>
      <c r="AC362" s="40" t="s">
        <v>199</v>
      </c>
      <c r="AD362" s="82" t="s">
        <v>75</v>
      </c>
      <c r="AE362" s="41" t="s">
        <v>54</v>
      </c>
      <c r="AF362" s="11" t="s">
        <v>152</v>
      </c>
      <c r="AG362" s="11" t="s">
        <v>200</v>
      </c>
      <c r="AH362" s="14" t="s">
        <v>123</v>
      </c>
      <c r="AI362" s="86" t="s">
        <v>23</v>
      </c>
      <c r="AJ362" s="113" t="str">
        <f>IF(COUNTIFS(Admin!$A$29:$A$40,AI362)&gt;0,Admin!$A$28,IF(COUNTIFS(Admin!$B$29:$B$40,AI362)&gt;0,Admin!$B$28,IF(COUNTIFS(Admin!$C$29:$C$40,AI362)&gt;0,Admin!$C$28,IF(COUNTIFS(Admin!$D$29:$D$40,AI362)&gt;0,Admin!$D$28,"-"))))</f>
        <v>2. mérföldkő</v>
      </c>
      <c r="AK362" s="14" t="s">
        <v>7</v>
      </c>
      <c r="AL362" s="9" t="s">
        <v>56</v>
      </c>
      <c r="AM362" s="131">
        <v>350000</v>
      </c>
      <c r="AN362" s="132">
        <v>19500</v>
      </c>
      <c r="AO362" s="121">
        <v>174</v>
      </c>
      <c r="AP362" s="121">
        <v>174</v>
      </c>
      <c r="AQ362" s="354">
        <f t="shared" si="746"/>
        <v>1</v>
      </c>
      <c r="AR362" s="133">
        <f t="shared" si="214"/>
        <v>350000</v>
      </c>
      <c r="AS362" s="133">
        <f t="shared" si="812"/>
        <v>19500</v>
      </c>
      <c r="AT362" s="123">
        <f t="shared" si="747"/>
        <v>0</v>
      </c>
      <c r="AU362" s="393">
        <f t="shared" si="813"/>
        <v>5.5714285714285716E-2</v>
      </c>
      <c r="AV362" s="394" t="s">
        <v>2793</v>
      </c>
      <c r="AW362" s="15">
        <v>44736</v>
      </c>
      <c r="AX362" s="12" t="s">
        <v>206</v>
      </c>
      <c r="BC362" s="1" t="s">
        <v>2846</v>
      </c>
      <c r="BD362" s="1" t="str">
        <f t="shared" si="811"/>
        <v>Segédszemélyzet_VM_1 - Segédszemélyzet</v>
      </c>
    </row>
    <row r="363" spans="1:56" s="1" customFormat="1" hidden="1" x14ac:dyDescent="0.25">
      <c r="A363" s="264" t="str">
        <f>Bérköltség!$B363</f>
        <v>FEOR</v>
      </c>
      <c r="B363" s="264" t="str">
        <f>IFERROR(
IF(AND(Bérköltség!$F363="",H363="NA"),"HIÁNYOS ADATOK",
IF(Bérköltség!$F363&lt;Bérköltség!$U363,Admin!$B$18,Admin!$B$17)),
"")</f>
        <v>FEOR</v>
      </c>
      <c r="C363" s="265" t="str">
        <f>IFERROR(INDEX('Historikus berek_2021-2'!$A$1:$F$903,MATCH(AB363,'Historikus berek_2021-2'!$A$1:$A$903,0),4),"")</f>
        <v/>
      </c>
      <c r="D363" s="279" t="str">
        <f t="shared" ref="D363:D434" si="814">IFERROR(C363*AQ363,"")</f>
        <v/>
      </c>
      <c r="E363" s="265">
        <f t="shared" ref="E363:E434" si="815">AR363</f>
        <v>350000</v>
      </c>
      <c r="F363" s="266" t="str">
        <f t="shared" ref="F363:F434" si="816">IFERROR(IF((E363*(1+AU363)-D363*(1+AU363))&lt;0,0,(E363*(1+AU363)-D363*(1+AU363))),"")</f>
        <v/>
      </c>
      <c r="G363" s="267" t="str">
        <f t="shared" ref="G363:G434" si="817">IFERROR((E363*(1+AU363)-F363),"")</f>
        <v/>
      </c>
      <c r="H363" s="268">
        <f>IFERROR(INDEX('FEOR kodok'!$A$2:$J$1126,MATCH(Bérköltség!AB363,'FEOR kodok'!$B$2:$B$1126,0),8),"NA")</f>
        <v>3134</v>
      </c>
      <c r="I363" s="269">
        <f>IFERROR(INDEX('FEOR kodok'!$A$2:$J$1126,MATCH(Bérköltség!AB363,'FEOR kodok'!$B$2:$B$1126,0),10),"NA")</f>
        <v>21</v>
      </c>
      <c r="J363" s="276" t="str">
        <f t="shared" ref="J363:J434" si="818">IF(I363="NA","NA",
IF(I363&lt;30,"30 év alatt",
IF(AND(I363&gt;=30,I363&lt;=39),"30–39 éves",
IF(AND(I363&gt;=40,I363&lt;=49),"40–49 éves",
IF(I363&gt;=50,"50 év és afelett",
"")))))</f>
        <v>30 év alatt</v>
      </c>
      <c r="K363" s="269" t="str">
        <f>IFERROR(INDEX(admin_feor[#All],MATCH(Bérköltség!H363,admin_feor[[#All],[Foglalkozás]],0),2),"NA")</f>
        <v>Környezetvédelmi technikus</v>
      </c>
      <c r="L363" s="270">
        <f>IFERROR(
INDEX('Admin - FEOR'!$A$4:$F$465,MATCH(Bérköltség!H363,'Admin - FEOR'!$A$4:$A$465,0),
IF(J363="30 év alatt",3,
IF(J363="30–39 éves",4,
IF(J363="40–49 éves",5,
IF(J363="50 év és afelett",6
)))))*1,"NA")</f>
        <v>361327</v>
      </c>
      <c r="M363" s="270">
        <f t="shared" ref="M363:M434" si="819">AM363</f>
        <v>350000</v>
      </c>
      <c r="N363" s="318">
        <f t="shared" ref="N363:N434" si="820">IFERROR(
M363/L363,"NA")</f>
        <v>0.96865166455869611</v>
      </c>
      <c r="O363" s="270">
        <f>IFERROR(
INDEX('Admin - FEOR'!$A$4:$F$465,MATCH(Bérköltség!H363,'Admin - FEOR'!$A$4:$A$465,0),
IF(J363="30 év alatt",3,
IF(J363="30–39 éves",4,
IF(J363="40–49 éves",5,
IF(J363="50 év és afelett",6
)))))*1.5,"NA")</f>
        <v>541990.5</v>
      </c>
      <c r="P363" s="270">
        <f t="shared" ref="P363:P434" si="821">IFERROR(
AQ363*O363,"NA")</f>
        <v>541990.5</v>
      </c>
      <c r="Q363" s="270">
        <f t="shared" ref="Q363:Q434" si="822">IFERROR(AR363,"")</f>
        <v>350000</v>
      </c>
      <c r="R363" s="275">
        <f t="shared" ref="R363:R434" si="823">IFERROR(AQ363,"")</f>
        <v>1</v>
      </c>
      <c r="S363" s="270">
        <f t="shared" ref="S363:S434" si="824">IFERROR(
IF(AR363-P363&lt;0,0,AR363-P363),"NA")</f>
        <v>0</v>
      </c>
      <c r="T363" s="270">
        <f t="shared" ref="T363:T434" si="825">IFERROR(
S363*AU363,"NA")</f>
        <v>0</v>
      </c>
      <c r="U363" s="271">
        <f t="shared" ref="U363:U434" si="826">IFERROR(
S363+T363,"NA")</f>
        <v>0</v>
      </c>
      <c r="V363" s="272">
        <f t="shared" ref="V363:V434" si="827">IFERROR(
IF(U363&gt;0,AR363+AS363-U363,AR363+AS363),"NA")</f>
        <v>369500</v>
      </c>
      <c r="W363" s="273" t="str">
        <f t="shared" ref="W363:W434" si="828">IF(P363="NA","FEOR hiányzik",
IF(AND(N363&gt;1,A363="FEOR"),CONCATENATE("Indoklás szükséges mivel a FEOR: ",ROUND(N363*100,1),"%"),"Nem szükséges indoklás.")
)</f>
        <v>Nem szükséges indoklás.</v>
      </c>
      <c r="X363" s="372">
        <f t="shared" ref="X363:X434" si="829">IF(A363="FEOR",U363,IF(A363="HIÁNYOS ADATOK","HIÁNYOS ADATOK",F363))</f>
        <v>0</v>
      </c>
      <c r="Y363" s="317">
        <f t="shared" ref="Y363:Y434" si="830">IF(A363="FEOR",ROUND((V363/(1+AU363)),0),IF(A363="HIÁNYOS ADATOK","HIÁNYOS ADATOK",ROUND(G363/(1+AU363),0)))</f>
        <v>350000</v>
      </c>
      <c r="Z363" s="317">
        <f t="shared" ref="Z363:Z434" si="831">IF(A363="FEOR",ROUND((V363-Y363),0),IF(A363="HIÁNYOS ADATOK","HIÁNYOS ADATOK",ROUND((G363-Y363),0)))</f>
        <v>19500</v>
      </c>
      <c r="AA363" s="12">
        <v>2</v>
      </c>
      <c r="AB363" s="274">
        <v>8494880098</v>
      </c>
      <c r="AC363" s="40" t="s">
        <v>199</v>
      </c>
      <c r="AD363" s="82" t="s">
        <v>75</v>
      </c>
      <c r="AE363" s="41" t="s">
        <v>54</v>
      </c>
      <c r="AF363" s="11" t="s">
        <v>152</v>
      </c>
      <c r="AG363" s="11" t="s">
        <v>200</v>
      </c>
      <c r="AH363" s="14" t="s">
        <v>123</v>
      </c>
      <c r="AI363" s="86" t="s">
        <v>24</v>
      </c>
      <c r="AJ363" s="113" t="str">
        <f>IF(COUNTIFS(Admin!$A$29:$A$40,AI363)&gt;0,Admin!$A$28,IF(COUNTIFS(Admin!$B$29:$B$40,AI363)&gt;0,Admin!$B$28,IF(COUNTIFS(Admin!$C$29:$C$40,AI363)&gt;0,Admin!$C$28,IF(COUNTIFS(Admin!$D$29:$D$40,AI363)&gt;0,Admin!$D$28,"-"))))</f>
        <v>2. mérföldkő</v>
      </c>
      <c r="AK363" s="14" t="s">
        <v>7</v>
      </c>
      <c r="AL363" s="9" t="s">
        <v>56</v>
      </c>
      <c r="AM363" s="131">
        <v>350000</v>
      </c>
      <c r="AN363" s="132">
        <v>19500</v>
      </c>
      <c r="AO363" s="121">
        <v>174</v>
      </c>
      <c r="AP363" s="121">
        <v>174</v>
      </c>
      <c r="AQ363" s="354">
        <f t="shared" si="746"/>
        <v>1</v>
      </c>
      <c r="AR363" s="133">
        <f t="shared" si="214"/>
        <v>350000</v>
      </c>
      <c r="AS363" s="133">
        <f t="shared" si="812"/>
        <v>19500</v>
      </c>
      <c r="AT363" s="123">
        <f t="shared" si="747"/>
        <v>0</v>
      </c>
      <c r="AU363" s="393">
        <f t="shared" si="813"/>
        <v>5.5714285714285716E-2</v>
      </c>
      <c r="AV363" s="394" t="s">
        <v>2793</v>
      </c>
      <c r="AW363" s="15">
        <v>44736</v>
      </c>
      <c r="AX363" s="12" t="s">
        <v>206</v>
      </c>
      <c r="BC363" s="1" t="s">
        <v>2846</v>
      </c>
      <c r="BD363" s="1" t="str">
        <f t="shared" si="811"/>
        <v>Segédszemélyzet_VM_1 - Segédszemélyzet</v>
      </c>
    </row>
    <row r="364" spans="1:56" s="1" customFormat="1" hidden="1" x14ac:dyDescent="0.25">
      <c r="A364" s="264" t="str">
        <f>Bérköltség!$B364</f>
        <v>FEOR</v>
      </c>
      <c r="B364" s="264" t="str">
        <f>IFERROR(
IF(AND(Bérköltség!$F364="",H364="NA"),"HIÁNYOS ADATOK",
IF(Bérköltség!$F364&lt;Bérköltség!$U364,Admin!$B$18,Admin!$B$17)),
"")</f>
        <v>FEOR</v>
      </c>
      <c r="C364" s="265" t="str">
        <f>IFERROR(INDEX('Historikus berek_2021-2'!$A$1:$F$903,MATCH(AB364,'Historikus berek_2021-2'!$A$1:$A$903,0),4),"")</f>
        <v/>
      </c>
      <c r="D364" s="279" t="str">
        <f t="shared" si="814"/>
        <v/>
      </c>
      <c r="E364" s="265">
        <f t="shared" si="815"/>
        <v>350000</v>
      </c>
      <c r="F364" s="266" t="str">
        <f t="shared" si="816"/>
        <v/>
      </c>
      <c r="G364" s="267" t="str">
        <f t="shared" si="817"/>
        <v/>
      </c>
      <c r="H364" s="268">
        <f>IFERROR(INDEX('FEOR kodok'!$A$2:$J$1126,MATCH(Bérköltség!AB364,'FEOR kodok'!$B$2:$B$1126,0),8),"NA")</f>
        <v>3134</v>
      </c>
      <c r="I364" s="269">
        <f>IFERROR(INDEX('FEOR kodok'!$A$2:$J$1126,MATCH(Bérköltség!AB364,'FEOR kodok'!$B$2:$B$1126,0),10),"NA")</f>
        <v>21</v>
      </c>
      <c r="J364" s="276" t="str">
        <f t="shared" si="818"/>
        <v>30 év alatt</v>
      </c>
      <c r="K364" s="269" t="str">
        <f>IFERROR(INDEX(admin_feor[#All],MATCH(Bérköltség!H364,admin_feor[[#All],[Foglalkozás]],0),2),"NA")</f>
        <v>Környezetvédelmi technikus</v>
      </c>
      <c r="L364" s="270">
        <f>IFERROR(
INDEX('Admin - FEOR'!$A$4:$F$465,MATCH(Bérköltség!H364,'Admin - FEOR'!$A$4:$A$465,0),
IF(J364="30 év alatt",3,
IF(J364="30–39 éves",4,
IF(J364="40–49 éves",5,
IF(J364="50 év és afelett",6
)))))*1,"NA")</f>
        <v>361327</v>
      </c>
      <c r="M364" s="270">
        <f t="shared" si="819"/>
        <v>350000</v>
      </c>
      <c r="N364" s="318">
        <f t="shared" si="820"/>
        <v>0.96865166455869611</v>
      </c>
      <c r="O364" s="270">
        <f>IFERROR(
INDEX('Admin - FEOR'!$A$4:$F$465,MATCH(Bérköltség!H364,'Admin - FEOR'!$A$4:$A$465,0),
IF(J364="30 év alatt",3,
IF(J364="30–39 éves",4,
IF(J364="40–49 éves",5,
IF(J364="50 év és afelett",6
)))))*1.5,"NA")</f>
        <v>541990.5</v>
      </c>
      <c r="P364" s="270">
        <f t="shared" si="821"/>
        <v>541990.5</v>
      </c>
      <c r="Q364" s="270">
        <f t="shared" si="822"/>
        <v>350000</v>
      </c>
      <c r="R364" s="275">
        <f t="shared" si="823"/>
        <v>1</v>
      </c>
      <c r="S364" s="270">
        <f t="shared" si="824"/>
        <v>0</v>
      </c>
      <c r="T364" s="270">
        <f t="shared" si="825"/>
        <v>0</v>
      </c>
      <c r="U364" s="271">
        <f t="shared" si="826"/>
        <v>0</v>
      </c>
      <c r="V364" s="272">
        <f t="shared" si="827"/>
        <v>369500</v>
      </c>
      <c r="W364" s="273" t="str">
        <f t="shared" si="828"/>
        <v>Nem szükséges indoklás.</v>
      </c>
      <c r="X364" s="372">
        <f t="shared" si="829"/>
        <v>0</v>
      </c>
      <c r="Y364" s="317">
        <f t="shared" si="830"/>
        <v>350000</v>
      </c>
      <c r="Z364" s="317">
        <f t="shared" si="831"/>
        <v>19500</v>
      </c>
      <c r="AA364" s="12">
        <v>2</v>
      </c>
      <c r="AB364" s="274">
        <v>8494880098</v>
      </c>
      <c r="AC364" s="40" t="s">
        <v>199</v>
      </c>
      <c r="AD364" s="82" t="s">
        <v>75</v>
      </c>
      <c r="AE364" s="41" t="s">
        <v>54</v>
      </c>
      <c r="AF364" s="11" t="s">
        <v>152</v>
      </c>
      <c r="AG364" s="11" t="s">
        <v>200</v>
      </c>
      <c r="AH364" s="14" t="s">
        <v>123</v>
      </c>
      <c r="AI364" s="86" t="s">
        <v>25</v>
      </c>
      <c r="AJ364" s="113" t="str">
        <f>IF(COUNTIFS(Admin!$A$29:$A$40,AI364)&gt;0,Admin!$A$28,IF(COUNTIFS(Admin!$B$29:$B$40,AI364)&gt;0,Admin!$B$28,IF(COUNTIFS(Admin!$C$29:$C$40,AI364)&gt;0,Admin!$C$28,IF(COUNTIFS(Admin!$D$29:$D$40,AI364)&gt;0,Admin!$D$28,"-"))))</f>
        <v>2. mérföldkő</v>
      </c>
      <c r="AK364" s="14" t="s">
        <v>7</v>
      </c>
      <c r="AL364" s="9" t="s">
        <v>56</v>
      </c>
      <c r="AM364" s="131">
        <v>350000</v>
      </c>
      <c r="AN364" s="132">
        <v>19500</v>
      </c>
      <c r="AO364" s="121">
        <v>174</v>
      </c>
      <c r="AP364" s="121">
        <v>174</v>
      </c>
      <c r="AQ364" s="354">
        <f t="shared" si="746"/>
        <v>1</v>
      </c>
      <c r="AR364" s="133">
        <f t="shared" si="214"/>
        <v>350000</v>
      </c>
      <c r="AS364" s="133">
        <f t="shared" si="812"/>
        <v>19500</v>
      </c>
      <c r="AT364" s="123">
        <f t="shared" si="747"/>
        <v>0</v>
      </c>
      <c r="AU364" s="393">
        <f t="shared" si="813"/>
        <v>5.5714285714285716E-2</v>
      </c>
      <c r="AV364" s="394" t="s">
        <v>2793</v>
      </c>
      <c r="AW364" s="15">
        <v>44736</v>
      </c>
      <c r="AX364" s="12" t="s">
        <v>206</v>
      </c>
      <c r="AZ364" s="1" t="s">
        <v>2667</v>
      </c>
      <c r="BA364" s="1" t="s">
        <v>2667</v>
      </c>
      <c r="BB364" s="1" t="s">
        <v>2667</v>
      </c>
      <c r="BC364" s="1" t="s">
        <v>2846</v>
      </c>
      <c r="BD364" s="1" t="str">
        <f t="shared" si="811"/>
        <v>Segédszemélyzet_VM_1 - Segédszemélyzet</v>
      </c>
    </row>
    <row r="365" spans="1:56" s="1" customFormat="1" hidden="1" x14ac:dyDescent="0.25">
      <c r="A365" s="264" t="str">
        <f>Bérköltség!$B365</f>
        <v>FEOR</v>
      </c>
      <c r="B365" s="264" t="str">
        <f>IFERROR(
IF(AND(Bérköltség!$F365="",H365="NA"),"HIÁNYOS ADATOK",
IF(Bérköltség!$F365&lt;Bérköltség!$U365,Admin!$B$18,Admin!$B$17)),
"")</f>
        <v>FEOR</v>
      </c>
      <c r="C365" s="265" t="str">
        <f>IFERROR(INDEX('Historikus berek_2021-2'!$A$1:$F$903,MATCH(AB365,'Historikus berek_2021-2'!$A$1:$A$903,0),4),"")</f>
        <v/>
      </c>
      <c r="D365" s="279" t="str">
        <f t="shared" si="814"/>
        <v/>
      </c>
      <c r="E365" s="265">
        <f t="shared" si="815"/>
        <v>350000</v>
      </c>
      <c r="F365" s="266" t="str">
        <f t="shared" si="816"/>
        <v/>
      </c>
      <c r="G365" s="267" t="str">
        <f t="shared" si="817"/>
        <v/>
      </c>
      <c r="H365" s="268">
        <f>IFERROR(INDEX('FEOR kodok'!$A$2:$J$1126,MATCH(Bérköltség!AB365,'FEOR kodok'!$B$2:$B$1126,0),8),"NA")</f>
        <v>3134</v>
      </c>
      <c r="I365" s="269">
        <f>IFERROR(INDEX('FEOR kodok'!$A$2:$J$1126,MATCH(Bérköltség!AB365,'FEOR kodok'!$B$2:$B$1126,0),10),"NA")</f>
        <v>21</v>
      </c>
      <c r="J365" s="276" t="str">
        <f t="shared" si="818"/>
        <v>30 év alatt</v>
      </c>
      <c r="K365" s="269" t="str">
        <f>IFERROR(INDEX(admin_feor[#All],MATCH(Bérköltség!H365,admin_feor[[#All],[Foglalkozás]],0),2),"NA")</f>
        <v>Környezetvédelmi technikus</v>
      </c>
      <c r="L365" s="270">
        <f>IFERROR(
INDEX('Admin - FEOR'!$A$4:$F$465,MATCH(Bérköltség!H365,'Admin - FEOR'!$A$4:$A$465,0),
IF(J365="30 év alatt",3,
IF(J365="30–39 éves",4,
IF(J365="40–49 éves",5,
IF(J365="50 év és afelett",6
)))))*1,"NA")</f>
        <v>361327</v>
      </c>
      <c r="M365" s="270">
        <f t="shared" si="819"/>
        <v>350000</v>
      </c>
      <c r="N365" s="318">
        <f t="shared" si="820"/>
        <v>0.96865166455869611</v>
      </c>
      <c r="O365" s="270">
        <f>IFERROR(
INDEX('Admin - FEOR'!$A$4:$F$465,MATCH(Bérköltség!H365,'Admin - FEOR'!$A$4:$A$465,0),
IF(J365="30 év alatt",3,
IF(J365="30–39 éves",4,
IF(J365="40–49 éves",5,
IF(J365="50 év és afelett",6
)))))*1.5,"NA")</f>
        <v>541990.5</v>
      </c>
      <c r="P365" s="270">
        <f t="shared" si="821"/>
        <v>541990.5</v>
      </c>
      <c r="Q365" s="270">
        <f t="shared" si="822"/>
        <v>350000</v>
      </c>
      <c r="R365" s="275">
        <f t="shared" si="823"/>
        <v>1</v>
      </c>
      <c r="S365" s="270">
        <f t="shared" si="824"/>
        <v>0</v>
      </c>
      <c r="T365" s="270">
        <f t="shared" si="825"/>
        <v>0</v>
      </c>
      <c r="U365" s="271">
        <f t="shared" si="826"/>
        <v>0</v>
      </c>
      <c r="V365" s="272">
        <f t="shared" si="827"/>
        <v>369721</v>
      </c>
      <c r="W365" s="273" t="str">
        <f t="shared" si="828"/>
        <v>Nem szükséges indoklás.</v>
      </c>
      <c r="X365" s="372">
        <f t="shared" si="829"/>
        <v>0</v>
      </c>
      <c r="Y365" s="317">
        <f t="shared" si="830"/>
        <v>350000</v>
      </c>
      <c r="Z365" s="317">
        <f t="shared" si="831"/>
        <v>19721</v>
      </c>
      <c r="AA365" s="12">
        <v>2</v>
      </c>
      <c r="AB365" s="274">
        <v>8494880098</v>
      </c>
      <c r="AC365" s="40" t="s">
        <v>199</v>
      </c>
      <c r="AD365" s="82" t="s">
        <v>75</v>
      </c>
      <c r="AE365" s="41" t="s">
        <v>54</v>
      </c>
      <c r="AF365" s="11" t="s">
        <v>152</v>
      </c>
      <c r="AG365" s="11" t="s">
        <v>200</v>
      </c>
      <c r="AH365" s="14" t="s">
        <v>123</v>
      </c>
      <c r="AI365" s="86" t="s">
        <v>26</v>
      </c>
      <c r="AJ365" s="113" t="str">
        <f>IF(COUNTIFS(Admin!$A$29:$A$40,AI365)&gt;0,Admin!$A$28,IF(COUNTIFS(Admin!$B$29:$B$40,AI365)&gt;0,Admin!$B$28,IF(COUNTIFS(Admin!$C$29:$C$40,AI365)&gt;0,Admin!$C$28,IF(COUNTIFS(Admin!$D$29:$D$40,AI365)&gt;0,Admin!$D$28,"-"))))</f>
        <v>2. mérföldkő</v>
      </c>
      <c r="AK365" s="14" t="s">
        <v>7</v>
      </c>
      <c r="AL365" s="9" t="s">
        <v>56</v>
      </c>
      <c r="AM365" s="131">
        <v>350000</v>
      </c>
      <c r="AN365" s="132">
        <v>19721</v>
      </c>
      <c r="AO365" s="121">
        <v>174</v>
      </c>
      <c r="AP365" s="121">
        <v>174</v>
      </c>
      <c r="AQ365" s="354">
        <f t="shared" si="746"/>
        <v>1</v>
      </c>
      <c r="AR365" s="133">
        <f t="shared" si="214"/>
        <v>350000</v>
      </c>
      <c r="AS365" s="133">
        <f t="shared" si="812"/>
        <v>19721</v>
      </c>
      <c r="AT365" s="123">
        <f t="shared" si="747"/>
        <v>0</v>
      </c>
      <c r="AU365" s="393">
        <f t="shared" si="813"/>
        <v>5.6345714285714284E-2</v>
      </c>
      <c r="AV365" s="394" t="s">
        <v>2793</v>
      </c>
      <c r="AW365" s="15">
        <v>44736</v>
      </c>
      <c r="AX365" s="12" t="s">
        <v>206</v>
      </c>
      <c r="AZ365" s="1" t="s">
        <v>2667</v>
      </c>
      <c r="BA365" s="1" t="s">
        <v>2668</v>
      </c>
      <c r="BB365" s="1" t="s">
        <v>2668</v>
      </c>
      <c r="BC365" s="1" t="s">
        <v>2846</v>
      </c>
      <c r="BD365" s="1" t="str">
        <f t="shared" si="811"/>
        <v>Segédszemélyzet_VM_1 - Segédszemélyzet</v>
      </c>
    </row>
    <row r="366" spans="1:56" s="1" customFormat="1" hidden="1" x14ac:dyDescent="0.25">
      <c r="A366" s="264" t="str">
        <f>Bérköltség!$B366</f>
        <v>FEOR</v>
      </c>
      <c r="B366" s="264" t="str">
        <f>IFERROR(
IF(AND(Bérköltség!$F366="",H366="NA"),"HIÁNYOS ADATOK",
IF(Bérköltség!$F366&lt;Bérköltség!$U366,Admin!$B$18,Admin!$B$17)),
"")</f>
        <v>FEOR</v>
      </c>
      <c r="C366" s="265" t="str">
        <f>IFERROR(INDEX('Historikus berek_2021-2'!$A$1:$F$903,MATCH(AB366,'Historikus berek_2021-2'!$A$1:$A$903,0),4),"")</f>
        <v/>
      </c>
      <c r="D366" s="279" t="str">
        <f t="shared" si="814"/>
        <v/>
      </c>
      <c r="E366" s="265">
        <f t="shared" si="815"/>
        <v>390000</v>
      </c>
      <c r="F366" s="266" t="str">
        <f t="shared" si="816"/>
        <v/>
      </c>
      <c r="G366" s="267" t="str">
        <f t="shared" si="817"/>
        <v/>
      </c>
      <c r="H366" s="268">
        <f>IFERROR(INDEX('FEOR kodok'!$A$2:$J$1126,MATCH(Bérköltség!AB366,'FEOR kodok'!$B$2:$B$1126,0),8),"NA")</f>
        <v>3134</v>
      </c>
      <c r="I366" s="269">
        <f>IFERROR(INDEX('FEOR kodok'!$A$2:$J$1126,MATCH(Bérköltség!AB366,'FEOR kodok'!$B$2:$B$1126,0),10),"NA")</f>
        <v>21</v>
      </c>
      <c r="J366" s="276" t="str">
        <f t="shared" si="818"/>
        <v>30 év alatt</v>
      </c>
      <c r="K366" s="269" t="str">
        <f>IFERROR(INDEX(admin_feor[#All],MATCH(Bérköltség!H366,admin_feor[[#All],[Foglalkozás]],0),2),"NA")</f>
        <v>Környezetvédelmi technikus</v>
      </c>
      <c r="L366" s="270">
        <f>IFERROR(
INDEX('Admin - FEOR'!$A$4:$F$465,MATCH(Bérköltség!H366,'Admin - FEOR'!$A$4:$A$465,0),
IF(J366="30 év alatt",3,
IF(J366="30–39 éves",4,
IF(J366="40–49 éves",5,
IF(J366="50 év és afelett",6
)))))*1,"NA")</f>
        <v>361327</v>
      </c>
      <c r="M366" s="270">
        <f t="shared" si="819"/>
        <v>390000</v>
      </c>
      <c r="N366" s="318">
        <f t="shared" si="820"/>
        <v>1.0793547119368327</v>
      </c>
      <c r="O366" s="270">
        <f>IFERROR(
INDEX('Admin - FEOR'!$A$4:$F$465,MATCH(Bérköltség!H366,'Admin - FEOR'!$A$4:$A$465,0),
IF(J366="30 év alatt",3,
IF(J366="30–39 éves",4,
IF(J366="40–49 éves",5,
IF(J366="50 év és afelett",6
)))))*1.5,"NA")</f>
        <v>541990.5</v>
      </c>
      <c r="P366" s="270">
        <f t="shared" si="821"/>
        <v>541990.5</v>
      </c>
      <c r="Q366" s="270">
        <f t="shared" si="822"/>
        <v>390000</v>
      </c>
      <c r="R366" s="275">
        <f t="shared" si="823"/>
        <v>1</v>
      </c>
      <c r="S366" s="270">
        <f t="shared" si="824"/>
        <v>0</v>
      </c>
      <c r="T366" s="270">
        <f t="shared" si="825"/>
        <v>0</v>
      </c>
      <c r="U366" s="271">
        <f t="shared" si="826"/>
        <v>0</v>
      </c>
      <c r="V366" s="272">
        <f t="shared" si="827"/>
        <v>410540</v>
      </c>
      <c r="W366" s="273" t="str">
        <f t="shared" si="828"/>
        <v>Indoklás szükséges mivel a FEOR: 107,9%</v>
      </c>
      <c r="X366" s="372">
        <f t="shared" si="829"/>
        <v>0</v>
      </c>
      <c r="Y366" s="317">
        <f t="shared" si="830"/>
        <v>390000</v>
      </c>
      <c r="Z366" s="317">
        <f t="shared" si="831"/>
        <v>20540</v>
      </c>
      <c r="AA366" s="12">
        <v>2</v>
      </c>
      <c r="AB366" s="274">
        <v>8494880098</v>
      </c>
      <c r="AC366" s="40" t="s">
        <v>199</v>
      </c>
      <c r="AD366" s="82" t="s">
        <v>75</v>
      </c>
      <c r="AE366" s="41" t="s">
        <v>54</v>
      </c>
      <c r="AF366" s="11" t="s">
        <v>152</v>
      </c>
      <c r="AG366" s="11" t="s">
        <v>200</v>
      </c>
      <c r="AH366" s="14" t="s">
        <v>123</v>
      </c>
      <c r="AI366" s="86" t="s">
        <v>32</v>
      </c>
      <c r="AJ366" s="113" t="str">
        <f>IF(COUNTIFS(Admin!$A$29:$A$40,AI366)&gt;0,Admin!$A$28,IF(COUNTIFS(Admin!$B$29:$B$40,AI366)&gt;0,Admin!$B$28,IF(COUNTIFS(Admin!$C$29:$C$40,AI366)&gt;0,Admin!$C$28,IF(COUNTIFS(Admin!$D$29:$D$40,AI366)&gt;0,Admin!$D$28,"-"))))</f>
        <v>2. mérföldkő</v>
      </c>
      <c r="AK366" s="14" t="s">
        <v>7</v>
      </c>
      <c r="AL366" s="9" t="s">
        <v>56</v>
      </c>
      <c r="AM366" s="131">
        <v>390000</v>
      </c>
      <c r="AN366" s="132">
        <v>20540</v>
      </c>
      <c r="AO366" s="121">
        <v>174</v>
      </c>
      <c r="AP366" s="121">
        <v>174</v>
      </c>
      <c r="AQ366" s="354">
        <f t="shared" si="746"/>
        <v>1</v>
      </c>
      <c r="AR366" s="133">
        <f t="shared" si="214"/>
        <v>390000</v>
      </c>
      <c r="AS366" s="133">
        <f t="shared" si="812"/>
        <v>20540</v>
      </c>
      <c r="AT366" s="123">
        <f t="shared" si="747"/>
        <v>0</v>
      </c>
      <c r="AU366" s="393">
        <f t="shared" si="813"/>
        <v>5.2666666666666667E-2</v>
      </c>
      <c r="AV366" s="394" t="s">
        <v>2793</v>
      </c>
      <c r="AW366" s="15">
        <v>44904</v>
      </c>
      <c r="AX366" s="12" t="s">
        <v>206</v>
      </c>
      <c r="AZ366" s="1" t="s">
        <v>2667</v>
      </c>
      <c r="BA366" s="1">
        <v>0</v>
      </c>
      <c r="BB366" s="1">
        <v>0</v>
      </c>
      <c r="BC366" s="1" t="s">
        <v>2846</v>
      </c>
      <c r="BD366" s="1" t="str">
        <f t="shared" si="811"/>
        <v>Segédszemélyzet_VM_1 - Segédszemélyzet</v>
      </c>
    </row>
    <row r="367" spans="1:56" s="1" customFormat="1" hidden="1" x14ac:dyDescent="0.25">
      <c r="A367" s="264" t="str">
        <f>Bérköltség!$B367</f>
        <v>FEOR</v>
      </c>
      <c r="B367" s="264" t="str">
        <f>IFERROR(
IF(AND(Bérköltség!$F367="",H367="NA"),"HIÁNYOS ADATOK",
IF(Bérköltség!$F367&lt;Bérköltség!$U367,Admin!$B$18,Admin!$B$17)),
"")</f>
        <v>FEOR</v>
      </c>
      <c r="C367" s="265" t="str">
        <f>IFERROR(INDEX('Historikus berek_2021-2'!$A$1:$F$903,MATCH(AB367,'Historikus berek_2021-2'!$A$1:$A$903,0),4),"")</f>
        <v/>
      </c>
      <c r="D367" s="279" t="str">
        <f t="shared" si="814"/>
        <v/>
      </c>
      <c r="E367" s="265">
        <f t="shared" si="815"/>
        <v>390000</v>
      </c>
      <c r="F367" s="266" t="str">
        <f t="shared" si="816"/>
        <v/>
      </c>
      <c r="G367" s="267" t="str">
        <f t="shared" si="817"/>
        <v/>
      </c>
      <c r="H367" s="268">
        <f>IFERROR(INDEX('FEOR kodok'!$A$2:$J$1126,MATCH(Bérköltség!AB367,'FEOR kodok'!$B$2:$B$1126,0),8),"NA")</f>
        <v>3134</v>
      </c>
      <c r="I367" s="269">
        <f>IFERROR(INDEX('FEOR kodok'!$A$2:$J$1126,MATCH(Bérköltség!AB367,'FEOR kodok'!$B$2:$B$1126,0),10),"NA")</f>
        <v>21</v>
      </c>
      <c r="J367" s="276" t="str">
        <f t="shared" si="818"/>
        <v>30 év alatt</v>
      </c>
      <c r="K367" s="269" t="str">
        <f>IFERROR(INDEX(admin_feor[#All],MATCH(Bérköltség!H367,admin_feor[[#All],[Foglalkozás]],0),2),"NA")</f>
        <v>Környezetvédelmi technikus</v>
      </c>
      <c r="L367" s="270">
        <f>IFERROR(
INDEX('Admin - FEOR'!$A$4:$F$465,MATCH(Bérköltség!H367,'Admin - FEOR'!$A$4:$A$465,0),
IF(J367="30 év alatt",3,
IF(J367="30–39 éves",4,
IF(J367="40–49 éves",5,
IF(J367="50 év és afelett",6
)))))*1,"NA")</f>
        <v>361327</v>
      </c>
      <c r="M367" s="270">
        <f t="shared" si="819"/>
        <v>390000</v>
      </c>
      <c r="N367" s="318">
        <f t="shared" si="820"/>
        <v>1.0793547119368327</v>
      </c>
      <c r="O367" s="270">
        <f>IFERROR(
INDEX('Admin - FEOR'!$A$4:$F$465,MATCH(Bérköltség!H367,'Admin - FEOR'!$A$4:$A$465,0),
IF(J367="30 év alatt",3,
IF(J367="30–39 éves",4,
IF(J367="40–49 éves",5,
IF(J367="50 év és afelett",6
)))))*1.5,"NA")</f>
        <v>541990.5</v>
      </c>
      <c r="P367" s="270">
        <f t="shared" si="821"/>
        <v>541990.5</v>
      </c>
      <c r="Q367" s="270">
        <f t="shared" si="822"/>
        <v>390000</v>
      </c>
      <c r="R367" s="275">
        <f t="shared" si="823"/>
        <v>1</v>
      </c>
      <c r="S367" s="270">
        <f t="shared" si="824"/>
        <v>0</v>
      </c>
      <c r="T367" s="270">
        <f t="shared" si="825"/>
        <v>0</v>
      </c>
      <c r="U367" s="271">
        <f t="shared" si="826"/>
        <v>0</v>
      </c>
      <c r="V367" s="272">
        <f t="shared" si="827"/>
        <v>410540</v>
      </c>
      <c r="W367" s="273" t="str">
        <f t="shared" si="828"/>
        <v>Indoklás szükséges mivel a FEOR: 107,9%</v>
      </c>
      <c r="X367" s="372">
        <f t="shared" si="829"/>
        <v>0</v>
      </c>
      <c r="Y367" s="317">
        <f t="shared" si="830"/>
        <v>390000</v>
      </c>
      <c r="Z367" s="317">
        <f t="shared" si="831"/>
        <v>20540</v>
      </c>
      <c r="AA367" s="12">
        <v>2</v>
      </c>
      <c r="AB367" s="274">
        <v>8494880098</v>
      </c>
      <c r="AC367" s="40" t="s">
        <v>199</v>
      </c>
      <c r="AD367" s="82" t="s">
        <v>75</v>
      </c>
      <c r="AE367" s="41" t="s">
        <v>54</v>
      </c>
      <c r="AF367" s="11" t="s">
        <v>152</v>
      </c>
      <c r="AG367" s="11" t="s">
        <v>200</v>
      </c>
      <c r="AH367" s="14" t="s">
        <v>123</v>
      </c>
      <c r="AI367" s="86" t="s">
        <v>33</v>
      </c>
      <c r="AJ367" s="113" t="str">
        <f>IF(COUNTIFS(Admin!$A$29:$A$40,AI367)&gt;0,Admin!$A$28,IF(COUNTIFS(Admin!$B$29:$B$40,AI367)&gt;0,Admin!$B$28,IF(COUNTIFS(Admin!$C$29:$C$40,AI367)&gt;0,Admin!$C$28,IF(COUNTIFS(Admin!$D$29:$D$40,AI367)&gt;0,Admin!$D$28,"-"))))</f>
        <v>2. mérföldkő</v>
      </c>
      <c r="AK367" s="14" t="s">
        <v>7</v>
      </c>
      <c r="AL367" s="9" t="s">
        <v>56</v>
      </c>
      <c r="AM367" s="131">
        <v>390000</v>
      </c>
      <c r="AN367" s="132">
        <v>20540</v>
      </c>
      <c r="AO367" s="121">
        <v>174</v>
      </c>
      <c r="AP367" s="121">
        <v>174</v>
      </c>
      <c r="AQ367" s="354">
        <f t="shared" si="746"/>
        <v>1</v>
      </c>
      <c r="AR367" s="133">
        <f t="shared" si="214"/>
        <v>390000</v>
      </c>
      <c r="AS367" s="133">
        <f t="shared" si="812"/>
        <v>20540</v>
      </c>
      <c r="AT367" s="123">
        <f t="shared" si="747"/>
        <v>0</v>
      </c>
      <c r="AU367" s="393">
        <f t="shared" si="813"/>
        <v>5.2666666666666667E-2</v>
      </c>
      <c r="AV367" s="394" t="s">
        <v>2793</v>
      </c>
      <c r="AW367" s="15">
        <v>44904</v>
      </c>
      <c r="AX367" s="12" t="s">
        <v>206</v>
      </c>
      <c r="AZ367" s="8" t="str">
        <f>IF(VLOOKUP(LEFT($AB367,10),'Havi béradatok'!$B:$E,2,FALSE)=AG367,"EGYEZIK","HIBÁS")</f>
        <v>EGYEZIK</v>
      </c>
      <c r="BA367" s="1">
        <f>VLOOKUP(LEFT($AB367,10),'Havi béradatok'!$B:$E,3,FALSE)-AM367</f>
        <v>0</v>
      </c>
      <c r="BB367" s="1">
        <f>VLOOKUP(LEFT($AB367,10),'Havi béradatok'!$B:$E,4,FALSE)-AN367</f>
        <v>0</v>
      </c>
      <c r="BC367" s="1" t="s">
        <v>2846</v>
      </c>
      <c r="BD367" s="1" t="str">
        <f t="shared" si="811"/>
        <v>Segédszemélyzet_VM_1 - Segédszemélyzet</v>
      </c>
    </row>
    <row r="368" spans="1:56" s="1" customFormat="1" hidden="1" x14ac:dyDescent="0.25">
      <c r="A368" s="264" t="str">
        <f>Bérköltség!$B368</f>
        <v>FEOR</v>
      </c>
      <c r="B368" s="264" t="str">
        <f>IFERROR(
IF(AND(Bérköltség!$F368="",H368="NA"),"HIÁNYOS ADATOK",
IF(Bérköltség!$F368&lt;Bérköltség!$U368,Admin!$B$18,Admin!$B$17)),
"")</f>
        <v>FEOR</v>
      </c>
      <c r="C368" s="265" t="str">
        <f>IFERROR(INDEX('Historikus berek_2021-2'!$A$1:$F$903,MATCH(AB368,'Historikus berek_2021-2'!$A$1:$A$903,0),4),"")</f>
        <v/>
      </c>
      <c r="D368" s="279" t="str">
        <f t="shared" si="814"/>
        <v/>
      </c>
      <c r="E368" s="265">
        <f t="shared" si="815"/>
        <v>390000</v>
      </c>
      <c r="F368" s="266" t="str">
        <f t="shared" si="816"/>
        <v/>
      </c>
      <c r="G368" s="267" t="str">
        <f t="shared" si="817"/>
        <v/>
      </c>
      <c r="H368" s="268">
        <f>IFERROR(INDEX('FEOR kodok'!$A$2:$J$1126,MATCH(Bérköltség!AB368,'FEOR kodok'!$B$2:$B$1126,0),8),"NA")</f>
        <v>3134</v>
      </c>
      <c r="I368" s="269">
        <f>IFERROR(INDEX('FEOR kodok'!$A$2:$J$1126,MATCH(Bérköltség!AB368,'FEOR kodok'!$B$2:$B$1126,0),10),"NA")</f>
        <v>21</v>
      </c>
      <c r="J368" s="276" t="str">
        <f t="shared" si="818"/>
        <v>30 év alatt</v>
      </c>
      <c r="K368" s="269" t="str">
        <f>IFERROR(INDEX(admin_feor[#All],MATCH(Bérköltség!H368,admin_feor[[#All],[Foglalkozás]],0),2),"NA")</f>
        <v>Környezetvédelmi technikus</v>
      </c>
      <c r="L368" s="270">
        <f>IFERROR(
INDEX('Admin - FEOR'!$A$4:$F$465,MATCH(Bérköltség!H368,'Admin - FEOR'!$A$4:$A$465,0),
IF(J368="30 év alatt",3,
IF(J368="30–39 éves",4,
IF(J368="40–49 éves",5,
IF(J368="50 év és afelett",6
)))))*1,"NA")</f>
        <v>361327</v>
      </c>
      <c r="M368" s="270">
        <f t="shared" si="819"/>
        <v>390000</v>
      </c>
      <c r="N368" s="318">
        <f t="shared" si="820"/>
        <v>1.0793547119368327</v>
      </c>
      <c r="O368" s="270">
        <f>IFERROR(
INDEX('Admin - FEOR'!$A$4:$F$465,MATCH(Bérköltség!H368,'Admin - FEOR'!$A$4:$A$465,0),
IF(J368="30 év alatt",3,
IF(J368="30–39 éves",4,
IF(J368="40–49 éves",5,
IF(J368="50 év és afelett",6
)))))*1.5,"NA")</f>
        <v>541990.5</v>
      </c>
      <c r="P368" s="270">
        <f t="shared" si="821"/>
        <v>541990.5</v>
      </c>
      <c r="Q368" s="270">
        <f t="shared" si="822"/>
        <v>390000</v>
      </c>
      <c r="R368" s="275">
        <f t="shared" si="823"/>
        <v>1</v>
      </c>
      <c r="S368" s="270">
        <f t="shared" si="824"/>
        <v>0</v>
      </c>
      <c r="T368" s="270">
        <f t="shared" si="825"/>
        <v>0</v>
      </c>
      <c r="U368" s="271">
        <f t="shared" si="826"/>
        <v>0</v>
      </c>
      <c r="V368" s="272">
        <f t="shared" si="827"/>
        <v>410540</v>
      </c>
      <c r="W368" s="273" t="str">
        <f t="shared" si="828"/>
        <v>Indoklás szükséges mivel a FEOR: 107,9%</v>
      </c>
      <c r="X368" s="372">
        <f t="shared" si="829"/>
        <v>0</v>
      </c>
      <c r="Y368" s="317">
        <f t="shared" si="830"/>
        <v>390000</v>
      </c>
      <c r="Z368" s="317">
        <f t="shared" si="831"/>
        <v>20540</v>
      </c>
      <c r="AA368" s="12">
        <v>2</v>
      </c>
      <c r="AB368" s="274">
        <v>8494880098</v>
      </c>
      <c r="AC368" s="40" t="s">
        <v>199</v>
      </c>
      <c r="AD368" s="82" t="s">
        <v>75</v>
      </c>
      <c r="AE368" s="41" t="s">
        <v>54</v>
      </c>
      <c r="AF368" s="11" t="s">
        <v>152</v>
      </c>
      <c r="AG368" s="11" t="s">
        <v>200</v>
      </c>
      <c r="AH368" s="14" t="s">
        <v>123</v>
      </c>
      <c r="AI368" s="86" t="s">
        <v>34</v>
      </c>
      <c r="AJ368" s="113" t="str">
        <f>IF(COUNTIFS(Admin!$A$29:$A$40,AI368)&gt;0,Admin!$A$28,IF(COUNTIFS(Admin!$B$29:$B$40,AI368)&gt;0,Admin!$B$28,IF(COUNTIFS(Admin!$C$29:$C$40,AI368)&gt;0,Admin!$C$28,IF(COUNTIFS(Admin!$D$29:$D$40,AI368)&gt;0,Admin!$D$28,"-"))))</f>
        <v>2. mérföldkő</v>
      </c>
      <c r="AK368" s="14" t="s">
        <v>7</v>
      </c>
      <c r="AL368" s="9" t="s">
        <v>56</v>
      </c>
      <c r="AM368" s="131">
        <v>390000</v>
      </c>
      <c r="AN368" s="132">
        <v>20540</v>
      </c>
      <c r="AO368" s="121">
        <v>174</v>
      </c>
      <c r="AP368" s="121">
        <v>174</v>
      </c>
      <c r="AQ368" s="354">
        <f t="shared" si="746"/>
        <v>1</v>
      </c>
      <c r="AR368" s="133">
        <f t="shared" si="214"/>
        <v>390000</v>
      </c>
      <c r="AS368" s="133">
        <f t="shared" si="500"/>
        <v>20540</v>
      </c>
      <c r="AT368" s="123">
        <f t="shared" si="747"/>
        <v>0</v>
      </c>
      <c r="AU368" s="393">
        <f>AN368/AM368</f>
        <v>5.2666666666666667E-2</v>
      </c>
      <c r="AV368" s="394" t="s">
        <v>2793</v>
      </c>
      <c r="AW368" s="15">
        <v>44904</v>
      </c>
      <c r="AX368" s="12" t="s">
        <v>206</v>
      </c>
      <c r="BC368" s="1" t="s">
        <v>2846</v>
      </c>
      <c r="BD368" s="1" t="str">
        <f t="shared" si="811"/>
        <v>Segédszemélyzet_VM_1 - Segédszemélyzet</v>
      </c>
    </row>
    <row r="369" spans="1:56" s="1" customFormat="1" x14ac:dyDescent="0.25">
      <c r="A369" s="264" t="str">
        <f>Bérköltség!$B369</f>
        <v>FEOR</v>
      </c>
      <c r="B369" s="264" t="str">
        <f>IFERROR(
IF(AND(Bérköltség!$F369="",H369="NA"),"HIÁNYOS ADATOK",
IF(Bérköltség!$F369&lt;Bérköltség!$U369,Admin!$B$18,Admin!$B$17)),
"")</f>
        <v>FEOR</v>
      </c>
      <c r="C369" s="265" t="str">
        <f>IFERROR(INDEX('Historikus berek_2021-2'!$A$1:$F$903,MATCH(AB369,'Historikus berek_2021-2'!$A$1:$A$903,0),4),"")</f>
        <v/>
      </c>
      <c r="D369" s="279" t="str">
        <f t="shared" si="814"/>
        <v/>
      </c>
      <c r="E369" s="265">
        <f t="shared" si="815"/>
        <v>390000</v>
      </c>
      <c r="F369" s="266" t="str">
        <f t="shared" si="816"/>
        <v/>
      </c>
      <c r="G369" s="267" t="str">
        <f t="shared" si="817"/>
        <v/>
      </c>
      <c r="H369" s="268">
        <f>IFERROR(INDEX('FEOR kodok'!$A$2:$J$1126,MATCH(Bérköltség!AB369,'FEOR kodok'!$B$2:$B$1126,0),8),"NA")</f>
        <v>3134</v>
      </c>
      <c r="I369" s="269">
        <f>IFERROR(INDEX('FEOR kodok'!$A$2:$J$1126,MATCH(Bérköltség!AB369,'FEOR kodok'!$B$2:$B$1126,0),10),"NA")</f>
        <v>21</v>
      </c>
      <c r="J369" s="276" t="str">
        <f t="shared" si="818"/>
        <v>30 év alatt</v>
      </c>
      <c r="K369" s="269" t="str">
        <f>IFERROR(INDEX(admin_feor[#All],MATCH(Bérköltség!H369,admin_feor[[#All],[Foglalkozás]],0),2),"NA")</f>
        <v>Környezetvédelmi technikus</v>
      </c>
      <c r="L369" s="270">
        <f>IFERROR(
INDEX('Admin - FEOR'!$A$4:$F$465,MATCH(Bérköltség!H369,'Admin - FEOR'!$A$4:$A$465,0),
IF(J369="30 év alatt",3,
IF(J369="30–39 éves",4,
IF(J369="40–49 éves",5,
IF(J369="50 év és afelett",6
)))))*1,"NA")</f>
        <v>361327</v>
      </c>
      <c r="M369" s="270">
        <f t="shared" si="819"/>
        <v>390000</v>
      </c>
      <c r="N369" s="318">
        <f t="shared" si="820"/>
        <v>1.0793547119368327</v>
      </c>
      <c r="O369" s="270">
        <f>IFERROR(
INDEX('Admin - FEOR'!$A$4:$F$465,MATCH(Bérköltség!H369,'Admin - FEOR'!$A$4:$A$465,0),
IF(J369="30 év alatt",3,
IF(J369="30–39 éves",4,
IF(J369="40–49 éves",5,
IF(J369="50 év és afelett",6
)))))*1.5,"NA")</f>
        <v>541990.5</v>
      </c>
      <c r="P369" s="270">
        <f t="shared" si="821"/>
        <v>541990.5</v>
      </c>
      <c r="Q369" s="270">
        <f t="shared" si="822"/>
        <v>390000</v>
      </c>
      <c r="R369" s="275">
        <f t="shared" si="823"/>
        <v>1</v>
      </c>
      <c r="S369" s="270">
        <f t="shared" si="824"/>
        <v>0</v>
      </c>
      <c r="T369" s="270">
        <f t="shared" si="825"/>
        <v>0</v>
      </c>
      <c r="U369" s="271">
        <f t="shared" si="826"/>
        <v>0</v>
      </c>
      <c r="V369" s="272">
        <f t="shared" si="827"/>
        <v>410540</v>
      </c>
      <c r="W369" s="273" t="str">
        <f t="shared" si="828"/>
        <v>Indoklás szükséges mivel a FEOR: 107,9%</v>
      </c>
      <c r="X369" s="372">
        <f t="shared" si="829"/>
        <v>0</v>
      </c>
      <c r="Y369" s="317">
        <f t="shared" si="830"/>
        <v>390000</v>
      </c>
      <c r="Z369" s="317">
        <f t="shared" si="831"/>
        <v>20540</v>
      </c>
      <c r="AA369" s="36"/>
      <c r="AB369" s="274">
        <v>8494880098</v>
      </c>
      <c r="AC369" s="40" t="s">
        <v>199</v>
      </c>
      <c r="AD369" s="82" t="s">
        <v>75</v>
      </c>
      <c r="AE369" s="41" t="s">
        <v>54</v>
      </c>
      <c r="AF369" s="11" t="s">
        <v>152</v>
      </c>
      <c r="AG369" s="11" t="s">
        <v>200</v>
      </c>
      <c r="AH369" s="14" t="s">
        <v>123</v>
      </c>
      <c r="AI369" s="86" t="s">
        <v>35</v>
      </c>
      <c r="AJ369" s="113" t="str">
        <f>IF(COUNTIFS(Admin!$A$29:$A$40,AI369)&gt;0,Admin!$A$28,IF(COUNTIFS(Admin!$B$29:$B$40,AI369)&gt;0,Admin!$B$28,IF(COUNTIFS(Admin!$C$29:$C$40,AI369)&gt;0,Admin!$C$28,IF(COUNTIFS(Admin!$D$29:$D$40,AI369)&gt;0,Admin!$D$28,"-"))))</f>
        <v>3. mérföldkő</v>
      </c>
      <c r="AK369" s="14" t="s">
        <v>7</v>
      </c>
      <c r="AL369" s="9" t="s">
        <v>56</v>
      </c>
      <c r="AM369" s="131">
        <v>390000</v>
      </c>
      <c r="AN369" s="132">
        <v>20540</v>
      </c>
      <c r="AO369" s="121">
        <v>174</v>
      </c>
      <c r="AP369" s="121">
        <v>174</v>
      </c>
      <c r="AQ369" s="354">
        <f t="shared" si="746"/>
        <v>1</v>
      </c>
      <c r="AR369" s="133">
        <f t="shared" si="214"/>
        <v>390000</v>
      </c>
      <c r="AS369" s="133">
        <f t="shared" si="500"/>
        <v>20540</v>
      </c>
      <c r="AT369" s="123">
        <f t="shared" si="747"/>
        <v>0</v>
      </c>
      <c r="AU369" s="393">
        <f>AN369/AM369</f>
        <v>5.2666666666666667E-2</v>
      </c>
      <c r="AV369" s="394" t="s">
        <v>2793</v>
      </c>
      <c r="AW369" s="15">
        <v>44904</v>
      </c>
      <c r="AX369" s="12" t="s">
        <v>206</v>
      </c>
      <c r="AZ369" s="1" t="str">
        <f>IF(VLOOKUP(LEFT($AB369,10),'Havi béradatok'!$B:$E,2,FALSE)=AG369,"EGYEZIK","HIBÁS")</f>
        <v>EGYEZIK</v>
      </c>
      <c r="BA369" s="1">
        <f>VLOOKUP(LEFT($AB369,10),'Havi béradatok'!$B:$E,3,FALSE)-AM369</f>
        <v>0</v>
      </c>
      <c r="BB369" s="1">
        <f>VLOOKUP(LEFT($AB369,10),'Havi béradatok'!$B:$E,4,FALSE)-AN369</f>
        <v>0</v>
      </c>
      <c r="BC369" s="400" t="s">
        <v>2846</v>
      </c>
      <c r="BD369" s="400"/>
    </row>
    <row r="370" spans="1:56" s="1" customFormat="1" hidden="1" x14ac:dyDescent="0.25">
      <c r="A370" s="264" t="str">
        <f>Bérköltség!$B370</f>
        <v>FEOR</v>
      </c>
      <c r="B370" s="264" t="str">
        <f>IFERROR(
IF(AND(Bérköltség!$F370="",H370="NA"),"HIÁNYOS ADATOK",
IF(Bérköltség!$F370&lt;Bérköltség!$U370,Admin!$B$18,Admin!$B$17)),
"")</f>
        <v>FEOR</v>
      </c>
      <c r="C370" s="265" t="str">
        <f>IFERROR(INDEX('Historikus berek_2021-2'!$A$1:$F$903,MATCH(AB370,'Historikus berek_2021-2'!$A$1:$A$903,0),4),"")</f>
        <v/>
      </c>
      <c r="D370" s="279" t="str">
        <f t="shared" si="814"/>
        <v/>
      </c>
      <c r="E370" s="265">
        <f t="shared" si="815"/>
        <v>390000</v>
      </c>
      <c r="F370" s="266" t="str">
        <f t="shared" si="816"/>
        <v/>
      </c>
      <c r="G370" s="267" t="str">
        <f t="shared" si="817"/>
        <v/>
      </c>
      <c r="H370" s="268">
        <f>IFERROR(INDEX('FEOR kodok'!$A$2:$J$1126,MATCH(Bérköltség!AB370,'FEOR kodok'!$B$2:$B$1126,0),8),"NA")</f>
        <v>3134</v>
      </c>
      <c r="I370" s="269">
        <f>IFERROR(INDEX('FEOR kodok'!$A$2:$J$1126,MATCH(Bérköltség!AB370,'FEOR kodok'!$B$2:$B$1126,0),10),"NA")</f>
        <v>21</v>
      </c>
      <c r="J370" s="276" t="str">
        <f t="shared" si="818"/>
        <v>30 év alatt</v>
      </c>
      <c r="K370" s="269" t="str">
        <f>IFERROR(INDEX(admin_feor[#All],MATCH(Bérköltség!H370,admin_feor[[#All],[Foglalkozás]],0),2),"NA")</f>
        <v>Környezetvédelmi technikus</v>
      </c>
      <c r="L370" s="270">
        <f>IFERROR(
INDEX('Admin - FEOR'!$A$4:$F$465,MATCH(Bérköltség!H370,'Admin - FEOR'!$A$4:$A$465,0),
IF(J370="30 év alatt",3,
IF(J370="30–39 éves",4,
IF(J370="40–49 éves",5,
IF(J370="50 év és afelett",6
)))))*1,"NA")</f>
        <v>361327</v>
      </c>
      <c r="M370" s="270">
        <f t="shared" si="819"/>
        <v>390000</v>
      </c>
      <c r="N370" s="318">
        <f t="shared" si="820"/>
        <v>1.0793547119368327</v>
      </c>
      <c r="O370" s="270">
        <f>IFERROR(
INDEX('Admin - FEOR'!$A$4:$F$465,MATCH(Bérköltség!H370,'Admin - FEOR'!$A$4:$A$465,0),
IF(J370="30 év alatt",3,
IF(J370="30–39 éves",4,
IF(J370="40–49 éves",5,
IF(J370="50 év és afelett",6
)))))*1.5,"NA")</f>
        <v>541990.5</v>
      </c>
      <c r="P370" s="270">
        <f t="shared" si="821"/>
        <v>541990.5</v>
      </c>
      <c r="Q370" s="270">
        <f t="shared" si="822"/>
        <v>390000</v>
      </c>
      <c r="R370" s="275">
        <f t="shared" si="823"/>
        <v>1</v>
      </c>
      <c r="S370" s="270">
        <f t="shared" si="824"/>
        <v>0</v>
      </c>
      <c r="T370" s="270">
        <f t="shared" si="825"/>
        <v>0</v>
      </c>
      <c r="U370" s="271">
        <f t="shared" si="826"/>
        <v>0</v>
      </c>
      <c r="V370" s="272">
        <f t="shared" si="827"/>
        <v>440700</v>
      </c>
      <c r="W370" s="273" t="str">
        <f t="shared" si="828"/>
        <v>Indoklás szükséges mivel a FEOR: 107,9%</v>
      </c>
      <c r="X370" s="372">
        <f t="shared" si="829"/>
        <v>0</v>
      </c>
      <c r="Y370" s="317">
        <f t="shared" si="830"/>
        <v>390000</v>
      </c>
      <c r="Z370" s="317">
        <f t="shared" si="831"/>
        <v>50700</v>
      </c>
      <c r="AA370" s="36"/>
      <c r="AB370" s="274">
        <v>8494880098</v>
      </c>
      <c r="AC370" s="40" t="s">
        <v>199</v>
      </c>
      <c r="AD370" s="82" t="s">
        <v>75</v>
      </c>
      <c r="AE370" s="41" t="s">
        <v>54</v>
      </c>
      <c r="AF370" s="11" t="s">
        <v>152</v>
      </c>
      <c r="AG370" s="11" t="s">
        <v>200</v>
      </c>
      <c r="AH370" s="14" t="s">
        <v>123</v>
      </c>
      <c r="AI370" s="86" t="s">
        <v>36</v>
      </c>
      <c r="AJ370" s="113" t="str">
        <f>IF(COUNTIFS(Admin!$A$29:$A$40,AI370)&gt;0,Admin!$A$28,IF(COUNTIFS(Admin!$B$29:$B$40,AI370)&gt;0,Admin!$B$28,IF(COUNTIFS(Admin!$C$29:$C$40,AI370)&gt;0,Admin!$C$28,IF(COUNTIFS(Admin!$D$29:$D$40,AI370)&gt;0,Admin!$D$28,"-"))))</f>
        <v>3. mérföldkő</v>
      </c>
      <c r="AK370" s="14" t="s">
        <v>141</v>
      </c>
      <c r="AL370" s="9" t="s">
        <v>56</v>
      </c>
      <c r="AM370" s="131">
        <v>390000</v>
      </c>
      <c r="AN370" s="132">
        <v>20540</v>
      </c>
      <c r="AO370" s="121">
        <v>174</v>
      </c>
      <c r="AP370" s="121">
        <v>174</v>
      </c>
      <c r="AQ370" s="354">
        <f t="shared" si="746"/>
        <v>1</v>
      </c>
      <c r="AR370" s="133">
        <f t="shared" si="214"/>
        <v>390000</v>
      </c>
      <c r="AS370" s="133">
        <f t="shared" si="500"/>
        <v>50700</v>
      </c>
      <c r="AT370" s="123">
        <f t="shared" si="747"/>
        <v>0</v>
      </c>
      <c r="AU370" s="124">
        <v>0.13</v>
      </c>
      <c r="AV370" s="394" t="s">
        <v>2793</v>
      </c>
      <c r="AW370" s="15">
        <v>44904</v>
      </c>
      <c r="AX370" s="12" t="s">
        <v>206</v>
      </c>
      <c r="BC370" s="1" t="s">
        <v>2846</v>
      </c>
    </row>
    <row r="371" spans="1:56" s="1" customFormat="1" hidden="1" x14ac:dyDescent="0.25">
      <c r="A371" s="264" t="str">
        <f>Bérköltség!$B371</f>
        <v>FEOR</v>
      </c>
      <c r="B371" s="264" t="str">
        <f>IFERROR(
IF(AND(Bérköltség!$F371="",H371="NA"),"HIÁNYOS ADATOK",
IF(Bérköltség!$F371&lt;Bérköltség!$U371,Admin!$B$18,Admin!$B$17)),
"")</f>
        <v>FEOR</v>
      </c>
      <c r="C371" s="265" t="str">
        <f>IFERROR(INDEX('Historikus berek_2021-2'!$A$1:$F$903,MATCH(AB371,'Historikus berek_2021-2'!$A$1:$A$903,0),4),"")</f>
        <v/>
      </c>
      <c r="D371" s="279" t="str">
        <f t="shared" si="814"/>
        <v/>
      </c>
      <c r="E371" s="265">
        <f t="shared" si="815"/>
        <v>390000</v>
      </c>
      <c r="F371" s="266" t="str">
        <f t="shared" si="816"/>
        <v/>
      </c>
      <c r="G371" s="267" t="str">
        <f t="shared" si="817"/>
        <v/>
      </c>
      <c r="H371" s="268">
        <f>IFERROR(INDEX('FEOR kodok'!$A$2:$J$1126,MATCH(Bérköltség!AB371,'FEOR kodok'!$B$2:$B$1126,0),8),"NA")</f>
        <v>3134</v>
      </c>
      <c r="I371" s="269">
        <f>IFERROR(INDEX('FEOR kodok'!$A$2:$J$1126,MATCH(Bérköltség!AB371,'FEOR kodok'!$B$2:$B$1126,0),10),"NA")</f>
        <v>21</v>
      </c>
      <c r="J371" s="276" t="str">
        <f t="shared" si="818"/>
        <v>30 év alatt</v>
      </c>
      <c r="K371" s="269" t="str">
        <f>IFERROR(INDEX(admin_feor[#All],MATCH(Bérköltség!H371,admin_feor[[#All],[Foglalkozás]],0),2),"NA")</f>
        <v>Környezetvédelmi technikus</v>
      </c>
      <c r="L371" s="270">
        <f>IFERROR(
INDEX('Admin - FEOR'!$A$4:$F$465,MATCH(Bérköltség!H371,'Admin - FEOR'!$A$4:$A$465,0),
IF(J371="30 év alatt",3,
IF(J371="30–39 éves",4,
IF(J371="40–49 éves",5,
IF(J371="50 év és afelett",6
)))))*1,"NA")</f>
        <v>361327</v>
      </c>
      <c r="M371" s="270">
        <f t="shared" si="819"/>
        <v>390000</v>
      </c>
      <c r="N371" s="318">
        <f t="shared" si="820"/>
        <v>1.0793547119368327</v>
      </c>
      <c r="O371" s="270">
        <f>IFERROR(
INDEX('Admin - FEOR'!$A$4:$F$465,MATCH(Bérköltség!H371,'Admin - FEOR'!$A$4:$A$465,0),
IF(J371="30 év alatt",3,
IF(J371="30–39 éves",4,
IF(J371="40–49 éves",5,
IF(J371="50 év és afelett",6
)))))*1.5,"NA")</f>
        <v>541990.5</v>
      </c>
      <c r="P371" s="270">
        <f t="shared" si="821"/>
        <v>541990.5</v>
      </c>
      <c r="Q371" s="270">
        <f t="shared" si="822"/>
        <v>390000</v>
      </c>
      <c r="R371" s="275">
        <f t="shared" si="823"/>
        <v>1</v>
      </c>
      <c r="S371" s="270">
        <f t="shared" si="824"/>
        <v>0</v>
      </c>
      <c r="T371" s="270">
        <f t="shared" si="825"/>
        <v>0</v>
      </c>
      <c r="U371" s="271">
        <f t="shared" si="826"/>
        <v>0</v>
      </c>
      <c r="V371" s="272">
        <f t="shared" si="827"/>
        <v>440700</v>
      </c>
      <c r="W371" s="273" t="str">
        <f t="shared" si="828"/>
        <v>Indoklás szükséges mivel a FEOR: 107,9%</v>
      </c>
      <c r="X371" s="372">
        <f t="shared" si="829"/>
        <v>0</v>
      </c>
      <c r="Y371" s="317">
        <f t="shared" si="830"/>
        <v>390000</v>
      </c>
      <c r="Z371" s="317">
        <f t="shared" si="831"/>
        <v>50700</v>
      </c>
      <c r="AA371" s="36"/>
      <c r="AB371" s="274">
        <v>8494880098</v>
      </c>
      <c r="AC371" s="40" t="s">
        <v>199</v>
      </c>
      <c r="AD371" s="82" t="s">
        <v>75</v>
      </c>
      <c r="AE371" s="41" t="s">
        <v>54</v>
      </c>
      <c r="AF371" s="11" t="s">
        <v>152</v>
      </c>
      <c r="AG371" s="11" t="s">
        <v>200</v>
      </c>
      <c r="AH371" s="14" t="s">
        <v>123</v>
      </c>
      <c r="AI371" s="86" t="s">
        <v>37</v>
      </c>
      <c r="AJ371" s="113" t="str">
        <f>IF(COUNTIFS(Admin!$A$29:$A$40,AI371)&gt;0,Admin!$A$28,IF(COUNTIFS(Admin!$B$29:$B$40,AI371)&gt;0,Admin!$B$28,IF(COUNTIFS(Admin!$C$29:$C$40,AI371)&gt;0,Admin!$C$28,IF(COUNTIFS(Admin!$D$29:$D$40,AI371)&gt;0,Admin!$D$28,"-"))))</f>
        <v>3. mérföldkő</v>
      </c>
      <c r="AK371" s="14" t="s">
        <v>141</v>
      </c>
      <c r="AL371" s="9" t="s">
        <v>56</v>
      </c>
      <c r="AM371" s="131">
        <v>390000</v>
      </c>
      <c r="AN371" s="132">
        <v>20540</v>
      </c>
      <c r="AO371" s="121">
        <v>174</v>
      </c>
      <c r="AP371" s="121">
        <v>174</v>
      </c>
      <c r="AQ371" s="354">
        <f t="shared" si="746"/>
        <v>1</v>
      </c>
      <c r="AR371" s="133">
        <f t="shared" si="214"/>
        <v>390000</v>
      </c>
      <c r="AS371" s="133">
        <f t="shared" si="500"/>
        <v>50700</v>
      </c>
      <c r="AT371" s="123">
        <f t="shared" si="747"/>
        <v>0</v>
      </c>
      <c r="AU371" s="124">
        <v>0.13</v>
      </c>
      <c r="AV371" s="394" t="s">
        <v>2793</v>
      </c>
      <c r="AW371" s="15">
        <v>44904</v>
      </c>
      <c r="AX371" s="12" t="s">
        <v>206</v>
      </c>
      <c r="BC371" s="1" t="s">
        <v>2846</v>
      </c>
    </row>
    <row r="372" spans="1:56" s="1" customFormat="1" hidden="1" x14ac:dyDescent="0.25">
      <c r="A372" s="264" t="str">
        <f>Bérköltség!$B372</f>
        <v>FEOR</v>
      </c>
      <c r="B372" s="264" t="str">
        <f>IFERROR(
IF(AND(Bérköltség!$F372="",H372="NA"),"HIÁNYOS ADATOK",
IF(Bérköltség!$F372&lt;Bérköltség!$U372,Admin!$B$18,Admin!$B$17)),
"")</f>
        <v>FEOR</v>
      </c>
      <c r="C372" s="265" t="str">
        <f>IFERROR(INDEX('Historikus berek_2021-2'!$A$1:$F$903,MATCH(AB372,'Historikus berek_2021-2'!$A$1:$A$903,0),4),"")</f>
        <v/>
      </c>
      <c r="D372" s="279" t="str">
        <f t="shared" si="814"/>
        <v/>
      </c>
      <c r="E372" s="265">
        <f t="shared" si="815"/>
        <v>96954</v>
      </c>
      <c r="F372" s="266" t="str">
        <f t="shared" si="816"/>
        <v/>
      </c>
      <c r="G372" s="267" t="str">
        <f t="shared" si="817"/>
        <v/>
      </c>
      <c r="H372" s="268">
        <f>IFERROR(INDEX('FEOR kodok'!$A$2:$J$1126,MATCH(Bérköltség!AB372,'FEOR kodok'!$B$2:$B$1126,0),8),"NA")</f>
        <v>2910</v>
      </c>
      <c r="I372" s="269">
        <f>IFERROR(INDEX('FEOR kodok'!$A$2:$J$1126,MATCH(Bérköltség!AB372,'FEOR kodok'!$B$2:$B$1126,0),10),"NA")</f>
        <v>33</v>
      </c>
      <c r="J372" s="276" t="str">
        <f t="shared" si="818"/>
        <v>30–39 éves</v>
      </c>
      <c r="K372" s="269" t="str">
        <f>IFERROR(INDEX(admin_feor[#All],MATCH(Bérköltség!H372,admin_feor[[#All],[Foglalkozás]],0),2),"NA")</f>
        <v>Egyéb magasan képzett ügyintéző</v>
      </c>
      <c r="L372" s="270">
        <f>IFERROR(
INDEX('Admin - FEOR'!$A$4:$F$465,MATCH(Bérköltség!H372,'Admin - FEOR'!$A$4:$A$465,0),
IF(J372="30 év alatt",3,
IF(J372="30–39 éves",4,
IF(J372="40–49 éves",5,
IF(J372="50 év és afelett",6
)))))*1,"NA")</f>
        <v>652117</v>
      </c>
      <c r="M372" s="270">
        <f t="shared" si="819"/>
        <v>274000</v>
      </c>
      <c r="N372" s="318">
        <f t="shared" si="820"/>
        <v>0.42017000016868139</v>
      </c>
      <c r="O372" s="270">
        <f>IFERROR(
INDEX('Admin - FEOR'!$A$4:$F$465,MATCH(Bérköltség!H372,'Admin - FEOR'!$A$4:$A$465,0),
IF(J372="30 év alatt",3,
IF(J372="30–39 éves",4,
IF(J372="40–49 éves",5,
IF(J372="50 év és afelett",6
)))))*1.5,"NA")</f>
        <v>978175.5</v>
      </c>
      <c r="P372" s="270">
        <f t="shared" si="821"/>
        <v>346123.63846153847</v>
      </c>
      <c r="Q372" s="270">
        <f t="shared" si="822"/>
        <v>96954</v>
      </c>
      <c r="R372" s="275">
        <f t="shared" si="823"/>
        <v>0.35384615384615387</v>
      </c>
      <c r="S372" s="270">
        <f t="shared" si="824"/>
        <v>0</v>
      </c>
      <c r="T372" s="270">
        <f t="shared" si="825"/>
        <v>0</v>
      </c>
      <c r="U372" s="271">
        <f t="shared" si="826"/>
        <v>0</v>
      </c>
      <c r="V372" s="272">
        <f t="shared" si="827"/>
        <v>100358</v>
      </c>
      <c r="W372" s="273" t="str">
        <f t="shared" si="828"/>
        <v>Nem szükséges indoklás.</v>
      </c>
      <c r="X372" s="372">
        <f t="shared" si="829"/>
        <v>0</v>
      </c>
      <c r="Y372" s="317">
        <f t="shared" si="830"/>
        <v>96954</v>
      </c>
      <c r="Z372" s="317">
        <f t="shared" si="831"/>
        <v>3404</v>
      </c>
      <c r="AA372" s="12" t="s">
        <v>2800</v>
      </c>
      <c r="AB372" s="274">
        <v>8450510813</v>
      </c>
      <c r="AC372" s="40" t="s">
        <v>201</v>
      </c>
      <c r="AD372" s="82" t="s">
        <v>76</v>
      </c>
      <c r="AE372" s="41" t="s">
        <v>86</v>
      </c>
      <c r="AF372" s="11" t="s">
        <v>160</v>
      </c>
      <c r="AG372" s="11" t="s">
        <v>196</v>
      </c>
      <c r="AH372" s="14" t="s">
        <v>142</v>
      </c>
      <c r="AI372" s="86" t="s">
        <v>21</v>
      </c>
      <c r="AJ372" s="113" t="str">
        <f>IF(COUNTIFS(Admin!$A$29:$A$40,AI372)&gt;0,Admin!$A$28,IF(COUNTIFS(Admin!$B$29:$B$40,AI372)&gt;0,Admin!$B$28,IF(COUNTIFS(Admin!$C$29:$C$40,AI372)&gt;0,Admin!$C$28,IF(COUNTIFS(Admin!$D$29:$D$40,AI372)&gt;0,Admin!$D$28,"-"))))</f>
        <v>2. mérföldkő</v>
      </c>
      <c r="AK372" s="14" t="s">
        <v>7</v>
      </c>
      <c r="AL372" s="9" t="s">
        <v>56</v>
      </c>
      <c r="AM372" s="131">
        <v>274000</v>
      </c>
      <c r="AN372" s="132">
        <v>9620</v>
      </c>
      <c r="AO372" s="121">
        <v>130</v>
      </c>
      <c r="AP372" s="121">
        <v>46</v>
      </c>
      <c r="AQ372" s="354">
        <f t="shared" si="746"/>
        <v>0.35384615384615387</v>
      </c>
      <c r="AR372" s="133">
        <f t="shared" si="214"/>
        <v>96954</v>
      </c>
      <c r="AS372" s="133">
        <f t="shared" ref="AS372:AS379" si="832">IFERROR(ROUND(AR372*AU372,0),"")</f>
        <v>3404</v>
      </c>
      <c r="AT372" s="123">
        <f t="shared" si="747"/>
        <v>-5.6148231331043519E-7</v>
      </c>
      <c r="AU372" s="124">
        <f t="shared" ref="AU372:AU379" si="833">AN372/AM372</f>
        <v>3.5109489051094893E-2</v>
      </c>
      <c r="AV372" s="394" t="s">
        <v>2794</v>
      </c>
      <c r="AW372" s="15">
        <v>44736</v>
      </c>
      <c r="AX372" s="12" t="s">
        <v>206</v>
      </c>
    </row>
    <row r="373" spans="1:56" s="1" customFormat="1" hidden="1" x14ac:dyDescent="0.25">
      <c r="A373" s="264" t="str">
        <f>Bérköltség!$B373</f>
        <v>FEOR</v>
      </c>
      <c r="B373" s="264" t="str">
        <f>IFERROR(
IF(AND(Bérköltség!$F373="",H373="NA"),"HIÁNYOS ADATOK",
IF(Bérköltség!$F373&lt;Bérköltség!$U373,Admin!$B$18,Admin!$B$17)),
"")</f>
        <v>FEOR</v>
      </c>
      <c r="C373" s="265" t="str">
        <f>IFERROR(INDEX('Historikus berek_2021-2'!$A$1:$F$903,MATCH(AB373,'Historikus berek_2021-2'!$A$1:$A$903,0),4),"")</f>
        <v/>
      </c>
      <c r="D373" s="279" t="str">
        <f t="shared" si="814"/>
        <v/>
      </c>
      <c r="E373" s="265">
        <f t="shared" si="815"/>
        <v>75877</v>
      </c>
      <c r="F373" s="266" t="str">
        <f t="shared" si="816"/>
        <v/>
      </c>
      <c r="G373" s="267" t="str">
        <f t="shared" si="817"/>
        <v/>
      </c>
      <c r="H373" s="268">
        <f>IFERROR(INDEX('FEOR kodok'!$A$2:$J$1126,MATCH(Bérköltség!AB373,'FEOR kodok'!$B$2:$B$1126,0),8),"NA")</f>
        <v>2910</v>
      </c>
      <c r="I373" s="269">
        <f>IFERROR(INDEX('FEOR kodok'!$A$2:$J$1126,MATCH(Bérköltség!AB373,'FEOR kodok'!$B$2:$B$1126,0),10),"NA")</f>
        <v>33</v>
      </c>
      <c r="J373" s="276" t="str">
        <f t="shared" si="818"/>
        <v>30–39 éves</v>
      </c>
      <c r="K373" s="269" t="str">
        <f>IFERROR(INDEX(admin_feor[#All],MATCH(Bérköltség!H373,admin_feor[[#All],[Foglalkozás]],0),2),"NA")</f>
        <v>Egyéb magasan képzett ügyintéző</v>
      </c>
      <c r="L373" s="270">
        <f>IFERROR(
INDEX('Admin - FEOR'!$A$4:$F$465,MATCH(Bérköltség!H373,'Admin - FEOR'!$A$4:$A$465,0),
IF(J373="30 év alatt",3,
IF(J373="30–39 éves",4,
IF(J373="40–49 éves",5,
IF(J373="50 év és afelett",6
)))))*1,"NA")</f>
        <v>652117</v>
      </c>
      <c r="M373" s="270">
        <f t="shared" si="819"/>
        <v>214435</v>
      </c>
      <c r="N373" s="318">
        <f t="shared" si="820"/>
        <v>0.32882902914661022</v>
      </c>
      <c r="O373" s="270">
        <f>IFERROR(
INDEX('Admin - FEOR'!$A$4:$F$465,MATCH(Bérköltség!H373,'Admin - FEOR'!$A$4:$A$465,0),
IF(J373="30 év alatt",3,
IF(J373="30–39 éves",4,
IF(J373="40–49 éves",5,
IF(J373="50 év és afelett",6
)))))*1.5,"NA")</f>
        <v>978175.5</v>
      </c>
      <c r="P373" s="270">
        <f t="shared" si="821"/>
        <v>346123.63846153847</v>
      </c>
      <c r="Q373" s="270">
        <f t="shared" si="822"/>
        <v>75877</v>
      </c>
      <c r="R373" s="275">
        <f t="shared" si="823"/>
        <v>0.35384615384615387</v>
      </c>
      <c r="S373" s="270">
        <f t="shared" si="824"/>
        <v>0</v>
      </c>
      <c r="T373" s="270">
        <f t="shared" si="825"/>
        <v>0</v>
      </c>
      <c r="U373" s="271">
        <f t="shared" si="826"/>
        <v>0</v>
      </c>
      <c r="V373" s="272">
        <f t="shared" si="827"/>
        <v>78541</v>
      </c>
      <c r="W373" s="273" t="str">
        <f t="shared" si="828"/>
        <v>Nem szükséges indoklás.</v>
      </c>
      <c r="X373" s="372">
        <f t="shared" si="829"/>
        <v>0</v>
      </c>
      <c r="Y373" s="317">
        <f t="shared" si="830"/>
        <v>75877</v>
      </c>
      <c r="Z373" s="317">
        <f t="shared" si="831"/>
        <v>2664</v>
      </c>
      <c r="AA373" s="12" t="s">
        <v>2800</v>
      </c>
      <c r="AB373" s="274">
        <v>8450510813</v>
      </c>
      <c r="AC373" s="40" t="s">
        <v>201</v>
      </c>
      <c r="AD373" s="82" t="s">
        <v>76</v>
      </c>
      <c r="AE373" s="41" t="s">
        <v>86</v>
      </c>
      <c r="AF373" s="11" t="s">
        <v>160</v>
      </c>
      <c r="AG373" s="11" t="s">
        <v>196</v>
      </c>
      <c r="AH373" s="14" t="s">
        <v>142</v>
      </c>
      <c r="AI373" s="86" t="s">
        <v>22</v>
      </c>
      <c r="AJ373" s="113" t="str">
        <f>IF(COUNTIFS(Admin!$A$29:$A$40,AI373)&gt;0,Admin!$A$28,IF(COUNTIFS(Admin!$B$29:$B$40,AI373)&gt;0,Admin!$B$28,IF(COUNTIFS(Admin!$C$29:$C$40,AI373)&gt;0,Admin!$C$28,IF(COUNTIFS(Admin!$D$29:$D$40,AI373)&gt;0,Admin!$D$28,"-"))))</f>
        <v>2. mérföldkő</v>
      </c>
      <c r="AK373" s="14" t="s">
        <v>7</v>
      </c>
      <c r="AL373" s="9" t="s">
        <v>56</v>
      </c>
      <c r="AM373" s="131">
        <v>214435</v>
      </c>
      <c r="AN373" s="132">
        <v>7529</v>
      </c>
      <c r="AO373" s="121">
        <v>130</v>
      </c>
      <c r="AP373" s="121">
        <v>46</v>
      </c>
      <c r="AQ373" s="354">
        <f t="shared" si="746"/>
        <v>0.35384615384615387</v>
      </c>
      <c r="AR373" s="133">
        <f t="shared" si="214"/>
        <v>75877</v>
      </c>
      <c r="AS373" s="133">
        <f t="shared" si="832"/>
        <v>2664</v>
      </c>
      <c r="AT373" s="123">
        <f t="shared" si="747"/>
        <v>0</v>
      </c>
      <c r="AU373" s="124">
        <f t="shared" si="833"/>
        <v>3.5110872758644808E-2</v>
      </c>
      <c r="AV373" s="394" t="s">
        <v>2794</v>
      </c>
      <c r="AW373" s="15">
        <v>44736</v>
      </c>
      <c r="AX373" s="12" t="s">
        <v>206</v>
      </c>
    </row>
    <row r="374" spans="1:56" s="1" customFormat="1" hidden="1" x14ac:dyDescent="0.25">
      <c r="A374" s="264" t="str">
        <f>Bérköltség!$B374</f>
        <v>FEOR</v>
      </c>
      <c r="B374" s="264" t="str">
        <f>IFERROR(
IF(AND(Bérköltség!$F374="",H374="NA"),"HIÁNYOS ADATOK",
IF(Bérköltség!$F374&lt;Bérköltség!$U374,Admin!$B$18,Admin!$B$17)),
"")</f>
        <v>FEOR</v>
      </c>
      <c r="C374" s="265" t="str">
        <f>IFERROR(INDEX('Historikus berek_2021-2'!$A$1:$F$903,MATCH(AB374,'Historikus berek_2021-2'!$A$1:$A$903,0),4),"")</f>
        <v/>
      </c>
      <c r="D374" s="279" t="str">
        <f t="shared" si="814"/>
        <v/>
      </c>
      <c r="E374" s="265">
        <f t="shared" si="815"/>
        <v>91666</v>
      </c>
      <c r="F374" s="266" t="str">
        <f t="shared" si="816"/>
        <v/>
      </c>
      <c r="G374" s="267" t="str">
        <f t="shared" si="817"/>
        <v/>
      </c>
      <c r="H374" s="268">
        <f>IFERROR(INDEX('FEOR kodok'!$A$2:$J$1126,MATCH(Bérköltség!AB374,'FEOR kodok'!$B$2:$B$1126,0),8),"NA")</f>
        <v>2910</v>
      </c>
      <c r="I374" s="269">
        <f>IFERROR(INDEX('FEOR kodok'!$A$2:$J$1126,MATCH(Bérköltség!AB374,'FEOR kodok'!$B$2:$B$1126,0),10),"NA")</f>
        <v>33</v>
      </c>
      <c r="J374" s="276" t="str">
        <f t="shared" si="818"/>
        <v>30–39 éves</v>
      </c>
      <c r="K374" s="269" t="str">
        <f>IFERROR(INDEX(admin_feor[#All],MATCH(Bérköltség!H374,admin_feor[[#All],[Foglalkozás]],0),2),"NA")</f>
        <v>Egyéb magasan képzett ügyintéző</v>
      </c>
      <c r="L374" s="270">
        <f>IFERROR(
INDEX('Admin - FEOR'!$A$4:$F$465,MATCH(Bérköltség!H374,'Admin - FEOR'!$A$4:$A$465,0),
IF(J374="30 év alatt",3,
IF(J374="30–39 éves",4,
IF(J374="40–49 éves",5,
IF(J374="50 év és afelett",6
)))))*1,"NA")</f>
        <v>652117</v>
      </c>
      <c r="M374" s="270">
        <f t="shared" si="819"/>
        <v>259055</v>
      </c>
      <c r="N374" s="318">
        <f t="shared" si="820"/>
        <v>0.39725233355364142</v>
      </c>
      <c r="O374" s="270">
        <f>IFERROR(
INDEX('Admin - FEOR'!$A$4:$F$465,MATCH(Bérköltség!H374,'Admin - FEOR'!$A$4:$A$465,0),
IF(J374="30 év alatt",3,
IF(J374="30–39 éves",4,
IF(J374="40–49 éves",5,
IF(J374="50 év és afelett",6
)))))*1.5,"NA")</f>
        <v>978175.5</v>
      </c>
      <c r="P374" s="270">
        <f t="shared" si="821"/>
        <v>346123.63846153847</v>
      </c>
      <c r="Q374" s="270">
        <f t="shared" si="822"/>
        <v>91666</v>
      </c>
      <c r="R374" s="275">
        <f t="shared" si="823"/>
        <v>0.35384615384615387</v>
      </c>
      <c r="S374" s="270">
        <f t="shared" si="824"/>
        <v>0</v>
      </c>
      <c r="T374" s="270">
        <f t="shared" si="825"/>
        <v>0</v>
      </c>
      <c r="U374" s="271">
        <f t="shared" si="826"/>
        <v>0</v>
      </c>
      <c r="V374" s="272">
        <f t="shared" si="827"/>
        <v>94382</v>
      </c>
      <c r="W374" s="273" t="str">
        <f t="shared" si="828"/>
        <v>Nem szükséges indoklás.</v>
      </c>
      <c r="X374" s="372">
        <f t="shared" si="829"/>
        <v>0</v>
      </c>
      <c r="Y374" s="317">
        <f t="shared" si="830"/>
        <v>91666</v>
      </c>
      <c r="Z374" s="317">
        <f t="shared" si="831"/>
        <v>2716</v>
      </c>
      <c r="AA374" s="12" t="s">
        <v>2800</v>
      </c>
      <c r="AB374" s="274">
        <v>8450510813</v>
      </c>
      <c r="AC374" s="40" t="s">
        <v>201</v>
      </c>
      <c r="AD374" s="82" t="s">
        <v>76</v>
      </c>
      <c r="AE374" s="41" t="s">
        <v>86</v>
      </c>
      <c r="AF374" s="11" t="s">
        <v>160</v>
      </c>
      <c r="AG374" s="11" t="s">
        <v>196</v>
      </c>
      <c r="AH374" s="14" t="s">
        <v>142</v>
      </c>
      <c r="AI374" s="86" t="s">
        <v>23</v>
      </c>
      <c r="AJ374" s="113" t="str">
        <f>IF(COUNTIFS(Admin!$A$29:$A$40,AI374)&gt;0,Admin!$A$28,IF(COUNTIFS(Admin!$B$29:$B$40,AI374)&gt;0,Admin!$B$28,IF(COUNTIFS(Admin!$C$29:$C$40,AI374)&gt;0,Admin!$C$28,IF(COUNTIFS(Admin!$D$29:$D$40,AI374)&gt;0,Admin!$D$28,"-"))))</f>
        <v>2. mérföldkő</v>
      </c>
      <c r="AK374" s="14" t="s">
        <v>7</v>
      </c>
      <c r="AL374" s="9" t="s">
        <v>56</v>
      </c>
      <c r="AM374" s="131">
        <v>259055</v>
      </c>
      <c r="AN374" s="132">
        <v>7677</v>
      </c>
      <c r="AO374" s="121">
        <v>130</v>
      </c>
      <c r="AP374" s="121">
        <v>46</v>
      </c>
      <c r="AQ374" s="354">
        <f t="shared" si="746"/>
        <v>0.35384615384615387</v>
      </c>
      <c r="AR374" s="133">
        <f t="shared" si="214"/>
        <v>91666</v>
      </c>
      <c r="AS374" s="133">
        <f t="shared" si="832"/>
        <v>2716</v>
      </c>
      <c r="AT374" s="123">
        <f t="shared" si="747"/>
        <v>-1.4846862041451026E-6</v>
      </c>
      <c r="AU374" s="393">
        <f t="shared" si="833"/>
        <v>2.9634633572021386E-2</v>
      </c>
      <c r="AV374" s="394" t="s">
        <v>2794</v>
      </c>
      <c r="AW374" s="15">
        <v>44736</v>
      </c>
      <c r="AX374" s="12" t="s">
        <v>206</v>
      </c>
    </row>
    <row r="375" spans="1:56" s="1" customFormat="1" hidden="1" x14ac:dyDescent="0.25">
      <c r="A375" s="264" t="str">
        <f>Bérköltség!$B375</f>
        <v>FEOR</v>
      </c>
      <c r="B375" s="264" t="str">
        <f>IFERROR(
IF(AND(Bérköltség!$F375="",H375="NA"),"HIÁNYOS ADATOK",
IF(Bérköltség!$F375&lt;Bérköltség!$U375,Admin!$B$18,Admin!$B$17)),
"")</f>
        <v>FEOR</v>
      </c>
      <c r="C375" s="265" t="str">
        <f>IFERROR(INDEX('Historikus berek_2021-2'!$A$1:$F$903,MATCH(AB375,'Historikus berek_2021-2'!$A$1:$A$903,0),4),"")</f>
        <v/>
      </c>
      <c r="D375" s="279" t="str">
        <f t="shared" si="814"/>
        <v/>
      </c>
      <c r="E375" s="265">
        <f t="shared" si="815"/>
        <v>94938</v>
      </c>
      <c r="F375" s="266" t="str">
        <f t="shared" si="816"/>
        <v/>
      </c>
      <c r="G375" s="267" t="str">
        <f t="shared" si="817"/>
        <v/>
      </c>
      <c r="H375" s="268">
        <f>IFERROR(INDEX('FEOR kodok'!$A$2:$J$1126,MATCH(Bérköltség!AB375,'FEOR kodok'!$B$2:$B$1126,0),8),"NA")</f>
        <v>2910</v>
      </c>
      <c r="I375" s="269">
        <f>IFERROR(INDEX('FEOR kodok'!$A$2:$J$1126,MATCH(Bérköltség!AB375,'FEOR kodok'!$B$2:$B$1126,0),10),"NA")</f>
        <v>33</v>
      </c>
      <c r="J375" s="276" t="str">
        <f t="shared" si="818"/>
        <v>30–39 éves</v>
      </c>
      <c r="K375" s="269" t="str">
        <f>IFERROR(INDEX(admin_feor[#All],MATCH(Bérköltség!H375,admin_feor[[#All],[Foglalkozás]],0),2),"NA")</f>
        <v>Egyéb magasan képzett ügyintéző</v>
      </c>
      <c r="L375" s="270">
        <f>IFERROR(
INDEX('Admin - FEOR'!$A$4:$F$465,MATCH(Bérköltség!H375,'Admin - FEOR'!$A$4:$A$465,0),
IF(J375="30 év alatt",3,
IF(J375="30–39 éves",4,
IF(J375="40–49 éves",5,
IF(J375="50 év és afelett",6
)))))*1,"NA")</f>
        <v>652117</v>
      </c>
      <c r="M375" s="270">
        <f t="shared" si="819"/>
        <v>374000</v>
      </c>
      <c r="N375" s="318">
        <f t="shared" si="820"/>
        <v>0.57351671555871109</v>
      </c>
      <c r="O375" s="270">
        <f>IFERROR(
INDEX('Admin - FEOR'!$A$4:$F$465,MATCH(Bérköltség!H375,'Admin - FEOR'!$A$4:$A$465,0),
IF(J375="30 év alatt",3,
IF(J375="30–39 éves",4,
IF(J375="40–49 éves",5,
IF(J375="50 év és afelett",6
)))))*1.5,"NA")</f>
        <v>978175.5</v>
      </c>
      <c r="P375" s="270">
        <f t="shared" si="821"/>
        <v>248306.08846153846</v>
      </c>
      <c r="Q375" s="270">
        <f t="shared" si="822"/>
        <v>94938</v>
      </c>
      <c r="R375" s="275">
        <f t="shared" si="823"/>
        <v>0.25384615384615383</v>
      </c>
      <c r="S375" s="270">
        <f t="shared" si="824"/>
        <v>0</v>
      </c>
      <c r="T375" s="270">
        <f t="shared" si="825"/>
        <v>0</v>
      </c>
      <c r="U375" s="271">
        <f t="shared" si="826"/>
        <v>0</v>
      </c>
      <c r="V375" s="272">
        <f t="shared" si="827"/>
        <v>100680</v>
      </c>
      <c r="W375" s="273" t="str">
        <f t="shared" si="828"/>
        <v>Nem szükséges indoklás.</v>
      </c>
      <c r="X375" s="372">
        <f t="shared" si="829"/>
        <v>0</v>
      </c>
      <c r="Y375" s="317">
        <f t="shared" si="830"/>
        <v>94938</v>
      </c>
      <c r="Z375" s="317">
        <f t="shared" si="831"/>
        <v>5742</v>
      </c>
      <c r="AA375" s="12" t="s">
        <v>2800</v>
      </c>
      <c r="AB375" s="274">
        <v>8450510813</v>
      </c>
      <c r="AC375" s="40" t="s">
        <v>201</v>
      </c>
      <c r="AD375" s="82" t="s">
        <v>76</v>
      </c>
      <c r="AE375" s="41" t="s">
        <v>86</v>
      </c>
      <c r="AF375" s="11" t="s">
        <v>160</v>
      </c>
      <c r="AG375" s="11" t="s">
        <v>196</v>
      </c>
      <c r="AH375" s="14" t="s">
        <v>142</v>
      </c>
      <c r="AI375" s="86" t="s">
        <v>24</v>
      </c>
      <c r="AJ375" s="113" t="str">
        <f>IF(COUNTIFS(Admin!$A$29:$A$40,AI375)&gt;0,Admin!$A$28,IF(COUNTIFS(Admin!$B$29:$B$40,AI375)&gt;0,Admin!$B$28,IF(COUNTIFS(Admin!$C$29:$C$40,AI375)&gt;0,Admin!$C$28,IF(COUNTIFS(Admin!$D$29:$D$40,AI375)&gt;0,Admin!$D$28,"-"))))</f>
        <v>2. mérföldkő</v>
      </c>
      <c r="AK375" s="14" t="s">
        <v>7</v>
      </c>
      <c r="AL375" s="9" t="s">
        <v>56</v>
      </c>
      <c r="AM375" s="131">
        <v>374000</v>
      </c>
      <c r="AN375" s="132">
        <v>22620</v>
      </c>
      <c r="AO375" s="121">
        <v>130</v>
      </c>
      <c r="AP375" s="121">
        <v>33</v>
      </c>
      <c r="AQ375" s="354">
        <f t="shared" si="746"/>
        <v>0.25384615384615383</v>
      </c>
      <c r="AR375" s="133">
        <f t="shared" si="214"/>
        <v>94938</v>
      </c>
      <c r="AS375" s="133">
        <f t="shared" si="832"/>
        <v>5742</v>
      </c>
      <c r="AT375" s="123">
        <f t="shared" si="747"/>
        <v>1.2340600575866389E-6</v>
      </c>
      <c r="AU375" s="393">
        <f t="shared" si="833"/>
        <v>6.048128342245989E-2</v>
      </c>
      <c r="AV375" s="394" t="s">
        <v>2794</v>
      </c>
      <c r="AW375" s="15">
        <v>44830</v>
      </c>
      <c r="AX375" s="12" t="s">
        <v>206</v>
      </c>
    </row>
    <row r="376" spans="1:56" s="1" customFormat="1" hidden="1" x14ac:dyDescent="0.25">
      <c r="A376" s="264" t="str">
        <f>Bérköltség!$B376</f>
        <v>FEOR</v>
      </c>
      <c r="B376" s="264" t="str">
        <f>IFERROR(
IF(AND(Bérköltség!$F376="",H376="NA"),"HIÁNYOS ADATOK",
IF(Bérköltség!$F376&lt;Bérköltség!$U376,Admin!$B$18,Admin!$B$17)),
"")</f>
        <v>FEOR</v>
      </c>
      <c r="C376" s="265" t="str">
        <f>IFERROR(INDEX('Historikus berek_2021-2'!$A$1:$F$903,MATCH(AB376,'Historikus berek_2021-2'!$A$1:$A$903,0),4),"")</f>
        <v/>
      </c>
      <c r="D376" s="279" t="str">
        <f t="shared" si="814"/>
        <v/>
      </c>
      <c r="E376" s="265">
        <f t="shared" si="815"/>
        <v>63292</v>
      </c>
      <c r="F376" s="266" t="str">
        <f t="shared" si="816"/>
        <v/>
      </c>
      <c r="G376" s="267" t="str">
        <f t="shared" si="817"/>
        <v/>
      </c>
      <c r="H376" s="268">
        <f>IFERROR(INDEX('FEOR kodok'!$A$2:$J$1126,MATCH(Bérköltség!AB376,'FEOR kodok'!$B$2:$B$1126,0),8),"NA")</f>
        <v>2910</v>
      </c>
      <c r="I376" s="269">
        <f>IFERROR(INDEX('FEOR kodok'!$A$2:$J$1126,MATCH(Bérköltség!AB376,'FEOR kodok'!$B$2:$B$1126,0),10),"NA")</f>
        <v>33</v>
      </c>
      <c r="J376" s="276" t="str">
        <f t="shared" si="818"/>
        <v>30–39 éves</v>
      </c>
      <c r="K376" s="269" t="str">
        <f>IFERROR(INDEX(admin_feor[#All],MATCH(Bérköltség!H376,admin_feor[[#All],[Foglalkozás]],0),2),"NA")</f>
        <v>Egyéb magasan képzett ügyintéző</v>
      </c>
      <c r="L376" s="270">
        <f>IFERROR(
INDEX('Admin - FEOR'!$A$4:$F$465,MATCH(Bérköltség!H376,'Admin - FEOR'!$A$4:$A$465,0),
IF(J376="30 év alatt",3,
IF(J376="30–39 éves",4,
IF(J376="40–49 éves",5,
IF(J376="50 év és afelett",6
)))))*1,"NA")</f>
        <v>652117</v>
      </c>
      <c r="M376" s="270">
        <f t="shared" si="819"/>
        <v>249334</v>
      </c>
      <c r="N376" s="318">
        <f t="shared" si="820"/>
        <v>0.38234549935057666</v>
      </c>
      <c r="O376" s="270">
        <f>IFERROR(
INDEX('Admin - FEOR'!$A$4:$F$465,MATCH(Bérköltség!H376,'Admin - FEOR'!$A$4:$A$465,0),
IF(J376="30 év alatt",3,
IF(J376="30–39 éves",4,
IF(J376="40–49 éves",5,
IF(J376="50 év és afelett",6
)))))*1.5,"NA")</f>
        <v>978175.5</v>
      </c>
      <c r="P376" s="270">
        <f t="shared" si="821"/>
        <v>248306.08846153846</v>
      </c>
      <c r="Q376" s="270">
        <f t="shared" si="822"/>
        <v>63292</v>
      </c>
      <c r="R376" s="275">
        <f t="shared" si="823"/>
        <v>0.25384615384615383</v>
      </c>
      <c r="S376" s="270">
        <f t="shared" si="824"/>
        <v>0</v>
      </c>
      <c r="T376" s="270">
        <f t="shared" si="825"/>
        <v>0</v>
      </c>
      <c r="U376" s="271">
        <f t="shared" si="826"/>
        <v>0</v>
      </c>
      <c r="V376" s="272">
        <f t="shared" si="827"/>
        <v>64920</v>
      </c>
      <c r="W376" s="273" t="str">
        <f t="shared" si="828"/>
        <v>Nem szükséges indoklás.</v>
      </c>
      <c r="X376" s="372">
        <f t="shared" si="829"/>
        <v>0</v>
      </c>
      <c r="Y376" s="317">
        <f t="shared" si="830"/>
        <v>63292</v>
      </c>
      <c r="Z376" s="317">
        <f t="shared" si="831"/>
        <v>1628</v>
      </c>
      <c r="AA376" s="12" t="s">
        <v>2800</v>
      </c>
      <c r="AB376" s="274">
        <v>8450510813</v>
      </c>
      <c r="AC376" s="40" t="s">
        <v>201</v>
      </c>
      <c r="AD376" s="82" t="s">
        <v>76</v>
      </c>
      <c r="AE376" s="41" t="s">
        <v>86</v>
      </c>
      <c r="AF376" s="11" t="s">
        <v>160</v>
      </c>
      <c r="AG376" s="11" t="s">
        <v>196</v>
      </c>
      <c r="AH376" s="14" t="s">
        <v>142</v>
      </c>
      <c r="AI376" s="86" t="s">
        <v>25</v>
      </c>
      <c r="AJ376" s="113" t="str">
        <f>IF(COUNTIFS(Admin!$A$29:$A$40,AI376)&gt;0,Admin!$A$28,IF(COUNTIFS(Admin!$B$29:$B$40,AI376)&gt;0,Admin!$B$28,IF(COUNTIFS(Admin!$C$29:$C$40,AI376)&gt;0,Admin!$C$28,IF(COUNTIFS(Admin!$D$29:$D$40,AI376)&gt;0,Admin!$D$28,"-"))))</f>
        <v>2. mérföldkő</v>
      </c>
      <c r="AK376" s="14" t="s">
        <v>7</v>
      </c>
      <c r="AL376" s="9" t="s">
        <v>56</v>
      </c>
      <c r="AM376" s="131">
        <v>249334</v>
      </c>
      <c r="AN376" s="132">
        <v>6413</v>
      </c>
      <c r="AO376" s="121">
        <v>130</v>
      </c>
      <c r="AP376" s="121">
        <v>33</v>
      </c>
      <c r="AQ376" s="354">
        <f t="shared" si="746"/>
        <v>0.25384615384615383</v>
      </c>
      <c r="AR376" s="133">
        <f t="shared" si="214"/>
        <v>63292</v>
      </c>
      <c r="AS376" s="133">
        <f t="shared" si="832"/>
        <v>1628</v>
      </c>
      <c r="AT376" s="123">
        <f t="shared" si="747"/>
        <v>1.9127879748448429E-6</v>
      </c>
      <c r="AU376" s="393">
        <f t="shared" si="833"/>
        <v>2.5720519463851701E-2</v>
      </c>
      <c r="AV376" s="394" t="s">
        <v>2794</v>
      </c>
      <c r="AW376" s="15">
        <v>44830</v>
      </c>
      <c r="AX376" s="12" t="s">
        <v>206</v>
      </c>
      <c r="AZ376" s="1" t="s">
        <v>2667</v>
      </c>
      <c r="BA376" s="1" t="s">
        <v>2667</v>
      </c>
      <c r="BB376" s="1" t="s">
        <v>2667</v>
      </c>
    </row>
    <row r="377" spans="1:56" s="1" customFormat="1" hidden="1" x14ac:dyDescent="0.25">
      <c r="A377" s="264" t="str">
        <f>Bérköltség!$B377</f>
        <v>FEOR</v>
      </c>
      <c r="B377" s="264" t="str">
        <f>IFERROR(
IF(AND(Bérköltség!$F377="",H377="NA"),"HIÁNYOS ADATOK",
IF(Bérköltség!$F377&lt;Bérköltség!$U377,Admin!$B$18,Admin!$B$17)),
"")</f>
        <v>FEOR</v>
      </c>
      <c r="C377" s="265" t="str">
        <f>IFERROR(INDEX('Historikus berek_2021-2'!$A$1:$F$903,MATCH(AB377,'Historikus berek_2021-2'!$A$1:$A$903,0),4),"")</f>
        <v/>
      </c>
      <c r="D377" s="279" t="str">
        <f t="shared" si="814"/>
        <v/>
      </c>
      <c r="E377" s="265">
        <f t="shared" si="815"/>
        <v>94938</v>
      </c>
      <c r="F377" s="266" t="str">
        <f t="shared" si="816"/>
        <v/>
      </c>
      <c r="G377" s="267" t="str">
        <f t="shared" si="817"/>
        <v/>
      </c>
      <c r="H377" s="268">
        <f>IFERROR(INDEX('FEOR kodok'!$A$2:$J$1126,MATCH(Bérköltség!AB377,'FEOR kodok'!$B$2:$B$1126,0),8),"NA")</f>
        <v>2910</v>
      </c>
      <c r="I377" s="269">
        <f>IFERROR(INDEX('FEOR kodok'!$A$2:$J$1126,MATCH(Bérköltség!AB377,'FEOR kodok'!$B$2:$B$1126,0),10),"NA")</f>
        <v>33</v>
      </c>
      <c r="J377" s="276" t="str">
        <f t="shared" si="818"/>
        <v>30–39 éves</v>
      </c>
      <c r="K377" s="269" t="str">
        <f>IFERROR(INDEX(admin_feor[#All],MATCH(Bérköltség!H377,admin_feor[[#All],[Foglalkozás]],0),2),"NA")</f>
        <v>Egyéb magasan képzett ügyintéző</v>
      </c>
      <c r="L377" s="270">
        <f>IFERROR(
INDEX('Admin - FEOR'!$A$4:$F$465,MATCH(Bérköltség!H377,'Admin - FEOR'!$A$4:$A$465,0),
IF(J377="30 év alatt",3,
IF(J377="30–39 éves",4,
IF(J377="40–49 éves",5,
IF(J377="50 év és afelett",6
)))))*1,"NA")</f>
        <v>652117</v>
      </c>
      <c r="M377" s="270">
        <f t="shared" si="819"/>
        <v>374000</v>
      </c>
      <c r="N377" s="318">
        <f t="shared" si="820"/>
        <v>0.57351671555871109</v>
      </c>
      <c r="O377" s="270">
        <f>IFERROR(
INDEX('Admin - FEOR'!$A$4:$F$465,MATCH(Bérköltség!H377,'Admin - FEOR'!$A$4:$A$465,0),
IF(J377="30 év alatt",3,
IF(J377="30–39 éves",4,
IF(J377="40–49 éves",5,
IF(J377="50 év és afelett",6
)))))*1.5,"NA")</f>
        <v>978175.5</v>
      </c>
      <c r="P377" s="270">
        <f t="shared" si="821"/>
        <v>248306.08846153846</v>
      </c>
      <c r="Q377" s="270">
        <f t="shared" si="822"/>
        <v>94938</v>
      </c>
      <c r="R377" s="275">
        <f t="shared" si="823"/>
        <v>0.25384615384615383</v>
      </c>
      <c r="S377" s="270">
        <f t="shared" si="824"/>
        <v>0</v>
      </c>
      <c r="T377" s="270">
        <f t="shared" si="825"/>
        <v>0</v>
      </c>
      <c r="U377" s="271">
        <f t="shared" si="826"/>
        <v>0</v>
      </c>
      <c r="V377" s="272">
        <f t="shared" si="827"/>
        <v>102856</v>
      </c>
      <c r="W377" s="273" t="str">
        <f t="shared" si="828"/>
        <v>Nem szükséges indoklás.</v>
      </c>
      <c r="X377" s="372">
        <f t="shared" si="829"/>
        <v>0</v>
      </c>
      <c r="Y377" s="317">
        <f t="shared" si="830"/>
        <v>94938</v>
      </c>
      <c r="Z377" s="317">
        <f t="shared" si="831"/>
        <v>7918</v>
      </c>
      <c r="AA377" s="12" t="s">
        <v>2800</v>
      </c>
      <c r="AB377" s="274">
        <v>8450510813</v>
      </c>
      <c r="AC377" s="40" t="s">
        <v>201</v>
      </c>
      <c r="AD377" s="82" t="s">
        <v>76</v>
      </c>
      <c r="AE377" s="41" t="s">
        <v>86</v>
      </c>
      <c r="AF377" s="11" t="s">
        <v>160</v>
      </c>
      <c r="AG377" s="11" t="s">
        <v>196</v>
      </c>
      <c r="AH377" s="14" t="s">
        <v>142</v>
      </c>
      <c r="AI377" s="86" t="s">
        <v>26</v>
      </c>
      <c r="AJ377" s="113" t="str">
        <f>IF(COUNTIFS(Admin!$A$29:$A$40,AI377)&gt;0,Admin!$A$28,IF(COUNTIFS(Admin!$B$29:$B$40,AI377)&gt;0,Admin!$B$28,IF(COUNTIFS(Admin!$C$29:$C$40,AI377)&gt;0,Admin!$C$28,IF(COUNTIFS(Admin!$D$29:$D$40,AI377)&gt;0,Admin!$D$28,"-"))))</f>
        <v>2. mérföldkő</v>
      </c>
      <c r="AK377" s="14" t="s">
        <v>7</v>
      </c>
      <c r="AL377" s="9" t="s">
        <v>56</v>
      </c>
      <c r="AM377" s="131">
        <v>374000</v>
      </c>
      <c r="AN377" s="132">
        <v>31193</v>
      </c>
      <c r="AO377" s="121">
        <v>130</v>
      </c>
      <c r="AP377" s="121">
        <v>33</v>
      </c>
      <c r="AQ377" s="354">
        <f t="shared" si="746"/>
        <v>0.25384615384615383</v>
      </c>
      <c r="AR377" s="133">
        <f t="shared" si="214"/>
        <v>94938</v>
      </c>
      <c r="AS377" s="133">
        <f t="shared" si="832"/>
        <v>7918</v>
      </c>
      <c r="AT377" s="123">
        <f t="shared" si="747"/>
        <v>1.2340600575866389E-6</v>
      </c>
      <c r="AU377" s="393">
        <f t="shared" si="833"/>
        <v>8.3403743315508025E-2</v>
      </c>
      <c r="AV377" s="394" t="s">
        <v>2794</v>
      </c>
      <c r="AW377" s="15">
        <v>44830</v>
      </c>
      <c r="AX377" s="12" t="s">
        <v>206</v>
      </c>
      <c r="AZ377" s="1" t="s">
        <v>2667</v>
      </c>
      <c r="BA377" s="1" t="s">
        <v>2668</v>
      </c>
      <c r="BB377" s="1" t="s">
        <v>2668</v>
      </c>
    </row>
    <row r="378" spans="1:56" s="1" customFormat="1" hidden="1" x14ac:dyDescent="0.25">
      <c r="A378" s="264" t="str">
        <f>Bérköltség!$B378</f>
        <v>FEOR</v>
      </c>
      <c r="B378" s="264" t="str">
        <f>IFERROR(
IF(AND(Bérköltség!$F378="",H378="NA"),"HIÁNYOS ADATOK",
IF(Bérköltség!$F378&lt;Bérköltség!$U378,Admin!$B$18,Admin!$B$17)),
"")</f>
        <v>FEOR</v>
      </c>
      <c r="C378" s="265" t="str">
        <f>IFERROR(INDEX('Historikus berek_2021-2'!$A$1:$F$903,MATCH(AB378,'Historikus berek_2021-2'!$A$1:$A$903,0),4),"")</f>
        <v/>
      </c>
      <c r="D378" s="279" t="str">
        <f t="shared" si="814"/>
        <v/>
      </c>
      <c r="E378" s="265">
        <f t="shared" si="815"/>
        <v>177402</v>
      </c>
      <c r="F378" s="266" t="str">
        <f t="shared" si="816"/>
        <v/>
      </c>
      <c r="G378" s="267" t="str">
        <f t="shared" si="817"/>
        <v/>
      </c>
      <c r="H378" s="268">
        <f>IFERROR(INDEX('FEOR kodok'!$A$2:$J$1126,MATCH(Bérköltség!AB378,'FEOR kodok'!$B$2:$B$1126,0),8),"NA")</f>
        <v>2910</v>
      </c>
      <c r="I378" s="269">
        <f>IFERROR(INDEX('FEOR kodok'!$A$2:$J$1126,MATCH(Bérköltség!AB378,'FEOR kodok'!$B$2:$B$1126,0),10),"NA")</f>
        <v>33</v>
      </c>
      <c r="J378" s="276" t="str">
        <f t="shared" si="818"/>
        <v>30–39 éves</v>
      </c>
      <c r="K378" s="269" t="str">
        <f>IFERROR(INDEX(admin_feor[#All],MATCH(Bérköltség!H378,admin_feor[[#All],[Foglalkozás]],0),2),"NA")</f>
        <v>Egyéb magasan képzett ügyintéző</v>
      </c>
      <c r="L378" s="270">
        <f>IFERROR(
INDEX('Admin - FEOR'!$A$4:$F$465,MATCH(Bérköltség!H378,'Admin - FEOR'!$A$4:$A$465,0),
IF(J378="30 év alatt",3,
IF(J378="30–39 éves",4,
IF(J378="40–49 éves",5,
IF(J378="50 év és afelett",6
)))))*1,"NA")</f>
        <v>652117</v>
      </c>
      <c r="M378" s="270">
        <f t="shared" si="819"/>
        <v>339150</v>
      </c>
      <c r="N378" s="318">
        <f t="shared" si="820"/>
        <v>0.52007538524528574</v>
      </c>
      <c r="O378" s="270">
        <f>IFERROR(
INDEX('Admin - FEOR'!$A$4:$F$465,MATCH(Bérköltség!H378,'Admin - FEOR'!$A$4:$A$465,0),
IF(J378="30 év alatt",3,
IF(J378="30–39 éves",4,
IF(J378="40–49 éves",5,
IF(J378="50 év és afelett",6
)))))*1.5,"NA")</f>
        <v>978175.5</v>
      </c>
      <c r="P378" s="270">
        <f t="shared" si="821"/>
        <v>511661.0307692308</v>
      </c>
      <c r="Q378" s="270">
        <f t="shared" si="822"/>
        <v>177402</v>
      </c>
      <c r="R378" s="275">
        <f t="shared" si="823"/>
        <v>0.52307692307692311</v>
      </c>
      <c r="S378" s="270">
        <f t="shared" si="824"/>
        <v>0</v>
      </c>
      <c r="T378" s="270">
        <f t="shared" si="825"/>
        <v>0</v>
      </c>
      <c r="U378" s="271">
        <f t="shared" si="826"/>
        <v>0</v>
      </c>
      <c r="V378" s="272">
        <f t="shared" si="827"/>
        <v>184688</v>
      </c>
      <c r="W378" s="273" t="str">
        <f t="shared" si="828"/>
        <v>Nem szükséges indoklás.</v>
      </c>
      <c r="X378" s="372">
        <f t="shared" si="829"/>
        <v>0</v>
      </c>
      <c r="Y378" s="317">
        <f t="shared" si="830"/>
        <v>177402</v>
      </c>
      <c r="Z378" s="317">
        <f t="shared" si="831"/>
        <v>7286</v>
      </c>
      <c r="AA378" s="12" t="s">
        <v>2800</v>
      </c>
      <c r="AB378" s="274">
        <v>8450510813</v>
      </c>
      <c r="AC378" s="40" t="s">
        <v>201</v>
      </c>
      <c r="AD378" s="82" t="s">
        <v>76</v>
      </c>
      <c r="AE378" s="41" t="s">
        <v>86</v>
      </c>
      <c r="AF378" s="11" t="s">
        <v>160</v>
      </c>
      <c r="AG378" s="11" t="s">
        <v>196</v>
      </c>
      <c r="AH378" s="14" t="s">
        <v>142</v>
      </c>
      <c r="AI378" s="86" t="s">
        <v>32</v>
      </c>
      <c r="AJ378" s="113" t="str">
        <f>IF(COUNTIFS(Admin!$A$29:$A$40,AI378)&gt;0,Admin!$A$28,IF(COUNTIFS(Admin!$B$29:$B$40,AI378)&gt;0,Admin!$B$28,IF(COUNTIFS(Admin!$C$29:$C$40,AI378)&gt;0,Admin!$C$28,IF(COUNTIFS(Admin!$D$29:$D$40,AI378)&gt;0,Admin!$D$28,"-"))))</f>
        <v>2. mérföldkő</v>
      </c>
      <c r="AK378" s="14" t="s">
        <v>7</v>
      </c>
      <c r="AL378" s="9" t="s">
        <v>56</v>
      </c>
      <c r="AM378" s="131">
        <v>339150</v>
      </c>
      <c r="AN378" s="132">
        <v>13930</v>
      </c>
      <c r="AO378" s="121">
        <v>130</v>
      </c>
      <c r="AP378" s="121">
        <v>68</v>
      </c>
      <c r="AQ378" s="354">
        <f t="shared" si="746"/>
        <v>0.52307692307692311</v>
      </c>
      <c r="AR378" s="133">
        <f t="shared" si="214"/>
        <v>177402</v>
      </c>
      <c r="AS378" s="133">
        <f t="shared" si="832"/>
        <v>7286</v>
      </c>
      <c r="AT378" s="123">
        <f t="shared" si="747"/>
        <v>-1.3608682338794864E-6</v>
      </c>
      <c r="AU378" s="393">
        <f t="shared" si="833"/>
        <v>4.1073271413828688E-2</v>
      </c>
      <c r="AV378" s="394" t="s">
        <v>2794</v>
      </c>
      <c r="AW378" s="15">
        <v>44945</v>
      </c>
      <c r="AX378" s="12" t="s">
        <v>206</v>
      </c>
      <c r="AZ378" s="1" t="s">
        <v>2667</v>
      </c>
      <c r="BA378" s="1">
        <v>0</v>
      </c>
      <c r="BB378" s="1">
        <v>0</v>
      </c>
    </row>
    <row r="379" spans="1:56" s="1" customFormat="1" hidden="1" x14ac:dyDescent="0.25">
      <c r="A379" s="264" t="str">
        <f>Bérköltség!$B379</f>
        <v>FEOR</v>
      </c>
      <c r="B379" s="264" t="str">
        <f>IFERROR(
IF(AND(Bérköltség!$F379="",H379="NA"),"HIÁNYOS ADATOK",
IF(Bérköltség!$F379&lt;Bérköltség!$U379,Admin!$B$18,Admin!$B$17)),
"")</f>
        <v>FEOR</v>
      </c>
      <c r="C379" s="265" t="str">
        <f>IFERROR(INDEX('Historikus berek_2021-2'!$A$1:$F$903,MATCH(AB379,'Historikus berek_2021-2'!$A$1:$A$903,0),4),"")</f>
        <v/>
      </c>
      <c r="D379" s="279" t="str">
        <f t="shared" si="814"/>
        <v/>
      </c>
      <c r="E379" s="265">
        <f t="shared" si="815"/>
        <v>155087</v>
      </c>
      <c r="F379" s="266" t="str">
        <f t="shared" si="816"/>
        <v/>
      </c>
      <c r="G379" s="267" t="str">
        <f t="shared" si="817"/>
        <v/>
      </c>
      <c r="H379" s="268">
        <f>IFERROR(INDEX('FEOR kodok'!$A$2:$J$1126,MATCH(Bérköltség!AB379,'FEOR kodok'!$B$2:$B$1126,0),8),"NA")</f>
        <v>2910</v>
      </c>
      <c r="I379" s="269">
        <f>IFERROR(INDEX('FEOR kodok'!$A$2:$J$1126,MATCH(Bérköltség!AB379,'FEOR kodok'!$B$2:$B$1126,0),10),"NA")</f>
        <v>33</v>
      </c>
      <c r="J379" s="276" t="str">
        <f t="shared" si="818"/>
        <v>30–39 éves</v>
      </c>
      <c r="K379" s="269" t="str">
        <f>IFERROR(INDEX(admin_feor[#All],MATCH(Bérköltség!H379,admin_feor[[#All],[Foglalkozás]],0),2),"NA")</f>
        <v>Egyéb magasan képzett ügyintéző</v>
      </c>
      <c r="L379" s="270">
        <f>IFERROR(
INDEX('Admin - FEOR'!$A$4:$F$465,MATCH(Bérköltség!H379,'Admin - FEOR'!$A$4:$A$465,0),
IF(J379="30 év alatt",3,
IF(J379="30–39 éves",4,
IF(J379="40–49 éves",5,
IF(J379="50 év és afelett",6
)))))*1,"NA")</f>
        <v>652117</v>
      </c>
      <c r="M379" s="270">
        <f t="shared" si="819"/>
        <v>296489</v>
      </c>
      <c r="N379" s="318">
        <f t="shared" si="820"/>
        <v>0.45465614299274515</v>
      </c>
      <c r="O379" s="270">
        <f>IFERROR(
INDEX('Admin - FEOR'!$A$4:$F$465,MATCH(Bérköltség!H379,'Admin - FEOR'!$A$4:$A$465,0),
IF(J379="30 év alatt",3,
IF(J379="30–39 éves",4,
IF(J379="40–49 éves",5,
IF(J379="50 év és afelett",6
)))))*1.5,"NA")</f>
        <v>978175.5</v>
      </c>
      <c r="P379" s="270">
        <f t="shared" si="821"/>
        <v>511661.0307692308</v>
      </c>
      <c r="Q379" s="270">
        <f t="shared" si="822"/>
        <v>155087</v>
      </c>
      <c r="R379" s="275">
        <f t="shared" si="823"/>
        <v>0.52307692307692311</v>
      </c>
      <c r="S379" s="270">
        <f t="shared" si="824"/>
        <v>0</v>
      </c>
      <c r="T379" s="270">
        <f t="shared" si="825"/>
        <v>0</v>
      </c>
      <c r="U379" s="271">
        <f t="shared" si="826"/>
        <v>0</v>
      </c>
      <c r="V379" s="272">
        <f t="shared" si="827"/>
        <v>159472</v>
      </c>
      <c r="W379" s="273" t="str">
        <f t="shared" si="828"/>
        <v>Nem szükséges indoklás.</v>
      </c>
      <c r="X379" s="372">
        <f t="shared" si="829"/>
        <v>0</v>
      </c>
      <c r="Y379" s="317">
        <f t="shared" si="830"/>
        <v>155087</v>
      </c>
      <c r="Z379" s="317">
        <f t="shared" si="831"/>
        <v>4385</v>
      </c>
      <c r="AA379" s="12" t="s">
        <v>2800</v>
      </c>
      <c r="AB379" s="274">
        <v>8450510813</v>
      </c>
      <c r="AC379" s="40" t="s">
        <v>201</v>
      </c>
      <c r="AD379" s="82" t="s">
        <v>76</v>
      </c>
      <c r="AE379" s="41" t="s">
        <v>86</v>
      </c>
      <c r="AF379" s="11" t="s">
        <v>160</v>
      </c>
      <c r="AG379" s="11" t="s">
        <v>2734</v>
      </c>
      <c r="AH379" s="14" t="s">
        <v>142</v>
      </c>
      <c r="AI379" s="86" t="s">
        <v>33</v>
      </c>
      <c r="AJ379" s="113" t="str">
        <f>IF(COUNTIFS(Admin!$A$29:$A$40,AI379)&gt;0,Admin!$A$28,IF(COUNTIFS(Admin!$B$29:$B$40,AI379)&gt;0,Admin!$B$28,IF(COUNTIFS(Admin!$C$29:$C$40,AI379)&gt;0,Admin!$C$28,IF(COUNTIFS(Admin!$D$29:$D$40,AI379)&gt;0,Admin!$D$28,"-"))))</f>
        <v>2. mérföldkő</v>
      </c>
      <c r="AK379" s="14" t="s">
        <v>7</v>
      </c>
      <c r="AL379" s="9" t="s">
        <v>56</v>
      </c>
      <c r="AM379" s="131">
        <v>296489</v>
      </c>
      <c r="AN379" s="132">
        <v>8384</v>
      </c>
      <c r="AO379" s="121">
        <v>130</v>
      </c>
      <c r="AP379" s="121">
        <v>68</v>
      </c>
      <c r="AQ379" s="354">
        <f t="shared" si="746"/>
        <v>0.52307692307692311</v>
      </c>
      <c r="AR379" s="133">
        <f t="shared" si="214"/>
        <v>155087</v>
      </c>
      <c r="AS379" s="133">
        <f t="shared" si="832"/>
        <v>4385</v>
      </c>
      <c r="AT379" s="123">
        <f t="shared" si="747"/>
        <v>-1.5047905526088812E-6</v>
      </c>
      <c r="AU379" s="393">
        <f t="shared" si="833"/>
        <v>2.8277608950079091E-2</v>
      </c>
      <c r="AV379" s="394" t="s">
        <v>2794</v>
      </c>
      <c r="AW379" s="15">
        <v>44945</v>
      </c>
      <c r="AX379" s="12" t="s">
        <v>206</v>
      </c>
      <c r="AZ379" s="8" t="str">
        <f>IF(VLOOKUP(LEFT($AB379,10),'Havi béradatok'!$B:$E,2,FALSE)=AG379,"EGYEZIK","HIBÁS")</f>
        <v>EGYEZIK</v>
      </c>
      <c r="BA379" s="1">
        <f>VLOOKUP(LEFT($AB379,10),'Havi béradatok'!$B:$E,3,FALSE)-AM379</f>
        <v>96212</v>
      </c>
      <c r="BB379" s="1">
        <f>VLOOKUP(LEFT($AB379,10),'Havi béradatok'!$B:$E,4,FALSE)-AN379</f>
        <v>41679</v>
      </c>
    </row>
    <row r="380" spans="1:56" s="1" customFormat="1" ht="18" hidden="1" customHeight="1" x14ac:dyDescent="0.25">
      <c r="A380" s="264" t="str">
        <f>Bérköltség!$B380</f>
        <v>FEOR</v>
      </c>
      <c r="B380" s="264" t="str">
        <f>IFERROR(
IF(AND(Bérköltség!$F380="",H380="NA"),"HIÁNYOS ADATOK",
IF(Bérköltség!$F380&lt;Bérköltség!$U380,Admin!$B$18,Admin!$B$17)),
"")</f>
        <v>FEOR</v>
      </c>
      <c r="C380" s="265" t="str">
        <f>IFERROR(INDEX('Historikus berek_2021-2'!$A$1:$F$903,MATCH(AB380,'Historikus berek_2021-2'!$A$1:$A$903,0),4),"")</f>
        <v/>
      </c>
      <c r="D380" s="279" t="str">
        <f t="shared" si="814"/>
        <v/>
      </c>
      <c r="E380" s="265">
        <f t="shared" si="815"/>
        <v>178335</v>
      </c>
      <c r="F380" s="266" t="str">
        <f t="shared" si="816"/>
        <v/>
      </c>
      <c r="G380" s="267" t="str">
        <f t="shared" si="817"/>
        <v/>
      </c>
      <c r="H380" s="268">
        <f>IFERROR(INDEX('FEOR kodok'!$A$2:$J$1126,MATCH(Bérköltség!AB380,'FEOR kodok'!$B$2:$B$1126,0),8),"NA")</f>
        <v>2910</v>
      </c>
      <c r="I380" s="269">
        <f>IFERROR(INDEX('FEOR kodok'!$A$2:$J$1126,MATCH(Bérköltség!AB380,'FEOR kodok'!$B$2:$B$1126,0),10),"NA")</f>
        <v>33</v>
      </c>
      <c r="J380" s="276" t="str">
        <f t="shared" si="818"/>
        <v>30–39 éves</v>
      </c>
      <c r="K380" s="269" t="str">
        <f>IFERROR(INDEX(admin_feor[#All],MATCH(Bérköltség!H380,admin_feor[[#All],[Foglalkozás]],0),2),"NA")</f>
        <v>Egyéb magasan képzett ügyintéző</v>
      </c>
      <c r="L380" s="270">
        <f>IFERROR(
INDEX('Admin - FEOR'!$A$4:$F$465,MATCH(Bérköltség!H380,'Admin - FEOR'!$A$4:$A$465,0),
IF(J380="30 év alatt",3,
IF(J380="30–39 éves",4,
IF(J380="40–49 éves",5,
IF(J380="50 év és afelett",6
)))))*1,"NA")</f>
        <v>652117</v>
      </c>
      <c r="M380" s="270">
        <f t="shared" si="819"/>
        <v>340935</v>
      </c>
      <c r="N380" s="318">
        <f t="shared" si="820"/>
        <v>0.52281262411499774</v>
      </c>
      <c r="O380" s="270">
        <f>IFERROR(
INDEX('Admin - FEOR'!$A$4:$F$465,MATCH(Bérköltség!H380,'Admin - FEOR'!$A$4:$A$465,0),
IF(J380="30 év alatt",3,
IF(J380="30–39 éves",4,
IF(J380="40–49 éves",5,
IF(J380="50 év és afelett",6
)))))*1.5,"NA")</f>
        <v>978175.5</v>
      </c>
      <c r="P380" s="270">
        <f t="shared" si="821"/>
        <v>511661.0307692308</v>
      </c>
      <c r="Q380" s="270">
        <f t="shared" si="822"/>
        <v>178335</v>
      </c>
      <c r="R380" s="275">
        <f t="shared" si="823"/>
        <v>0.52307692307692311</v>
      </c>
      <c r="S380" s="270">
        <f t="shared" si="824"/>
        <v>0</v>
      </c>
      <c r="T380" s="270">
        <f t="shared" si="825"/>
        <v>0</v>
      </c>
      <c r="U380" s="271">
        <f t="shared" si="826"/>
        <v>0</v>
      </c>
      <c r="V380" s="272">
        <f t="shared" si="827"/>
        <v>185156</v>
      </c>
      <c r="W380" s="273" t="str">
        <f t="shared" si="828"/>
        <v>Nem szükséges indoklás.</v>
      </c>
      <c r="X380" s="372">
        <f t="shared" si="829"/>
        <v>0</v>
      </c>
      <c r="Y380" s="317">
        <f t="shared" si="830"/>
        <v>178335</v>
      </c>
      <c r="Z380" s="317">
        <f t="shared" si="831"/>
        <v>6821</v>
      </c>
      <c r="AA380" s="12" t="s">
        <v>2800</v>
      </c>
      <c r="AB380" s="274">
        <v>8450510813</v>
      </c>
      <c r="AC380" s="40" t="s">
        <v>201</v>
      </c>
      <c r="AD380" s="82" t="s">
        <v>76</v>
      </c>
      <c r="AE380" s="41" t="s">
        <v>86</v>
      </c>
      <c r="AF380" s="11" t="s">
        <v>160</v>
      </c>
      <c r="AG380" s="11" t="s">
        <v>2734</v>
      </c>
      <c r="AH380" s="14" t="s">
        <v>142</v>
      </c>
      <c r="AI380" s="86" t="s">
        <v>34</v>
      </c>
      <c r="AJ380" s="113" t="str">
        <f>IF(COUNTIFS(Admin!$A$29:$A$40,AI380)&gt;0,Admin!$A$28,IF(COUNTIFS(Admin!$B$29:$B$40,AI380)&gt;0,Admin!$B$28,IF(COUNTIFS(Admin!$C$29:$C$40,AI380)&gt;0,Admin!$C$28,IF(COUNTIFS(Admin!$D$29:$D$40,AI380)&gt;0,Admin!$D$28,"-"))))</f>
        <v>2. mérföldkő</v>
      </c>
      <c r="AK380" s="14" t="s">
        <v>7</v>
      </c>
      <c r="AL380" s="9" t="s">
        <v>56</v>
      </c>
      <c r="AM380" s="131">
        <v>340935</v>
      </c>
      <c r="AN380" s="132">
        <v>13041</v>
      </c>
      <c r="AO380" s="121">
        <v>130</v>
      </c>
      <c r="AP380" s="121">
        <v>68</v>
      </c>
      <c r="AQ380" s="354">
        <f t="shared" si="746"/>
        <v>0.52307692307692311</v>
      </c>
      <c r="AR380" s="133">
        <f t="shared" si="214"/>
        <v>178335</v>
      </c>
      <c r="AS380" s="133">
        <f t="shared" si="500"/>
        <v>6821</v>
      </c>
      <c r="AT380" s="123">
        <f t="shared" si="747"/>
        <v>6.7687163474161594E-7</v>
      </c>
      <c r="AU380" s="393">
        <f>AN380/AM380</f>
        <v>3.8250692947336004E-2</v>
      </c>
      <c r="AV380" s="394" t="s">
        <v>2794</v>
      </c>
      <c r="AW380" s="15">
        <v>44945</v>
      </c>
      <c r="AX380" s="12" t="s">
        <v>206</v>
      </c>
    </row>
    <row r="381" spans="1:56" s="1" customFormat="1" ht="18" customHeight="1" x14ac:dyDescent="0.25">
      <c r="A381" s="264" t="str">
        <f>Bérköltség!$B381</f>
        <v>FEOR</v>
      </c>
      <c r="B381" s="264" t="str">
        <f>IFERROR(
IF(AND(Bérköltség!$F381="",H381="NA"),"HIÁNYOS ADATOK",
IF(Bérköltség!$F381&lt;Bérköltség!$U381,Admin!$B$18,Admin!$B$17)),
"")</f>
        <v>FEOR</v>
      </c>
      <c r="C381" s="265" t="str">
        <f>IFERROR(INDEX('Historikus berek_2021-2'!$A$1:$F$903,MATCH(AB381,'Historikus berek_2021-2'!$A$1:$A$903,0),4),"")</f>
        <v/>
      </c>
      <c r="D381" s="279" t="str">
        <f t="shared" ref="D381:D383" si="834">IFERROR(C381*AQ381,"")</f>
        <v/>
      </c>
      <c r="E381" s="265">
        <f t="shared" ref="E381:E383" si="835">AR381</f>
        <v>205412</v>
      </c>
      <c r="F381" s="266" t="str">
        <f t="shared" ref="F381:F383" si="836">IFERROR(IF((E381*(1+AU381)-D381*(1+AU381))&lt;0,0,(E381*(1+AU381)-D381*(1+AU381))),"")</f>
        <v/>
      </c>
      <c r="G381" s="267" t="str">
        <f t="shared" ref="G381:G383" si="837">IFERROR((E381*(1+AU381)-F381),"")</f>
        <v/>
      </c>
      <c r="H381" s="268">
        <f>IFERROR(INDEX('FEOR kodok'!$A$2:$J$1126,MATCH(Bérköltség!AB381,'FEOR kodok'!$B$2:$B$1126,0),8),"NA")</f>
        <v>2910</v>
      </c>
      <c r="I381" s="269">
        <f>IFERROR(INDEX('FEOR kodok'!$A$2:$J$1126,MATCH(Bérköltség!AB381,'FEOR kodok'!$B$2:$B$1126,0),10),"NA")</f>
        <v>33</v>
      </c>
      <c r="J381" s="276" t="str">
        <f t="shared" ref="J381:J383" si="838">IF(I381="NA","NA",
IF(I381&lt;30,"30 év alatt",
IF(AND(I381&gt;=30,I381&lt;=39),"30–39 éves",
IF(AND(I381&gt;=40,I381&lt;=49),"40–49 éves",
IF(I381&gt;=50,"50 év és afelett",
"")))))</f>
        <v>30–39 éves</v>
      </c>
      <c r="K381" s="269" t="str">
        <f>IFERROR(INDEX(admin_feor[#All],MATCH(Bérköltség!H381,admin_feor[[#All],[Foglalkozás]],0),2),"NA")</f>
        <v>Egyéb magasan képzett ügyintéző</v>
      </c>
      <c r="L381" s="270">
        <f>IFERROR(
INDEX('Admin - FEOR'!$A$4:$F$465,MATCH(Bérköltség!H381,'Admin - FEOR'!$A$4:$A$465,0),
IF(J381="30 év alatt",3,
IF(J381="30–39 éves",4,
IF(J381="40–49 éves",5,
IF(J381="50 év és afelett",6
)))))*1,"NA")</f>
        <v>652117</v>
      </c>
      <c r="M381" s="270">
        <f t="shared" ref="M381:M383" si="839">AM381</f>
        <v>392700</v>
      </c>
      <c r="N381" s="318">
        <f t="shared" ref="N381:N383" si="840">IFERROR(
M381/L381,"NA")</f>
        <v>0.60219255133664662</v>
      </c>
      <c r="O381" s="270">
        <f>IFERROR(
INDEX('Admin - FEOR'!$A$4:$F$465,MATCH(Bérköltség!H381,'Admin - FEOR'!$A$4:$A$465,0),
IF(J381="30 év alatt",3,
IF(J381="30–39 éves",4,
IF(J381="40–49 éves",5,
IF(J381="50 év és afelett",6
)))))*1.5,"NA")</f>
        <v>978175.5</v>
      </c>
      <c r="P381" s="270">
        <f t="shared" ref="P381:P383" si="841">IFERROR(
AQ381*O381,"NA")</f>
        <v>511661.0307692308</v>
      </c>
      <c r="Q381" s="270">
        <f t="shared" ref="Q381:Q383" si="842">IFERROR(AR381,"")</f>
        <v>205412</v>
      </c>
      <c r="R381" s="275">
        <f t="shared" ref="R381:R383" si="843">IFERROR(AQ381,"")</f>
        <v>0.52307692307692311</v>
      </c>
      <c r="S381" s="270">
        <f t="shared" ref="S381:S383" si="844">IFERROR(
IF(AR381-P381&lt;0,0,AR381-P381),"NA")</f>
        <v>0</v>
      </c>
      <c r="T381" s="270">
        <f t="shared" ref="T381:T383" si="845">IFERROR(
S381*AU381,"NA")</f>
        <v>0</v>
      </c>
      <c r="U381" s="271">
        <f t="shared" ref="U381:U383" si="846">IFERROR(
S381+T381,"NA")</f>
        <v>0</v>
      </c>
      <c r="V381" s="272">
        <f t="shared" ref="V381:V383" si="847">IFERROR(
IF(U381&gt;0,AR381+AS381-U381,AR381+AS381),"NA")</f>
        <v>222076</v>
      </c>
      <c r="W381" s="273" t="str">
        <f t="shared" ref="W381:W383" si="848">IF(P381="NA","FEOR hiányzik",
IF(AND(N381&gt;1,A381="FEOR"),CONCATENATE("Indoklás szükséges mivel a FEOR: ",ROUND(N381*100,1),"%"),"Nem szükséges indoklás.")
)</f>
        <v>Nem szükséges indoklás.</v>
      </c>
      <c r="X381" s="372">
        <f t="shared" ref="X381:X383" si="849">IF(A381="FEOR",U381,IF(A381="HIÁNYOS ADATOK","HIÁNYOS ADATOK",F381))</f>
        <v>0</v>
      </c>
      <c r="Y381" s="317">
        <f t="shared" ref="Y381:Y383" si="850">IF(A381="FEOR",ROUND((V381/(1+AU381)),0),IF(A381="HIÁNYOS ADATOK","HIÁNYOS ADATOK",ROUND(G381/(1+AU381),0)))</f>
        <v>205412</v>
      </c>
      <c r="Z381" s="317">
        <f t="shared" ref="Z381:Z383" si="851">IF(A381="FEOR",ROUND((V381-Y381),0),IF(A381="HIÁNYOS ADATOK","HIÁNYOS ADATOK",ROUND((G381-Y381),0)))</f>
        <v>16664</v>
      </c>
      <c r="AA381" s="36"/>
      <c r="AB381" s="274">
        <v>8450510813</v>
      </c>
      <c r="AC381" s="40" t="s">
        <v>201</v>
      </c>
      <c r="AD381" s="82" t="s">
        <v>76</v>
      </c>
      <c r="AE381" s="41" t="s">
        <v>86</v>
      </c>
      <c r="AF381" s="11" t="s">
        <v>160</v>
      </c>
      <c r="AG381" s="11" t="s">
        <v>2734</v>
      </c>
      <c r="AH381" s="14" t="s">
        <v>142</v>
      </c>
      <c r="AI381" s="86" t="s">
        <v>35</v>
      </c>
      <c r="AJ381" s="113" t="str">
        <f>IF(COUNTIFS(Admin!$A$29:$A$40,AI381)&gt;0,Admin!$A$28,IF(COUNTIFS(Admin!$B$29:$B$40,AI381)&gt;0,Admin!$B$28,IF(COUNTIFS(Admin!$C$29:$C$40,AI381)&gt;0,Admin!$C$28,IF(COUNTIFS(Admin!$D$29:$D$40,AI381)&gt;0,Admin!$D$28,"-"))))</f>
        <v>3. mérföldkő</v>
      </c>
      <c r="AK381" s="14" t="s">
        <v>7</v>
      </c>
      <c r="AL381" s="9" t="s">
        <v>56</v>
      </c>
      <c r="AM381" s="131">
        <v>392700</v>
      </c>
      <c r="AN381" s="132">
        <f t="shared" ref="AN381" si="852">IFERROR(ROUND(AM381*AU381,0),"")</f>
        <v>31858</v>
      </c>
      <c r="AO381" s="121">
        <v>130</v>
      </c>
      <c r="AP381" s="121">
        <v>68</v>
      </c>
      <c r="AQ381" s="354">
        <f t="shared" ref="AQ381" si="853">IFERROR(AP381/AO381,"")</f>
        <v>0.52307692307692311</v>
      </c>
      <c r="AR381" s="133">
        <f t="shared" ref="AR381" si="854">IFERROR(ROUND(AM381*AP381/AO381,0),"")</f>
        <v>205412</v>
      </c>
      <c r="AS381" s="133">
        <f t="shared" si="500"/>
        <v>16664</v>
      </c>
      <c r="AT381" s="123">
        <f t="shared" ref="AT381" si="855">IFERROR(AP381/AO381-AR381/AM381,"")</f>
        <v>7.8353019528076828E-7</v>
      </c>
      <c r="AU381" s="124">
        <f>50063/617101</f>
        <v>8.1126104154749384E-2</v>
      </c>
      <c r="AV381" s="394" t="s">
        <v>2794</v>
      </c>
      <c r="AW381" s="15">
        <v>44992</v>
      </c>
      <c r="AX381" s="12" t="s">
        <v>206</v>
      </c>
      <c r="AZ381" s="1" t="str">
        <f>IF(VLOOKUP(LEFT($AB381,10),'Havi béradatok'!$B:$E,2,FALSE)=AG381,"EGYEZIK","HIBÁS")</f>
        <v>EGYEZIK</v>
      </c>
      <c r="BA381" s="391">
        <f>VLOOKUP(LEFT($AB381,10),'Havi béradatok'!$B:$E,3,FALSE)-AM381</f>
        <v>1</v>
      </c>
      <c r="BB381" s="391">
        <f>VLOOKUP(LEFT($AB381,10),'Havi béradatok'!$B:$E,4,FALSE)-AN381</f>
        <v>18205</v>
      </c>
      <c r="BC381" s="400"/>
      <c r="BD381" s="400"/>
    </row>
    <row r="382" spans="1:56" s="1" customFormat="1" ht="18" hidden="1" customHeight="1" x14ac:dyDescent="0.25">
      <c r="A382" s="264" t="str">
        <f>Bérköltség!$B382</f>
        <v>FEOR</v>
      </c>
      <c r="B382" s="264" t="str">
        <f>IFERROR(
IF(AND(Bérköltség!$F382="",H382="NA"),"HIÁNYOS ADATOK",
IF(Bérköltség!$F382&lt;Bérköltség!$U382,Admin!$B$18,Admin!$B$17)),
"")</f>
        <v>FEOR</v>
      </c>
      <c r="C382" s="265" t="str">
        <f>IFERROR(INDEX('Historikus berek_2021-2'!$A$1:$F$903,MATCH(AB382,'Historikus berek_2021-2'!$A$1:$A$903,0),4),"")</f>
        <v/>
      </c>
      <c r="D382" s="279" t="str">
        <f t="shared" si="834"/>
        <v/>
      </c>
      <c r="E382" s="265">
        <f t="shared" si="835"/>
        <v>205412</v>
      </c>
      <c r="F382" s="266" t="str">
        <f t="shared" si="836"/>
        <v/>
      </c>
      <c r="G382" s="267" t="str">
        <f t="shared" si="837"/>
        <v/>
      </c>
      <c r="H382" s="268">
        <f>IFERROR(INDEX('FEOR kodok'!$A$2:$J$1126,MATCH(Bérköltség!AB382,'FEOR kodok'!$B$2:$B$1126,0),8),"NA")</f>
        <v>2910</v>
      </c>
      <c r="I382" s="269">
        <f>IFERROR(INDEX('FEOR kodok'!$A$2:$J$1126,MATCH(Bérköltség!AB382,'FEOR kodok'!$B$2:$B$1126,0),10),"NA")</f>
        <v>33</v>
      </c>
      <c r="J382" s="276" t="str">
        <f t="shared" si="838"/>
        <v>30–39 éves</v>
      </c>
      <c r="K382" s="269" t="str">
        <f>IFERROR(INDEX(admin_feor[#All],MATCH(Bérköltség!H382,admin_feor[[#All],[Foglalkozás]],0),2),"NA")</f>
        <v>Egyéb magasan képzett ügyintéző</v>
      </c>
      <c r="L382" s="270">
        <f>IFERROR(
INDEX('Admin - FEOR'!$A$4:$F$465,MATCH(Bérköltség!H382,'Admin - FEOR'!$A$4:$A$465,0),
IF(J382="30 év alatt",3,
IF(J382="30–39 éves",4,
IF(J382="40–49 éves",5,
IF(J382="50 év és afelett",6
)))))*1,"NA")</f>
        <v>652117</v>
      </c>
      <c r="M382" s="270">
        <f t="shared" si="839"/>
        <v>392700</v>
      </c>
      <c r="N382" s="318">
        <f t="shared" si="840"/>
        <v>0.60219255133664662</v>
      </c>
      <c r="O382" s="270">
        <f>IFERROR(
INDEX('Admin - FEOR'!$A$4:$F$465,MATCH(Bérköltség!H382,'Admin - FEOR'!$A$4:$A$465,0),
IF(J382="30 év alatt",3,
IF(J382="30–39 éves",4,
IF(J382="40–49 éves",5,
IF(J382="50 év és afelett",6
)))))*1.5,"NA")</f>
        <v>978175.5</v>
      </c>
      <c r="P382" s="270">
        <f t="shared" si="841"/>
        <v>511661.0307692308</v>
      </c>
      <c r="Q382" s="270">
        <f t="shared" si="842"/>
        <v>205412</v>
      </c>
      <c r="R382" s="275">
        <f t="shared" si="843"/>
        <v>0.52307692307692311</v>
      </c>
      <c r="S382" s="270">
        <f t="shared" si="844"/>
        <v>0</v>
      </c>
      <c r="T382" s="270">
        <f t="shared" si="845"/>
        <v>0</v>
      </c>
      <c r="U382" s="271">
        <f t="shared" si="846"/>
        <v>0</v>
      </c>
      <c r="V382" s="272">
        <f t="shared" si="847"/>
        <v>232116</v>
      </c>
      <c r="W382" s="273" t="str">
        <f t="shared" si="848"/>
        <v>Nem szükséges indoklás.</v>
      </c>
      <c r="X382" s="372">
        <f t="shared" si="849"/>
        <v>0</v>
      </c>
      <c r="Y382" s="317">
        <f t="shared" si="850"/>
        <v>205412</v>
      </c>
      <c r="Z382" s="317">
        <f t="shared" si="851"/>
        <v>26704</v>
      </c>
      <c r="AA382" s="36"/>
      <c r="AB382" s="274">
        <v>8450510813</v>
      </c>
      <c r="AC382" s="40" t="s">
        <v>201</v>
      </c>
      <c r="AD382" s="82" t="s">
        <v>76</v>
      </c>
      <c r="AE382" s="41" t="s">
        <v>86</v>
      </c>
      <c r="AF382" s="11" t="s">
        <v>160</v>
      </c>
      <c r="AG382" s="11" t="s">
        <v>2734</v>
      </c>
      <c r="AH382" s="14" t="s">
        <v>142</v>
      </c>
      <c r="AI382" s="86" t="s">
        <v>36</v>
      </c>
      <c r="AJ382" s="113" t="str">
        <f>IF(COUNTIFS(Admin!$A$29:$A$40,AI382)&gt;0,Admin!$A$28,IF(COUNTIFS(Admin!$B$29:$B$40,AI382)&gt;0,Admin!$B$28,IF(COUNTIFS(Admin!$C$29:$C$40,AI382)&gt;0,Admin!$C$28,IF(COUNTIFS(Admin!$D$29:$D$40,AI382)&gt;0,Admin!$D$28,"-"))))</f>
        <v>3. mérföldkő</v>
      </c>
      <c r="AK382" s="14" t="s">
        <v>141</v>
      </c>
      <c r="AL382" s="9" t="s">
        <v>56</v>
      </c>
      <c r="AM382" s="131">
        <v>392700</v>
      </c>
      <c r="AN382" s="132">
        <f t="shared" ref="AN382:AN383" si="856">IFERROR(ROUND(AM382*AU382,0),"")</f>
        <v>51051</v>
      </c>
      <c r="AO382" s="121">
        <v>130</v>
      </c>
      <c r="AP382" s="121">
        <v>68</v>
      </c>
      <c r="AQ382" s="354">
        <f t="shared" ref="AQ382:AQ383" si="857">IFERROR(AP382/AO382,"")</f>
        <v>0.52307692307692311</v>
      </c>
      <c r="AR382" s="133">
        <f t="shared" ref="AR382:AR383" si="858">IFERROR(ROUND(AM382*AP382/AO382,0),"")</f>
        <v>205412</v>
      </c>
      <c r="AS382" s="133">
        <f t="shared" si="500"/>
        <v>26704</v>
      </c>
      <c r="AT382" s="123">
        <f t="shared" ref="AT382:AT383" si="859">IFERROR(AP382/AO382-AR382/AM382,"")</f>
        <v>7.8353019528076828E-7</v>
      </c>
      <c r="AU382" s="124">
        <v>0.13</v>
      </c>
      <c r="AV382" s="394" t="s">
        <v>2794</v>
      </c>
      <c r="AW382" s="15">
        <v>44992</v>
      </c>
      <c r="AX382" s="12" t="s">
        <v>206</v>
      </c>
    </row>
    <row r="383" spans="1:56" s="1" customFormat="1" ht="18" hidden="1" customHeight="1" x14ac:dyDescent="0.25">
      <c r="A383" s="264" t="str">
        <f>Bérköltség!$B383</f>
        <v>FEOR</v>
      </c>
      <c r="B383" s="264" t="str">
        <f>IFERROR(
IF(AND(Bérköltség!$F383="",H383="NA"),"HIÁNYOS ADATOK",
IF(Bérköltség!$F383&lt;Bérköltség!$U383,Admin!$B$18,Admin!$B$17)),
"")</f>
        <v>FEOR</v>
      </c>
      <c r="C383" s="265" t="str">
        <f>IFERROR(INDEX('Historikus berek_2021-2'!$A$1:$F$903,MATCH(AB383,'Historikus berek_2021-2'!$A$1:$A$903,0),4),"")</f>
        <v/>
      </c>
      <c r="D383" s="279" t="str">
        <f t="shared" si="834"/>
        <v/>
      </c>
      <c r="E383" s="265">
        <f t="shared" si="835"/>
        <v>205412</v>
      </c>
      <c r="F383" s="266" t="str">
        <f t="shared" si="836"/>
        <v/>
      </c>
      <c r="G383" s="267" t="str">
        <f t="shared" si="837"/>
        <v/>
      </c>
      <c r="H383" s="268">
        <f>IFERROR(INDEX('FEOR kodok'!$A$2:$J$1126,MATCH(Bérköltség!AB383,'FEOR kodok'!$B$2:$B$1126,0),8),"NA")</f>
        <v>2910</v>
      </c>
      <c r="I383" s="269">
        <f>IFERROR(INDEX('FEOR kodok'!$A$2:$J$1126,MATCH(Bérköltség!AB383,'FEOR kodok'!$B$2:$B$1126,0),10),"NA")</f>
        <v>33</v>
      </c>
      <c r="J383" s="276" t="str">
        <f t="shared" si="838"/>
        <v>30–39 éves</v>
      </c>
      <c r="K383" s="269" t="str">
        <f>IFERROR(INDEX(admin_feor[#All],MATCH(Bérköltség!H383,admin_feor[[#All],[Foglalkozás]],0),2),"NA")</f>
        <v>Egyéb magasan képzett ügyintéző</v>
      </c>
      <c r="L383" s="270">
        <f>IFERROR(
INDEX('Admin - FEOR'!$A$4:$F$465,MATCH(Bérköltség!H383,'Admin - FEOR'!$A$4:$A$465,0),
IF(J383="30 év alatt",3,
IF(J383="30–39 éves",4,
IF(J383="40–49 éves",5,
IF(J383="50 év és afelett",6
)))))*1,"NA")</f>
        <v>652117</v>
      </c>
      <c r="M383" s="270">
        <f t="shared" si="839"/>
        <v>392700</v>
      </c>
      <c r="N383" s="318">
        <f t="shared" si="840"/>
        <v>0.60219255133664662</v>
      </c>
      <c r="O383" s="270">
        <f>IFERROR(
INDEX('Admin - FEOR'!$A$4:$F$465,MATCH(Bérköltség!H383,'Admin - FEOR'!$A$4:$A$465,0),
IF(J383="30 év alatt",3,
IF(J383="30–39 éves",4,
IF(J383="40–49 éves",5,
IF(J383="50 év és afelett",6
)))))*1.5,"NA")</f>
        <v>978175.5</v>
      </c>
      <c r="P383" s="270">
        <f t="shared" si="841"/>
        <v>511661.0307692308</v>
      </c>
      <c r="Q383" s="270">
        <f t="shared" si="842"/>
        <v>205412</v>
      </c>
      <c r="R383" s="275">
        <f t="shared" si="843"/>
        <v>0.52307692307692311</v>
      </c>
      <c r="S383" s="270">
        <f t="shared" si="844"/>
        <v>0</v>
      </c>
      <c r="T383" s="270">
        <f t="shared" si="845"/>
        <v>0</v>
      </c>
      <c r="U383" s="271">
        <f t="shared" si="846"/>
        <v>0</v>
      </c>
      <c r="V383" s="272">
        <f t="shared" si="847"/>
        <v>232116</v>
      </c>
      <c r="W383" s="273" t="str">
        <f t="shared" si="848"/>
        <v>Nem szükséges indoklás.</v>
      </c>
      <c r="X383" s="372">
        <f t="shared" si="849"/>
        <v>0</v>
      </c>
      <c r="Y383" s="317">
        <f t="shared" si="850"/>
        <v>205412</v>
      </c>
      <c r="Z383" s="317">
        <f t="shared" si="851"/>
        <v>26704</v>
      </c>
      <c r="AA383" s="36"/>
      <c r="AB383" s="274">
        <v>8450510813</v>
      </c>
      <c r="AC383" s="40" t="s">
        <v>201</v>
      </c>
      <c r="AD383" s="82" t="s">
        <v>76</v>
      </c>
      <c r="AE383" s="41" t="s">
        <v>86</v>
      </c>
      <c r="AF383" s="11" t="s">
        <v>160</v>
      </c>
      <c r="AG383" s="11" t="s">
        <v>2734</v>
      </c>
      <c r="AH383" s="14" t="s">
        <v>142</v>
      </c>
      <c r="AI383" s="86" t="s">
        <v>37</v>
      </c>
      <c r="AJ383" s="113" t="str">
        <f>IF(COUNTIFS(Admin!$A$29:$A$40,AI383)&gt;0,Admin!$A$28,IF(COUNTIFS(Admin!$B$29:$B$40,AI383)&gt;0,Admin!$B$28,IF(COUNTIFS(Admin!$C$29:$C$40,AI383)&gt;0,Admin!$C$28,IF(COUNTIFS(Admin!$D$29:$D$40,AI383)&gt;0,Admin!$D$28,"-"))))</f>
        <v>3. mérföldkő</v>
      </c>
      <c r="AK383" s="14" t="s">
        <v>141</v>
      </c>
      <c r="AL383" s="9" t="s">
        <v>56</v>
      </c>
      <c r="AM383" s="131">
        <v>392700</v>
      </c>
      <c r="AN383" s="132">
        <f t="shared" si="856"/>
        <v>51051</v>
      </c>
      <c r="AO383" s="121">
        <v>130</v>
      </c>
      <c r="AP383" s="121">
        <v>68</v>
      </c>
      <c r="AQ383" s="354">
        <f t="shared" si="857"/>
        <v>0.52307692307692311</v>
      </c>
      <c r="AR383" s="133">
        <f t="shared" si="858"/>
        <v>205412</v>
      </c>
      <c r="AS383" s="133">
        <f t="shared" si="500"/>
        <v>26704</v>
      </c>
      <c r="AT383" s="123">
        <f t="shared" si="859"/>
        <v>7.8353019528076828E-7</v>
      </c>
      <c r="AU383" s="124">
        <v>0.13</v>
      </c>
      <c r="AV383" s="394" t="s">
        <v>2794</v>
      </c>
      <c r="AW383" s="15">
        <v>44992</v>
      </c>
      <c r="AX383" s="12" t="s">
        <v>206</v>
      </c>
    </row>
    <row r="384" spans="1:56" s="1" customFormat="1" ht="18" hidden="1" customHeight="1" x14ac:dyDescent="0.25">
      <c r="A384" s="264" t="str">
        <f>Bérköltség!$B384</f>
        <v>FEOR</v>
      </c>
      <c r="B384" s="264" t="str">
        <f>IFERROR(
IF(AND(Bérköltség!$F384="",H384="NA"),"HIÁNYOS ADATOK",
IF(Bérköltség!$F384&lt;Bérköltség!$U384,Admin!$B$18,Admin!$B$17)),
"")</f>
        <v>FEOR</v>
      </c>
      <c r="C384" s="265">
        <f>IFERROR(INDEX('Historikus berek_2021-2'!$A$1:$F$903,MATCH(AB384,'Historikus berek_2021-2'!$A$1:$A$903,0),4),"")</f>
        <v>594000</v>
      </c>
      <c r="D384" s="279">
        <f t="shared" si="814"/>
        <v>146793.10344827586</v>
      </c>
      <c r="E384" s="265">
        <f t="shared" si="815"/>
        <v>222414</v>
      </c>
      <c r="F384" s="266">
        <f t="shared" si="816"/>
        <v>85451.613103448268</v>
      </c>
      <c r="G384" s="267">
        <f t="shared" si="817"/>
        <v>165876.20689655171</v>
      </c>
      <c r="H384" s="268">
        <f>IFERROR(INDEX('FEOR kodok'!$A$2:$J$1126,MATCH(Bérköltség!AB384,'FEOR kodok'!$B$2:$B$1126,0),8),"NA")</f>
        <v>2410</v>
      </c>
      <c r="I384" s="269">
        <f>IFERROR(INDEX('FEOR kodok'!$A$2:$J$1126,MATCH(Bérköltség!AB384,'FEOR kodok'!$B$2:$B$1126,0),10),"NA")</f>
        <v>54</v>
      </c>
      <c r="J384" s="276" t="str">
        <f t="shared" si="818"/>
        <v>50 év és afelett</v>
      </c>
      <c r="K384" s="269" t="str">
        <f>IFERROR(INDEX(admin_feor[#All],MATCH(Bérköltség!H384,admin_feor[[#All],[Foglalkozás]],0),2),"NA")</f>
        <v>Egyetemi, főiskolai oktató, tanár</v>
      </c>
      <c r="L384" s="270">
        <f>IFERROR(
INDEX('Admin - FEOR'!$A$4:$F$465,MATCH(Bérköltség!H384,'Admin - FEOR'!$A$4:$A$465,0),
IF(J384="30 év alatt",3,
IF(J384="30–39 éves",4,
IF(J384="40–49 éves",5,
IF(J384="50 év és afelett",6
)))))*1,"NA")</f>
        <v>676379</v>
      </c>
      <c r="M384" s="270">
        <f t="shared" si="819"/>
        <v>900000</v>
      </c>
      <c r="N384" s="318">
        <f t="shared" si="820"/>
        <v>1.330614936300506</v>
      </c>
      <c r="O384" s="270">
        <f>IFERROR(
INDEX('Admin - FEOR'!$A$4:$F$465,MATCH(Bérköltség!H384,'Admin - FEOR'!$A$4:$A$465,0),
IF(J384="30 év alatt",3,
IF(J384="30–39 éves",4,
IF(J384="40–49 éves",5,
IF(J384="50 év és afelett",6
)))))*1.5,"NA")</f>
        <v>1014568.5</v>
      </c>
      <c r="P384" s="270">
        <f t="shared" si="821"/>
        <v>250726.69827586209</v>
      </c>
      <c r="Q384" s="270">
        <f t="shared" si="822"/>
        <v>222414</v>
      </c>
      <c r="R384" s="275">
        <f t="shared" si="823"/>
        <v>0.2471264367816092</v>
      </c>
      <c r="S384" s="270">
        <f t="shared" si="824"/>
        <v>0</v>
      </c>
      <c r="T384" s="270">
        <f t="shared" si="825"/>
        <v>0</v>
      </c>
      <c r="U384" s="271">
        <f t="shared" si="826"/>
        <v>0</v>
      </c>
      <c r="V384" s="272">
        <f t="shared" si="827"/>
        <v>251328</v>
      </c>
      <c r="W384" s="273" t="str">
        <f t="shared" si="828"/>
        <v>Indoklás szükséges mivel a FEOR: 133,1%</v>
      </c>
      <c r="X384" s="372">
        <f t="shared" si="829"/>
        <v>0</v>
      </c>
      <c r="Y384" s="317">
        <f t="shared" si="830"/>
        <v>222414</v>
      </c>
      <c r="Z384" s="317">
        <f t="shared" si="831"/>
        <v>28914</v>
      </c>
      <c r="AA384" s="12">
        <v>2</v>
      </c>
      <c r="AB384" s="274">
        <v>8372793190</v>
      </c>
      <c r="AC384" s="40" t="s">
        <v>213</v>
      </c>
      <c r="AD384" s="82" t="s">
        <v>75</v>
      </c>
      <c r="AE384" s="41" t="s">
        <v>54</v>
      </c>
      <c r="AF384" s="11" t="s">
        <v>159</v>
      </c>
      <c r="AG384" s="11" t="s">
        <v>214</v>
      </c>
      <c r="AH384" s="14" t="s">
        <v>122</v>
      </c>
      <c r="AI384" s="86" t="s">
        <v>23</v>
      </c>
      <c r="AJ384" s="113" t="str">
        <f>IF(COUNTIFS(Admin!$A$29:$A$40,AI384)&gt;0,Admin!$A$28,IF(COUNTIFS(Admin!$B$29:$B$40,AI384)&gt;0,Admin!$B$28,IF(COUNTIFS(Admin!$C$29:$C$40,AI384)&gt;0,Admin!$C$28,IF(COUNTIFS(Admin!$D$29:$D$40,AI384)&gt;0,Admin!$D$28,"-"))))</f>
        <v>2. mérföldkő</v>
      </c>
      <c r="AK384" s="14" t="s">
        <v>7</v>
      </c>
      <c r="AL384" s="9" t="s">
        <v>56</v>
      </c>
      <c r="AM384" s="131">
        <v>900000</v>
      </c>
      <c r="AN384" s="132">
        <f t="shared" si="748"/>
        <v>117000</v>
      </c>
      <c r="AO384" s="121">
        <v>174</v>
      </c>
      <c r="AP384" s="121">
        <v>43</v>
      </c>
      <c r="AQ384" s="354">
        <f t="shared" si="746"/>
        <v>0.2471264367816092</v>
      </c>
      <c r="AR384" s="133">
        <f t="shared" si="214"/>
        <v>222414</v>
      </c>
      <c r="AS384" s="133">
        <f t="shared" si="500"/>
        <v>28914</v>
      </c>
      <c r="AT384" s="123">
        <f t="shared" si="747"/>
        <v>-2.2988505746224241E-7</v>
      </c>
      <c r="AU384" s="124">
        <v>0.13</v>
      </c>
      <c r="AV384" s="394" t="s">
        <v>2795</v>
      </c>
      <c r="AW384" s="15">
        <v>44789</v>
      </c>
      <c r="AX384" s="12" t="s">
        <v>206</v>
      </c>
      <c r="BC384" s="1" t="s">
        <v>2847</v>
      </c>
      <c r="BD384" s="1" t="str">
        <f t="shared" ref="BD384:BD390" si="860">CONCATENATE(BC384," - ",AE384)</f>
        <v>Segédszemélyzet_NK_1 - Segédszemélyzet</v>
      </c>
    </row>
    <row r="385" spans="1:56" s="1" customFormat="1" ht="18" hidden="1" customHeight="1" x14ac:dyDescent="0.25">
      <c r="A385" s="264" t="str">
        <f>Bérköltség!$B385</f>
        <v>FEOR</v>
      </c>
      <c r="B385" s="264" t="str">
        <f>IFERROR(
IF(AND(Bérköltség!$F385="",H385="NA"),"HIÁNYOS ADATOK",
IF(Bérköltség!$F385&lt;Bérköltség!$U385,Admin!$B$18,Admin!$B$17)),
"")</f>
        <v>FEOR</v>
      </c>
      <c r="C385" s="265">
        <f>IFERROR(INDEX('Historikus berek_2021-2'!$A$1:$F$903,MATCH(AB385,'Historikus berek_2021-2'!$A$1:$A$903,0),4),"")</f>
        <v>594000</v>
      </c>
      <c r="D385" s="279">
        <f t="shared" si="814"/>
        <v>116068.96551724139</v>
      </c>
      <c r="E385" s="265">
        <f t="shared" si="815"/>
        <v>227057</v>
      </c>
      <c r="F385" s="266">
        <f t="shared" si="816"/>
        <v>125416.47896551722</v>
      </c>
      <c r="G385" s="267">
        <f t="shared" si="817"/>
        <v>131157.93103448275</v>
      </c>
      <c r="H385" s="268">
        <f>IFERROR(INDEX('FEOR kodok'!$A$2:$J$1126,MATCH(Bérköltség!AB385,'FEOR kodok'!$B$2:$B$1126,0),8),"NA")</f>
        <v>2410</v>
      </c>
      <c r="I385" s="269">
        <f>IFERROR(INDEX('FEOR kodok'!$A$2:$J$1126,MATCH(Bérköltség!AB385,'FEOR kodok'!$B$2:$B$1126,0),10),"NA")</f>
        <v>54</v>
      </c>
      <c r="J385" s="276" t="str">
        <f t="shared" si="818"/>
        <v>50 év és afelett</v>
      </c>
      <c r="K385" s="269" t="str">
        <f>IFERROR(INDEX(admin_feor[#All],MATCH(Bérköltség!H385,admin_feor[[#All],[Foglalkozás]],0),2),"NA")</f>
        <v>Egyetemi, főiskolai oktató, tanár</v>
      </c>
      <c r="L385" s="270">
        <f>IFERROR(
INDEX('Admin - FEOR'!$A$4:$F$465,MATCH(Bérköltség!H385,'Admin - FEOR'!$A$4:$A$465,0),
IF(J385="30 év alatt",3,
IF(J385="30–39 éves",4,
IF(J385="40–49 éves",5,
IF(J385="50 év és afelett",6
)))))*1,"NA")</f>
        <v>676379</v>
      </c>
      <c r="M385" s="270">
        <f t="shared" si="819"/>
        <v>1162000</v>
      </c>
      <c r="N385" s="318">
        <f t="shared" si="820"/>
        <v>1.7179717288679868</v>
      </c>
      <c r="O385" s="270">
        <f>IFERROR(
INDEX('Admin - FEOR'!$A$4:$F$465,MATCH(Bérköltség!H385,'Admin - FEOR'!$A$4:$A$465,0),
IF(J385="30 év alatt",3,
IF(J385="30–39 éves",4,
IF(J385="40–49 éves",5,
IF(J385="50 év és afelett",6
)))))*1.5,"NA")</f>
        <v>1014568.5</v>
      </c>
      <c r="P385" s="270">
        <f t="shared" si="821"/>
        <v>198249.01724137933</v>
      </c>
      <c r="Q385" s="270">
        <f t="shared" si="822"/>
        <v>227057</v>
      </c>
      <c r="R385" s="275">
        <f t="shared" si="823"/>
        <v>0.19540229885057472</v>
      </c>
      <c r="S385" s="270">
        <f t="shared" si="824"/>
        <v>28807.982758620667</v>
      </c>
      <c r="T385" s="270">
        <f t="shared" si="825"/>
        <v>3745.0377586206869</v>
      </c>
      <c r="U385" s="271">
        <f t="shared" si="826"/>
        <v>32553.020517241355</v>
      </c>
      <c r="V385" s="272">
        <f t="shared" si="827"/>
        <v>224020.97948275864</v>
      </c>
      <c r="W385" s="273" t="str">
        <f t="shared" si="828"/>
        <v>Indoklás szükséges mivel a FEOR: 171,8%</v>
      </c>
      <c r="X385" s="372">
        <f t="shared" si="829"/>
        <v>32553.020517241355</v>
      </c>
      <c r="Y385" s="317">
        <f t="shared" si="830"/>
        <v>198249</v>
      </c>
      <c r="Z385" s="317">
        <f t="shared" si="831"/>
        <v>25772</v>
      </c>
      <c r="AA385" s="12">
        <v>2</v>
      </c>
      <c r="AB385" s="274">
        <v>8372793190</v>
      </c>
      <c r="AC385" s="40" t="s">
        <v>213</v>
      </c>
      <c r="AD385" s="82" t="s">
        <v>75</v>
      </c>
      <c r="AE385" s="41" t="s">
        <v>54</v>
      </c>
      <c r="AF385" s="11" t="s">
        <v>159</v>
      </c>
      <c r="AG385" s="11" t="s">
        <v>214</v>
      </c>
      <c r="AH385" s="14" t="s">
        <v>122</v>
      </c>
      <c r="AI385" s="86" t="s">
        <v>24</v>
      </c>
      <c r="AJ385" s="113" t="str">
        <f>IF(COUNTIFS(Admin!$A$29:$A$40,AI385)&gt;0,Admin!$A$28,IF(COUNTIFS(Admin!$B$29:$B$40,AI385)&gt;0,Admin!$B$28,IF(COUNTIFS(Admin!$C$29:$C$40,AI385)&gt;0,Admin!$C$28,IF(COUNTIFS(Admin!$D$29:$D$40,AI385)&gt;0,Admin!$D$28,"-"))))</f>
        <v>2. mérföldkő</v>
      </c>
      <c r="AK385" s="14" t="s">
        <v>7</v>
      </c>
      <c r="AL385" s="9" t="s">
        <v>56</v>
      </c>
      <c r="AM385" s="131">
        <v>1162000</v>
      </c>
      <c r="AN385" s="132">
        <f t="shared" si="748"/>
        <v>151060</v>
      </c>
      <c r="AO385" s="121">
        <v>174</v>
      </c>
      <c r="AP385" s="121">
        <v>34</v>
      </c>
      <c r="AQ385" s="354">
        <f t="shared" si="746"/>
        <v>0.19540229885057472</v>
      </c>
      <c r="AR385" s="133">
        <f t="shared" ref="AR385:AR434" si="861">IFERROR(ROUND(AM385*AP385/AO385,0),"")</f>
        <v>227057</v>
      </c>
      <c r="AS385" s="133">
        <f t="shared" si="500"/>
        <v>29517</v>
      </c>
      <c r="AT385" s="123">
        <f t="shared" si="747"/>
        <v>4.0556313926631837E-7</v>
      </c>
      <c r="AU385" s="124">
        <v>0.13</v>
      </c>
      <c r="AV385" s="394" t="s">
        <v>2795</v>
      </c>
      <c r="AW385" s="15">
        <v>44825</v>
      </c>
      <c r="AX385" s="12" t="s">
        <v>206</v>
      </c>
      <c r="BC385" s="1" t="s">
        <v>2847</v>
      </c>
      <c r="BD385" s="1" t="str">
        <f t="shared" si="860"/>
        <v>Segédszemélyzet_NK_1 - Segédszemélyzet</v>
      </c>
    </row>
    <row r="386" spans="1:56" s="1" customFormat="1" ht="18" hidden="1" customHeight="1" x14ac:dyDescent="0.25">
      <c r="A386" s="264" t="str">
        <f>Bérköltség!$B386</f>
        <v>FEOR</v>
      </c>
      <c r="B386" s="264" t="str">
        <f>IFERROR(
IF(AND(Bérköltség!$F386="",H386="NA"),"HIÁNYOS ADATOK",
IF(Bérköltség!$F386&lt;Bérköltség!$U386,Admin!$B$18,Admin!$B$17)),
"")</f>
        <v>FEOR</v>
      </c>
      <c r="C386" s="265">
        <f>IFERROR(INDEX('Historikus berek_2021-2'!$A$1:$F$903,MATCH(AB386,'Historikus berek_2021-2'!$A$1:$A$903,0),4),"")</f>
        <v>594000</v>
      </c>
      <c r="D386" s="279">
        <f t="shared" si="814"/>
        <v>133137.93103448275</v>
      </c>
      <c r="E386" s="265">
        <f t="shared" si="815"/>
        <v>230862</v>
      </c>
      <c r="F386" s="266">
        <f t="shared" si="816"/>
        <v>110428.19793103446</v>
      </c>
      <c r="G386" s="267">
        <f t="shared" si="817"/>
        <v>150445.86206896551</v>
      </c>
      <c r="H386" s="268">
        <f>IFERROR(INDEX('FEOR kodok'!$A$2:$J$1126,MATCH(Bérköltség!AB386,'FEOR kodok'!$B$2:$B$1126,0),8),"NA")</f>
        <v>2410</v>
      </c>
      <c r="I386" s="269">
        <f>IFERROR(INDEX('FEOR kodok'!$A$2:$J$1126,MATCH(Bérköltség!AB386,'FEOR kodok'!$B$2:$B$1126,0),10),"NA")</f>
        <v>54</v>
      </c>
      <c r="J386" s="276" t="str">
        <f t="shared" si="818"/>
        <v>50 év és afelett</v>
      </c>
      <c r="K386" s="269" t="str">
        <f>IFERROR(INDEX(admin_feor[#All],MATCH(Bérköltség!H386,admin_feor[[#All],[Foglalkozás]],0),2),"NA")</f>
        <v>Egyetemi, főiskolai oktató, tanár</v>
      </c>
      <c r="L386" s="270">
        <f>IFERROR(
INDEX('Admin - FEOR'!$A$4:$F$465,MATCH(Bérköltség!H386,'Admin - FEOR'!$A$4:$A$465,0),
IF(J386="30 év alatt",3,
IF(J386="30–39 éves",4,
IF(J386="40–49 éves",5,
IF(J386="50 év és afelett",6
)))))*1,"NA")</f>
        <v>676379</v>
      </c>
      <c r="M386" s="270">
        <f t="shared" si="819"/>
        <v>1030000</v>
      </c>
      <c r="N386" s="318">
        <f t="shared" si="820"/>
        <v>1.5228148715439125</v>
      </c>
      <c r="O386" s="270">
        <f>IFERROR(
INDEX('Admin - FEOR'!$A$4:$F$465,MATCH(Bérköltség!H386,'Admin - FEOR'!$A$4:$A$465,0),
IF(J386="30 év alatt",3,
IF(J386="30–39 éves",4,
IF(J386="40–49 éves",5,
IF(J386="50 év és afelett",6
)))))*1.5,"NA")</f>
        <v>1014568.5</v>
      </c>
      <c r="P386" s="270">
        <f t="shared" si="821"/>
        <v>227403.28448275864</v>
      </c>
      <c r="Q386" s="270">
        <f t="shared" si="822"/>
        <v>230862</v>
      </c>
      <c r="R386" s="275">
        <f t="shared" si="823"/>
        <v>0.22413793103448276</v>
      </c>
      <c r="S386" s="270">
        <f t="shared" si="824"/>
        <v>3458.7155172413622</v>
      </c>
      <c r="T386" s="270">
        <f t="shared" si="825"/>
        <v>449.6330172413771</v>
      </c>
      <c r="U386" s="271">
        <f t="shared" si="826"/>
        <v>3908.3485344827395</v>
      </c>
      <c r="V386" s="272">
        <f t="shared" si="827"/>
        <v>256965.65146551727</v>
      </c>
      <c r="W386" s="273" t="str">
        <f t="shared" si="828"/>
        <v>Indoklás szükséges mivel a FEOR: 152,3%</v>
      </c>
      <c r="X386" s="372">
        <f t="shared" si="829"/>
        <v>3908.3485344827395</v>
      </c>
      <c r="Y386" s="317">
        <f t="shared" si="830"/>
        <v>227403</v>
      </c>
      <c r="Z386" s="317">
        <f t="shared" si="831"/>
        <v>29563</v>
      </c>
      <c r="AA386" s="12">
        <v>2</v>
      </c>
      <c r="AB386" s="274">
        <v>8372793190</v>
      </c>
      <c r="AC386" s="40" t="s">
        <v>213</v>
      </c>
      <c r="AD386" s="82" t="s">
        <v>75</v>
      </c>
      <c r="AE386" s="41" t="s">
        <v>54</v>
      </c>
      <c r="AF386" s="11" t="s">
        <v>159</v>
      </c>
      <c r="AG386" s="11" t="s">
        <v>214</v>
      </c>
      <c r="AH386" s="14" t="s">
        <v>122</v>
      </c>
      <c r="AI386" s="86" t="s">
        <v>25</v>
      </c>
      <c r="AJ386" s="113" t="str">
        <f>IF(COUNTIFS(Admin!$A$29:$A$40,AI386)&gt;0,Admin!$A$28,IF(COUNTIFS(Admin!$B$29:$B$40,AI386)&gt;0,Admin!$B$28,IF(COUNTIFS(Admin!$C$29:$C$40,AI386)&gt;0,Admin!$C$28,IF(COUNTIFS(Admin!$D$29:$D$40,AI386)&gt;0,Admin!$D$28,"-"))))</f>
        <v>2. mérföldkő</v>
      </c>
      <c r="AK386" s="14" t="s">
        <v>7</v>
      </c>
      <c r="AL386" s="9" t="s">
        <v>56</v>
      </c>
      <c r="AM386" s="131">
        <v>1030000</v>
      </c>
      <c r="AN386" s="132">
        <f t="shared" si="748"/>
        <v>133900</v>
      </c>
      <c r="AO386" s="121">
        <v>174</v>
      </c>
      <c r="AP386" s="121">
        <v>39</v>
      </c>
      <c r="AQ386" s="354">
        <f t="shared" si="746"/>
        <v>0.22413793103448276</v>
      </c>
      <c r="AR386" s="133">
        <f t="shared" si="861"/>
        <v>230862</v>
      </c>
      <c r="AS386" s="133">
        <f t="shared" si="500"/>
        <v>30012</v>
      </c>
      <c r="AT386" s="123">
        <f t="shared" si="747"/>
        <v>6.6956812871943328E-8</v>
      </c>
      <c r="AU386" s="124">
        <v>0.13</v>
      </c>
      <c r="AV386" s="394" t="s">
        <v>2795</v>
      </c>
      <c r="AW386" s="15">
        <v>44858</v>
      </c>
      <c r="AX386" s="12" t="s">
        <v>206</v>
      </c>
      <c r="AZ386" s="1" t="s">
        <v>2667</v>
      </c>
      <c r="BA386" s="1" t="s">
        <v>2667</v>
      </c>
      <c r="BB386" s="1" t="s">
        <v>2667</v>
      </c>
      <c r="BC386" s="1" t="s">
        <v>2847</v>
      </c>
      <c r="BD386" s="1" t="str">
        <f t="shared" si="860"/>
        <v>Segédszemélyzet_NK_1 - Segédszemélyzet</v>
      </c>
    </row>
    <row r="387" spans="1:56" s="1" customFormat="1" ht="18" hidden="1" customHeight="1" x14ac:dyDescent="0.25">
      <c r="A387" s="264" t="str">
        <f>Bérköltség!$B387</f>
        <v>FEOR</v>
      </c>
      <c r="B387" s="264" t="str">
        <f>IFERROR(
IF(AND(Bérköltség!$F387="",H387="NA"),"HIÁNYOS ADATOK",
IF(Bérköltség!$F387&lt;Bérköltség!$U387,Admin!$B$18,Admin!$B$17)),
"")</f>
        <v>FEOR</v>
      </c>
      <c r="C387" s="265">
        <f>IFERROR(INDEX('Historikus berek_2021-2'!$A$1:$F$903,MATCH(AB387,'Historikus berek_2021-2'!$A$1:$A$903,0),4),"")</f>
        <v>594000</v>
      </c>
      <c r="D387" s="279">
        <f t="shared" si="814"/>
        <v>133137.93103448275</v>
      </c>
      <c r="E387" s="265">
        <f t="shared" si="815"/>
        <v>230862</v>
      </c>
      <c r="F387" s="266">
        <f t="shared" si="816"/>
        <v>110428.19793103446</v>
      </c>
      <c r="G387" s="267">
        <f t="shared" si="817"/>
        <v>150445.86206896551</v>
      </c>
      <c r="H387" s="268">
        <f>IFERROR(INDEX('FEOR kodok'!$A$2:$J$1126,MATCH(Bérköltség!AB387,'FEOR kodok'!$B$2:$B$1126,0),8),"NA")</f>
        <v>2410</v>
      </c>
      <c r="I387" s="269">
        <f>IFERROR(INDEX('FEOR kodok'!$A$2:$J$1126,MATCH(Bérköltség!AB387,'FEOR kodok'!$B$2:$B$1126,0),10),"NA")</f>
        <v>54</v>
      </c>
      <c r="J387" s="276" t="str">
        <f t="shared" si="818"/>
        <v>50 év és afelett</v>
      </c>
      <c r="K387" s="269" t="str">
        <f>IFERROR(INDEX(admin_feor[#All],MATCH(Bérköltség!H387,admin_feor[[#All],[Foglalkozás]],0),2),"NA")</f>
        <v>Egyetemi, főiskolai oktató, tanár</v>
      </c>
      <c r="L387" s="270">
        <f>IFERROR(
INDEX('Admin - FEOR'!$A$4:$F$465,MATCH(Bérköltség!H387,'Admin - FEOR'!$A$4:$A$465,0),
IF(J387="30 év alatt",3,
IF(J387="30–39 éves",4,
IF(J387="40–49 éves",5,
IF(J387="50 év és afelett",6
)))))*1,"NA")</f>
        <v>676379</v>
      </c>
      <c r="M387" s="270">
        <f t="shared" si="819"/>
        <v>1029999</v>
      </c>
      <c r="N387" s="318">
        <f t="shared" si="820"/>
        <v>1.5228133930828722</v>
      </c>
      <c r="O387" s="270">
        <f>IFERROR(
INDEX('Admin - FEOR'!$A$4:$F$465,MATCH(Bérköltség!H387,'Admin - FEOR'!$A$4:$A$465,0),
IF(J387="30 év alatt",3,
IF(J387="30–39 éves",4,
IF(J387="40–49 éves",5,
IF(J387="50 év és afelett",6
)))))*1.5,"NA")</f>
        <v>1014568.5</v>
      </c>
      <c r="P387" s="270">
        <f t="shared" si="821"/>
        <v>227403.28448275864</v>
      </c>
      <c r="Q387" s="270">
        <f t="shared" si="822"/>
        <v>230862</v>
      </c>
      <c r="R387" s="275">
        <f t="shared" si="823"/>
        <v>0.22413793103448276</v>
      </c>
      <c r="S387" s="270">
        <f t="shared" si="824"/>
        <v>3458.7155172413622</v>
      </c>
      <c r="T387" s="270">
        <f t="shared" si="825"/>
        <v>449.6330172413771</v>
      </c>
      <c r="U387" s="271">
        <f t="shared" si="826"/>
        <v>3908.3485344827395</v>
      </c>
      <c r="V387" s="272">
        <f t="shared" si="827"/>
        <v>256965.65146551727</v>
      </c>
      <c r="W387" s="273" t="str">
        <f t="shared" si="828"/>
        <v>Indoklás szükséges mivel a FEOR: 152,3%</v>
      </c>
      <c r="X387" s="372">
        <f t="shared" si="829"/>
        <v>3908.3485344827395</v>
      </c>
      <c r="Y387" s="317">
        <f t="shared" si="830"/>
        <v>227403</v>
      </c>
      <c r="Z387" s="317">
        <f t="shared" si="831"/>
        <v>29563</v>
      </c>
      <c r="AA387" s="12">
        <v>2</v>
      </c>
      <c r="AB387" s="274">
        <v>8372793190</v>
      </c>
      <c r="AC387" s="40" t="s">
        <v>213</v>
      </c>
      <c r="AD387" s="82" t="s">
        <v>75</v>
      </c>
      <c r="AE387" s="41" t="s">
        <v>54</v>
      </c>
      <c r="AF387" s="11" t="s">
        <v>159</v>
      </c>
      <c r="AG387" s="11" t="s">
        <v>214</v>
      </c>
      <c r="AH387" s="14" t="s">
        <v>122</v>
      </c>
      <c r="AI387" s="86" t="s">
        <v>26</v>
      </c>
      <c r="AJ387" s="113" t="str">
        <f>IF(COUNTIFS(Admin!$A$29:$A$40,AI387)&gt;0,Admin!$A$28,IF(COUNTIFS(Admin!$B$29:$B$40,AI387)&gt;0,Admin!$B$28,IF(COUNTIFS(Admin!$C$29:$C$40,AI387)&gt;0,Admin!$C$28,IF(COUNTIFS(Admin!$D$29:$D$40,AI387)&gt;0,Admin!$D$28,"-"))))</f>
        <v>2. mérföldkő</v>
      </c>
      <c r="AK387" s="14" t="s">
        <v>7</v>
      </c>
      <c r="AL387" s="9" t="s">
        <v>56</v>
      </c>
      <c r="AM387" s="131">
        <v>1029999</v>
      </c>
      <c r="AN387" s="132">
        <f t="shared" si="748"/>
        <v>133900</v>
      </c>
      <c r="AO387" s="121">
        <v>174</v>
      </c>
      <c r="AP387" s="121">
        <v>39</v>
      </c>
      <c r="AQ387" s="354">
        <f t="shared" si="746"/>
        <v>0.22413793103448276</v>
      </c>
      <c r="AR387" s="133">
        <f t="shared" si="861"/>
        <v>230862</v>
      </c>
      <c r="AS387" s="133">
        <f t="shared" si="500"/>
        <v>30012</v>
      </c>
      <c r="AT387" s="123">
        <f t="shared" si="747"/>
        <v>-1.5065297517824483E-7</v>
      </c>
      <c r="AU387" s="124">
        <v>0.13</v>
      </c>
      <c r="AV387" s="394" t="s">
        <v>2795</v>
      </c>
      <c r="AW387" s="15">
        <v>44858</v>
      </c>
      <c r="AX387" s="12" t="s">
        <v>206</v>
      </c>
      <c r="AZ387" s="1" t="s">
        <v>2667</v>
      </c>
      <c r="BA387" s="1" t="s">
        <v>2668</v>
      </c>
      <c r="BB387" s="1" t="s">
        <v>2667</v>
      </c>
      <c r="BC387" s="1" t="s">
        <v>2847</v>
      </c>
      <c r="BD387" s="1" t="str">
        <f t="shared" si="860"/>
        <v>Segédszemélyzet_NK_1 - Segédszemélyzet</v>
      </c>
    </row>
    <row r="388" spans="1:56" s="1" customFormat="1" ht="18" hidden="1" customHeight="1" x14ac:dyDescent="0.25">
      <c r="A388" s="264" t="str">
        <f>Bérköltség!$B388</f>
        <v>FEOR</v>
      </c>
      <c r="B388" s="264" t="str">
        <f>IFERROR(
IF(AND(Bérköltség!$F388="",H388="NA"),"HIÁNYOS ADATOK",
IF(Bérköltség!$F388&lt;Bérköltség!$U388,Admin!$B$18,Admin!$B$17)),
"")</f>
        <v>FEOR</v>
      </c>
      <c r="C388" s="265">
        <f>IFERROR(INDEX('Historikus berek_2021-2'!$A$1:$F$903,MATCH(AB388,'Historikus berek_2021-2'!$A$1:$A$903,0),4),"")</f>
        <v>594000</v>
      </c>
      <c r="D388" s="279">
        <f t="shared" si="814"/>
        <v>133137.93103448275</v>
      </c>
      <c r="E388" s="265">
        <f t="shared" si="815"/>
        <v>229873</v>
      </c>
      <c r="F388" s="266">
        <f t="shared" si="816"/>
        <v>109310.62793103445</v>
      </c>
      <c r="G388" s="267">
        <f t="shared" si="817"/>
        <v>150445.86206896551</v>
      </c>
      <c r="H388" s="268">
        <f>IFERROR(INDEX('FEOR kodok'!$A$2:$J$1126,MATCH(Bérköltség!AB388,'FEOR kodok'!$B$2:$B$1126,0),8),"NA")</f>
        <v>2410</v>
      </c>
      <c r="I388" s="269">
        <f>IFERROR(INDEX('FEOR kodok'!$A$2:$J$1126,MATCH(Bérköltség!AB388,'FEOR kodok'!$B$2:$B$1126,0),10),"NA")</f>
        <v>54</v>
      </c>
      <c r="J388" s="276" t="str">
        <f t="shared" si="818"/>
        <v>50 év és afelett</v>
      </c>
      <c r="K388" s="269" t="str">
        <f>IFERROR(INDEX(admin_feor[#All],MATCH(Bérköltség!H388,admin_feor[[#All],[Foglalkozás]],0),2),"NA")</f>
        <v>Egyetemi, főiskolai oktató, tanár</v>
      </c>
      <c r="L388" s="270">
        <f>IFERROR(
INDEX('Admin - FEOR'!$A$4:$F$465,MATCH(Bérköltség!H388,'Admin - FEOR'!$A$4:$A$465,0),
IF(J388="30 év alatt",3,
IF(J388="30–39 éves",4,
IF(J388="40–49 éves",5,
IF(J388="50 év és afelett",6
)))))*1,"NA")</f>
        <v>676379</v>
      </c>
      <c r="M388" s="270">
        <f t="shared" si="819"/>
        <v>1030000</v>
      </c>
      <c r="N388" s="318">
        <f t="shared" si="820"/>
        <v>1.5228148715439125</v>
      </c>
      <c r="O388" s="270">
        <f>IFERROR(
INDEX('Admin - FEOR'!$A$4:$F$465,MATCH(Bérköltség!H388,'Admin - FEOR'!$A$4:$A$465,0),
IF(J388="30 év alatt",3,
IF(J388="30–39 éves",4,
IF(J388="40–49 éves",5,
IF(J388="50 év és afelett",6
)))))*1.5,"NA")</f>
        <v>1014568.5</v>
      </c>
      <c r="P388" s="270">
        <f t="shared" si="821"/>
        <v>227403.28448275864</v>
      </c>
      <c r="Q388" s="270">
        <f t="shared" si="822"/>
        <v>229873</v>
      </c>
      <c r="R388" s="275">
        <f t="shared" si="823"/>
        <v>0.22413793103448276</v>
      </c>
      <c r="S388" s="270">
        <f t="shared" si="824"/>
        <v>2469.7155172413622</v>
      </c>
      <c r="T388" s="270">
        <f t="shared" si="825"/>
        <v>321.06301724137711</v>
      </c>
      <c r="U388" s="271">
        <f t="shared" si="826"/>
        <v>2790.7785344827394</v>
      </c>
      <c r="V388" s="272">
        <f t="shared" si="827"/>
        <v>256965.22146551727</v>
      </c>
      <c r="W388" s="273" t="str">
        <f t="shared" si="828"/>
        <v>Indoklás szükséges mivel a FEOR: 152,3%</v>
      </c>
      <c r="X388" s="372">
        <f t="shared" si="829"/>
        <v>2790.7785344827394</v>
      </c>
      <c r="Y388" s="317">
        <f t="shared" si="830"/>
        <v>227403</v>
      </c>
      <c r="Z388" s="317">
        <f t="shared" si="831"/>
        <v>29562</v>
      </c>
      <c r="AA388" s="12">
        <v>2</v>
      </c>
      <c r="AB388" s="274">
        <v>8372793190</v>
      </c>
      <c r="AC388" s="40" t="s">
        <v>213</v>
      </c>
      <c r="AD388" s="82" t="s">
        <v>75</v>
      </c>
      <c r="AE388" s="41" t="s">
        <v>54</v>
      </c>
      <c r="AF388" s="11" t="s">
        <v>159</v>
      </c>
      <c r="AG388" s="11" t="s">
        <v>214</v>
      </c>
      <c r="AH388" s="14" t="s">
        <v>122</v>
      </c>
      <c r="AI388" s="86" t="s">
        <v>32</v>
      </c>
      <c r="AJ388" s="113" t="str">
        <f>IF(COUNTIFS(Admin!$A$29:$A$40,AI388)&gt;0,Admin!$A$28,IF(COUNTIFS(Admin!$B$29:$B$40,AI388)&gt;0,Admin!$B$28,IF(COUNTIFS(Admin!$C$29:$C$40,AI388)&gt;0,Admin!$C$28,IF(COUNTIFS(Admin!$D$29:$D$40,AI388)&gt;0,Admin!$D$28,"-"))))</f>
        <v>2. mérföldkő</v>
      </c>
      <c r="AK388" s="14" t="s">
        <v>7</v>
      </c>
      <c r="AL388" s="9" t="s">
        <v>56</v>
      </c>
      <c r="AM388" s="131">
        <v>1030000</v>
      </c>
      <c r="AN388" s="132">
        <f t="shared" si="748"/>
        <v>133900</v>
      </c>
      <c r="AO388" s="121">
        <v>174</v>
      </c>
      <c r="AP388" s="121">
        <v>39</v>
      </c>
      <c r="AQ388" s="354">
        <f t="shared" si="746"/>
        <v>0.22413793103448276</v>
      </c>
      <c r="AR388" s="133">
        <v>229873</v>
      </c>
      <c r="AS388" s="133">
        <f t="shared" si="500"/>
        <v>29883</v>
      </c>
      <c r="AT388" s="123">
        <f t="shared" si="747"/>
        <v>9.6026113157013371E-4</v>
      </c>
      <c r="AU388" s="124">
        <v>0.13</v>
      </c>
      <c r="AV388" s="394" t="s">
        <v>2795</v>
      </c>
      <c r="AW388" s="15">
        <v>44936</v>
      </c>
      <c r="AX388" s="12" t="s">
        <v>206</v>
      </c>
      <c r="AZ388" s="1" t="s">
        <v>2667</v>
      </c>
      <c r="BA388" s="1">
        <v>0</v>
      </c>
      <c r="BB388" s="1">
        <v>0</v>
      </c>
      <c r="BC388" s="1" t="s">
        <v>2847</v>
      </c>
      <c r="BD388" s="1" t="str">
        <f t="shared" si="860"/>
        <v>Segédszemélyzet_NK_1 - Segédszemélyzet</v>
      </c>
    </row>
    <row r="389" spans="1:56" s="1" customFormat="1" ht="18" hidden="1" customHeight="1" x14ac:dyDescent="0.25">
      <c r="A389" s="264" t="str">
        <f>Bérköltség!$B389</f>
        <v>FEOR</v>
      </c>
      <c r="B389" s="264" t="str">
        <f>IFERROR(
IF(AND(Bérköltség!$F389="",H389="NA"),"HIÁNYOS ADATOK",
IF(Bérköltség!$F389&lt;Bérköltség!$U389,Admin!$B$18,Admin!$B$17)),
"")</f>
        <v>FEOR</v>
      </c>
      <c r="C389" s="265">
        <f>IFERROR(INDEX('Historikus berek_2021-2'!$A$1:$F$903,MATCH(AB389,'Historikus berek_2021-2'!$A$1:$A$903,0),4),"")</f>
        <v>594000</v>
      </c>
      <c r="D389" s="279">
        <f t="shared" si="814"/>
        <v>133137.93103448275</v>
      </c>
      <c r="E389" s="265">
        <f t="shared" si="815"/>
        <v>229873</v>
      </c>
      <c r="F389" s="266">
        <f t="shared" si="816"/>
        <v>109310.62793103445</v>
      </c>
      <c r="G389" s="267">
        <f t="shared" si="817"/>
        <v>150445.86206896551</v>
      </c>
      <c r="H389" s="268">
        <f>IFERROR(INDEX('FEOR kodok'!$A$2:$J$1126,MATCH(Bérköltség!AB389,'FEOR kodok'!$B$2:$B$1126,0),8),"NA")</f>
        <v>2410</v>
      </c>
      <c r="I389" s="269">
        <f>IFERROR(INDEX('FEOR kodok'!$A$2:$J$1126,MATCH(Bérköltség!AB389,'FEOR kodok'!$B$2:$B$1126,0),10),"NA")</f>
        <v>54</v>
      </c>
      <c r="J389" s="276" t="str">
        <f t="shared" si="818"/>
        <v>50 év és afelett</v>
      </c>
      <c r="K389" s="269" t="str">
        <f>IFERROR(INDEX(admin_feor[#All],MATCH(Bérköltség!H389,admin_feor[[#All],[Foglalkozás]],0),2),"NA")</f>
        <v>Egyetemi, főiskolai oktató, tanár</v>
      </c>
      <c r="L389" s="270">
        <f>IFERROR(
INDEX('Admin - FEOR'!$A$4:$F$465,MATCH(Bérköltség!H389,'Admin - FEOR'!$A$4:$A$465,0),
IF(J389="30 év alatt",3,
IF(J389="30–39 éves",4,
IF(J389="40–49 éves",5,
IF(J389="50 év és afelett",6
)))))*1,"NA")</f>
        <v>676379</v>
      </c>
      <c r="M389" s="270">
        <f t="shared" si="819"/>
        <v>1030000</v>
      </c>
      <c r="N389" s="318">
        <f t="shared" si="820"/>
        <v>1.5228148715439125</v>
      </c>
      <c r="O389" s="270">
        <f>IFERROR(
INDEX('Admin - FEOR'!$A$4:$F$465,MATCH(Bérköltség!H389,'Admin - FEOR'!$A$4:$A$465,0),
IF(J389="30 év alatt",3,
IF(J389="30–39 éves",4,
IF(J389="40–49 éves",5,
IF(J389="50 év és afelett",6
)))))*1.5,"NA")</f>
        <v>1014568.5</v>
      </c>
      <c r="P389" s="270">
        <f t="shared" si="821"/>
        <v>227403.28448275864</v>
      </c>
      <c r="Q389" s="270">
        <f t="shared" si="822"/>
        <v>229873</v>
      </c>
      <c r="R389" s="275">
        <f t="shared" si="823"/>
        <v>0.22413793103448276</v>
      </c>
      <c r="S389" s="270">
        <f t="shared" si="824"/>
        <v>2469.7155172413622</v>
      </c>
      <c r="T389" s="270">
        <f t="shared" si="825"/>
        <v>321.06301724137711</v>
      </c>
      <c r="U389" s="271">
        <f t="shared" si="826"/>
        <v>2790.7785344827394</v>
      </c>
      <c r="V389" s="272">
        <f t="shared" si="827"/>
        <v>256965.22146551727</v>
      </c>
      <c r="W389" s="273" t="str">
        <f t="shared" si="828"/>
        <v>Indoklás szükséges mivel a FEOR: 152,3%</v>
      </c>
      <c r="X389" s="372">
        <f t="shared" si="829"/>
        <v>2790.7785344827394</v>
      </c>
      <c r="Y389" s="317">
        <f t="shared" si="830"/>
        <v>227403</v>
      </c>
      <c r="Z389" s="317">
        <f t="shared" si="831"/>
        <v>29562</v>
      </c>
      <c r="AA389" s="12">
        <v>2</v>
      </c>
      <c r="AB389" s="274">
        <v>8372793190</v>
      </c>
      <c r="AC389" s="40" t="s">
        <v>213</v>
      </c>
      <c r="AD389" s="82" t="s">
        <v>75</v>
      </c>
      <c r="AE389" s="41" t="s">
        <v>54</v>
      </c>
      <c r="AF389" s="11" t="s">
        <v>159</v>
      </c>
      <c r="AG389" s="11" t="s">
        <v>214</v>
      </c>
      <c r="AH389" s="14" t="s">
        <v>122</v>
      </c>
      <c r="AI389" s="86" t="s">
        <v>33</v>
      </c>
      <c r="AJ389" s="113" t="str">
        <f>IF(COUNTIFS(Admin!$A$29:$A$40,AI389)&gt;0,Admin!$A$28,IF(COUNTIFS(Admin!$B$29:$B$40,AI389)&gt;0,Admin!$B$28,IF(COUNTIFS(Admin!$C$29:$C$40,AI389)&gt;0,Admin!$C$28,IF(COUNTIFS(Admin!$D$29:$D$40,AI389)&gt;0,Admin!$D$28,"-"))))</f>
        <v>2. mérföldkő</v>
      </c>
      <c r="AK389" s="14" t="s">
        <v>7</v>
      </c>
      <c r="AL389" s="9" t="s">
        <v>56</v>
      </c>
      <c r="AM389" s="131">
        <v>1030000</v>
      </c>
      <c r="AN389" s="132">
        <f t="shared" si="748"/>
        <v>133900</v>
      </c>
      <c r="AO389" s="121">
        <v>174</v>
      </c>
      <c r="AP389" s="121">
        <v>39</v>
      </c>
      <c r="AQ389" s="354">
        <f t="shared" si="746"/>
        <v>0.22413793103448276</v>
      </c>
      <c r="AR389" s="133">
        <v>229873</v>
      </c>
      <c r="AS389" s="133">
        <f t="shared" si="500"/>
        <v>29883</v>
      </c>
      <c r="AT389" s="123">
        <f t="shared" si="747"/>
        <v>9.6026113157013371E-4</v>
      </c>
      <c r="AU389" s="124">
        <v>0.13</v>
      </c>
      <c r="AV389" s="394" t="s">
        <v>2795</v>
      </c>
      <c r="AW389" s="15">
        <v>44936</v>
      </c>
      <c r="AX389" s="12" t="s">
        <v>206</v>
      </c>
      <c r="AZ389" s="8" t="str">
        <f>IF(VLOOKUP(LEFT($AB389,10),'Havi béradatok'!$B:$E,2,FALSE)=AG389,"EGYEZIK","HIBÁS")</f>
        <v>EGYEZIK</v>
      </c>
      <c r="BA389" s="1">
        <f>VLOOKUP(LEFT($AB389,10),'Havi béradatok'!$B:$E,3,FALSE)-AM389</f>
        <v>0</v>
      </c>
      <c r="BB389" s="1">
        <f>VLOOKUP(LEFT($AB389,10),'Havi béradatok'!$B:$E,4,FALSE)-AN389</f>
        <v>53560</v>
      </c>
      <c r="BC389" s="1" t="s">
        <v>2847</v>
      </c>
      <c r="BD389" s="1" t="str">
        <f t="shared" si="860"/>
        <v>Segédszemélyzet_NK_1 - Segédszemélyzet</v>
      </c>
    </row>
    <row r="390" spans="1:56" s="1" customFormat="1" ht="18" hidden="1" customHeight="1" x14ac:dyDescent="0.25">
      <c r="A390" s="264" t="str">
        <f>Bérköltség!$B390</f>
        <v>FEOR</v>
      </c>
      <c r="B390" s="264" t="str">
        <f>IFERROR(
IF(AND(Bérköltség!$F390="",H390="NA"),"HIÁNYOS ADATOK",
IF(Bérköltség!$F390&lt;Bérköltség!$U390,Admin!$B$18,Admin!$B$17)),
"")</f>
        <v>FEOR</v>
      </c>
      <c r="C390" s="265">
        <f>IFERROR(INDEX('Historikus berek_2021-2'!$A$1:$F$903,MATCH(AB390,'Historikus berek_2021-2'!$A$1:$A$903,0),4),"")</f>
        <v>594000</v>
      </c>
      <c r="D390" s="279">
        <f t="shared" si="814"/>
        <v>133137.93103448275</v>
      </c>
      <c r="E390" s="265">
        <f t="shared" si="815"/>
        <v>230862</v>
      </c>
      <c r="F390" s="266">
        <f t="shared" si="816"/>
        <v>110428.19793103446</v>
      </c>
      <c r="G390" s="267">
        <f t="shared" si="817"/>
        <v>150445.86206896551</v>
      </c>
      <c r="H390" s="268">
        <f>IFERROR(INDEX('FEOR kodok'!$A$2:$J$1126,MATCH(Bérköltség!AB390,'FEOR kodok'!$B$2:$B$1126,0),8),"NA")</f>
        <v>2410</v>
      </c>
      <c r="I390" s="269">
        <f>IFERROR(INDEX('FEOR kodok'!$A$2:$J$1126,MATCH(Bérköltség!AB390,'FEOR kodok'!$B$2:$B$1126,0),10),"NA")</f>
        <v>54</v>
      </c>
      <c r="J390" s="276" t="str">
        <f t="shared" si="818"/>
        <v>50 év és afelett</v>
      </c>
      <c r="K390" s="269" t="str">
        <f>IFERROR(INDEX(admin_feor[#All],MATCH(Bérköltség!H390,admin_feor[[#All],[Foglalkozás]],0),2),"NA")</f>
        <v>Egyetemi, főiskolai oktató, tanár</v>
      </c>
      <c r="L390" s="270">
        <f>IFERROR(
INDEX('Admin - FEOR'!$A$4:$F$465,MATCH(Bérköltség!H390,'Admin - FEOR'!$A$4:$A$465,0),
IF(J390="30 év alatt",3,
IF(J390="30–39 éves",4,
IF(J390="40–49 éves",5,
IF(J390="50 év és afelett",6
)))))*1,"NA")</f>
        <v>676379</v>
      </c>
      <c r="M390" s="270">
        <f t="shared" si="819"/>
        <v>1030000</v>
      </c>
      <c r="N390" s="318">
        <f t="shared" si="820"/>
        <v>1.5228148715439125</v>
      </c>
      <c r="O390" s="270">
        <f>IFERROR(
INDEX('Admin - FEOR'!$A$4:$F$465,MATCH(Bérköltség!H390,'Admin - FEOR'!$A$4:$A$465,0),
IF(J390="30 év alatt",3,
IF(J390="30–39 éves",4,
IF(J390="40–49 éves",5,
IF(J390="50 év és afelett",6
)))))*1.5,"NA")</f>
        <v>1014568.5</v>
      </c>
      <c r="P390" s="270">
        <f t="shared" si="821"/>
        <v>227403.28448275864</v>
      </c>
      <c r="Q390" s="270">
        <f t="shared" si="822"/>
        <v>230862</v>
      </c>
      <c r="R390" s="275">
        <f t="shared" si="823"/>
        <v>0.22413793103448276</v>
      </c>
      <c r="S390" s="270">
        <f t="shared" si="824"/>
        <v>3458.7155172413622</v>
      </c>
      <c r="T390" s="270">
        <f t="shared" si="825"/>
        <v>449.6330172413771</v>
      </c>
      <c r="U390" s="271">
        <f t="shared" si="826"/>
        <v>3908.3485344827395</v>
      </c>
      <c r="V390" s="272">
        <f t="shared" si="827"/>
        <v>256965.65146551727</v>
      </c>
      <c r="W390" s="273" t="str">
        <f t="shared" si="828"/>
        <v>Indoklás szükséges mivel a FEOR: 152,3%</v>
      </c>
      <c r="X390" s="372">
        <f t="shared" si="829"/>
        <v>3908.3485344827395</v>
      </c>
      <c r="Y390" s="317">
        <f t="shared" si="830"/>
        <v>227403</v>
      </c>
      <c r="Z390" s="317">
        <f t="shared" si="831"/>
        <v>29563</v>
      </c>
      <c r="AA390" s="12">
        <v>2</v>
      </c>
      <c r="AB390" s="274">
        <v>8372793190</v>
      </c>
      <c r="AC390" s="40" t="s">
        <v>213</v>
      </c>
      <c r="AD390" s="82" t="s">
        <v>75</v>
      </c>
      <c r="AE390" s="41" t="s">
        <v>54</v>
      </c>
      <c r="AF390" s="11" t="s">
        <v>159</v>
      </c>
      <c r="AG390" s="11" t="s">
        <v>214</v>
      </c>
      <c r="AH390" s="14" t="s">
        <v>122</v>
      </c>
      <c r="AI390" s="86" t="s">
        <v>34</v>
      </c>
      <c r="AJ390" s="113" t="str">
        <f>IF(COUNTIFS(Admin!$A$29:$A$40,AI390)&gt;0,Admin!$A$28,IF(COUNTIFS(Admin!$B$29:$B$40,AI390)&gt;0,Admin!$B$28,IF(COUNTIFS(Admin!$C$29:$C$40,AI390)&gt;0,Admin!$C$28,IF(COUNTIFS(Admin!$D$29:$D$40,AI390)&gt;0,Admin!$D$28,"-"))))</f>
        <v>2. mérföldkő</v>
      </c>
      <c r="AK390" s="14" t="s">
        <v>7</v>
      </c>
      <c r="AL390" s="9" t="s">
        <v>56</v>
      </c>
      <c r="AM390" s="131">
        <v>1030000</v>
      </c>
      <c r="AN390" s="132">
        <f t="shared" si="748"/>
        <v>133900</v>
      </c>
      <c r="AO390" s="121">
        <v>174</v>
      </c>
      <c r="AP390" s="121">
        <v>39</v>
      </c>
      <c r="AQ390" s="354">
        <f t="shared" si="746"/>
        <v>0.22413793103448276</v>
      </c>
      <c r="AR390" s="133">
        <f t="shared" ref="AR390" si="862">IFERROR(ROUND(AM390*AP390/AO390,0),"")</f>
        <v>230862</v>
      </c>
      <c r="AS390" s="133">
        <f t="shared" si="500"/>
        <v>30012</v>
      </c>
      <c r="AT390" s="123">
        <f t="shared" si="747"/>
        <v>6.6956812871943328E-8</v>
      </c>
      <c r="AU390" s="124">
        <v>0.13</v>
      </c>
      <c r="AV390" s="394" t="s">
        <v>2795</v>
      </c>
      <c r="AW390" s="15">
        <v>44967</v>
      </c>
      <c r="AX390" s="12" t="s">
        <v>206</v>
      </c>
      <c r="BC390" s="1" t="s">
        <v>2847</v>
      </c>
      <c r="BD390" s="1" t="str">
        <f t="shared" si="860"/>
        <v>Segédszemélyzet_NK_1 - Segédszemélyzet</v>
      </c>
    </row>
    <row r="391" spans="1:56" s="1" customFormat="1" ht="18" customHeight="1" x14ac:dyDescent="0.25">
      <c r="A391" s="264" t="str">
        <f>Bérköltség!$B391</f>
        <v>FEOR</v>
      </c>
      <c r="B391" s="264" t="str">
        <f>IFERROR(
IF(AND(Bérköltség!$F391="",H391="NA"),"HIÁNYOS ADATOK",
IF(Bérköltség!$F391&lt;Bérköltség!$U391,Admin!$B$18,Admin!$B$17)),
"")</f>
        <v>FEOR</v>
      </c>
      <c r="C391" s="265">
        <f>IFERROR(INDEX('Historikus berek_2021-2'!$A$1:$F$903,MATCH(AB391,'Historikus berek_2021-2'!$A$1:$A$903,0),4),"")</f>
        <v>594000</v>
      </c>
      <c r="D391" s="279">
        <f t="shared" ref="D391:D399" si="863">IFERROR(C391*AQ391,"")</f>
        <v>133137.93103448275</v>
      </c>
      <c r="E391" s="265">
        <f t="shared" ref="E391:E399" si="864">AR391</f>
        <v>230862</v>
      </c>
      <c r="F391" s="266">
        <f t="shared" ref="F391:F399" si="865">IFERROR(IF((E391*(1+AU391)-D391*(1+AU391))&lt;0,0,(E391*(1+AU391)-D391*(1+AU391))),"")</f>
        <v>110428.19793103446</v>
      </c>
      <c r="G391" s="267">
        <f t="shared" ref="G391:G399" si="866">IFERROR((E391*(1+AU391)-F391),"")</f>
        <v>150445.86206896551</v>
      </c>
      <c r="H391" s="268">
        <f>IFERROR(INDEX('FEOR kodok'!$A$2:$J$1126,MATCH(Bérköltség!AB391,'FEOR kodok'!$B$2:$B$1126,0),8),"NA")</f>
        <v>2410</v>
      </c>
      <c r="I391" s="269">
        <f>IFERROR(INDEX('FEOR kodok'!$A$2:$J$1126,MATCH(Bérköltség!AB391,'FEOR kodok'!$B$2:$B$1126,0),10),"NA")</f>
        <v>54</v>
      </c>
      <c r="J391" s="276" t="str">
        <f t="shared" ref="J391:J399" si="867">IF(I391="NA","NA",
IF(I391&lt;30,"30 év alatt",
IF(AND(I391&gt;=30,I391&lt;=39),"30–39 éves",
IF(AND(I391&gt;=40,I391&lt;=49),"40–49 éves",
IF(I391&gt;=50,"50 év és afelett",
"")))))</f>
        <v>50 év és afelett</v>
      </c>
      <c r="K391" s="269" t="str">
        <f>IFERROR(INDEX(admin_feor[#All],MATCH(Bérköltség!H391,admin_feor[[#All],[Foglalkozás]],0),2),"NA")</f>
        <v>Egyetemi, főiskolai oktató, tanár</v>
      </c>
      <c r="L391" s="270">
        <f>IFERROR(
INDEX('Admin - FEOR'!$A$4:$F$465,MATCH(Bérköltség!H391,'Admin - FEOR'!$A$4:$A$465,0),
IF(J391="30 év alatt",3,
IF(J391="30–39 éves",4,
IF(J391="40–49 éves",5,
IF(J391="50 év és afelett",6
)))))*1,"NA")</f>
        <v>676379</v>
      </c>
      <c r="M391" s="270">
        <f t="shared" ref="M391:M399" si="868">AM391</f>
        <v>1030000</v>
      </c>
      <c r="N391" s="318">
        <f t="shared" ref="N391:N399" si="869">IFERROR(
M391/L391,"NA")</f>
        <v>1.5228148715439125</v>
      </c>
      <c r="O391" s="270">
        <f>IFERROR(
INDEX('Admin - FEOR'!$A$4:$F$465,MATCH(Bérköltség!H391,'Admin - FEOR'!$A$4:$A$465,0),
IF(J391="30 év alatt",3,
IF(J391="30–39 éves",4,
IF(J391="40–49 éves",5,
IF(J391="50 év és afelett",6
)))))*1.5,"NA")</f>
        <v>1014568.5</v>
      </c>
      <c r="P391" s="270">
        <f t="shared" ref="P391:P399" si="870">IFERROR(
AQ391*O391,"NA")</f>
        <v>227403.28448275864</v>
      </c>
      <c r="Q391" s="270">
        <f t="shared" ref="Q391:Q399" si="871">IFERROR(AR391,"")</f>
        <v>230862</v>
      </c>
      <c r="R391" s="275">
        <f t="shared" ref="R391:R399" si="872">IFERROR(AQ391,"")</f>
        <v>0.22413793103448276</v>
      </c>
      <c r="S391" s="270">
        <f t="shared" ref="S391:S399" si="873">IFERROR(
IF(AR391-P391&lt;0,0,AR391-P391),"NA")</f>
        <v>3458.7155172413622</v>
      </c>
      <c r="T391" s="270">
        <f t="shared" ref="T391:T399" si="874">IFERROR(
S391*AU391,"NA")</f>
        <v>449.6330172413771</v>
      </c>
      <c r="U391" s="271">
        <f t="shared" ref="U391:U399" si="875">IFERROR(
S391+T391,"NA")</f>
        <v>3908.3485344827395</v>
      </c>
      <c r="V391" s="272">
        <f t="shared" ref="V391:V399" si="876">IFERROR(
IF(U391&gt;0,AR391+AS391-U391,AR391+AS391),"NA")</f>
        <v>256965.65146551727</v>
      </c>
      <c r="W391" s="273" t="str">
        <f t="shared" ref="W391:W399" si="877">IF(P391="NA","FEOR hiányzik",
IF(AND(N391&gt;1,A391="FEOR"),CONCATENATE("Indoklás szükséges mivel a FEOR: ",ROUND(N391*100,1),"%"),"Nem szükséges indoklás.")
)</f>
        <v>Indoklás szükséges mivel a FEOR: 152,3%</v>
      </c>
      <c r="X391" s="372">
        <f t="shared" ref="X391:X399" si="878">IF(A391="FEOR",U391,IF(A391="HIÁNYOS ADATOK","HIÁNYOS ADATOK",F391))</f>
        <v>3908.3485344827395</v>
      </c>
      <c r="Y391" s="317">
        <f t="shared" ref="Y391:Y399" si="879">IF(A391="FEOR",ROUND((V391/(1+AU391)),0),IF(A391="HIÁNYOS ADATOK","HIÁNYOS ADATOK",ROUND(G391/(1+AU391),0)))</f>
        <v>227403</v>
      </c>
      <c r="Z391" s="317">
        <f t="shared" ref="Z391:Z399" si="880">IF(A391="FEOR",ROUND((V391-Y391),0),IF(A391="HIÁNYOS ADATOK","HIÁNYOS ADATOK",ROUND((G391-Y391),0)))</f>
        <v>29563</v>
      </c>
      <c r="AA391" s="36"/>
      <c r="AB391" s="274">
        <v>8372793190</v>
      </c>
      <c r="AC391" s="40" t="s">
        <v>213</v>
      </c>
      <c r="AD391" s="82" t="s">
        <v>75</v>
      </c>
      <c r="AE391" s="41" t="s">
        <v>54</v>
      </c>
      <c r="AF391" s="11" t="s">
        <v>159</v>
      </c>
      <c r="AG391" s="11" t="s">
        <v>214</v>
      </c>
      <c r="AH391" s="14" t="s">
        <v>122</v>
      </c>
      <c r="AI391" s="86" t="s">
        <v>35</v>
      </c>
      <c r="AJ391" s="113" t="str">
        <f>IF(COUNTIFS(Admin!$A$29:$A$40,AI391)&gt;0,Admin!$A$28,IF(COUNTIFS(Admin!$B$29:$B$40,AI391)&gt;0,Admin!$B$28,IF(COUNTIFS(Admin!$C$29:$C$40,AI391)&gt;0,Admin!$C$28,IF(COUNTIFS(Admin!$D$29:$D$40,AI391)&gt;0,Admin!$D$28,"-"))))</f>
        <v>3. mérföldkő</v>
      </c>
      <c r="AK391" s="14" t="s">
        <v>7</v>
      </c>
      <c r="AL391" s="9" t="s">
        <v>56</v>
      </c>
      <c r="AM391" s="131">
        <v>1030000</v>
      </c>
      <c r="AN391" s="132">
        <f t="shared" ref="AN391" si="881">IFERROR(ROUND(AM391*AU391,0),"")</f>
        <v>133900</v>
      </c>
      <c r="AO391" s="121">
        <v>174</v>
      </c>
      <c r="AP391" s="121">
        <v>39</v>
      </c>
      <c r="AQ391" s="354">
        <f t="shared" ref="AQ391" si="882">IFERROR(AP391/AO391,"")</f>
        <v>0.22413793103448276</v>
      </c>
      <c r="AR391" s="133">
        <f t="shared" ref="AR391" si="883">IFERROR(ROUND(AM391*AP391/AO391,0),"")</f>
        <v>230862</v>
      </c>
      <c r="AS391" s="133">
        <f t="shared" ref="AS391" si="884">IFERROR(ROUND(AR391*AU391,0),"")</f>
        <v>30012</v>
      </c>
      <c r="AT391" s="123">
        <f t="shared" ref="AT391" si="885">IFERROR(AP391/AO391-AR391/AM391,"")</f>
        <v>6.6956812871943328E-8</v>
      </c>
      <c r="AU391" s="124">
        <v>0.13</v>
      </c>
      <c r="AV391" s="394" t="s">
        <v>2795</v>
      </c>
      <c r="AW391" s="15">
        <v>45005</v>
      </c>
      <c r="AX391" s="12" t="s">
        <v>206</v>
      </c>
      <c r="AZ391" s="1" t="str">
        <f>IF(VLOOKUP(LEFT($AB391,10),'Havi béradatok'!$B:$E,2,FALSE)=AG391,"EGYEZIK","HIBÁS")</f>
        <v>EGYEZIK</v>
      </c>
      <c r="BA391" s="1">
        <f>VLOOKUP(LEFT($AB391,10),'Havi béradatok'!$B:$E,3,FALSE)-AM391</f>
        <v>0</v>
      </c>
      <c r="BB391" s="391">
        <f>VLOOKUP(LEFT($AB391,10),'Havi béradatok'!$B:$E,4,FALSE)-AN391</f>
        <v>53560</v>
      </c>
      <c r="BC391" s="400" t="s">
        <v>2847</v>
      </c>
      <c r="BD391" s="400"/>
    </row>
    <row r="392" spans="1:56" s="1" customFormat="1" ht="18" hidden="1" customHeight="1" x14ac:dyDescent="0.25">
      <c r="A392" s="264" t="str">
        <f>Bérköltség!$B392</f>
        <v>FEOR</v>
      </c>
      <c r="B392" s="264" t="str">
        <f>IFERROR(
IF(AND(Bérköltség!$F392="",H392="NA"),"HIÁNYOS ADATOK",
IF(Bérköltség!$F392&lt;Bérköltség!$U392,Admin!$B$18,Admin!$B$17)),
"")</f>
        <v>FEOR</v>
      </c>
      <c r="C392" s="265">
        <f>IFERROR(INDEX('Historikus berek_2021-2'!$A$1:$F$903,MATCH(AB392,'Historikus berek_2021-2'!$A$1:$A$903,0),4),"")</f>
        <v>594000</v>
      </c>
      <c r="D392" s="279">
        <f t="shared" si="863"/>
        <v>133137.93103448275</v>
      </c>
      <c r="E392" s="265">
        <f t="shared" si="864"/>
        <v>230862</v>
      </c>
      <c r="F392" s="266">
        <f t="shared" si="865"/>
        <v>110428.19793103446</v>
      </c>
      <c r="G392" s="267">
        <f t="shared" si="866"/>
        <v>150445.86206896551</v>
      </c>
      <c r="H392" s="268">
        <f>IFERROR(INDEX('FEOR kodok'!$A$2:$J$1126,MATCH(Bérköltség!AB392,'FEOR kodok'!$B$2:$B$1126,0),8),"NA")</f>
        <v>2410</v>
      </c>
      <c r="I392" s="269">
        <f>IFERROR(INDEX('FEOR kodok'!$A$2:$J$1126,MATCH(Bérköltség!AB392,'FEOR kodok'!$B$2:$B$1126,0),10),"NA")</f>
        <v>54</v>
      </c>
      <c r="J392" s="276" t="str">
        <f t="shared" si="867"/>
        <v>50 év és afelett</v>
      </c>
      <c r="K392" s="269" t="str">
        <f>IFERROR(INDEX(admin_feor[#All],MATCH(Bérköltség!H392,admin_feor[[#All],[Foglalkozás]],0),2),"NA")</f>
        <v>Egyetemi, főiskolai oktató, tanár</v>
      </c>
      <c r="L392" s="270">
        <f>IFERROR(
INDEX('Admin - FEOR'!$A$4:$F$465,MATCH(Bérköltség!H392,'Admin - FEOR'!$A$4:$A$465,0),
IF(J392="30 év alatt",3,
IF(J392="30–39 éves",4,
IF(J392="40–49 éves",5,
IF(J392="50 év és afelett",6
)))))*1,"NA")</f>
        <v>676379</v>
      </c>
      <c r="M392" s="270">
        <f t="shared" si="868"/>
        <v>1030000</v>
      </c>
      <c r="N392" s="318">
        <f t="shared" si="869"/>
        <v>1.5228148715439125</v>
      </c>
      <c r="O392" s="270">
        <f>IFERROR(
INDEX('Admin - FEOR'!$A$4:$F$465,MATCH(Bérköltség!H392,'Admin - FEOR'!$A$4:$A$465,0),
IF(J392="30 év alatt",3,
IF(J392="30–39 éves",4,
IF(J392="40–49 éves",5,
IF(J392="50 év és afelett",6
)))))*1.5,"NA")</f>
        <v>1014568.5</v>
      </c>
      <c r="P392" s="270">
        <f t="shared" si="870"/>
        <v>227403.28448275864</v>
      </c>
      <c r="Q392" s="270">
        <f t="shared" si="871"/>
        <v>230862</v>
      </c>
      <c r="R392" s="275">
        <f t="shared" si="872"/>
        <v>0.22413793103448276</v>
      </c>
      <c r="S392" s="270">
        <f t="shared" si="873"/>
        <v>3458.7155172413622</v>
      </c>
      <c r="T392" s="270">
        <f t="shared" si="874"/>
        <v>449.6330172413771</v>
      </c>
      <c r="U392" s="271">
        <f t="shared" si="875"/>
        <v>3908.3485344827395</v>
      </c>
      <c r="V392" s="272">
        <f t="shared" si="876"/>
        <v>256965.65146551727</v>
      </c>
      <c r="W392" s="273" t="str">
        <f t="shared" si="877"/>
        <v>Indoklás szükséges mivel a FEOR: 152,3%</v>
      </c>
      <c r="X392" s="372">
        <f t="shared" si="878"/>
        <v>3908.3485344827395</v>
      </c>
      <c r="Y392" s="317">
        <f t="shared" si="879"/>
        <v>227403</v>
      </c>
      <c r="Z392" s="317">
        <f t="shared" si="880"/>
        <v>29563</v>
      </c>
      <c r="AA392" s="36"/>
      <c r="AB392" s="274">
        <v>8372793190</v>
      </c>
      <c r="AC392" s="40" t="s">
        <v>213</v>
      </c>
      <c r="AD392" s="82" t="s">
        <v>75</v>
      </c>
      <c r="AE392" s="41" t="s">
        <v>54</v>
      </c>
      <c r="AF392" s="11" t="s">
        <v>159</v>
      </c>
      <c r="AG392" s="11" t="s">
        <v>214</v>
      </c>
      <c r="AH392" s="14" t="s">
        <v>122</v>
      </c>
      <c r="AI392" s="86" t="s">
        <v>36</v>
      </c>
      <c r="AJ392" s="113" t="str">
        <f>IF(COUNTIFS(Admin!$A$29:$A$40,AI392)&gt;0,Admin!$A$28,IF(COUNTIFS(Admin!$B$29:$B$40,AI392)&gt;0,Admin!$B$28,IF(COUNTIFS(Admin!$C$29:$C$40,AI392)&gt;0,Admin!$C$28,IF(COUNTIFS(Admin!$D$29:$D$40,AI392)&gt;0,Admin!$D$28,"-"))))</f>
        <v>3. mérföldkő</v>
      </c>
      <c r="AK392" s="14" t="s">
        <v>141</v>
      </c>
      <c r="AL392" s="9" t="s">
        <v>56</v>
      </c>
      <c r="AM392" s="131">
        <v>1030000</v>
      </c>
      <c r="AN392" s="132">
        <f t="shared" ref="AN392:AN399" si="886">IFERROR(ROUND(AM392*AU392,0),"")</f>
        <v>133900</v>
      </c>
      <c r="AO392" s="121">
        <v>174</v>
      </c>
      <c r="AP392" s="121">
        <v>39</v>
      </c>
      <c r="AQ392" s="354">
        <f t="shared" ref="AQ392:AQ399" si="887">IFERROR(AP392/AO392,"")</f>
        <v>0.22413793103448276</v>
      </c>
      <c r="AR392" s="133">
        <f t="shared" ref="AR392:AR399" si="888">IFERROR(ROUND(AM392*AP392/AO392,0),"")</f>
        <v>230862</v>
      </c>
      <c r="AS392" s="133">
        <f t="shared" ref="AS392:AS399" si="889">IFERROR(ROUND(AR392*AU392,0),"")</f>
        <v>30012</v>
      </c>
      <c r="AT392" s="123">
        <f t="shared" ref="AT392:AT399" si="890">IFERROR(AP392/AO392-AR392/AM392,"")</f>
        <v>6.6956812871943328E-8</v>
      </c>
      <c r="AU392" s="124">
        <v>0.13</v>
      </c>
      <c r="AV392" s="394" t="s">
        <v>2795</v>
      </c>
      <c r="AW392" s="15">
        <v>45005</v>
      </c>
      <c r="AX392" s="12" t="s">
        <v>206</v>
      </c>
      <c r="BC392" s="1" t="s">
        <v>2847</v>
      </c>
    </row>
    <row r="393" spans="1:56" s="1" customFormat="1" ht="18" hidden="1" customHeight="1" x14ac:dyDescent="0.25">
      <c r="A393" s="264" t="str">
        <f>Bérköltség!$B393</f>
        <v>FEOR</v>
      </c>
      <c r="B393" s="264" t="str">
        <f>IFERROR(
IF(AND(Bérköltség!$F393="",H393="NA"),"HIÁNYOS ADATOK",
IF(Bérköltség!$F393&lt;Bérköltség!$U393,Admin!$B$18,Admin!$B$17)),
"")</f>
        <v>FEOR</v>
      </c>
      <c r="C393" s="265">
        <f>IFERROR(INDEX('Historikus berek_2021-2'!$A$1:$F$903,MATCH(AB393,'Historikus berek_2021-2'!$A$1:$A$903,0),4),"")</f>
        <v>594000</v>
      </c>
      <c r="D393" s="279">
        <f t="shared" ref="D393" si="891">IFERROR(C393*AQ393,"")</f>
        <v>133137.93103448275</v>
      </c>
      <c r="E393" s="265">
        <f t="shared" ref="E393" si="892">AR393</f>
        <v>230862</v>
      </c>
      <c r="F393" s="266">
        <f t="shared" ref="F393" si="893">IFERROR(IF((E393*(1+AU393)-D393*(1+AU393))&lt;0,0,(E393*(1+AU393)-D393*(1+AU393))),"")</f>
        <v>110428.19793103446</v>
      </c>
      <c r="G393" s="267">
        <f t="shared" ref="G393" si="894">IFERROR((E393*(1+AU393)-F393),"")</f>
        <v>150445.86206896551</v>
      </c>
      <c r="H393" s="268">
        <f>IFERROR(INDEX('FEOR kodok'!$A$2:$J$1126,MATCH(Bérköltség!AB393,'FEOR kodok'!$B$2:$B$1126,0),8),"NA")</f>
        <v>2410</v>
      </c>
      <c r="I393" s="269">
        <f>IFERROR(INDEX('FEOR kodok'!$A$2:$J$1126,MATCH(Bérköltség!AB393,'FEOR kodok'!$B$2:$B$1126,0),10),"NA")</f>
        <v>54</v>
      </c>
      <c r="J393" s="276" t="str">
        <f t="shared" ref="J393" si="895">IF(I393="NA","NA",
IF(I393&lt;30,"30 év alatt",
IF(AND(I393&gt;=30,I393&lt;=39),"30–39 éves",
IF(AND(I393&gt;=40,I393&lt;=49),"40–49 éves",
IF(I393&gt;=50,"50 év és afelett",
"")))))</f>
        <v>50 év és afelett</v>
      </c>
      <c r="K393" s="269" t="str">
        <f>IFERROR(INDEX(admin_feor[#All],MATCH(Bérköltség!H393,admin_feor[[#All],[Foglalkozás]],0),2),"NA")</f>
        <v>Egyetemi, főiskolai oktató, tanár</v>
      </c>
      <c r="L393" s="270">
        <f>IFERROR(
INDEX('Admin - FEOR'!$A$4:$F$465,MATCH(Bérköltség!H393,'Admin - FEOR'!$A$4:$A$465,0),
IF(J393="30 év alatt",3,
IF(J393="30–39 éves",4,
IF(J393="40–49 éves",5,
IF(J393="50 év és afelett",6
)))))*1,"NA")</f>
        <v>676379</v>
      </c>
      <c r="M393" s="270">
        <f t="shared" ref="M393" si="896">AM393</f>
        <v>1030000</v>
      </c>
      <c r="N393" s="318">
        <f t="shared" ref="N393" si="897">IFERROR(
M393/L393,"NA")</f>
        <v>1.5228148715439125</v>
      </c>
      <c r="O393" s="270">
        <f>IFERROR(
INDEX('Admin - FEOR'!$A$4:$F$465,MATCH(Bérköltség!H393,'Admin - FEOR'!$A$4:$A$465,0),
IF(J393="30 év alatt",3,
IF(J393="30–39 éves",4,
IF(J393="40–49 éves",5,
IF(J393="50 év és afelett",6
)))))*1.5,"NA")</f>
        <v>1014568.5</v>
      </c>
      <c r="P393" s="270">
        <f t="shared" ref="P393" si="898">IFERROR(
AQ393*O393,"NA")</f>
        <v>227403.28448275864</v>
      </c>
      <c r="Q393" s="270">
        <f t="shared" ref="Q393" si="899">IFERROR(AR393,"")</f>
        <v>230862</v>
      </c>
      <c r="R393" s="275">
        <f t="shared" ref="R393" si="900">IFERROR(AQ393,"")</f>
        <v>0.22413793103448276</v>
      </c>
      <c r="S393" s="270">
        <f t="shared" ref="S393" si="901">IFERROR(
IF(AR393-P393&lt;0,0,AR393-P393),"NA")</f>
        <v>3458.7155172413622</v>
      </c>
      <c r="T393" s="270">
        <f t="shared" ref="T393" si="902">IFERROR(
S393*AU393,"NA")</f>
        <v>449.6330172413771</v>
      </c>
      <c r="U393" s="271">
        <f t="shared" ref="U393" si="903">IFERROR(
S393+T393,"NA")</f>
        <v>3908.3485344827395</v>
      </c>
      <c r="V393" s="272">
        <f t="shared" ref="V393" si="904">IFERROR(
IF(U393&gt;0,AR393+AS393-U393,AR393+AS393),"NA")</f>
        <v>256965.65146551727</v>
      </c>
      <c r="W393" s="273" t="str">
        <f t="shared" ref="W393" si="905">IF(P393="NA","FEOR hiányzik",
IF(AND(N393&gt;1,A393="FEOR"),CONCATENATE("Indoklás szükséges mivel a FEOR: ",ROUND(N393*100,1),"%"),"Nem szükséges indoklás.")
)</f>
        <v>Indoklás szükséges mivel a FEOR: 152,3%</v>
      </c>
      <c r="X393" s="372">
        <f t="shared" ref="X393" si="906">IF(A393="FEOR",U393,IF(A393="HIÁNYOS ADATOK","HIÁNYOS ADATOK",F393))</f>
        <v>3908.3485344827395</v>
      </c>
      <c r="Y393" s="317">
        <f t="shared" ref="Y393" si="907">IF(A393="FEOR",ROUND((V393/(1+AU393)),0),IF(A393="HIÁNYOS ADATOK","HIÁNYOS ADATOK",ROUND(G393/(1+AU393),0)))</f>
        <v>227403</v>
      </c>
      <c r="Z393" s="317">
        <f t="shared" ref="Z393" si="908">IF(A393="FEOR",ROUND((V393-Y393),0),IF(A393="HIÁNYOS ADATOK","HIÁNYOS ADATOK",ROUND((G393-Y393),0)))</f>
        <v>29563</v>
      </c>
      <c r="AA393" s="36"/>
      <c r="AB393" s="274">
        <v>8372793190</v>
      </c>
      <c r="AC393" s="40" t="s">
        <v>213</v>
      </c>
      <c r="AD393" s="82" t="s">
        <v>75</v>
      </c>
      <c r="AE393" s="41" t="s">
        <v>54</v>
      </c>
      <c r="AF393" s="11" t="s">
        <v>159</v>
      </c>
      <c r="AG393" s="11" t="s">
        <v>214</v>
      </c>
      <c r="AH393" s="14" t="s">
        <v>122</v>
      </c>
      <c r="AI393" s="86" t="s">
        <v>37</v>
      </c>
      <c r="AJ393" s="113" t="str">
        <f>IF(COUNTIFS(Admin!$A$29:$A$40,AI393)&gt;0,Admin!$A$28,IF(COUNTIFS(Admin!$B$29:$B$40,AI393)&gt;0,Admin!$B$28,IF(COUNTIFS(Admin!$C$29:$C$40,AI393)&gt;0,Admin!$C$28,IF(COUNTIFS(Admin!$D$29:$D$40,AI393)&gt;0,Admin!$D$28,"-"))))</f>
        <v>3. mérföldkő</v>
      </c>
      <c r="AK393" s="14" t="s">
        <v>141</v>
      </c>
      <c r="AL393" s="9" t="s">
        <v>56</v>
      </c>
      <c r="AM393" s="131">
        <v>1030000</v>
      </c>
      <c r="AN393" s="132">
        <f t="shared" ref="AN393" si="909">IFERROR(ROUND(AM393*AU393,0),"")</f>
        <v>133900</v>
      </c>
      <c r="AO393" s="121">
        <v>174</v>
      </c>
      <c r="AP393" s="121">
        <v>39</v>
      </c>
      <c r="AQ393" s="354">
        <f t="shared" ref="AQ393" si="910">IFERROR(AP393/AO393,"")</f>
        <v>0.22413793103448276</v>
      </c>
      <c r="AR393" s="133">
        <f t="shared" ref="AR393" si="911">IFERROR(ROUND(AM393*AP393/AO393,0),"")</f>
        <v>230862</v>
      </c>
      <c r="AS393" s="133">
        <f t="shared" ref="AS393" si="912">IFERROR(ROUND(AR393*AU393,0),"")</f>
        <v>30012</v>
      </c>
      <c r="AT393" s="123">
        <f t="shared" ref="AT393" si="913">IFERROR(AP393/AO393-AR393/AM393,"")</f>
        <v>6.6956812871943328E-8</v>
      </c>
      <c r="AU393" s="124">
        <v>0.13</v>
      </c>
      <c r="AV393" s="394" t="s">
        <v>2795</v>
      </c>
      <c r="AW393" s="15">
        <v>45057</v>
      </c>
      <c r="AX393" s="12"/>
    </row>
    <row r="394" spans="1:56" s="1" customFormat="1" hidden="1" x14ac:dyDescent="0.25">
      <c r="A394" s="264" t="str">
        <f>Bérköltség!$B394</f>
        <v>FEOR</v>
      </c>
      <c r="B394" s="264" t="str">
        <f>IFERROR(
IF(AND(Bérköltség!$F394="",H394="NA"),"HIÁNYOS ADATOK",
IF(Bérköltség!$F394&lt;Bérköltség!$U394,Admin!$B$18,Admin!$B$17)),
"")</f>
        <v>FEOR</v>
      </c>
      <c r="C394" s="265">
        <f>IFERROR(INDEX('Historikus berek_2021-2'!$A$1:$F$903,MATCH(AB394,'Historikus berek_2021-2'!$A$1:$A$903,0),4),"")</f>
        <v>288800</v>
      </c>
      <c r="D394" s="279">
        <f t="shared" si="863"/>
        <v>210790.80459770118</v>
      </c>
      <c r="E394" s="265">
        <f t="shared" si="864"/>
        <v>437931</v>
      </c>
      <c r="F394" s="266">
        <f t="shared" si="865"/>
        <v>256668.42080459767</v>
      </c>
      <c r="G394" s="267">
        <f t="shared" si="866"/>
        <v>238193.6091954023</v>
      </c>
      <c r="H394" s="268">
        <f>IFERROR(INDEX('FEOR kodok'!$A$2:$J$1126,MATCH(Bérköltség!AB394,'FEOR kodok'!$B$2:$B$1126,0),8),"NA")</f>
        <v>2117</v>
      </c>
      <c r="I394" s="269">
        <f>IFERROR(INDEX('FEOR kodok'!$A$2:$J$1126,MATCH(Bérköltség!AB394,'FEOR kodok'!$B$2:$B$1126,0),10),"NA")</f>
        <v>31</v>
      </c>
      <c r="J394" s="276" t="str">
        <f t="shared" si="867"/>
        <v>30–39 éves</v>
      </c>
      <c r="K394" s="269" t="str">
        <f>IFERROR(INDEX(admin_feor[#All],MATCH(Bérköltség!H394,admin_feor[[#All],[Foglalkozás]],0),2),"NA")</f>
        <v>Vegyészmérnök</v>
      </c>
      <c r="L394" s="270">
        <f>IFERROR(
INDEX('Admin - FEOR'!$A$4:$F$465,MATCH(Bérköltség!H394,'Admin - FEOR'!$A$4:$A$465,0),
IF(J394="30 év alatt",3,
IF(J394="30–39 éves",4,
IF(J394="40–49 éves",5,
IF(J394="50 év és afelett",6
)))))*1,"NA")</f>
        <v>696588</v>
      </c>
      <c r="M394" s="270">
        <f t="shared" si="868"/>
        <v>600000</v>
      </c>
      <c r="N394" s="318">
        <f t="shared" si="869"/>
        <v>0.86134128064221605</v>
      </c>
      <c r="O394" s="270">
        <f>IFERROR(
INDEX('Admin - FEOR'!$A$4:$F$465,MATCH(Bérköltség!H394,'Admin - FEOR'!$A$4:$A$465,0),
IF(J394="30 év alatt",3,
IF(J394="30–39 éves",4,
IF(J394="40–49 éves",5,
IF(J394="50 év és afelett",6
)))))*1.5,"NA")</f>
        <v>1044882</v>
      </c>
      <c r="P394" s="270">
        <f t="shared" si="870"/>
        <v>762643.75862068974</v>
      </c>
      <c r="Q394" s="270">
        <f t="shared" si="871"/>
        <v>437931</v>
      </c>
      <c r="R394" s="275">
        <f t="shared" si="872"/>
        <v>0.72988505747126442</v>
      </c>
      <c r="S394" s="270">
        <f t="shared" si="873"/>
        <v>0</v>
      </c>
      <c r="T394" s="270">
        <f t="shared" si="874"/>
        <v>0</v>
      </c>
      <c r="U394" s="271">
        <f t="shared" si="875"/>
        <v>0</v>
      </c>
      <c r="V394" s="272">
        <f t="shared" si="876"/>
        <v>494862</v>
      </c>
      <c r="W394" s="273" t="str">
        <f t="shared" si="877"/>
        <v>Nem szükséges indoklás.</v>
      </c>
      <c r="X394" s="372">
        <f t="shared" si="878"/>
        <v>0</v>
      </c>
      <c r="Y394" s="317">
        <f t="shared" si="879"/>
        <v>437931</v>
      </c>
      <c r="Z394" s="317">
        <f t="shared" si="880"/>
        <v>56931</v>
      </c>
      <c r="AA394" s="12">
        <v>2</v>
      </c>
      <c r="AB394" s="274">
        <v>8457891952</v>
      </c>
      <c r="AC394" s="40" t="s">
        <v>1610</v>
      </c>
      <c r="AD394" s="82" t="s">
        <v>75</v>
      </c>
      <c r="AE394" s="41" t="s">
        <v>81</v>
      </c>
      <c r="AF394" s="11" t="s">
        <v>152</v>
      </c>
      <c r="AG394" s="11" t="s">
        <v>203</v>
      </c>
      <c r="AH394" s="14" t="s">
        <v>122</v>
      </c>
      <c r="AI394" s="86" t="s">
        <v>34</v>
      </c>
      <c r="AJ394" s="113" t="str">
        <f>IF(COUNTIFS(Admin!$A$29:$A$40,AI394)&gt;0,Admin!$A$28,IF(COUNTIFS(Admin!$B$29:$B$40,AI394)&gt;0,Admin!$B$28,IF(COUNTIFS(Admin!$C$29:$C$40,AI394)&gt;0,Admin!$C$28,IF(COUNTIFS(Admin!$D$29:$D$40,AI394)&gt;0,Admin!$D$28,"-"))))</f>
        <v>2. mérföldkő</v>
      </c>
      <c r="AK394" s="14" t="s">
        <v>7</v>
      </c>
      <c r="AL394" s="9" t="s">
        <v>56</v>
      </c>
      <c r="AM394" s="131">
        <v>600000</v>
      </c>
      <c r="AN394" s="132">
        <f t="shared" si="886"/>
        <v>78000</v>
      </c>
      <c r="AO394" s="121">
        <v>174</v>
      </c>
      <c r="AP394" s="121">
        <v>127</v>
      </c>
      <c r="AQ394" s="354">
        <f t="shared" si="887"/>
        <v>0.72988505747126442</v>
      </c>
      <c r="AR394" s="133">
        <f t="shared" si="888"/>
        <v>437931</v>
      </c>
      <c r="AS394" s="133">
        <f t="shared" si="889"/>
        <v>56931</v>
      </c>
      <c r="AT394" s="123">
        <f t="shared" si="890"/>
        <v>5.7471264414132861E-8</v>
      </c>
      <c r="AU394" s="124">
        <v>0.13</v>
      </c>
      <c r="AV394" s="394" t="s">
        <v>2796</v>
      </c>
      <c r="AW394" s="15">
        <v>44980</v>
      </c>
      <c r="AX394" s="12" t="s">
        <v>206</v>
      </c>
      <c r="BC394" s="1" t="s">
        <v>2848</v>
      </c>
      <c r="BD394" s="1" t="str">
        <f>CONCATENATE(BC394," - ",AE394)</f>
        <v>Kutató_VM_6 - Phd hallgató (kutató)</v>
      </c>
    </row>
    <row r="395" spans="1:56" s="1" customFormat="1" x14ac:dyDescent="0.25">
      <c r="A395" s="264" t="str">
        <f>Bérköltség!$B395</f>
        <v>FEOR</v>
      </c>
      <c r="B395" s="264" t="str">
        <f>IFERROR(
IF(AND(Bérköltség!$F395="",H395="NA"),"HIÁNYOS ADATOK",
IF(Bérköltség!$F395&lt;Bérköltség!$U395,Admin!$B$18,Admin!$B$17)),
"")</f>
        <v>FEOR</v>
      </c>
      <c r="C395" s="265">
        <f>IFERROR(INDEX('Historikus berek_2021-2'!$A$1:$F$903,MATCH(AB395,'Historikus berek_2021-2'!$A$1:$A$903,0),4),"")</f>
        <v>288800</v>
      </c>
      <c r="D395" s="279">
        <f t="shared" si="863"/>
        <v>210790.80459770118</v>
      </c>
      <c r="E395" s="265">
        <f t="shared" si="864"/>
        <v>437931</v>
      </c>
      <c r="F395" s="266">
        <f t="shared" si="865"/>
        <v>256668.42080459767</v>
      </c>
      <c r="G395" s="267">
        <f t="shared" si="866"/>
        <v>238193.6091954023</v>
      </c>
      <c r="H395" s="268">
        <f>IFERROR(INDEX('FEOR kodok'!$A$2:$J$1126,MATCH(Bérköltség!AB395,'FEOR kodok'!$B$2:$B$1126,0),8),"NA")</f>
        <v>2117</v>
      </c>
      <c r="I395" s="269">
        <f>IFERROR(INDEX('FEOR kodok'!$A$2:$J$1126,MATCH(Bérköltség!AB395,'FEOR kodok'!$B$2:$B$1126,0),10),"NA")</f>
        <v>31</v>
      </c>
      <c r="J395" s="276" t="str">
        <f t="shared" si="867"/>
        <v>30–39 éves</v>
      </c>
      <c r="K395" s="269" t="str">
        <f>IFERROR(INDEX(admin_feor[#All],MATCH(Bérköltség!H395,admin_feor[[#All],[Foglalkozás]],0),2),"NA")</f>
        <v>Vegyészmérnök</v>
      </c>
      <c r="L395" s="270">
        <f>IFERROR(
INDEX('Admin - FEOR'!$A$4:$F$465,MATCH(Bérköltség!H395,'Admin - FEOR'!$A$4:$A$465,0),
IF(J395="30 év alatt",3,
IF(J395="30–39 éves",4,
IF(J395="40–49 éves",5,
IF(J395="50 év és afelett",6
)))))*1,"NA")</f>
        <v>696588</v>
      </c>
      <c r="M395" s="270">
        <f t="shared" si="868"/>
        <v>600000</v>
      </c>
      <c r="N395" s="318">
        <f t="shared" si="869"/>
        <v>0.86134128064221605</v>
      </c>
      <c r="O395" s="270">
        <f>IFERROR(
INDEX('Admin - FEOR'!$A$4:$F$465,MATCH(Bérköltség!H395,'Admin - FEOR'!$A$4:$A$465,0),
IF(J395="30 év alatt",3,
IF(J395="30–39 éves",4,
IF(J395="40–49 éves",5,
IF(J395="50 év és afelett",6
)))))*1.5,"NA")</f>
        <v>1044882</v>
      </c>
      <c r="P395" s="270">
        <f t="shared" si="870"/>
        <v>762643.75862068974</v>
      </c>
      <c r="Q395" s="270">
        <f t="shared" si="871"/>
        <v>437931</v>
      </c>
      <c r="R395" s="275">
        <f t="shared" si="872"/>
        <v>0.72988505747126442</v>
      </c>
      <c r="S395" s="270">
        <f t="shared" si="873"/>
        <v>0</v>
      </c>
      <c r="T395" s="270">
        <f t="shared" si="874"/>
        <v>0</v>
      </c>
      <c r="U395" s="271">
        <f t="shared" si="875"/>
        <v>0</v>
      </c>
      <c r="V395" s="272">
        <f t="shared" si="876"/>
        <v>494862</v>
      </c>
      <c r="W395" s="273" t="str">
        <f t="shared" si="877"/>
        <v>Nem szükséges indoklás.</v>
      </c>
      <c r="X395" s="372">
        <f t="shared" si="878"/>
        <v>0</v>
      </c>
      <c r="Y395" s="317">
        <f t="shared" si="879"/>
        <v>437931</v>
      </c>
      <c r="Z395" s="317">
        <f t="shared" si="880"/>
        <v>56931</v>
      </c>
      <c r="AA395" s="36"/>
      <c r="AB395" s="274">
        <v>8457891952</v>
      </c>
      <c r="AC395" s="40" t="s">
        <v>1610</v>
      </c>
      <c r="AD395" s="82" t="s">
        <v>75</v>
      </c>
      <c r="AE395" s="41" t="s">
        <v>81</v>
      </c>
      <c r="AF395" s="11" t="s">
        <v>152</v>
      </c>
      <c r="AG395" s="11" t="s">
        <v>203</v>
      </c>
      <c r="AH395" s="14" t="s">
        <v>122</v>
      </c>
      <c r="AI395" s="86" t="s">
        <v>35</v>
      </c>
      <c r="AJ395" s="113" t="str">
        <f>IF(COUNTIFS(Admin!$A$29:$A$40,AI395)&gt;0,Admin!$A$28,IF(COUNTIFS(Admin!$B$29:$B$40,AI395)&gt;0,Admin!$B$28,IF(COUNTIFS(Admin!$C$29:$C$40,AI395)&gt;0,Admin!$C$28,IF(COUNTIFS(Admin!$D$29:$D$40,AI395)&gt;0,Admin!$D$28,"-"))))</f>
        <v>3. mérföldkő</v>
      </c>
      <c r="AK395" s="14" t="s">
        <v>7</v>
      </c>
      <c r="AL395" s="9" t="s">
        <v>56</v>
      </c>
      <c r="AM395" s="131">
        <v>600000</v>
      </c>
      <c r="AN395" s="132">
        <f t="shared" si="886"/>
        <v>78000</v>
      </c>
      <c r="AO395" s="121">
        <v>174</v>
      </c>
      <c r="AP395" s="121">
        <v>127</v>
      </c>
      <c r="AQ395" s="354">
        <f t="shared" si="887"/>
        <v>0.72988505747126442</v>
      </c>
      <c r="AR395" s="133">
        <f t="shared" si="888"/>
        <v>437931</v>
      </c>
      <c r="AS395" s="133">
        <f t="shared" si="889"/>
        <v>56931</v>
      </c>
      <c r="AT395" s="123">
        <f t="shared" si="890"/>
        <v>5.7471264414132861E-8</v>
      </c>
      <c r="AU395" s="124">
        <v>0.13</v>
      </c>
      <c r="AV395" s="394" t="s">
        <v>2796</v>
      </c>
      <c r="AW395" s="15">
        <v>44980</v>
      </c>
      <c r="AX395" s="12" t="s">
        <v>206</v>
      </c>
      <c r="AZ395" s="1" t="str">
        <f>IF(VLOOKUP(LEFT($AB395,10),'Havi béradatok'!$B:$E,2,FALSE)=AG395,"EGYEZIK","HIBÁS")</f>
        <v>EGYEZIK</v>
      </c>
      <c r="BA395" s="1">
        <f>VLOOKUP(LEFT($AB395,10),'Havi béradatok'!$B:$E,3,FALSE)-AM395</f>
        <v>0</v>
      </c>
      <c r="BB395" s="1">
        <f>VLOOKUP(LEFT($AB395,10),'Havi béradatok'!$B:$E,4,FALSE)-AN395</f>
        <v>0</v>
      </c>
      <c r="BC395" s="400" t="s">
        <v>2848</v>
      </c>
      <c r="BD395" s="400"/>
    </row>
    <row r="396" spans="1:56" s="1" customFormat="1" hidden="1" x14ac:dyDescent="0.25">
      <c r="A396" s="264" t="str">
        <f>Bérköltség!$B396</f>
        <v>FEOR</v>
      </c>
      <c r="B396" s="264" t="str">
        <f>IFERROR(
IF(AND(Bérköltség!$F396="",H396="NA"),"HIÁNYOS ADATOK",
IF(Bérköltség!$F396&lt;Bérköltség!$U396,Admin!$B$18,Admin!$B$17)),
"")</f>
        <v>FEOR</v>
      </c>
      <c r="C396" s="265">
        <f>IFERROR(INDEX('Historikus berek_2021-2'!$A$1:$F$903,MATCH(AB396,'Historikus berek_2021-2'!$A$1:$A$903,0),4),"")</f>
        <v>288800</v>
      </c>
      <c r="D396" s="279">
        <f t="shared" si="863"/>
        <v>210790.80459770118</v>
      </c>
      <c r="E396" s="265">
        <f t="shared" si="864"/>
        <v>437931</v>
      </c>
      <c r="F396" s="266">
        <f t="shared" si="865"/>
        <v>256668.42080459767</v>
      </c>
      <c r="G396" s="267">
        <f t="shared" si="866"/>
        <v>238193.6091954023</v>
      </c>
      <c r="H396" s="268">
        <f>IFERROR(INDEX('FEOR kodok'!$A$2:$J$1126,MATCH(Bérköltség!AB396,'FEOR kodok'!$B$2:$B$1126,0),8),"NA")</f>
        <v>2117</v>
      </c>
      <c r="I396" s="269">
        <f>IFERROR(INDEX('FEOR kodok'!$A$2:$J$1126,MATCH(Bérköltség!AB396,'FEOR kodok'!$B$2:$B$1126,0),10),"NA")</f>
        <v>31</v>
      </c>
      <c r="J396" s="276" t="str">
        <f t="shared" si="867"/>
        <v>30–39 éves</v>
      </c>
      <c r="K396" s="269" t="str">
        <f>IFERROR(INDEX(admin_feor[#All],MATCH(Bérköltség!H396,admin_feor[[#All],[Foglalkozás]],0),2),"NA")</f>
        <v>Vegyészmérnök</v>
      </c>
      <c r="L396" s="270">
        <f>IFERROR(
INDEX('Admin - FEOR'!$A$4:$F$465,MATCH(Bérköltség!H396,'Admin - FEOR'!$A$4:$A$465,0),
IF(J396="30 év alatt",3,
IF(J396="30–39 éves",4,
IF(J396="40–49 éves",5,
IF(J396="50 év és afelett",6
)))))*1,"NA")</f>
        <v>696588</v>
      </c>
      <c r="M396" s="270">
        <f t="shared" si="868"/>
        <v>600000</v>
      </c>
      <c r="N396" s="318">
        <f t="shared" si="869"/>
        <v>0.86134128064221605</v>
      </c>
      <c r="O396" s="270">
        <f>IFERROR(
INDEX('Admin - FEOR'!$A$4:$F$465,MATCH(Bérköltség!H396,'Admin - FEOR'!$A$4:$A$465,0),
IF(J396="30 év alatt",3,
IF(J396="30–39 éves",4,
IF(J396="40–49 éves",5,
IF(J396="50 év és afelett",6
)))))*1.5,"NA")</f>
        <v>1044882</v>
      </c>
      <c r="P396" s="270">
        <f t="shared" si="870"/>
        <v>762643.75862068974</v>
      </c>
      <c r="Q396" s="270">
        <f t="shared" si="871"/>
        <v>437931</v>
      </c>
      <c r="R396" s="275">
        <f t="shared" si="872"/>
        <v>0.72988505747126442</v>
      </c>
      <c r="S396" s="270">
        <f t="shared" si="873"/>
        <v>0</v>
      </c>
      <c r="T396" s="270">
        <f t="shared" si="874"/>
        <v>0</v>
      </c>
      <c r="U396" s="271">
        <f t="shared" si="875"/>
        <v>0</v>
      </c>
      <c r="V396" s="272">
        <f t="shared" si="876"/>
        <v>494862</v>
      </c>
      <c r="W396" s="273" t="str">
        <f t="shared" si="877"/>
        <v>Nem szükséges indoklás.</v>
      </c>
      <c r="X396" s="372">
        <f t="shared" si="878"/>
        <v>0</v>
      </c>
      <c r="Y396" s="317">
        <f t="shared" si="879"/>
        <v>437931</v>
      </c>
      <c r="Z396" s="317">
        <f t="shared" si="880"/>
        <v>56931</v>
      </c>
      <c r="AA396" s="36"/>
      <c r="AB396" s="274">
        <v>8457891952</v>
      </c>
      <c r="AC396" s="40" t="s">
        <v>1610</v>
      </c>
      <c r="AD396" s="82" t="s">
        <v>75</v>
      </c>
      <c r="AE396" s="41" t="s">
        <v>81</v>
      </c>
      <c r="AF396" s="11" t="s">
        <v>152</v>
      </c>
      <c r="AG396" s="11" t="s">
        <v>203</v>
      </c>
      <c r="AH396" s="14" t="s">
        <v>122</v>
      </c>
      <c r="AI396" s="86" t="s">
        <v>36</v>
      </c>
      <c r="AJ396" s="113" t="str">
        <f>IF(COUNTIFS(Admin!$A$29:$A$40,AI396)&gt;0,Admin!$A$28,IF(COUNTIFS(Admin!$B$29:$B$40,AI396)&gt;0,Admin!$B$28,IF(COUNTIFS(Admin!$C$29:$C$40,AI396)&gt;0,Admin!$C$28,IF(COUNTIFS(Admin!$D$29:$D$40,AI396)&gt;0,Admin!$D$28,"-"))))</f>
        <v>3. mérföldkő</v>
      </c>
      <c r="AK396" s="14" t="s">
        <v>141</v>
      </c>
      <c r="AL396" s="9" t="s">
        <v>56</v>
      </c>
      <c r="AM396" s="131">
        <v>600000</v>
      </c>
      <c r="AN396" s="132">
        <f t="shared" si="886"/>
        <v>78000</v>
      </c>
      <c r="AO396" s="121">
        <v>174</v>
      </c>
      <c r="AP396" s="121">
        <v>127</v>
      </c>
      <c r="AQ396" s="354">
        <f t="shared" si="887"/>
        <v>0.72988505747126442</v>
      </c>
      <c r="AR396" s="133">
        <f t="shared" si="888"/>
        <v>437931</v>
      </c>
      <c r="AS396" s="133">
        <f t="shared" si="889"/>
        <v>56931</v>
      </c>
      <c r="AT396" s="123">
        <f t="shared" si="890"/>
        <v>5.7471264414132861E-8</v>
      </c>
      <c r="AU396" s="124">
        <v>0.13</v>
      </c>
      <c r="AV396" s="394" t="s">
        <v>2796</v>
      </c>
      <c r="AW396" s="15">
        <v>44980</v>
      </c>
      <c r="AX396" s="12" t="s">
        <v>206</v>
      </c>
      <c r="BC396" s="1" t="s">
        <v>2848</v>
      </c>
    </row>
    <row r="397" spans="1:56" s="1" customFormat="1" hidden="1" x14ac:dyDescent="0.25">
      <c r="A397" s="264" t="str">
        <f>Bérköltség!$B397</f>
        <v>FEOR</v>
      </c>
      <c r="B397" s="264" t="str">
        <f>IFERROR(
IF(AND(Bérköltség!$F397="",H397="NA"),"HIÁNYOS ADATOK",
IF(Bérköltség!$F397&lt;Bérköltség!$U397,Admin!$B$18,Admin!$B$17)),
"")</f>
        <v>FEOR</v>
      </c>
      <c r="C397" s="265">
        <f>IFERROR(INDEX('Historikus berek_2021-2'!$A$1:$F$903,MATCH(AB397,'Historikus berek_2021-2'!$A$1:$A$903,0),4),"")</f>
        <v>288800</v>
      </c>
      <c r="D397" s="279">
        <f t="shared" si="863"/>
        <v>210790.80459770118</v>
      </c>
      <c r="E397" s="265">
        <f t="shared" si="864"/>
        <v>437931</v>
      </c>
      <c r="F397" s="266">
        <f t="shared" si="865"/>
        <v>256668.42080459767</v>
      </c>
      <c r="G397" s="267">
        <f t="shared" si="866"/>
        <v>238193.6091954023</v>
      </c>
      <c r="H397" s="268">
        <f>IFERROR(INDEX('FEOR kodok'!$A$2:$J$1126,MATCH(Bérköltség!AB397,'FEOR kodok'!$B$2:$B$1126,0),8),"NA")</f>
        <v>2117</v>
      </c>
      <c r="I397" s="269">
        <f>IFERROR(INDEX('FEOR kodok'!$A$2:$J$1126,MATCH(Bérköltség!AB397,'FEOR kodok'!$B$2:$B$1126,0),10),"NA")</f>
        <v>31</v>
      </c>
      <c r="J397" s="276" t="str">
        <f t="shared" si="867"/>
        <v>30–39 éves</v>
      </c>
      <c r="K397" s="269" t="str">
        <f>IFERROR(INDEX(admin_feor[#All],MATCH(Bérköltség!H397,admin_feor[[#All],[Foglalkozás]],0),2),"NA")</f>
        <v>Vegyészmérnök</v>
      </c>
      <c r="L397" s="270">
        <f>IFERROR(
INDEX('Admin - FEOR'!$A$4:$F$465,MATCH(Bérköltség!H397,'Admin - FEOR'!$A$4:$A$465,0),
IF(J397="30 év alatt",3,
IF(J397="30–39 éves",4,
IF(J397="40–49 éves",5,
IF(J397="50 év és afelett",6
)))))*1,"NA")</f>
        <v>696588</v>
      </c>
      <c r="M397" s="270">
        <f t="shared" si="868"/>
        <v>600000</v>
      </c>
      <c r="N397" s="318">
        <f t="shared" si="869"/>
        <v>0.86134128064221605</v>
      </c>
      <c r="O397" s="270">
        <f>IFERROR(
INDEX('Admin - FEOR'!$A$4:$F$465,MATCH(Bérköltség!H397,'Admin - FEOR'!$A$4:$A$465,0),
IF(J397="30 év alatt",3,
IF(J397="30–39 éves",4,
IF(J397="40–49 éves",5,
IF(J397="50 év és afelett",6
)))))*1.5,"NA")</f>
        <v>1044882</v>
      </c>
      <c r="P397" s="270">
        <f t="shared" si="870"/>
        <v>762643.75862068974</v>
      </c>
      <c r="Q397" s="270">
        <f t="shared" si="871"/>
        <v>437931</v>
      </c>
      <c r="R397" s="275">
        <f t="shared" si="872"/>
        <v>0.72988505747126442</v>
      </c>
      <c r="S397" s="270">
        <f t="shared" si="873"/>
        <v>0</v>
      </c>
      <c r="T397" s="270">
        <f t="shared" si="874"/>
        <v>0</v>
      </c>
      <c r="U397" s="271">
        <f t="shared" si="875"/>
        <v>0</v>
      </c>
      <c r="V397" s="272">
        <f t="shared" si="876"/>
        <v>494862</v>
      </c>
      <c r="W397" s="273" t="str">
        <f t="shared" si="877"/>
        <v>Nem szükséges indoklás.</v>
      </c>
      <c r="X397" s="372">
        <f t="shared" si="878"/>
        <v>0</v>
      </c>
      <c r="Y397" s="317">
        <f t="shared" si="879"/>
        <v>437931</v>
      </c>
      <c r="Z397" s="317">
        <f t="shared" si="880"/>
        <v>56931</v>
      </c>
      <c r="AA397" s="36"/>
      <c r="AB397" s="274">
        <v>8457891952</v>
      </c>
      <c r="AC397" s="40" t="s">
        <v>1610</v>
      </c>
      <c r="AD397" s="82" t="s">
        <v>75</v>
      </c>
      <c r="AE397" s="41" t="s">
        <v>81</v>
      </c>
      <c r="AF397" s="11" t="s">
        <v>152</v>
      </c>
      <c r="AG397" s="11" t="s">
        <v>203</v>
      </c>
      <c r="AH397" s="14" t="s">
        <v>122</v>
      </c>
      <c r="AI397" s="86" t="s">
        <v>37</v>
      </c>
      <c r="AJ397" s="113" t="str">
        <f>IF(COUNTIFS(Admin!$A$29:$A$40,AI397)&gt;0,Admin!$A$28,IF(COUNTIFS(Admin!$B$29:$B$40,AI397)&gt;0,Admin!$B$28,IF(COUNTIFS(Admin!$C$29:$C$40,AI397)&gt;0,Admin!$C$28,IF(COUNTIFS(Admin!$D$29:$D$40,AI397)&gt;0,Admin!$D$28,"-"))))</f>
        <v>3. mérföldkő</v>
      </c>
      <c r="AK397" s="14" t="s">
        <v>141</v>
      </c>
      <c r="AL397" s="9" t="s">
        <v>56</v>
      </c>
      <c r="AM397" s="131">
        <v>600000</v>
      </c>
      <c r="AN397" s="132">
        <f t="shared" si="886"/>
        <v>78000</v>
      </c>
      <c r="AO397" s="121">
        <v>174</v>
      </c>
      <c r="AP397" s="121">
        <v>127</v>
      </c>
      <c r="AQ397" s="354">
        <f t="shared" si="887"/>
        <v>0.72988505747126442</v>
      </c>
      <c r="AR397" s="133">
        <f t="shared" si="888"/>
        <v>437931</v>
      </c>
      <c r="AS397" s="133">
        <f t="shared" si="889"/>
        <v>56931</v>
      </c>
      <c r="AT397" s="123">
        <f t="shared" si="890"/>
        <v>5.7471264414132861E-8</v>
      </c>
      <c r="AU397" s="124">
        <v>0.13</v>
      </c>
      <c r="AV397" s="394" t="s">
        <v>2796</v>
      </c>
      <c r="AW397" s="15">
        <v>44980</v>
      </c>
      <c r="AX397" s="12" t="s">
        <v>206</v>
      </c>
      <c r="BC397" s="1" t="s">
        <v>2848</v>
      </c>
    </row>
    <row r="398" spans="1:56" s="1" customFormat="1" hidden="1" x14ac:dyDescent="0.25">
      <c r="A398" s="264" t="str">
        <f>Bérköltség!$B398</f>
        <v>FEOR</v>
      </c>
      <c r="B398" s="264" t="str">
        <f>IFERROR(
IF(AND(Bérköltség!$F398="",H398="NA"),"HIÁNYOS ADATOK",
IF(Bérköltség!$F398&lt;Bérköltség!$U398,Admin!$B$18,Admin!$B$17)),
"")</f>
        <v>FEOR</v>
      </c>
      <c r="C398" s="265">
        <f>IFERROR(INDEX('Historikus berek_2021-2'!$A$1:$F$903,MATCH(AB398,'Historikus berek_2021-2'!$A$1:$A$903,0),4),"")</f>
        <v>288800</v>
      </c>
      <c r="D398" s="279">
        <f t="shared" si="863"/>
        <v>210790.80459770118</v>
      </c>
      <c r="E398" s="265">
        <f t="shared" si="864"/>
        <v>437931</v>
      </c>
      <c r="F398" s="266">
        <f t="shared" si="865"/>
        <v>256668.42080459767</v>
      </c>
      <c r="G398" s="267">
        <f t="shared" si="866"/>
        <v>238193.6091954023</v>
      </c>
      <c r="H398" s="268">
        <f>IFERROR(INDEX('FEOR kodok'!$A$2:$J$1126,MATCH(Bérköltség!AB398,'FEOR kodok'!$B$2:$B$1126,0),8),"NA")</f>
        <v>2117</v>
      </c>
      <c r="I398" s="269">
        <f>IFERROR(INDEX('FEOR kodok'!$A$2:$J$1126,MATCH(Bérköltség!AB398,'FEOR kodok'!$B$2:$B$1126,0),10),"NA")</f>
        <v>31</v>
      </c>
      <c r="J398" s="276" t="str">
        <f t="shared" si="867"/>
        <v>30–39 éves</v>
      </c>
      <c r="K398" s="269" t="str">
        <f>IFERROR(INDEX(admin_feor[#All],MATCH(Bérköltség!H398,admin_feor[[#All],[Foglalkozás]],0),2),"NA")</f>
        <v>Vegyészmérnök</v>
      </c>
      <c r="L398" s="270">
        <f>IFERROR(
INDEX('Admin - FEOR'!$A$4:$F$465,MATCH(Bérköltség!H398,'Admin - FEOR'!$A$4:$A$465,0),
IF(J398="30 év alatt",3,
IF(J398="30–39 éves",4,
IF(J398="40–49 éves",5,
IF(J398="50 év és afelett",6
)))))*1,"NA")</f>
        <v>696588</v>
      </c>
      <c r="M398" s="270">
        <f t="shared" si="868"/>
        <v>600000</v>
      </c>
      <c r="N398" s="318">
        <f t="shared" si="869"/>
        <v>0.86134128064221605</v>
      </c>
      <c r="O398" s="270">
        <f>IFERROR(
INDEX('Admin - FEOR'!$A$4:$F$465,MATCH(Bérköltség!H398,'Admin - FEOR'!$A$4:$A$465,0),
IF(J398="30 év alatt",3,
IF(J398="30–39 éves",4,
IF(J398="40–49 éves",5,
IF(J398="50 év és afelett",6
)))))*1.5,"NA")</f>
        <v>1044882</v>
      </c>
      <c r="P398" s="270">
        <f t="shared" si="870"/>
        <v>762643.75862068974</v>
      </c>
      <c r="Q398" s="270">
        <f t="shared" si="871"/>
        <v>437931</v>
      </c>
      <c r="R398" s="275">
        <f t="shared" si="872"/>
        <v>0.72988505747126442</v>
      </c>
      <c r="S398" s="270">
        <f t="shared" si="873"/>
        <v>0</v>
      </c>
      <c r="T398" s="270">
        <f t="shared" si="874"/>
        <v>0</v>
      </c>
      <c r="U398" s="271">
        <f t="shared" si="875"/>
        <v>0</v>
      </c>
      <c r="V398" s="272">
        <f t="shared" si="876"/>
        <v>494862</v>
      </c>
      <c r="W398" s="273" t="str">
        <f t="shared" si="877"/>
        <v>Nem szükséges indoklás.</v>
      </c>
      <c r="X398" s="372">
        <f t="shared" si="878"/>
        <v>0</v>
      </c>
      <c r="Y398" s="317">
        <f t="shared" si="879"/>
        <v>437931</v>
      </c>
      <c r="Z398" s="317">
        <f t="shared" si="880"/>
        <v>56931</v>
      </c>
      <c r="AA398" s="36"/>
      <c r="AB398" s="274">
        <v>8457891952</v>
      </c>
      <c r="AC398" s="40" t="s">
        <v>1610</v>
      </c>
      <c r="AD398" s="82" t="s">
        <v>75</v>
      </c>
      <c r="AE398" s="41" t="s">
        <v>81</v>
      </c>
      <c r="AF398" s="11" t="s">
        <v>152</v>
      </c>
      <c r="AG398" s="11" t="s">
        <v>203</v>
      </c>
      <c r="AH398" s="14" t="s">
        <v>122</v>
      </c>
      <c r="AI398" s="86" t="s">
        <v>38</v>
      </c>
      <c r="AJ398" s="113" t="str">
        <f>IF(COUNTIFS(Admin!$A$29:$A$40,AI398)&gt;0,Admin!$A$28,IF(COUNTIFS(Admin!$B$29:$B$40,AI398)&gt;0,Admin!$B$28,IF(COUNTIFS(Admin!$C$29:$C$40,AI398)&gt;0,Admin!$C$28,IF(COUNTIFS(Admin!$D$29:$D$40,AI398)&gt;0,Admin!$D$28,"-"))))</f>
        <v>3. mérföldkő</v>
      </c>
      <c r="AK398" s="14" t="s">
        <v>141</v>
      </c>
      <c r="AL398" s="9" t="s">
        <v>56</v>
      </c>
      <c r="AM398" s="131">
        <v>600000</v>
      </c>
      <c r="AN398" s="132">
        <f t="shared" si="886"/>
        <v>78000</v>
      </c>
      <c r="AO398" s="121">
        <v>174</v>
      </c>
      <c r="AP398" s="121">
        <v>127</v>
      </c>
      <c r="AQ398" s="354">
        <f t="shared" si="887"/>
        <v>0.72988505747126442</v>
      </c>
      <c r="AR398" s="133">
        <f t="shared" si="888"/>
        <v>437931</v>
      </c>
      <c r="AS398" s="133">
        <f t="shared" si="889"/>
        <v>56931</v>
      </c>
      <c r="AT398" s="123">
        <f t="shared" si="890"/>
        <v>5.7471264414132861E-8</v>
      </c>
      <c r="AU398" s="124">
        <v>0.13</v>
      </c>
      <c r="AV398" s="394" t="s">
        <v>2796</v>
      </c>
      <c r="AW398" s="15">
        <v>44980</v>
      </c>
      <c r="AX398" s="12" t="s">
        <v>206</v>
      </c>
      <c r="BC398" s="1" t="s">
        <v>2848</v>
      </c>
    </row>
    <row r="399" spans="1:56" s="1" customFormat="1" hidden="1" x14ac:dyDescent="0.25">
      <c r="A399" s="264" t="str">
        <f>Bérköltség!$B399</f>
        <v>FEOR</v>
      </c>
      <c r="B399" s="264" t="str">
        <f>IFERROR(
IF(AND(Bérköltség!$F399="",H399="NA"),"HIÁNYOS ADATOK",
IF(Bérköltség!$F399&lt;Bérköltség!$U399,Admin!$B$18,Admin!$B$17)),
"")</f>
        <v>FEOR</v>
      </c>
      <c r="C399" s="265">
        <f>IFERROR(INDEX('Historikus berek_2021-2'!$A$1:$F$903,MATCH(AB399,'Historikus berek_2021-2'!$A$1:$A$903,0),4),"")</f>
        <v>288800</v>
      </c>
      <c r="D399" s="279">
        <f t="shared" si="863"/>
        <v>210790.80459770118</v>
      </c>
      <c r="E399" s="265">
        <f t="shared" si="864"/>
        <v>437931</v>
      </c>
      <c r="F399" s="266">
        <f t="shared" si="865"/>
        <v>256668.42080459767</v>
      </c>
      <c r="G399" s="267">
        <f t="shared" si="866"/>
        <v>238193.6091954023</v>
      </c>
      <c r="H399" s="268">
        <f>IFERROR(INDEX('FEOR kodok'!$A$2:$J$1126,MATCH(Bérköltség!AB399,'FEOR kodok'!$B$2:$B$1126,0),8),"NA")</f>
        <v>2117</v>
      </c>
      <c r="I399" s="269">
        <f>IFERROR(INDEX('FEOR kodok'!$A$2:$J$1126,MATCH(Bérköltség!AB399,'FEOR kodok'!$B$2:$B$1126,0),10),"NA")</f>
        <v>31</v>
      </c>
      <c r="J399" s="276" t="str">
        <f t="shared" si="867"/>
        <v>30–39 éves</v>
      </c>
      <c r="K399" s="269" t="str">
        <f>IFERROR(INDEX(admin_feor[#All],MATCH(Bérköltség!H399,admin_feor[[#All],[Foglalkozás]],0),2),"NA")</f>
        <v>Vegyészmérnök</v>
      </c>
      <c r="L399" s="270">
        <f>IFERROR(
INDEX('Admin - FEOR'!$A$4:$F$465,MATCH(Bérköltség!H399,'Admin - FEOR'!$A$4:$A$465,0),
IF(J399="30 év alatt",3,
IF(J399="30–39 éves",4,
IF(J399="40–49 éves",5,
IF(J399="50 év és afelett",6
)))))*1,"NA")</f>
        <v>696588</v>
      </c>
      <c r="M399" s="270">
        <f t="shared" si="868"/>
        <v>600000</v>
      </c>
      <c r="N399" s="318">
        <f t="shared" si="869"/>
        <v>0.86134128064221605</v>
      </c>
      <c r="O399" s="270">
        <f>IFERROR(
INDEX('Admin - FEOR'!$A$4:$F$465,MATCH(Bérköltség!H399,'Admin - FEOR'!$A$4:$A$465,0),
IF(J399="30 év alatt",3,
IF(J399="30–39 éves",4,
IF(J399="40–49 éves",5,
IF(J399="50 év és afelett",6
)))))*1.5,"NA")</f>
        <v>1044882</v>
      </c>
      <c r="P399" s="270">
        <f t="shared" si="870"/>
        <v>762643.75862068974</v>
      </c>
      <c r="Q399" s="270">
        <f t="shared" si="871"/>
        <v>437931</v>
      </c>
      <c r="R399" s="275">
        <f t="shared" si="872"/>
        <v>0.72988505747126442</v>
      </c>
      <c r="S399" s="270">
        <f t="shared" si="873"/>
        <v>0</v>
      </c>
      <c r="T399" s="270">
        <f t="shared" si="874"/>
        <v>0</v>
      </c>
      <c r="U399" s="271">
        <f t="shared" si="875"/>
        <v>0</v>
      </c>
      <c r="V399" s="272">
        <f t="shared" si="876"/>
        <v>494862</v>
      </c>
      <c r="W399" s="273" t="str">
        <f t="shared" si="877"/>
        <v>Nem szükséges indoklás.</v>
      </c>
      <c r="X399" s="372">
        <f t="shared" si="878"/>
        <v>0</v>
      </c>
      <c r="Y399" s="317">
        <f t="shared" si="879"/>
        <v>437931</v>
      </c>
      <c r="Z399" s="317">
        <f t="shared" si="880"/>
        <v>56931</v>
      </c>
      <c r="AA399" s="36"/>
      <c r="AB399" s="274">
        <v>8457891952</v>
      </c>
      <c r="AC399" s="40" t="s">
        <v>1610</v>
      </c>
      <c r="AD399" s="82" t="s">
        <v>75</v>
      </c>
      <c r="AE399" s="41" t="s">
        <v>81</v>
      </c>
      <c r="AF399" s="11" t="s">
        <v>152</v>
      </c>
      <c r="AG399" s="11" t="s">
        <v>203</v>
      </c>
      <c r="AH399" s="14" t="s">
        <v>122</v>
      </c>
      <c r="AI399" s="86" t="s">
        <v>39</v>
      </c>
      <c r="AJ399" s="113" t="str">
        <f>IF(COUNTIFS(Admin!$A$29:$A$40,AI399)&gt;0,Admin!$A$28,IF(COUNTIFS(Admin!$B$29:$B$40,AI399)&gt;0,Admin!$B$28,IF(COUNTIFS(Admin!$C$29:$C$40,AI399)&gt;0,Admin!$C$28,IF(COUNTIFS(Admin!$D$29:$D$40,AI399)&gt;0,Admin!$D$28,"-"))))</f>
        <v>3. mérföldkő</v>
      </c>
      <c r="AK399" s="14" t="s">
        <v>141</v>
      </c>
      <c r="AL399" s="9" t="s">
        <v>56</v>
      </c>
      <c r="AM399" s="131">
        <v>600000</v>
      </c>
      <c r="AN399" s="132">
        <f t="shared" si="886"/>
        <v>78000</v>
      </c>
      <c r="AO399" s="121">
        <v>174</v>
      </c>
      <c r="AP399" s="121">
        <v>127</v>
      </c>
      <c r="AQ399" s="354">
        <f t="shared" si="887"/>
        <v>0.72988505747126442</v>
      </c>
      <c r="AR399" s="133">
        <f t="shared" si="888"/>
        <v>437931</v>
      </c>
      <c r="AS399" s="133">
        <f t="shared" si="889"/>
        <v>56931</v>
      </c>
      <c r="AT399" s="123">
        <f t="shared" si="890"/>
        <v>5.7471264414132861E-8</v>
      </c>
      <c r="AU399" s="124">
        <v>0.13</v>
      </c>
      <c r="AV399" s="394" t="s">
        <v>2796</v>
      </c>
      <c r="AW399" s="15">
        <v>44980</v>
      </c>
      <c r="AX399" s="12" t="s">
        <v>206</v>
      </c>
      <c r="BC399" s="1" t="s">
        <v>2848</v>
      </c>
    </row>
    <row r="400" spans="1:56" s="1" customFormat="1" ht="18" hidden="1" customHeight="1" x14ac:dyDescent="0.25">
      <c r="A400" s="264" t="str">
        <f>Bérköltség!$B400</f>
        <v>FEOR</v>
      </c>
      <c r="B400" s="264" t="str">
        <f>IFERROR(
IF(AND(Bérköltség!$F400="",H400="NA"),"HIÁNYOS ADATOK",
IF(Bérköltség!$F400&lt;Bérköltség!$U400,Admin!$B$18,Admin!$B$17)),
"")</f>
        <v>FEOR</v>
      </c>
      <c r="C400" s="265">
        <f>IFERROR(INDEX('Historikus berek_2021-2'!$A$1:$F$903,MATCH(AB400,'Historikus berek_2021-2'!$A$1:$A$903,0),4),"")</f>
        <v>594000</v>
      </c>
      <c r="D400" s="279">
        <f t="shared" si="814"/>
        <v>143379.31034482759</v>
      </c>
      <c r="E400" s="265">
        <f t="shared" si="815"/>
        <v>229310</v>
      </c>
      <c r="F400" s="266">
        <f t="shared" si="816"/>
        <v>97101.679310344829</v>
      </c>
      <c r="G400" s="267">
        <f t="shared" si="817"/>
        <v>162018.62068965516</v>
      </c>
      <c r="H400" s="268">
        <f>IFERROR(INDEX('FEOR kodok'!$A$2:$J$1126,MATCH(Bérköltség!AB400,'FEOR kodok'!$B$2:$B$1126,0),8),"NA")</f>
        <v>2139</v>
      </c>
      <c r="I400" s="269">
        <f>IFERROR(INDEX('FEOR kodok'!$A$2:$J$1126,MATCH(Bérköltség!AB400,'FEOR kodok'!$B$2:$B$1126,0),10),"NA")</f>
        <v>35</v>
      </c>
      <c r="J400" s="276" t="str">
        <f t="shared" si="818"/>
        <v>30–39 éves</v>
      </c>
      <c r="K400" s="269" t="str">
        <f>IFERROR(INDEX(admin_feor[#All],MATCH(Bérköltség!H400,admin_feor[[#All],[Foglalkozás]],0),2),"NA")</f>
        <v>Egyéb, máshova nem sorolható mérnök</v>
      </c>
      <c r="L400" s="270">
        <f>IFERROR(
INDEX('Admin - FEOR'!$A$4:$F$465,MATCH(Bérköltség!H400,'Admin - FEOR'!$A$4:$A$465,0),
IF(J400="30 év alatt",3,
IF(J400="30–39 éves",4,
IF(J400="40–49 éves",5,
IF(J400="50 év és afelett",6
)))))*1,"NA")</f>
        <v>845378</v>
      </c>
      <c r="M400" s="270">
        <f t="shared" si="819"/>
        <v>950000</v>
      </c>
      <c r="N400" s="318">
        <f t="shared" si="820"/>
        <v>1.123757656338348</v>
      </c>
      <c r="O400" s="270">
        <f>IFERROR(
INDEX('Admin - FEOR'!$A$4:$F$465,MATCH(Bérköltség!H400,'Admin - FEOR'!$A$4:$A$465,0),
IF(J400="30 év alatt",3,
IF(J400="30–39 éves",4,
IF(J400="40–49 éves",5,
IF(J400="50 év és afelett",6
)))))*1.5,"NA")</f>
        <v>1268067</v>
      </c>
      <c r="P400" s="270">
        <f t="shared" si="821"/>
        <v>306085.13793103449</v>
      </c>
      <c r="Q400" s="270">
        <f t="shared" si="822"/>
        <v>229310</v>
      </c>
      <c r="R400" s="275">
        <f t="shared" si="823"/>
        <v>0.2413793103448276</v>
      </c>
      <c r="S400" s="270">
        <f t="shared" si="824"/>
        <v>0</v>
      </c>
      <c r="T400" s="270">
        <f t="shared" si="825"/>
        <v>0</v>
      </c>
      <c r="U400" s="271">
        <f t="shared" si="826"/>
        <v>0</v>
      </c>
      <c r="V400" s="272">
        <f t="shared" si="827"/>
        <v>259120</v>
      </c>
      <c r="W400" s="273" t="str">
        <f t="shared" si="828"/>
        <v>Indoklás szükséges mivel a FEOR: 112,4%</v>
      </c>
      <c r="X400" s="372">
        <f t="shared" si="829"/>
        <v>0</v>
      </c>
      <c r="Y400" s="317">
        <f t="shared" si="830"/>
        <v>229310</v>
      </c>
      <c r="Z400" s="317">
        <f t="shared" si="831"/>
        <v>29810</v>
      </c>
      <c r="AA400" s="12">
        <v>2</v>
      </c>
      <c r="AB400" s="274">
        <v>8444651087</v>
      </c>
      <c r="AC400" s="40" t="s">
        <v>230</v>
      </c>
      <c r="AD400" s="82" t="s">
        <v>75</v>
      </c>
      <c r="AE400" s="41" t="s">
        <v>52</v>
      </c>
      <c r="AF400" s="11" t="s">
        <v>159</v>
      </c>
      <c r="AG400" s="11" t="s">
        <v>211</v>
      </c>
      <c r="AH400" s="14" t="s">
        <v>122</v>
      </c>
      <c r="AI400" s="86" t="s">
        <v>23</v>
      </c>
      <c r="AJ400" s="113" t="str">
        <f>IF(COUNTIFS(Admin!$A$29:$A$40,AI400)&gt;0,Admin!$A$28,IF(COUNTIFS(Admin!$B$29:$B$40,AI400)&gt;0,Admin!$B$28,IF(COUNTIFS(Admin!$C$29:$C$40,AI400)&gt;0,Admin!$C$28,IF(COUNTIFS(Admin!$D$29:$D$40,AI400)&gt;0,Admin!$D$28,"-"))))</f>
        <v>2. mérföldkő</v>
      </c>
      <c r="AK400" s="14" t="s">
        <v>7</v>
      </c>
      <c r="AL400" s="9" t="s">
        <v>56</v>
      </c>
      <c r="AM400" s="131">
        <v>950000</v>
      </c>
      <c r="AN400" s="132">
        <f t="shared" si="748"/>
        <v>123500</v>
      </c>
      <c r="AO400" s="121">
        <v>174</v>
      </c>
      <c r="AP400" s="121">
        <v>42</v>
      </c>
      <c r="AQ400" s="354">
        <f t="shared" si="746"/>
        <v>0.2413793103448276</v>
      </c>
      <c r="AR400" s="133">
        <f t="shared" si="861"/>
        <v>229310</v>
      </c>
      <c r="AS400" s="133">
        <f t="shared" si="500"/>
        <v>29810</v>
      </c>
      <c r="AT400" s="123">
        <f t="shared" si="747"/>
        <v>3.6297640654270324E-7</v>
      </c>
      <c r="AU400" s="124">
        <v>0.13</v>
      </c>
      <c r="AV400" s="394" t="s">
        <v>2797</v>
      </c>
      <c r="AW400" s="15">
        <v>44789</v>
      </c>
      <c r="AX400" s="12" t="s">
        <v>206</v>
      </c>
      <c r="BC400" s="1" t="s">
        <v>2849</v>
      </c>
      <c r="BD400" s="1" t="str">
        <f t="shared" ref="BD400:BD406" si="914">CONCATENATE(BC400," - ",AE400)</f>
        <v>Kutató_NK_4 - Kutató</v>
      </c>
    </row>
    <row r="401" spans="1:56" s="1" customFormat="1" ht="18" hidden="1" customHeight="1" x14ac:dyDescent="0.25">
      <c r="A401" s="264" t="str">
        <f>Bérköltség!$B401</f>
        <v>FEOR</v>
      </c>
      <c r="B401" s="264" t="str">
        <f>IFERROR(
IF(AND(Bérköltség!$F401="",H401="NA"),"HIÁNYOS ADATOK",
IF(Bérköltség!$F401&lt;Bérköltség!$U401,Admin!$B$18,Admin!$B$17)),
"")</f>
        <v>FEOR</v>
      </c>
      <c r="C401" s="265">
        <f>IFERROR(INDEX('Historikus berek_2021-2'!$A$1:$F$903,MATCH(AB401,'Historikus berek_2021-2'!$A$1:$A$903,0),4),"")</f>
        <v>594000</v>
      </c>
      <c r="D401" s="279">
        <f t="shared" si="814"/>
        <v>116068.96551724139</v>
      </c>
      <c r="E401" s="265">
        <f t="shared" si="815"/>
        <v>225103</v>
      </c>
      <c r="F401" s="266">
        <f t="shared" si="816"/>
        <v>123208.45896551723</v>
      </c>
      <c r="G401" s="267">
        <f t="shared" si="817"/>
        <v>131157.93103448275</v>
      </c>
      <c r="H401" s="268">
        <f>IFERROR(INDEX('FEOR kodok'!$A$2:$J$1126,MATCH(Bérköltség!AB401,'FEOR kodok'!$B$2:$B$1126,0),8),"NA")</f>
        <v>2139</v>
      </c>
      <c r="I401" s="269">
        <f>IFERROR(INDEX('FEOR kodok'!$A$2:$J$1126,MATCH(Bérköltség!AB401,'FEOR kodok'!$B$2:$B$1126,0),10),"NA")</f>
        <v>35</v>
      </c>
      <c r="J401" s="276" t="str">
        <f t="shared" si="818"/>
        <v>30–39 éves</v>
      </c>
      <c r="K401" s="269" t="str">
        <f>IFERROR(INDEX(admin_feor[#All],MATCH(Bérköltség!H401,admin_feor[[#All],[Foglalkozás]],0),2),"NA")</f>
        <v>Egyéb, máshova nem sorolható mérnök</v>
      </c>
      <c r="L401" s="270">
        <f>IFERROR(
INDEX('Admin - FEOR'!$A$4:$F$465,MATCH(Bérköltség!H401,'Admin - FEOR'!$A$4:$A$465,0),
IF(J401="30 év alatt",3,
IF(J401="30–39 éves",4,
IF(J401="40–49 éves",5,
IF(J401="50 év és afelett",6
)))))*1,"NA")</f>
        <v>845378</v>
      </c>
      <c r="M401" s="270">
        <f t="shared" si="819"/>
        <v>1151999</v>
      </c>
      <c r="N401" s="318">
        <f t="shared" si="820"/>
        <v>1.362702838256969</v>
      </c>
      <c r="O401" s="270">
        <f>IFERROR(
INDEX('Admin - FEOR'!$A$4:$F$465,MATCH(Bérköltség!H401,'Admin - FEOR'!$A$4:$A$465,0),
IF(J401="30 év alatt",3,
IF(J401="30–39 éves",4,
IF(J401="40–49 éves",5,
IF(J401="50 év és afelett",6
)))))*1.5,"NA")</f>
        <v>1268067</v>
      </c>
      <c r="P401" s="270">
        <f t="shared" si="821"/>
        <v>247783.20689655174</v>
      </c>
      <c r="Q401" s="270">
        <f t="shared" si="822"/>
        <v>225103</v>
      </c>
      <c r="R401" s="275">
        <f t="shared" si="823"/>
        <v>0.19540229885057472</v>
      </c>
      <c r="S401" s="270">
        <f t="shared" si="824"/>
        <v>0</v>
      </c>
      <c r="T401" s="270">
        <f t="shared" si="825"/>
        <v>0</v>
      </c>
      <c r="U401" s="271">
        <f t="shared" si="826"/>
        <v>0</v>
      </c>
      <c r="V401" s="272">
        <f t="shared" si="827"/>
        <v>254366</v>
      </c>
      <c r="W401" s="273" t="str">
        <f t="shared" si="828"/>
        <v>Indoklás szükséges mivel a FEOR: 136,3%</v>
      </c>
      <c r="X401" s="372">
        <f t="shared" si="829"/>
        <v>0</v>
      </c>
      <c r="Y401" s="317">
        <f t="shared" si="830"/>
        <v>225103</v>
      </c>
      <c r="Z401" s="317">
        <f t="shared" si="831"/>
        <v>29263</v>
      </c>
      <c r="AA401" s="12">
        <v>2</v>
      </c>
      <c r="AB401" s="274">
        <v>8444651087</v>
      </c>
      <c r="AC401" s="40" t="s">
        <v>230</v>
      </c>
      <c r="AD401" s="82" t="s">
        <v>75</v>
      </c>
      <c r="AE401" s="41" t="s">
        <v>52</v>
      </c>
      <c r="AF401" s="11" t="s">
        <v>159</v>
      </c>
      <c r="AG401" s="11" t="s">
        <v>211</v>
      </c>
      <c r="AH401" s="14" t="s">
        <v>122</v>
      </c>
      <c r="AI401" s="86" t="s">
        <v>24</v>
      </c>
      <c r="AJ401" s="113" t="str">
        <f>IF(COUNTIFS(Admin!$A$29:$A$40,AI401)&gt;0,Admin!$A$28,IF(COUNTIFS(Admin!$B$29:$B$40,AI401)&gt;0,Admin!$B$28,IF(COUNTIFS(Admin!$C$29:$C$40,AI401)&gt;0,Admin!$C$28,IF(COUNTIFS(Admin!$D$29:$D$40,AI401)&gt;0,Admin!$D$28,"-"))))</f>
        <v>2. mérföldkő</v>
      </c>
      <c r="AK401" s="14" t="s">
        <v>7</v>
      </c>
      <c r="AL401" s="9" t="s">
        <v>56</v>
      </c>
      <c r="AM401" s="131">
        <v>1151999</v>
      </c>
      <c r="AN401" s="132">
        <f t="shared" si="748"/>
        <v>149760</v>
      </c>
      <c r="AO401" s="121">
        <v>174</v>
      </c>
      <c r="AP401" s="121">
        <v>34</v>
      </c>
      <c r="AQ401" s="354">
        <f t="shared" si="746"/>
        <v>0.19540229885057472</v>
      </c>
      <c r="AR401" s="133">
        <f t="shared" si="861"/>
        <v>225103</v>
      </c>
      <c r="AS401" s="133">
        <f t="shared" si="500"/>
        <v>29263</v>
      </c>
      <c r="AT401" s="123">
        <f t="shared" si="747"/>
        <v>2.1950849196650246E-7</v>
      </c>
      <c r="AU401" s="124">
        <v>0.13</v>
      </c>
      <c r="AV401" s="394" t="s">
        <v>2797</v>
      </c>
      <c r="AW401" s="15">
        <v>44823</v>
      </c>
      <c r="AX401" s="12" t="s">
        <v>206</v>
      </c>
      <c r="BC401" s="1" t="s">
        <v>2849</v>
      </c>
      <c r="BD401" s="1" t="str">
        <f t="shared" si="914"/>
        <v>Kutató_NK_4 - Kutató</v>
      </c>
    </row>
    <row r="402" spans="1:56" s="1" customFormat="1" ht="18" hidden="1" customHeight="1" x14ac:dyDescent="0.25">
      <c r="A402" s="264" t="str">
        <f>Bérköltség!$B402</f>
        <v>FEOR</v>
      </c>
      <c r="B402" s="264" t="str">
        <f>IFERROR(
IF(AND(Bérköltség!$F402="",H402="NA"),"HIÁNYOS ADATOK",
IF(Bérköltség!$F402&lt;Bérköltség!$U402,Admin!$B$18,Admin!$B$17)),
"")</f>
        <v>FEOR</v>
      </c>
      <c r="C402" s="265">
        <f>IFERROR(INDEX('Historikus berek_2021-2'!$A$1:$F$903,MATCH(AB402,'Historikus berek_2021-2'!$A$1:$A$903,0),4),"")</f>
        <v>594000</v>
      </c>
      <c r="D402" s="279">
        <f t="shared" si="814"/>
        <v>129724.13793103449</v>
      </c>
      <c r="E402" s="265">
        <f t="shared" si="815"/>
        <v>229310</v>
      </c>
      <c r="F402" s="266">
        <f t="shared" si="816"/>
        <v>112532.02413793103</v>
      </c>
      <c r="G402" s="267">
        <f t="shared" si="817"/>
        <v>146588.27586206896</v>
      </c>
      <c r="H402" s="268">
        <f>IFERROR(INDEX('FEOR kodok'!$A$2:$J$1126,MATCH(Bérköltség!AB402,'FEOR kodok'!$B$2:$B$1126,0),8),"NA")</f>
        <v>2139</v>
      </c>
      <c r="I402" s="269">
        <f>IFERROR(INDEX('FEOR kodok'!$A$2:$J$1126,MATCH(Bérköltség!AB402,'FEOR kodok'!$B$2:$B$1126,0),10),"NA")</f>
        <v>35</v>
      </c>
      <c r="J402" s="276" t="str">
        <f t="shared" si="818"/>
        <v>30–39 éves</v>
      </c>
      <c r="K402" s="269" t="str">
        <f>IFERROR(INDEX(admin_feor[#All],MATCH(Bérköltség!H402,admin_feor[[#All],[Foglalkozás]],0),2),"NA")</f>
        <v>Egyéb, máshova nem sorolható mérnök</v>
      </c>
      <c r="L402" s="270">
        <f>IFERROR(
INDEX('Admin - FEOR'!$A$4:$F$465,MATCH(Bérköltség!H402,'Admin - FEOR'!$A$4:$A$465,0),
IF(J402="30 év alatt",3,
IF(J402="30–39 éves",4,
IF(J402="40–49 éves",5,
IF(J402="50 év és afelett",6
)))))*1,"NA")</f>
        <v>845378</v>
      </c>
      <c r="M402" s="270">
        <f t="shared" si="819"/>
        <v>1050000</v>
      </c>
      <c r="N402" s="318">
        <f t="shared" si="820"/>
        <v>1.2420479359529111</v>
      </c>
      <c r="O402" s="270">
        <f>IFERROR(
INDEX('Admin - FEOR'!$A$4:$F$465,MATCH(Bérköltség!H402,'Admin - FEOR'!$A$4:$A$465,0),
IF(J402="30 év alatt",3,
IF(J402="30–39 éves",4,
IF(J402="40–49 éves",5,
IF(J402="50 év és afelett",6
)))))*1.5,"NA")</f>
        <v>1268067</v>
      </c>
      <c r="P402" s="270">
        <f t="shared" si="821"/>
        <v>276934.1724137931</v>
      </c>
      <c r="Q402" s="270">
        <f t="shared" si="822"/>
        <v>229310</v>
      </c>
      <c r="R402" s="275">
        <f t="shared" si="823"/>
        <v>0.21839080459770116</v>
      </c>
      <c r="S402" s="270">
        <f t="shared" si="824"/>
        <v>0</v>
      </c>
      <c r="T402" s="270">
        <f t="shared" si="825"/>
        <v>0</v>
      </c>
      <c r="U402" s="271">
        <f t="shared" si="826"/>
        <v>0</v>
      </c>
      <c r="V402" s="272">
        <f t="shared" si="827"/>
        <v>259120</v>
      </c>
      <c r="W402" s="273" t="str">
        <f t="shared" si="828"/>
        <v>Indoklás szükséges mivel a FEOR: 124,2%</v>
      </c>
      <c r="X402" s="372">
        <f t="shared" si="829"/>
        <v>0</v>
      </c>
      <c r="Y402" s="317">
        <f t="shared" si="830"/>
        <v>229310</v>
      </c>
      <c r="Z402" s="317">
        <f t="shared" si="831"/>
        <v>29810</v>
      </c>
      <c r="AA402" s="12">
        <v>2</v>
      </c>
      <c r="AB402" s="274">
        <v>8444651087</v>
      </c>
      <c r="AC402" s="40" t="s">
        <v>230</v>
      </c>
      <c r="AD402" s="82" t="s">
        <v>75</v>
      </c>
      <c r="AE402" s="41" t="s">
        <v>52</v>
      </c>
      <c r="AF402" s="11" t="s">
        <v>159</v>
      </c>
      <c r="AG402" s="11" t="s">
        <v>211</v>
      </c>
      <c r="AH402" s="14" t="s">
        <v>122</v>
      </c>
      <c r="AI402" s="86" t="s">
        <v>25</v>
      </c>
      <c r="AJ402" s="113" t="str">
        <f>IF(COUNTIFS(Admin!$A$29:$A$40,AI402)&gt;0,Admin!$A$28,IF(COUNTIFS(Admin!$B$29:$B$40,AI402)&gt;0,Admin!$B$28,IF(COUNTIFS(Admin!$C$29:$C$40,AI402)&gt;0,Admin!$C$28,IF(COUNTIFS(Admin!$D$29:$D$40,AI402)&gt;0,Admin!$D$28,"-"))))</f>
        <v>2. mérföldkő</v>
      </c>
      <c r="AK402" s="14" t="s">
        <v>7</v>
      </c>
      <c r="AL402" s="9" t="s">
        <v>56</v>
      </c>
      <c r="AM402" s="131">
        <v>1050000</v>
      </c>
      <c r="AN402" s="132">
        <f t="shared" si="748"/>
        <v>136500</v>
      </c>
      <c r="AO402" s="121">
        <v>174</v>
      </c>
      <c r="AP402" s="121">
        <v>38</v>
      </c>
      <c r="AQ402" s="354">
        <f t="shared" si="746"/>
        <v>0.21839080459770116</v>
      </c>
      <c r="AR402" s="133">
        <f t="shared" si="861"/>
        <v>229310</v>
      </c>
      <c r="AS402" s="133">
        <f t="shared" si="500"/>
        <v>29810</v>
      </c>
      <c r="AT402" s="123">
        <f t="shared" si="747"/>
        <v>3.2840722496985109E-7</v>
      </c>
      <c r="AU402" s="124">
        <v>0.13</v>
      </c>
      <c r="AV402" s="394" t="s">
        <v>2797</v>
      </c>
      <c r="AW402" s="15">
        <v>44858</v>
      </c>
      <c r="AX402" s="12" t="s">
        <v>206</v>
      </c>
      <c r="AZ402" s="1" t="s">
        <v>2667</v>
      </c>
      <c r="BA402" s="1" t="s">
        <v>2667</v>
      </c>
      <c r="BB402" s="1" t="s">
        <v>2667</v>
      </c>
      <c r="BC402" s="1" t="s">
        <v>2849</v>
      </c>
      <c r="BD402" s="1" t="str">
        <f t="shared" si="914"/>
        <v>Kutató_NK_4 - Kutató</v>
      </c>
    </row>
    <row r="403" spans="1:56" s="1" customFormat="1" ht="18" hidden="1" customHeight="1" x14ac:dyDescent="0.25">
      <c r="A403" s="264" t="str">
        <f>Bérköltség!$B403</f>
        <v>FEOR</v>
      </c>
      <c r="B403" s="264" t="str">
        <f>IFERROR(
IF(AND(Bérköltség!$F403="",H403="NA"),"HIÁNYOS ADATOK",
IF(Bérköltség!$F403&lt;Bérköltség!$U403,Admin!$B$18,Admin!$B$17)),
"")</f>
        <v>FEOR</v>
      </c>
      <c r="C403" s="265">
        <f>IFERROR(INDEX('Historikus berek_2021-2'!$A$1:$F$903,MATCH(AB403,'Historikus berek_2021-2'!$A$1:$A$903,0),4),"")</f>
        <v>594000</v>
      </c>
      <c r="D403" s="279">
        <f t="shared" si="814"/>
        <v>129724.13793103449</v>
      </c>
      <c r="E403" s="265">
        <f t="shared" si="815"/>
        <v>229310</v>
      </c>
      <c r="F403" s="266">
        <f t="shared" si="816"/>
        <v>112532.02413793103</v>
      </c>
      <c r="G403" s="267">
        <f t="shared" si="817"/>
        <v>146588.27586206896</v>
      </c>
      <c r="H403" s="268">
        <f>IFERROR(INDEX('FEOR kodok'!$A$2:$J$1126,MATCH(Bérköltség!AB403,'FEOR kodok'!$B$2:$B$1126,0),8),"NA")</f>
        <v>2139</v>
      </c>
      <c r="I403" s="269">
        <f>IFERROR(INDEX('FEOR kodok'!$A$2:$J$1126,MATCH(Bérköltség!AB403,'FEOR kodok'!$B$2:$B$1126,0),10),"NA")</f>
        <v>35</v>
      </c>
      <c r="J403" s="276" t="str">
        <f t="shared" si="818"/>
        <v>30–39 éves</v>
      </c>
      <c r="K403" s="269" t="str">
        <f>IFERROR(INDEX(admin_feor[#All],MATCH(Bérköltség!H403,admin_feor[[#All],[Foglalkozás]],0),2),"NA")</f>
        <v>Egyéb, máshova nem sorolható mérnök</v>
      </c>
      <c r="L403" s="270">
        <f>IFERROR(
INDEX('Admin - FEOR'!$A$4:$F$465,MATCH(Bérköltség!H403,'Admin - FEOR'!$A$4:$A$465,0),
IF(J403="30 év alatt",3,
IF(J403="30–39 éves",4,
IF(J403="40–49 éves",5,
IF(J403="50 év és afelett",6
)))))*1,"NA")</f>
        <v>845378</v>
      </c>
      <c r="M403" s="270">
        <f t="shared" si="819"/>
        <v>1050000</v>
      </c>
      <c r="N403" s="318">
        <f t="shared" si="820"/>
        <v>1.2420479359529111</v>
      </c>
      <c r="O403" s="270">
        <f>IFERROR(
INDEX('Admin - FEOR'!$A$4:$F$465,MATCH(Bérköltség!H403,'Admin - FEOR'!$A$4:$A$465,0),
IF(J403="30 év alatt",3,
IF(J403="30–39 éves",4,
IF(J403="40–49 éves",5,
IF(J403="50 év és afelett",6
)))))*1.5,"NA")</f>
        <v>1268067</v>
      </c>
      <c r="P403" s="270">
        <f t="shared" si="821"/>
        <v>276934.1724137931</v>
      </c>
      <c r="Q403" s="270">
        <f t="shared" si="822"/>
        <v>229310</v>
      </c>
      <c r="R403" s="275">
        <f t="shared" si="823"/>
        <v>0.21839080459770116</v>
      </c>
      <c r="S403" s="270">
        <f t="shared" si="824"/>
        <v>0</v>
      </c>
      <c r="T403" s="270">
        <f t="shared" si="825"/>
        <v>0</v>
      </c>
      <c r="U403" s="271">
        <f t="shared" si="826"/>
        <v>0</v>
      </c>
      <c r="V403" s="272">
        <f t="shared" si="827"/>
        <v>259120</v>
      </c>
      <c r="W403" s="273" t="str">
        <f t="shared" si="828"/>
        <v>Indoklás szükséges mivel a FEOR: 124,2%</v>
      </c>
      <c r="X403" s="372">
        <f t="shared" si="829"/>
        <v>0</v>
      </c>
      <c r="Y403" s="317">
        <f t="shared" si="830"/>
        <v>229310</v>
      </c>
      <c r="Z403" s="317">
        <f t="shared" si="831"/>
        <v>29810</v>
      </c>
      <c r="AA403" s="12">
        <v>2</v>
      </c>
      <c r="AB403" s="274">
        <v>8444651087</v>
      </c>
      <c r="AC403" s="40" t="s">
        <v>230</v>
      </c>
      <c r="AD403" s="82" t="s">
        <v>75</v>
      </c>
      <c r="AE403" s="41" t="s">
        <v>52</v>
      </c>
      <c r="AF403" s="11" t="s">
        <v>159</v>
      </c>
      <c r="AG403" s="11" t="s">
        <v>211</v>
      </c>
      <c r="AH403" s="14" t="s">
        <v>122</v>
      </c>
      <c r="AI403" s="86" t="s">
        <v>26</v>
      </c>
      <c r="AJ403" s="113" t="str">
        <f>IF(COUNTIFS(Admin!$A$29:$A$40,AI403)&gt;0,Admin!$A$28,IF(COUNTIFS(Admin!$B$29:$B$40,AI403)&gt;0,Admin!$B$28,IF(COUNTIFS(Admin!$C$29:$C$40,AI403)&gt;0,Admin!$C$28,IF(COUNTIFS(Admin!$D$29:$D$40,AI403)&gt;0,Admin!$D$28,"-"))))</f>
        <v>2. mérföldkő</v>
      </c>
      <c r="AK403" s="14" t="s">
        <v>7</v>
      </c>
      <c r="AL403" s="9" t="s">
        <v>56</v>
      </c>
      <c r="AM403" s="131">
        <v>1050000</v>
      </c>
      <c r="AN403" s="132">
        <f t="shared" si="748"/>
        <v>136500</v>
      </c>
      <c r="AO403" s="121">
        <v>174</v>
      </c>
      <c r="AP403" s="121">
        <v>38</v>
      </c>
      <c r="AQ403" s="354">
        <f t="shared" si="746"/>
        <v>0.21839080459770116</v>
      </c>
      <c r="AR403" s="133">
        <f t="shared" si="861"/>
        <v>229310</v>
      </c>
      <c r="AS403" s="133">
        <f t="shared" si="500"/>
        <v>29810</v>
      </c>
      <c r="AT403" s="123">
        <f t="shared" si="747"/>
        <v>3.2840722496985109E-7</v>
      </c>
      <c r="AU403" s="124">
        <v>0.13</v>
      </c>
      <c r="AV403" s="394" t="s">
        <v>2797</v>
      </c>
      <c r="AW403" s="15">
        <v>44858</v>
      </c>
      <c r="AX403" s="12" t="s">
        <v>206</v>
      </c>
      <c r="AZ403" s="1" t="s">
        <v>2667</v>
      </c>
      <c r="BA403" s="1" t="s">
        <v>2667</v>
      </c>
      <c r="BB403" s="1" t="s">
        <v>2667</v>
      </c>
      <c r="BC403" s="1" t="s">
        <v>2849</v>
      </c>
      <c r="BD403" s="1" t="str">
        <f t="shared" si="914"/>
        <v>Kutató_NK_4 - Kutató</v>
      </c>
    </row>
    <row r="404" spans="1:56" s="1" customFormat="1" ht="18" hidden="1" customHeight="1" x14ac:dyDescent="0.25">
      <c r="A404" s="264" t="str">
        <f>Bérköltség!$B404</f>
        <v>FEOR</v>
      </c>
      <c r="B404" s="264" t="str">
        <f>IFERROR(
IF(AND(Bérköltség!$F404="",H404="NA"),"HIÁNYOS ADATOK",
IF(Bérköltség!$F404&lt;Bérköltség!$U404,Admin!$B$18,Admin!$B$17)),
"")</f>
        <v>FEOR</v>
      </c>
      <c r="C404" s="265">
        <f>IFERROR(INDEX('Historikus berek_2021-2'!$A$1:$F$903,MATCH(AB404,'Historikus berek_2021-2'!$A$1:$A$903,0),4),"")</f>
        <v>594000</v>
      </c>
      <c r="D404" s="279">
        <f t="shared" si="814"/>
        <v>129724.13793103449</v>
      </c>
      <c r="E404" s="265">
        <f t="shared" si="815"/>
        <v>228328</v>
      </c>
      <c r="F404" s="266">
        <f t="shared" si="816"/>
        <v>111422.36413793103</v>
      </c>
      <c r="G404" s="267">
        <f t="shared" si="817"/>
        <v>146588.27586206896</v>
      </c>
      <c r="H404" s="268">
        <f>IFERROR(INDEX('FEOR kodok'!$A$2:$J$1126,MATCH(Bérköltség!AB404,'FEOR kodok'!$B$2:$B$1126,0),8),"NA")</f>
        <v>2139</v>
      </c>
      <c r="I404" s="269">
        <f>IFERROR(INDEX('FEOR kodok'!$A$2:$J$1126,MATCH(Bérköltség!AB404,'FEOR kodok'!$B$2:$B$1126,0),10),"NA")</f>
        <v>35</v>
      </c>
      <c r="J404" s="276" t="str">
        <f t="shared" si="818"/>
        <v>30–39 éves</v>
      </c>
      <c r="K404" s="269" t="str">
        <f>IFERROR(INDEX(admin_feor[#All],MATCH(Bérköltség!H404,admin_feor[[#All],[Foglalkozás]],0),2),"NA")</f>
        <v>Egyéb, máshova nem sorolható mérnök</v>
      </c>
      <c r="L404" s="270">
        <f>IFERROR(
INDEX('Admin - FEOR'!$A$4:$F$465,MATCH(Bérköltség!H404,'Admin - FEOR'!$A$4:$A$465,0),
IF(J404="30 év alatt",3,
IF(J404="30–39 éves",4,
IF(J404="40–49 éves",5,
IF(J404="50 év és afelett",6
)))))*1,"NA")</f>
        <v>845378</v>
      </c>
      <c r="M404" s="270">
        <f t="shared" si="819"/>
        <v>1050000</v>
      </c>
      <c r="N404" s="318">
        <f t="shared" si="820"/>
        <v>1.2420479359529111</v>
      </c>
      <c r="O404" s="270">
        <f>IFERROR(
INDEX('Admin - FEOR'!$A$4:$F$465,MATCH(Bérköltség!H404,'Admin - FEOR'!$A$4:$A$465,0),
IF(J404="30 év alatt",3,
IF(J404="30–39 éves",4,
IF(J404="40–49 éves",5,
IF(J404="50 év és afelett",6
)))))*1.5,"NA")</f>
        <v>1268067</v>
      </c>
      <c r="P404" s="270">
        <f t="shared" si="821"/>
        <v>276934.1724137931</v>
      </c>
      <c r="Q404" s="270">
        <f t="shared" si="822"/>
        <v>228328</v>
      </c>
      <c r="R404" s="275">
        <f t="shared" si="823"/>
        <v>0.21839080459770116</v>
      </c>
      <c r="S404" s="270">
        <f t="shared" si="824"/>
        <v>0</v>
      </c>
      <c r="T404" s="270">
        <f t="shared" si="825"/>
        <v>0</v>
      </c>
      <c r="U404" s="271">
        <f t="shared" si="826"/>
        <v>0</v>
      </c>
      <c r="V404" s="272">
        <f t="shared" si="827"/>
        <v>258011</v>
      </c>
      <c r="W404" s="273" t="str">
        <f t="shared" si="828"/>
        <v>Indoklás szükséges mivel a FEOR: 124,2%</v>
      </c>
      <c r="X404" s="372">
        <f t="shared" si="829"/>
        <v>0</v>
      </c>
      <c r="Y404" s="317">
        <f t="shared" si="830"/>
        <v>228328</v>
      </c>
      <c r="Z404" s="317">
        <f t="shared" si="831"/>
        <v>29683</v>
      </c>
      <c r="AA404" s="12">
        <v>2</v>
      </c>
      <c r="AB404" s="274">
        <v>8444651087</v>
      </c>
      <c r="AC404" s="40" t="s">
        <v>230</v>
      </c>
      <c r="AD404" s="82" t="s">
        <v>75</v>
      </c>
      <c r="AE404" s="41" t="s">
        <v>52</v>
      </c>
      <c r="AF404" s="11" t="s">
        <v>159</v>
      </c>
      <c r="AG404" s="11" t="s">
        <v>211</v>
      </c>
      <c r="AH404" s="14" t="s">
        <v>122</v>
      </c>
      <c r="AI404" s="86" t="s">
        <v>32</v>
      </c>
      <c r="AJ404" s="113" t="str">
        <f>IF(COUNTIFS(Admin!$A$29:$A$40,AI404)&gt;0,Admin!$A$28,IF(COUNTIFS(Admin!$B$29:$B$40,AI404)&gt;0,Admin!$B$28,IF(COUNTIFS(Admin!$C$29:$C$40,AI404)&gt;0,Admin!$C$28,IF(COUNTIFS(Admin!$D$29:$D$40,AI404)&gt;0,Admin!$D$28,"-"))))</f>
        <v>2. mérföldkő</v>
      </c>
      <c r="AK404" s="14" t="s">
        <v>7</v>
      </c>
      <c r="AL404" s="9" t="s">
        <v>56</v>
      </c>
      <c r="AM404" s="131">
        <v>1050000</v>
      </c>
      <c r="AN404" s="132">
        <f t="shared" si="748"/>
        <v>136500</v>
      </c>
      <c r="AO404" s="121">
        <v>174</v>
      </c>
      <c r="AP404" s="121">
        <v>38</v>
      </c>
      <c r="AQ404" s="354">
        <f t="shared" si="746"/>
        <v>0.21839080459770116</v>
      </c>
      <c r="AR404" s="133">
        <v>228328</v>
      </c>
      <c r="AS404" s="133">
        <f t="shared" si="500"/>
        <v>29683</v>
      </c>
      <c r="AT404" s="123">
        <f t="shared" si="747"/>
        <v>9.3556650246306994E-4</v>
      </c>
      <c r="AU404" s="124">
        <v>0.13</v>
      </c>
      <c r="AV404" s="394" t="s">
        <v>2797</v>
      </c>
      <c r="AW404" s="15">
        <v>44936</v>
      </c>
      <c r="AX404" s="12" t="s">
        <v>206</v>
      </c>
      <c r="AZ404" s="1" t="s">
        <v>2667</v>
      </c>
      <c r="BA404" s="1">
        <v>0</v>
      </c>
      <c r="BB404" s="1">
        <v>0</v>
      </c>
      <c r="BC404" s="1" t="s">
        <v>2849</v>
      </c>
      <c r="BD404" s="1" t="str">
        <f t="shared" si="914"/>
        <v>Kutató_NK_4 - Kutató</v>
      </c>
    </row>
    <row r="405" spans="1:56" s="1" customFormat="1" ht="18" hidden="1" customHeight="1" x14ac:dyDescent="0.25">
      <c r="A405" s="264" t="str">
        <f>Bérköltség!$B405</f>
        <v>FEOR</v>
      </c>
      <c r="B405" s="264" t="str">
        <f>IFERROR(
IF(AND(Bérköltség!$F405="",H405="NA"),"HIÁNYOS ADATOK",
IF(Bérköltség!$F405&lt;Bérköltség!$U405,Admin!$B$18,Admin!$B$17)),
"")</f>
        <v>FEOR</v>
      </c>
      <c r="C405" s="265">
        <f>IFERROR(INDEX('Historikus berek_2021-2'!$A$1:$F$903,MATCH(AB405,'Historikus berek_2021-2'!$A$1:$A$903,0),4),"")</f>
        <v>594000</v>
      </c>
      <c r="D405" s="279">
        <f t="shared" si="814"/>
        <v>129724.13793103449</v>
      </c>
      <c r="E405" s="265">
        <f t="shared" si="815"/>
        <v>228328</v>
      </c>
      <c r="F405" s="266">
        <f t="shared" si="816"/>
        <v>111422.36413793103</v>
      </c>
      <c r="G405" s="267">
        <f t="shared" si="817"/>
        <v>146588.27586206896</v>
      </c>
      <c r="H405" s="268">
        <f>IFERROR(INDEX('FEOR kodok'!$A$2:$J$1126,MATCH(Bérköltség!AB405,'FEOR kodok'!$B$2:$B$1126,0),8),"NA")</f>
        <v>2139</v>
      </c>
      <c r="I405" s="269">
        <f>IFERROR(INDEX('FEOR kodok'!$A$2:$J$1126,MATCH(Bérköltség!AB405,'FEOR kodok'!$B$2:$B$1126,0),10),"NA")</f>
        <v>35</v>
      </c>
      <c r="J405" s="276" t="str">
        <f t="shared" si="818"/>
        <v>30–39 éves</v>
      </c>
      <c r="K405" s="269" t="str">
        <f>IFERROR(INDEX(admin_feor[#All],MATCH(Bérköltség!H405,admin_feor[[#All],[Foglalkozás]],0),2),"NA")</f>
        <v>Egyéb, máshova nem sorolható mérnök</v>
      </c>
      <c r="L405" s="270">
        <f>IFERROR(
INDEX('Admin - FEOR'!$A$4:$F$465,MATCH(Bérköltség!H405,'Admin - FEOR'!$A$4:$A$465,0),
IF(J405="30 év alatt",3,
IF(J405="30–39 éves",4,
IF(J405="40–49 éves",5,
IF(J405="50 év és afelett",6
)))))*1,"NA")</f>
        <v>845378</v>
      </c>
      <c r="M405" s="270">
        <f t="shared" si="819"/>
        <v>1050000</v>
      </c>
      <c r="N405" s="318">
        <f t="shared" si="820"/>
        <v>1.2420479359529111</v>
      </c>
      <c r="O405" s="270">
        <f>IFERROR(
INDEX('Admin - FEOR'!$A$4:$F$465,MATCH(Bérköltség!H405,'Admin - FEOR'!$A$4:$A$465,0),
IF(J405="30 év alatt",3,
IF(J405="30–39 éves",4,
IF(J405="40–49 éves",5,
IF(J405="50 év és afelett",6
)))))*1.5,"NA")</f>
        <v>1268067</v>
      </c>
      <c r="P405" s="270">
        <f t="shared" si="821"/>
        <v>276934.1724137931</v>
      </c>
      <c r="Q405" s="270">
        <f t="shared" si="822"/>
        <v>228328</v>
      </c>
      <c r="R405" s="275">
        <f t="shared" si="823"/>
        <v>0.21839080459770116</v>
      </c>
      <c r="S405" s="270">
        <f t="shared" si="824"/>
        <v>0</v>
      </c>
      <c r="T405" s="270">
        <f t="shared" si="825"/>
        <v>0</v>
      </c>
      <c r="U405" s="271">
        <f t="shared" si="826"/>
        <v>0</v>
      </c>
      <c r="V405" s="272">
        <f t="shared" si="827"/>
        <v>258011</v>
      </c>
      <c r="W405" s="273" t="str">
        <f t="shared" si="828"/>
        <v>Indoklás szükséges mivel a FEOR: 124,2%</v>
      </c>
      <c r="X405" s="372">
        <f t="shared" si="829"/>
        <v>0</v>
      </c>
      <c r="Y405" s="317">
        <f t="shared" si="830"/>
        <v>228328</v>
      </c>
      <c r="Z405" s="317">
        <f t="shared" si="831"/>
        <v>29683</v>
      </c>
      <c r="AA405" s="12">
        <v>2</v>
      </c>
      <c r="AB405" s="274">
        <v>8444651087</v>
      </c>
      <c r="AC405" s="40" t="s">
        <v>230</v>
      </c>
      <c r="AD405" s="82" t="s">
        <v>75</v>
      </c>
      <c r="AE405" s="41" t="s">
        <v>52</v>
      </c>
      <c r="AF405" s="11" t="s">
        <v>159</v>
      </c>
      <c r="AG405" s="11" t="s">
        <v>211</v>
      </c>
      <c r="AH405" s="14" t="s">
        <v>122</v>
      </c>
      <c r="AI405" s="86" t="s">
        <v>33</v>
      </c>
      <c r="AJ405" s="113" t="str">
        <f>IF(COUNTIFS(Admin!$A$29:$A$40,AI405)&gt;0,Admin!$A$28,IF(COUNTIFS(Admin!$B$29:$B$40,AI405)&gt;0,Admin!$B$28,IF(COUNTIFS(Admin!$C$29:$C$40,AI405)&gt;0,Admin!$C$28,IF(COUNTIFS(Admin!$D$29:$D$40,AI405)&gt;0,Admin!$D$28,"-"))))</f>
        <v>2. mérföldkő</v>
      </c>
      <c r="AK405" s="14" t="s">
        <v>7</v>
      </c>
      <c r="AL405" s="9" t="s">
        <v>56</v>
      </c>
      <c r="AM405" s="131">
        <v>1050000</v>
      </c>
      <c r="AN405" s="132">
        <f t="shared" si="748"/>
        <v>136500</v>
      </c>
      <c r="AO405" s="121">
        <v>174</v>
      </c>
      <c r="AP405" s="121">
        <v>38</v>
      </c>
      <c r="AQ405" s="354">
        <f t="shared" si="746"/>
        <v>0.21839080459770116</v>
      </c>
      <c r="AR405" s="133">
        <v>228328</v>
      </c>
      <c r="AS405" s="133">
        <f t="shared" si="500"/>
        <v>29683</v>
      </c>
      <c r="AT405" s="123">
        <f t="shared" si="747"/>
        <v>9.3556650246306994E-4</v>
      </c>
      <c r="AU405" s="124">
        <v>0.13</v>
      </c>
      <c r="AV405" s="394" t="s">
        <v>2797</v>
      </c>
      <c r="AW405" s="15">
        <v>44936</v>
      </c>
      <c r="AX405" s="12" t="s">
        <v>206</v>
      </c>
      <c r="AZ405" s="8" t="str">
        <f>IF(VLOOKUP(LEFT($AB405,10),'Havi béradatok'!$B:$E,2,FALSE)=AG405,"EGYEZIK","HIBÁS")</f>
        <v>EGYEZIK</v>
      </c>
      <c r="BA405" s="1">
        <f>VLOOKUP(LEFT($AB405,10),'Havi béradatok'!$B:$E,3,FALSE)-AM405</f>
        <v>0</v>
      </c>
      <c r="BB405" s="1">
        <f>VLOOKUP(LEFT($AB405,10),'Havi béradatok'!$B:$E,4,FALSE)-AN405</f>
        <v>109200</v>
      </c>
      <c r="BC405" s="1" t="s">
        <v>2849</v>
      </c>
      <c r="BD405" s="1" t="str">
        <f t="shared" si="914"/>
        <v>Kutató_NK_4 - Kutató</v>
      </c>
    </row>
    <row r="406" spans="1:56" s="1" customFormat="1" ht="18" hidden="1" customHeight="1" x14ac:dyDescent="0.25">
      <c r="A406" s="264" t="str">
        <f>Bérköltség!$B406</f>
        <v>FEOR</v>
      </c>
      <c r="B406" s="264" t="str">
        <f>IFERROR(
IF(AND(Bérköltség!$F406="",H406="NA"),"HIÁNYOS ADATOK",
IF(Bérköltség!$F406&lt;Bérköltség!$U406,Admin!$B$18,Admin!$B$17)),
"")</f>
        <v>FEOR</v>
      </c>
      <c r="C406" s="265">
        <f>IFERROR(INDEX('Historikus berek_2021-2'!$A$1:$F$903,MATCH(AB406,'Historikus berek_2021-2'!$A$1:$A$903,0),4),"")</f>
        <v>594000</v>
      </c>
      <c r="D406" s="279">
        <f t="shared" si="814"/>
        <v>129724.13793103449</v>
      </c>
      <c r="E406" s="265">
        <f t="shared" si="815"/>
        <v>228328</v>
      </c>
      <c r="F406" s="266">
        <f t="shared" si="816"/>
        <v>111422.36413793103</v>
      </c>
      <c r="G406" s="267">
        <f t="shared" si="817"/>
        <v>146588.27586206896</v>
      </c>
      <c r="H406" s="268">
        <f>IFERROR(INDEX('FEOR kodok'!$A$2:$J$1126,MATCH(Bérköltség!AB406,'FEOR kodok'!$B$2:$B$1126,0),8),"NA")</f>
        <v>2139</v>
      </c>
      <c r="I406" s="269">
        <f>IFERROR(INDEX('FEOR kodok'!$A$2:$J$1126,MATCH(Bérköltség!AB406,'FEOR kodok'!$B$2:$B$1126,0),10),"NA")</f>
        <v>35</v>
      </c>
      <c r="J406" s="276" t="str">
        <f t="shared" si="818"/>
        <v>30–39 éves</v>
      </c>
      <c r="K406" s="269" t="str">
        <f>IFERROR(INDEX(admin_feor[#All],MATCH(Bérköltség!H406,admin_feor[[#All],[Foglalkozás]],0),2),"NA")</f>
        <v>Egyéb, máshova nem sorolható mérnök</v>
      </c>
      <c r="L406" s="270">
        <f>IFERROR(
INDEX('Admin - FEOR'!$A$4:$F$465,MATCH(Bérköltség!H406,'Admin - FEOR'!$A$4:$A$465,0),
IF(J406="30 év alatt",3,
IF(J406="30–39 éves",4,
IF(J406="40–49 éves",5,
IF(J406="50 év és afelett",6
)))))*1,"NA")</f>
        <v>845378</v>
      </c>
      <c r="M406" s="270">
        <f t="shared" si="819"/>
        <v>1050000</v>
      </c>
      <c r="N406" s="318">
        <f t="shared" si="820"/>
        <v>1.2420479359529111</v>
      </c>
      <c r="O406" s="270">
        <f>IFERROR(
INDEX('Admin - FEOR'!$A$4:$F$465,MATCH(Bérköltség!H406,'Admin - FEOR'!$A$4:$A$465,0),
IF(J406="30 év alatt",3,
IF(J406="30–39 éves",4,
IF(J406="40–49 éves",5,
IF(J406="50 év és afelett",6
)))))*1.5,"NA")</f>
        <v>1268067</v>
      </c>
      <c r="P406" s="270">
        <f t="shared" si="821"/>
        <v>276934.1724137931</v>
      </c>
      <c r="Q406" s="270">
        <f t="shared" si="822"/>
        <v>228328</v>
      </c>
      <c r="R406" s="275">
        <f t="shared" si="823"/>
        <v>0.21839080459770116</v>
      </c>
      <c r="S406" s="270">
        <f t="shared" si="824"/>
        <v>0</v>
      </c>
      <c r="T406" s="270">
        <f t="shared" si="825"/>
        <v>0</v>
      </c>
      <c r="U406" s="271">
        <f t="shared" si="826"/>
        <v>0</v>
      </c>
      <c r="V406" s="272">
        <f t="shared" si="827"/>
        <v>258011</v>
      </c>
      <c r="W406" s="273" t="str">
        <f t="shared" si="828"/>
        <v>Indoklás szükséges mivel a FEOR: 124,2%</v>
      </c>
      <c r="X406" s="372">
        <f t="shared" si="829"/>
        <v>0</v>
      </c>
      <c r="Y406" s="317">
        <f t="shared" si="830"/>
        <v>228328</v>
      </c>
      <c r="Z406" s="317">
        <f t="shared" si="831"/>
        <v>29683</v>
      </c>
      <c r="AA406" s="12">
        <v>2</v>
      </c>
      <c r="AB406" s="274">
        <v>8444651087</v>
      </c>
      <c r="AC406" s="40" t="s">
        <v>230</v>
      </c>
      <c r="AD406" s="82" t="s">
        <v>75</v>
      </c>
      <c r="AE406" s="41" t="s">
        <v>52</v>
      </c>
      <c r="AF406" s="11" t="s">
        <v>159</v>
      </c>
      <c r="AG406" s="11" t="s">
        <v>211</v>
      </c>
      <c r="AH406" s="14" t="s">
        <v>122</v>
      </c>
      <c r="AI406" s="86" t="s">
        <v>34</v>
      </c>
      <c r="AJ406" s="113" t="str">
        <f>IF(COUNTIFS(Admin!$A$29:$A$40,AI406)&gt;0,Admin!$A$28,IF(COUNTIFS(Admin!$B$29:$B$40,AI406)&gt;0,Admin!$B$28,IF(COUNTIFS(Admin!$C$29:$C$40,AI406)&gt;0,Admin!$C$28,IF(COUNTIFS(Admin!$D$29:$D$40,AI406)&gt;0,Admin!$D$28,"-"))))</f>
        <v>2. mérföldkő</v>
      </c>
      <c r="AK406" s="14" t="s">
        <v>7</v>
      </c>
      <c r="AL406" s="9" t="s">
        <v>56</v>
      </c>
      <c r="AM406" s="131">
        <v>1050000</v>
      </c>
      <c r="AN406" s="132">
        <f t="shared" si="748"/>
        <v>136500</v>
      </c>
      <c r="AO406" s="121">
        <v>174</v>
      </c>
      <c r="AP406" s="121">
        <v>38</v>
      </c>
      <c r="AQ406" s="354">
        <f t="shared" si="746"/>
        <v>0.21839080459770116</v>
      </c>
      <c r="AR406" s="133">
        <v>228328</v>
      </c>
      <c r="AS406" s="133">
        <f t="shared" si="500"/>
        <v>29683</v>
      </c>
      <c r="AT406" s="123">
        <f t="shared" si="747"/>
        <v>9.3556650246306994E-4</v>
      </c>
      <c r="AU406" s="124">
        <v>0.13</v>
      </c>
      <c r="AV406" s="394" t="s">
        <v>2797</v>
      </c>
      <c r="AW406" s="15">
        <v>44936</v>
      </c>
      <c r="AX406" s="12" t="s">
        <v>206</v>
      </c>
      <c r="BC406" s="1" t="s">
        <v>2849</v>
      </c>
      <c r="BD406" s="1" t="str">
        <f t="shared" si="914"/>
        <v>Kutató_NK_4 - Kutató</v>
      </c>
    </row>
    <row r="407" spans="1:56" s="1" customFormat="1" ht="18" customHeight="1" x14ac:dyDescent="0.25">
      <c r="A407" s="264" t="str">
        <f>Bérköltség!$B407</f>
        <v>FEOR</v>
      </c>
      <c r="B407" s="264" t="str">
        <f>IFERROR(
IF(AND(Bérköltség!$F407="",H407="NA"),"HIÁNYOS ADATOK",
IF(Bérköltség!$F407&lt;Bérköltség!$U407,Admin!$B$18,Admin!$B$17)),
"")</f>
        <v>FEOR</v>
      </c>
      <c r="C407" s="265">
        <f>IFERROR(INDEX('Historikus berek_2021-2'!$A$1:$F$903,MATCH(AB407,'Historikus berek_2021-2'!$A$1:$A$903,0),4),"")</f>
        <v>594000</v>
      </c>
      <c r="D407" s="279">
        <f t="shared" ref="D407:D409" si="915">IFERROR(C407*AQ407,"")</f>
        <v>129724.13793103449</v>
      </c>
      <c r="E407" s="265">
        <f t="shared" ref="E407:E409" si="916">AR407</f>
        <v>229310</v>
      </c>
      <c r="F407" s="266">
        <f t="shared" ref="F407:F409" si="917">IFERROR(IF((E407*(1+AU407)-D407*(1+AU407))&lt;0,0,(E407*(1+AU407)-D407*(1+AU407))),"")</f>
        <v>112532.02413793103</v>
      </c>
      <c r="G407" s="267">
        <f t="shared" ref="G407:G409" si="918">IFERROR((E407*(1+AU407)-F407),"")</f>
        <v>146588.27586206896</v>
      </c>
      <c r="H407" s="268">
        <f>IFERROR(INDEX('FEOR kodok'!$A$2:$J$1126,MATCH(Bérköltség!AB407,'FEOR kodok'!$B$2:$B$1126,0),8),"NA")</f>
        <v>2139</v>
      </c>
      <c r="I407" s="269">
        <f>IFERROR(INDEX('FEOR kodok'!$A$2:$J$1126,MATCH(Bérköltség!AB407,'FEOR kodok'!$B$2:$B$1126,0),10),"NA")</f>
        <v>35</v>
      </c>
      <c r="J407" s="276" t="str">
        <f t="shared" ref="J407:J409" si="919">IF(I407="NA","NA",
IF(I407&lt;30,"30 év alatt",
IF(AND(I407&gt;=30,I407&lt;=39),"30–39 éves",
IF(AND(I407&gt;=40,I407&lt;=49),"40–49 éves",
IF(I407&gt;=50,"50 év és afelett",
"")))))</f>
        <v>30–39 éves</v>
      </c>
      <c r="K407" s="269" t="str">
        <f>IFERROR(INDEX(admin_feor[#All],MATCH(Bérköltség!H407,admin_feor[[#All],[Foglalkozás]],0),2),"NA")</f>
        <v>Egyéb, máshova nem sorolható mérnök</v>
      </c>
      <c r="L407" s="270">
        <f>IFERROR(
INDEX('Admin - FEOR'!$A$4:$F$465,MATCH(Bérköltség!H407,'Admin - FEOR'!$A$4:$A$465,0),
IF(J407="30 év alatt",3,
IF(J407="30–39 éves",4,
IF(J407="40–49 éves",5,
IF(J407="50 év és afelett",6
)))))*1,"NA")</f>
        <v>845378</v>
      </c>
      <c r="M407" s="270">
        <f t="shared" ref="M407:M409" si="920">AM407</f>
        <v>1050000</v>
      </c>
      <c r="N407" s="318">
        <f t="shared" ref="N407:N409" si="921">IFERROR(
M407/L407,"NA")</f>
        <v>1.2420479359529111</v>
      </c>
      <c r="O407" s="270">
        <f>IFERROR(
INDEX('Admin - FEOR'!$A$4:$F$465,MATCH(Bérköltség!H407,'Admin - FEOR'!$A$4:$A$465,0),
IF(J407="30 év alatt",3,
IF(J407="30–39 éves",4,
IF(J407="40–49 éves",5,
IF(J407="50 év és afelett",6
)))))*1.5,"NA")</f>
        <v>1268067</v>
      </c>
      <c r="P407" s="270">
        <f t="shared" ref="P407:P409" si="922">IFERROR(
AQ407*O407,"NA")</f>
        <v>276934.1724137931</v>
      </c>
      <c r="Q407" s="270">
        <f t="shared" ref="Q407:Q409" si="923">IFERROR(AR407,"")</f>
        <v>229310</v>
      </c>
      <c r="R407" s="275">
        <f t="shared" ref="R407:R409" si="924">IFERROR(AQ407,"")</f>
        <v>0.21839080459770116</v>
      </c>
      <c r="S407" s="270">
        <f t="shared" ref="S407:S409" si="925">IFERROR(
IF(AR407-P407&lt;0,0,AR407-P407),"NA")</f>
        <v>0</v>
      </c>
      <c r="T407" s="270">
        <f t="shared" ref="T407:T409" si="926">IFERROR(
S407*AU407,"NA")</f>
        <v>0</v>
      </c>
      <c r="U407" s="271">
        <f t="shared" ref="U407:U409" si="927">IFERROR(
S407+T407,"NA")</f>
        <v>0</v>
      </c>
      <c r="V407" s="272">
        <f t="shared" ref="V407:V409" si="928">IFERROR(
IF(U407&gt;0,AR407+AS407-U407,AR407+AS407),"NA")</f>
        <v>259120</v>
      </c>
      <c r="W407" s="273" t="str">
        <f t="shared" ref="W407:W409" si="929">IF(P407="NA","FEOR hiányzik",
IF(AND(N407&gt;1,A407="FEOR"),CONCATENATE("Indoklás szükséges mivel a FEOR: ",ROUND(N407*100,1),"%"),"Nem szükséges indoklás.")
)</f>
        <v>Indoklás szükséges mivel a FEOR: 124,2%</v>
      </c>
      <c r="X407" s="372">
        <f t="shared" ref="X407:X409" si="930">IF(A407="FEOR",U407,IF(A407="HIÁNYOS ADATOK","HIÁNYOS ADATOK",F407))</f>
        <v>0</v>
      </c>
      <c r="Y407" s="317">
        <f t="shared" ref="Y407:Y409" si="931">IF(A407="FEOR",ROUND((V407/(1+AU407)),0),IF(A407="HIÁNYOS ADATOK","HIÁNYOS ADATOK",ROUND(G407/(1+AU407),0)))</f>
        <v>229310</v>
      </c>
      <c r="Z407" s="317">
        <f t="shared" ref="Z407:Z409" si="932">IF(A407="FEOR",ROUND((V407-Y407),0),IF(A407="HIÁNYOS ADATOK","HIÁNYOS ADATOK",ROUND((G407-Y407),0)))</f>
        <v>29810</v>
      </c>
      <c r="AA407" s="36"/>
      <c r="AB407" s="274">
        <v>8444651087</v>
      </c>
      <c r="AC407" s="40" t="s">
        <v>230</v>
      </c>
      <c r="AD407" s="82" t="s">
        <v>75</v>
      </c>
      <c r="AE407" s="41" t="s">
        <v>52</v>
      </c>
      <c r="AF407" s="11" t="s">
        <v>159</v>
      </c>
      <c r="AG407" s="11" t="s">
        <v>211</v>
      </c>
      <c r="AH407" s="14" t="s">
        <v>122</v>
      </c>
      <c r="AI407" s="86" t="s">
        <v>35</v>
      </c>
      <c r="AJ407" s="113" t="str">
        <f>IF(COUNTIFS(Admin!$A$29:$A$40,AI407)&gt;0,Admin!$A$28,IF(COUNTIFS(Admin!$B$29:$B$40,AI407)&gt;0,Admin!$B$28,IF(COUNTIFS(Admin!$C$29:$C$40,AI407)&gt;0,Admin!$C$28,IF(COUNTIFS(Admin!$D$29:$D$40,AI407)&gt;0,Admin!$D$28,"-"))))</f>
        <v>3. mérföldkő</v>
      </c>
      <c r="AK407" s="14" t="s">
        <v>7</v>
      </c>
      <c r="AL407" s="9" t="s">
        <v>56</v>
      </c>
      <c r="AM407" s="131">
        <v>1050000</v>
      </c>
      <c r="AN407" s="132">
        <f t="shared" ref="AN407" si="933">IFERROR(ROUND(AM407*AU407,0),"")</f>
        <v>136500</v>
      </c>
      <c r="AO407" s="121">
        <v>174</v>
      </c>
      <c r="AP407" s="121">
        <v>38</v>
      </c>
      <c r="AQ407" s="354">
        <f t="shared" ref="AQ407" si="934">IFERROR(AP407/AO407,"")</f>
        <v>0.21839080459770116</v>
      </c>
      <c r="AR407" s="133">
        <f t="shared" si="861"/>
        <v>229310</v>
      </c>
      <c r="AS407" s="133">
        <f t="shared" ref="AS407" si="935">IFERROR(ROUND(AR407*AU407,0),"")</f>
        <v>29810</v>
      </c>
      <c r="AT407" s="123">
        <f t="shared" ref="AT407" si="936">IFERROR(AP407/AO407-AR407/AM407,"")</f>
        <v>3.2840722496985109E-7</v>
      </c>
      <c r="AU407" s="124">
        <v>0.13</v>
      </c>
      <c r="AV407" s="394" t="s">
        <v>2797</v>
      </c>
      <c r="AW407" s="15">
        <v>44995</v>
      </c>
      <c r="AX407" s="12" t="s">
        <v>206</v>
      </c>
      <c r="AZ407" s="1" t="str">
        <f>IF(VLOOKUP(LEFT($AB407,10),'Havi béradatok'!$B:$E,2,FALSE)=AG407,"EGYEZIK","HIBÁS")</f>
        <v>EGYEZIK</v>
      </c>
      <c r="BA407" s="1">
        <f>VLOOKUP(LEFT($AB407,10),'Havi béradatok'!$B:$E,3,FALSE)-AM407</f>
        <v>0</v>
      </c>
      <c r="BB407" s="391">
        <f>VLOOKUP(LEFT($AB407,10),'Havi béradatok'!$B:$E,4,FALSE)-AN407</f>
        <v>109200</v>
      </c>
      <c r="BC407" s="400" t="s">
        <v>2849</v>
      </c>
      <c r="BD407" s="400"/>
    </row>
    <row r="408" spans="1:56" s="1" customFormat="1" ht="18" hidden="1" customHeight="1" x14ac:dyDescent="0.25">
      <c r="A408" s="264" t="str">
        <f>Bérköltség!$B408</f>
        <v>FEOR</v>
      </c>
      <c r="B408" s="264" t="str">
        <f>IFERROR(
IF(AND(Bérköltség!$F408="",H408="NA"),"HIÁNYOS ADATOK",
IF(Bérköltség!$F408&lt;Bérköltség!$U408,Admin!$B$18,Admin!$B$17)),
"")</f>
        <v>FEOR</v>
      </c>
      <c r="C408" s="265">
        <f>IFERROR(INDEX('Historikus berek_2021-2'!$A$1:$F$903,MATCH(AB408,'Historikus berek_2021-2'!$A$1:$A$903,0),4),"")</f>
        <v>594000</v>
      </c>
      <c r="D408" s="279">
        <f t="shared" si="915"/>
        <v>129724.13793103449</v>
      </c>
      <c r="E408" s="265">
        <f t="shared" si="916"/>
        <v>229310</v>
      </c>
      <c r="F408" s="266">
        <f t="shared" si="917"/>
        <v>112532.02413793103</v>
      </c>
      <c r="G408" s="267">
        <f t="shared" si="918"/>
        <v>146588.27586206896</v>
      </c>
      <c r="H408" s="268">
        <f>IFERROR(INDEX('FEOR kodok'!$A$2:$J$1126,MATCH(Bérköltség!AB408,'FEOR kodok'!$B$2:$B$1126,0),8),"NA")</f>
        <v>2139</v>
      </c>
      <c r="I408" s="269">
        <f>IFERROR(INDEX('FEOR kodok'!$A$2:$J$1126,MATCH(Bérköltség!AB408,'FEOR kodok'!$B$2:$B$1126,0),10),"NA")</f>
        <v>35</v>
      </c>
      <c r="J408" s="276" t="str">
        <f t="shared" si="919"/>
        <v>30–39 éves</v>
      </c>
      <c r="K408" s="269" t="str">
        <f>IFERROR(INDEX(admin_feor[#All],MATCH(Bérköltség!H408,admin_feor[[#All],[Foglalkozás]],0),2),"NA")</f>
        <v>Egyéb, máshova nem sorolható mérnök</v>
      </c>
      <c r="L408" s="270">
        <f>IFERROR(
INDEX('Admin - FEOR'!$A$4:$F$465,MATCH(Bérköltség!H408,'Admin - FEOR'!$A$4:$A$465,0),
IF(J408="30 év alatt",3,
IF(J408="30–39 éves",4,
IF(J408="40–49 éves",5,
IF(J408="50 év és afelett",6
)))))*1,"NA")</f>
        <v>845378</v>
      </c>
      <c r="M408" s="270">
        <f t="shared" si="920"/>
        <v>1050000</v>
      </c>
      <c r="N408" s="318">
        <f t="shared" si="921"/>
        <v>1.2420479359529111</v>
      </c>
      <c r="O408" s="270">
        <f>IFERROR(
INDEX('Admin - FEOR'!$A$4:$F$465,MATCH(Bérköltség!H408,'Admin - FEOR'!$A$4:$A$465,0),
IF(J408="30 év alatt",3,
IF(J408="30–39 éves",4,
IF(J408="40–49 éves",5,
IF(J408="50 év és afelett",6
)))))*1.5,"NA")</f>
        <v>1268067</v>
      </c>
      <c r="P408" s="270">
        <f t="shared" si="922"/>
        <v>276934.1724137931</v>
      </c>
      <c r="Q408" s="270">
        <f t="shared" si="923"/>
        <v>229310</v>
      </c>
      <c r="R408" s="275">
        <f t="shared" si="924"/>
        <v>0.21839080459770116</v>
      </c>
      <c r="S408" s="270">
        <f t="shared" si="925"/>
        <v>0</v>
      </c>
      <c r="T408" s="270">
        <f t="shared" si="926"/>
        <v>0</v>
      </c>
      <c r="U408" s="271">
        <f t="shared" si="927"/>
        <v>0</v>
      </c>
      <c r="V408" s="272">
        <f t="shared" si="928"/>
        <v>259120</v>
      </c>
      <c r="W408" s="273" t="str">
        <f t="shared" si="929"/>
        <v>Indoklás szükséges mivel a FEOR: 124,2%</v>
      </c>
      <c r="X408" s="372">
        <f t="shared" si="930"/>
        <v>0</v>
      </c>
      <c r="Y408" s="317">
        <f t="shared" si="931"/>
        <v>229310</v>
      </c>
      <c r="Z408" s="317">
        <f t="shared" si="932"/>
        <v>29810</v>
      </c>
      <c r="AA408" s="36"/>
      <c r="AB408" s="274">
        <v>8444651087</v>
      </c>
      <c r="AC408" s="40" t="s">
        <v>230</v>
      </c>
      <c r="AD408" s="82" t="s">
        <v>75</v>
      </c>
      <c r="AE408" s="41" t="s">
        <v>52</v>
      </c>
      <c r="AF408" s="11" t="s">
        <v>159</v>
      </c>
      <c r="AG408" s="11" t="s">
        <v>211</v>
      </c>
      <c r="AH408" s="14" t="s">
        <v>122</v>
      </c>
      <c r="AI408" s="86" t="s">
        <v>36</v>
      </c>
      <c r="AJ408" s="113" t="str">
        <f>IF(COUNTIFS(Admin!$A$29:$A$40,AI408)&gt;0,Admin!$A$28,IF(COUNTIFS(Admin!$B$29:$B$40,AI408)&gt;0,Admin!$B$28,IF(COUNTIFS(Admin!$C$29:$C$40,AI408)&gt;0,Admin!$C$28,IF(COUNTIFS(Admin!$D$29:$D$40,AI408)&gt;0,Admin!$D$28,"-"))))</f>
        <v>3. mérföldkő</v>
      </c>
      <c r="AK408" s="14" t="s">
        <v>141</v>
      </c>
      <c r="AL408" s="9" t="s">
        <v>56</v>
      </c>
      <c r="AM408" s="131">
        <v>1050000</v>
      </c>
      <c r="AN408" s="132">
        <f t="shared" ref="AN408:AN409" si="937">IFERROR(ROUND(AM408*AU408,0),"")</f>
        <v>136500</v>
      </c>
      <c r="AO408" s="121">
        <v>174</v>
      </c>
      <c r="AP408" s="121">
        <v>38</v>
      </c>
      <c r="AQ408" s="354">
        <f t="shared" ref="AQ408:AQ409" si="938">IFERROR(AP408/AO408,"")</f>
        <v>0.21839080459770116</v>
      </c>
      <c r="AR408" s="133">
        <f t="shared" ref="AR408:AR409" si="939">IFERROR(ROUND(AM408*AP408/AO408,0),"")</f>
        <v>229310</v>
      </c>
      <c r="AS408" s="133">
        <f t="shared" ref="AS408:AS409" si="940">IFERROR(ROUND(AR408*AU408,0),"")</f>
        <v>29810</v>
      </c>
      <c r="AT408" s="123">
        <f t="shared" ref="AT408:AT409" si="941">IFERROR(AP408/AO408-AR408/AM408,"")</f>
        <v>3.2840722496985109E-7</v>
      </c>
      <c r="AU408" s="124">
        <v>0.13</v>
      </c>
      <c r="AV408" s="394" t="s">
        <v>2797</v>
      </c>
      <c r="AW408" s="15">
        <v>44995</v>
      </c>
      <c r="AX408" s="12" t="s">
        <v>206</v>
      </c>
      <c r="BC408" s="1" t="s">
        <v>2849</v>
      </c>
    </row>
    <row r="409" spans="1:56" s="1" customFormat="1" ht="18" hidden="1" customHeight="1" x14ac:dyDescent="0.25">
      <c r="A409" s="264" t="str">
        <f>Bérköltség!$B409</f>
        <v>FEOR</v>
      </c>
      <c r="B409" s="264" t="str">
        <f>IFERROR(
IF(AND(Bérköltség!$F409="",H409="NA"),"HIÁNYOS ADATOK",
IF(Bérköltség!$F409&lt;Bérköltség!$U409,Admin!$B$18,Admin!$B$17)),
"")</f>
        <v>FEOR</v>
      </c>
      <c r="C409" s="265">
        <f>IFERROR(INDEX('Historikus berek_2021-2'!$A$1:$F$903,MATCH(AB409,'Historikus berek_2021-2'!$A$1:$A$903,0),4),"")</f>
        <v>594000</v>
      </c>
      <c r="D409" s="279">
        <f t="shared" si="915"/>
        <v>129724.13793103449</v>
      </c>
      <c r="E409" s="265">
        <f t="shared" si="916"/>
        <v>229310</v>
      </c>
      <c r="F409" s="266">
        <f t="shared" si="917"/>
        <v>112532.02413793103</v>
      </c>
      <c r="G409" s="267">
        <f t="shared" si="918"/>
        <v>146588.27586206896</v>
      </c>
      <c r="H409" s="268">
        <f>IFERROR(INDEX('FEOR kodok'!$A$2:$J$1126,MATCH(Bérköltség!AB409,'FEOR kodok'!$B$2:$B$1126,0),8),"NA")</f>
        <v>2139</v>
      </c>
      <c r="I409" s="269">
        <f>IFERROR(INDEX('FEOR kodok'!$A$2:$J$1126,MATCH(Bérköltség!AB409,'FEOR kodok'!$B$2:$B$1126,0),10),"NA")</f>
        <v>35</v>
      </c>
      <c r="J409" s="276" t="str">
        <f t="shared" si="919"/>
        <v>30–39 éves</v>
      </c>
      <c r="K409" s="269" t="str">
        <f>IFERROR(INDEX(admin_feor[#All],MATCH(Bérköltség!H409,admin_feor[[#All],[Foglalkozás]],0),2),"NA")</f>
        <v>Egyéb, máshova nem sorolható mérnök</v>
      </c>
      <c r="L409" s="270">
        <f>IFERROR(
INDEX('Admin - FEOR'!$A$4:$F$465,MATCH(Bérköltség!H409,'Admin - FEOR'!$A$4:$A$465,0),
IF(J409="30 év alatt",3,
IF(J409="30–39 éves",4,
IF(J409="40–49 éves",5,
IF(J409="50 év és afelett",6
)))))*1,"NA")</f>
        <v>845378</v>
      </c>
      <c r="M409" s="270">
        <f t="shared" si="920"/>
        <v>1050000</v>
      </c>
      <c r="N409" s="318">
        <f t="shared" si="921"/>
        <v>1.2420479359529111</v>
      </c>
      <c r="O409" s="270">
        <f>IFERROR(
INDEX('Admin - FEOR'!$A$4:$F$465,MATCH(Bérköltség!H409,'Admin - FEOR'!$A$4:$A$465,0),
IF(J409="30 év alatt",3,
IF(J409="30–39 éves",4,
IF(J409="40–49 éves",5,
IF(J409="50 év és afelett",6
)))))*1.5,"NA")</f>
        <v>1268067</v>
      </c>
      <c r="P409" s="270">
        <f t="shared" si="922"/>
        <v>276934.1724137931</v>
      </c>
      <c r="Q409" s="270">
        <f t="shared" si="923"/>
        <v>229310</v>
      </c>
      <c r="R409" s="275">
        <f t="shared" si="924"/>
        <v>0.21839080459770116</v>
      </c>
      <c r="S409" s="270">
        <f t="shared" si="925"/>
        <v>0</v>
      </c>
      <c r="T409" s="270">
        <f t="shared" si="926"/>
        <v>0</v>
      </c>
      <c r="U409" s="271">
        <f t="shared" si="927"/>
        <v>0</v>
      </c>
      <c r="V409" s="272">
        <f t="shared" si="928"/>
        <v>259120</v>
      </c>
      <c r="W409" s="273" t="str">
        <f t="shared" si="929"/>
        <v>Indoklás szükséges mivel a FEOR: 124,2%</v>
      </c>
      <c r="X409" s="372">
        <f t="shared" si="930"/>
        <v>0</v>
      </c>
      <c r="Y409" s="317">
        <f t="shared" si="931"/>
        <v>229310</v>
      </c>
      <c r="Z409" s="317">
        <f t="shared" si="932"/>
        <v>29810</v>
      </c>
      <c r="AA409" s="36"/>
      <c r="AB409" s="274">
        <v>8444651087</v>
      </c>
      <c r="AC409" s="40" t="s">
        <v>230</v>
      </c>
      <c r="AD409" s="82" t="s">
        <v>75</v>
      </c>
      <c r="AE409" s="41" t="s">
        <v>52</v>
      </c>
      <c r="AF409" s="11" t="s">
        <v>159</v>
      </c>
      <c r="AG409" s="11" t="s">
        <v>211</v>
      </c>
      <c r="AH409" s="14" t="s">
        <v>122</v>
      </c>
      <c r="AI409" s="86" t="s">
        <v>37</v>
      </c>
      <c r="AJ409" s="113" t="str">
        <f>IF(COUNTIFS(Admin!$A$29:$A$40,AI409)&gt;0,Admin!$A$28,IF(COUNTIFS(Admin!$B$29:$B$40,AI409)&gt;0,Admin!$B$28,IF(COUNTIFS(Admin!$C$29:$C$40,AI409)&gt;0,Admin!$C$28,IF(COUNTIFS(Admin!$D$29:$D$40,AI409)&gt;0,Admin!$D$28,"-"))))</f>
        <v>3. mérföldkő</v>
      </c>
      <c r="AK409" s="14" t="s">
        <v>141</v>
      </c>
      <c r="AL409" s="9" t="s">
        <v>56</v>
      </c>
      <c r="AM409" s="131">
        <v>1050000</v>
      </c>
      <c r="AN409" s="132">
        <f t="shared" si="937"/>
        <v>136500</v>
      </c>
      <c r="AO409" s="121">
        <v>174</v>
      </c>
      <c r="AP409" s="121">
        <v>38</v>
      </c>
      <c r="AQ409" s="354">
        <f t="shared" si="938"/>
        <v>0.21839080459770116</v>
      </c>
      <c r="AR409" s="133">
        <f t="shared" si="939"/>
        <v>229310</v>
      </c>
      <c r="AS409" s="133">
        <f t="shared" si="940"/>
        <v>29810</v>
      </c>
      <c r="AT409" s="123">
        <f t="shared" si="941"/>
        <v>3.2840722496985109E-7</v>
      </c>
      <c r="AU409" s="124">
        <v>0.13</v>
      </c>
      <c r="AV409" s="394" t="s">
        <v>2797</v>
      </c>
      <c r="AW409" s="15">
        <v>44995</v>
      </c>
      <c r="AX409" s="12" t="s">
        <v>206</v>
      </c>
      <c r="BC409" s="1" t="s">
        <v>2849</v>
      </c>
    </row>
    <row r="410" spans="1:56" s="1" customFormat="1" ht="18" hidden="1" customHeight="1" x14ac:dyDescent="0.25">
      <c r="A410" s="264" t="str">
        <f>Bérköltség!$B410</f>
        <v>FEOR</v>
      </c>
      <c r="B410" s="264" t="str">
        <f>IFERROR(
IF(AND(Bérköltség!$F410="",H410="NA"),"HIÁNYOS ADATOK",
IF(Bérköltség!$F410&lt;Bérköltség!$U410,Admin!$B$18,Admin!$B$17)),
"")</f>
        <v>FEOR</v>
      </c>
      <c r="C410" s="265">
        <f>IFERROR(INDEX('Historikus berek_2021-2'!$A$1:$F$903,MATCH(AB410,'Historikus berek_2021-2'!$A$1:$A$903,0),4),"")</f>
        <v>476333.33333333331</v>
      </c>
      <c r="D410" s="279">
        <f t="shared" si="814"/>
        <v>380519.15708812256</v>
      </c>
      <c r="E410" s="265">
        <f t="shared" si="815"/>
        <v>397828</v>
      </c>
      <c r="F410" s="266">
        <f t="shared" si="816"/>
        <v>19558.992490421515</v>
      </c>
      <c r="G410" s="267">
        <f t="shared" si="817"/>
        <v>429986.64750957844</v>
      </c>
      <c r="H410" s="268">
        <f>IFERROR(INDEX('FEOR kodok'!$A$2:$J$1126,MATCH(Bérköltség!AB410,'FEOR kodok'!$B$2:$B$1126,0),8),"NA")</f>
        <v>3910</v>
      </c>
      <c r="I410" s="269">
        <f>IFERROR(INDEX('FEOR kodok'!$A$2:$J$1126,MATCH(Bérköltség!AB410,'FEOR kodok'!$B$2:$B$1126,0),10),"NA")</f>
        <v>65</v>
      </c>
      <c r="J410" s="276" t="str">
        <f t="shared" si="818"/>
        <v>50 év és afelett</v>
      </c>
      <c r="K410" s="269" t="str">
        <f>IFERROR(INDEX(admin_feor[#All],MATCH(Bérköltség!H410,admin_feor[[#All],[Foglalkozás]],0),2),"NA")</f>
        <v>Egyéb ügyintéző</v>
      </c>
      <c r="L410" s="270">
        <f>IFERROR(
INDEX('Admin - FEOR'!$A$4:$F$465,MATCH(Bérköltség!H410,'Admin - FEOR'!$A$4:$A$465,0),
IF(J410="30 év alatt",3,
IF(J410="30–39 éves",4,
IF(J410="40–49 éves",5,
IF(J410="50 év és afelett",6
)))))*1,"NA")</f>
        <v>399150</v>
      </c>
      <c r="M410" s="270">
        <f t="shared" si="819"/>
        <v>498000</v>
      </c>
      <c r="N410" s="318">
        <f t="shared" si="820"/>
        <v>1.247651258925216</v>
      </c>
      <c r="O410" s="270">
        <f>IFERROR(
INDEX('Admin - FEOR'!$A$4:$F$465,MATCH(Bérköltség!H410,'Admin - FEOR'!$A$4:$A$465,0),
IF(J410="30 év alatt",3,
IF(J410="30–39 éves",4,
IF(J410="40–49 éves",5,
IF(J410="50 év és afelett",6
)))))*1.5,"NA")</f>
        <v>598725</v>
      </c>
      <c r="P410" s="270">
        <f t="shared" si="821"/>
        <v>478291.81034482759</v>
      </c>
      <c r="Q410" s="270">
        <f t="shared" si="822"/>
        <v>397828</v>
      </c>
      <c r="R410" s="275">
        <f t="shared" si="823"/>
        <v>0.79885057471264365</v>
      </c>
      <c r="S410" s="270">
        <f t="shared" si="824"/>
        <v>0</v>
      </c>
      <c r="T410" s="270">
        <f t="shared" si="825"/>
        <v>0</v>
      </c>
      <c r="U410" s="271">
        <f t="shared" si="826"/>
        <v>0</v>
      </c>
      <c r="V410" s="272">
        <f t="shared" si="827"/>
        <v>449546</v>
      </c>
      <c r="W410" s="273" t="str">
        <f t="shared" si="828"/>
        <v>Indoklás szükséges mivel a FEOR: 124,8%</v>
      </c>
      <c r="X410" s="372">
        <f t="shared" si="829"/>
        <v>0</v>
      </c>
      <c r="Y410" s="317">
        <f t="shared" si="830"/>
        <v>397828</v>
      </c>
      <c r="Z410" s="317">
        <f t="shared" si="831"/>
        <v>51718</v>
      </c>
      <c r="AA410" s="12">
        <v>2</v>
      </c>
      <c r="AB410" s="274">
        <v>8332374189</v>
      </c>
      <c r="AC410" s="40" t="s">
        <v>339</v>
      </c>
      <c r="AD410" s="82" t="s">
        <v>75</v>
      </c>
      <c r="AE410" s="41" t="s">
        <v>54</v>
      </c>
      <c r="AF410" s="11" t="s">
        <v>159</v>
      </c>
      <c r="AG410" s="11" t="s">
        <v>166</v>
      </c>
      <c r="AH410" s="14" t="s">
        <v>122</v>
      </c>
      <c r="AI410" s="86" t="s">
        <v>23</v>
      </c>
      <c r="AJ410" s="113" t="str">
        <f>IF(COUNTIFS(Admin!$A$29:$A$40,AI410)&gt;0,Admin!$A$28,IF(COUNTIFS(Admin!$B$29:$B$40,AI410)&gt;0,Admin!$B$28,IF(COUNTIFS(Admin!$C$29:$C$40,AI410)&gt;0,Admin!$C$28,IF(COUNTIFS(Admin!$D$29:$D$40,AI410)&gt;0,Admin!$D$28,"-"))))</f>
        <v>2. mérföldkő</v>
      </c>
      <c r="AK410" s="14" t="s">
        <v>7</v>
      </c>
      <c r="AL410" s="9" t="s">
        <v>56</v>
      </c>
      <c r="AM410" s="131">
        <v>498000</v>
      </c>
      <c r="AN410" s="132">
        <f t="shared" si="748"/>
        <v>64740</v>
      </c>
      <c r="AO410" s="121">
        <v>174</v>
      </c>
      <c r="AP410" s="121">
        <v>139</v>
      </c>
      <c r="AQ410" s="354">
        <f t="shared" si="746"/>
        <v>0.79885057471264365</v>
      </c>
      <c r="AR410" s="133">
        <f t="shared" si="861"/>
        <v>397828</v>
      </c>
      <c r="AS410" s="133">
        <f t="shared" si="500"/>
        <v>51718</v>
      </c>
      <c r="AT410" s="123">
        <f t="shared" si="747"/>
        <v>-8.3090984626110753E-7</v>
      </c>
      <c r="AU410" s="124">
        <v>0.13</v>
      </c>
      <c r="AV410" s="394" t="s">
        <v>2798</v>
      </c>
      <c r="AW410" s="15">
        <v>44789</v>
      </c>
      <c r="AX410" s="12" t="s">
        <v>206</v>
      </c>
      <c r="BC410" s="1" t="s">
        <v>2850</v>
      </c>
      <c r="BD410" s="1" t="str">
        <f t="shared" ref="BD410:BD416" si="942">CONCATENATE(BC410," - ",AE410)</f>
        <v>Segédszemélyzet_NK_4 - Segédszemélyzet</v>
      </c>
    </row>
    <row r="411" spans="1:56" s="1" customFormat="1" ht="18" hidden="1" customHeight="1" x14ac:dyDescent="0.25">
      <c r="A411" s="264" t="str">
        <f>Bérköltség!$B411</f>
        <v>FEOR</v>
      </c>
      <c r="B411" s="264" t="str">
        <f>IFERROR(
IF(AND(Bérköltség!$F411="",H411="NA"),"HIÁNYOS ADATOK",
IF(Bérköltség!$F411&lt;Bérköltség!$U411,Admin!$B$18,Admin!$B$17)),
"")</f>
        <v>FEOR</v>
      </c>
      <c r="C411" s="265">
        <f>IFERROR(INDEX('Historikus berek_2021-2'!$A$1:$F$903,MATCH(AB411,'Historikus berek_2021-2'!$A$1:$A$903,0),4),"")</f>
        <v>476333.33333333331</v>
      </c>
      <c r="D411" s="279">
        <f t="shared" si="814"/>
        <v>380519.15708812256</v>
      </c>
      <c r="E411" s="265">
        <f t="shared" si="815"/>
        <v>397828</v>
      </c>
      <c r="F411" s="266">
        <f t="shared" si="816"/>
        <v>19558.992490421515</v>
      </c>
      <c r="G411" s="267">
        <f t="shared" si="817"/>
        <v>429986.64750957844</v>
      </c>
      <c r="H411" s="268">
        <f>IFERROR(INDEX('FEOR kodok'!$A$2:$J$1126,MATCH(Bérköltség!AB411,'FEOR kodok'!$B$2:$B$1126,0),8),"NA")</f>
        <v>3910</v>
      </c>
      <c r="I411" s="269">
        <f>IFERROR(INDEX('FEOR kodok'!$A$2:$J$1126,MATCH(Bérköltség!AB411,'FEOR kodok'!$B$2:$B$1126,0),10),"NA")</f>
        <v>65</v>
      </c>
      <c r="J411" s="276" t="str">
        <f t="shared" si="818"/>
        <v>50 év és afelett</v>
      </c>
      <c r="K411" s="269" t="str">
        <f>IFERROR(INDEX(admin_feor[#All],MATCH(Bérköltség!H411,admin_feor[[#All],[Foglalkozás]],0),2),"NA")</f>
        <v>Egyéb ügyintéző</v>
      </c>
      <c r="L411" s="270">
        <f>IFERROR(
INDEX('Admin - FEOR'!$A$4:$F$465,MATCH(Bérköltség!H411,'Admin - FEOR'!$A$4:$A$465,0),
IF(J411="30 év alatt",3,
IF(J411="30–39 éves",4,
IF(J411="40–49 éves",5,
IF(J411="50 év és afelett",6
)))))*1,"NA")</f>
        <v>399150</v>
      </c>
      <c r="M411" s="270">
        <f t="shared" si="819"/>
        <v>498000</v>
      </c>
      <c r="N411" s="318">
        <f t="shared" si="820"/>
        <v>1.247651258925216</v>
      </c>
      <c r="O411" s="270">
        <f>IFERROR(
INDEX('Admin - FEOR'!$A$4:$F$465,MATCH(Bérköltség!H411,'Admin - FEOR'!$A$4:$A$465,0),
IF(J411="30 év alatt",3,
IF(J411="30–39 éves",4,
IF(J411="40–49 éves",5,
IF(J411="50 év és afelett",6
)))))*1.5,"NA")</f>
        <v>598725</v>
      </c>
      <c r="P411" s="270">
        <f t="shared" si="821"/>
        <v>478291.81034482759</v>
      </c>
      <c r="Q411" s="270">
        <f t="shared" si="822"/>
        <v>397828</v>
      </c>
      <c r="R411" s="275">
        <f t="shared" si="823"/>
        <v>0.79885057471264365</v>
      </c>
      <c r="S411" s="270">
        <f t="shared" si="824"/>
        <v>0</v>
      </c>
      <c r="T411" s="270">
        <f t="shared" si="825"/>
        <v>0</v>
      </c>
      <c r="U411" s="271">
        <f t="shared" si="826"/>
        <v>0</v>
      </c>
      <c r="V411" s="272">
        <f t="shared" si="827"/>
        <v>449546</v>
      </c>
      <c r="W411" s="273" t="str">
        <f t="shared" si="828"/>
        <v>Indoklás szükséges mivel a FEOR: 124,8%</v>
      </c>
      <c r="X411" s="372">
        <f t="shared" si="829"/>
        <v>0</v>
      </c>
      <c r="Y411" s="317">
        <f t="shared" si="830"/>
        <v>397828</v>
      </c>
      <c r="Z411" s="317">
        <f t="shared" si="831"/>
        <v>51718</v>
      </c>
      <c r="AA411" s="12">
        <v>2</v>
      </c>
      <c r="AB411" s="274">
        <v>8332374189</v>
      </c>
      <c r="AC411" s="40" t="s">
        <v>339</v>
      </c>
      <c r="AD411" s="82" t="s">
        <v>75</v>
      </c>
      <c r="AE411" s="41" t="s">
        <v>54</v>
      </c>
      <c r="AF411" s="11" t="s">
        <v>159</v>
      </c>
      <c r="AG411" s="11" t="s">
        <v>166</v>
      </c>
      <c r="AH411" s="14" t="s">
        <v>122</v>
      </c>
      <c r="AI411" s="86" t="s">
        <v>24</v>
      </c>
      <c r="AJ411" s="113" t="str">
        <f>IF(COUNTIFS(Admin!$A$29:$A$40,AI411)&gt;0,Admin!$A$28,IF(COUNTIFS(Admin!$B$29:$B$40,AI411)&gt;0,Admin!$B$28,IF(COUNTIFS(Admin!$C$29:$C$40,AI411)&gt;0,Admin!$C$28,IF(COUNTIFS(Admin!$D$29:$D$40,AI411)&gt;0,Admin!$D$28,"-"))))</f>
        <v>2. mérföldkő</v>
      </c>
      <c r="AK411" s="14" t="s">
        <v>7</v>
      </c>
      <c r="AL411" s="9" t="s">
        <v>56</v>
      </c>
      <c r="AM411" s="131">
        <v>498000</v>
      </c>
      <c r="AN411" s="132">
        <f t="shared" si="748"/>
        <v>64740</v>
      </c>
      <c r="AO411" s="121">
        <v>174</v>
      </c>
      <c r="AP411" s="121">
        <v>139</v>
      </c>
      <c r="AQ411" s="354">
        <f t="shared" si="746"/>
        <v>0.79885057471264365</v>
      </c>
      <c r="AR411" s="133">
        <f t="shared" si="861"/>
        <v>397828</v>
      </c>
      <c r="AS411" s="133">
        <f t="shared" si="500"/>
        <v>51718</v>
      </c>
      <c r="AT411" s="123">
        <f t="shared" si="747"/>
        <v>-8.3090984626110753E-7</v>
      </c>
      <c r="AU411" s="124">
        <v>0.13</v>
      </c>
      <c r="AV411" s="394" t="s">
        <v>2798</v>
      </c>
      <c r="AW411" s="15">
        <v>44789</v>
      </c>
      <c r="AX411" s="12" t="s">
        <v>206</v>
      </c>
      <c r="BC411" s="1" t="s">
        <v>2850</v>
      </c>
      <c r="BD411" s="1" t="str">
        <f t="shared" si="942"/>
        <v>Segédszemélyzet_NK_4 - Segédszemélyzet</v>
      </c>
    </row>
    <row r="412" spans="1:56" s="1" customFormat="1" ht="18" hidden="1" customHeight="1" x14ac:dyDescent="0.25">
      <c r="A412" s="264" t="str">
        <f>Bérköltség!$B412</f>
        <v>FEOR</v>
      </c>
      <c r="B412" s="264" t="str">
        <f>IFERROR(
IF(AND(Bérköltség!$F412="",H412="NA"),"HIÁNYOS ADATOK",
IF(Bérköltség!$F412&lt;Bérköltség!$U412,Admin!$B$18,Admin!$B$17)),
"")</f>
        <v>FEOR</v>
      </c>
      <c r="C412" s="265">
        <f>IFERROR(INDEX('Historikus berek_2021-2'!$A$1:$F$903,MATCH(AB412,'Historikus berek_2021-2'!$A$1:$A$903,0),4),"")</f>
        <v>476333.33333333331</v>
      </c>
      <c r="D412" s="279">
        <f t="shared" si="814"/>
        <v>380519.15708812256</v>
      </c>
      <c r="E412" s="265">
        <f t="shared" si="815"/>
        <v>397828</v>
      </c>
      <c r="F412" s="266">
        <f t="shared" si="816"/>
        <v>19558.992490421515</v>
      </c>
      <c r="G412" s="267">
        <f t="shared" si="817"/>
        <v>429986.64750957844</v>
      </c>
      <c r="H412" s="268">
        <f>IFERROR(INDEX('FEOR kodok'!$A$2:$J$1126,MATCH(Bérköltség!AB412,'FEOR kodok'!$B$2:$B$1126,0),8),"NA")</f>
        <v>3910</v>
      </c>
      <c r="I412" s="269">
        <f>IFERROR(INDEX('FEOR kodok'!$A$2:$J$1126,MATCH(Bérköltség!AB412,'FEOR kodok'!$B$2:$B$1126,0),10),"NA")</f>
        <v>65</v>
      </c>
      <c r="J412" s="276" t="str">
        <f t="shared" si="818"/>
        <v>50 év és afelett</v>
      </c>
      <c r="K412" s="269" t="str">
        <f>IFERROR(INDEX(admin_feor[#All],MATCH(Bérköltség!H412,admin_feor[[#All],[Foglalkozás]],0),2),"NA")</f>
        <v>Egyéb ügyintéző</v>
      </c>
      <c r="L412" s="270">
        <f>IFERROR(
INDEX('Admin - FEOR'!$A$4:$F$465,MATCH(Bérköltség!H412,'Admin - FEOR'!$A$4:$A$465,0),
IF(J412="30 év alatt",3,
IF(J412="30–39 éves",4,
IF(J412="40–49 éves",5,
IF(J412="50 év és afelett",6
)))))*1,"NA")</f>
        <v>399150</v>
      </c>
      <c r="M412" s="270">
        <f t="shared" si="819"/>
        <v>498000</v>
      </c>
      <c r="N412" s="318">
        <f t="shared" si="820"/>
        <v>1.247651258925216</v>
      </c>
      <c r="O412" s="270">
        <f>IFERROR(
INDEX('Admin - FEOR'!$A$4:$F$465,MATCH(Bérköltség!H412,'Admin - FEOR'!$A$4:$A$465,0),
IF(J412="30 év alatt",3,
IF(J412="30–39 éves",4,
IF(J412="40–49 éves",5,
IF(J412="50 év és afelett",6
)))))*1.5,"NA")</f>
        <v>598725</v>
      </c>
      <c r="P412" s="270">
        <f t="shared" si="821"/>
        <v>478291.81034482759</v>
      </c>
      <c r="Q412" s="270">
        <f t="shared" si="822"/>
        <v>397828</v>
      </c>
      <c r="R412" s="275">
        <f t="shared" si="823"/>
        <v>0.79885057471264365</v>
      </c>
      <c r="S412" s="270">
        <f t="shared" si="824"/>
        <v>0</v>
      </c>
      <c r="T412" s="270">
        <f t="shared" si="825"/>
        <v>0</v>
      </c>
      <c r="U412" s="271">
        <f t="shared" si="826"/>
        <v>0</v>
      </c>
      <c r="V412" s="272">
        <f t="shared" si="827"/>
        <v>449546</v>
      </c>
      <c r="W412" s="273" t="str">
        <f t="shared" si="828"/>
        <v>Indoklás szükséges mivel a FEOR: 124,8%</v>
      </c>
      <c r="X412" s="372">
        <f t="shared" si="829"/>
        <v>0</v>
      </c>
      <c r="Y412" s="317">
        <f t="shared" si="830"/>
        <v>397828</v>
      </c>
      <c r="Z412" s="317">
        <f t="shared" si="831"/>
        <v>51718</v>
      </c>
      <c r="AA412" s="12">
        <v>2</v>
      </c>
      <c r="AB412" s="274">
        <v>8332374189</v>
      </c>
      <c r="AC412" s="40" t="s">
        <v>339</v>
      </c>
      <c r="AD412" s="82" t="s">
        <v>75</v>
      </c>
      <c r="AE412" s="41" t="s">
        <v>54</v>
      </c>
      <c r="AF412" s="11" t="s">
        <v>159</v>
      </c>
      <c r="AG412" s="11" t="s">
        <v>166</v>
      </c>
      <c r="AH412" s="14" t="s">
        <v>122</v>
      </c>
      <c r="AI412" s="86" t="s">
        <v>25</v>
      </c>
      <c r="AJ412" s="113" t="str">
        <f>IF(COUNTIFS(Admin!$A$29:$A$40,AI412)&gt;0,Admin!$A$28,IF(COUNTIFS(Admin!$B$29:$B$40,AI412)&gt;0,Admin!$B$28,IF(COUNTIFS(Admin!$C$29:$C$40,AI412)&gt;0,Admin!$C$28,IF(COUNTIFS(Admin!$D$29:$D$40,AI412)&gt;0,Admin!$D$28,"-"))))</f>
        <v>2. mérföldkő</v>
      </c>
      <c r="AK412" s="14" t="s">
        <v>7</v>
      </c>
      <c r="AL412" s="9" t="s">
        <v>56</v>
      </c>
      <c r="AM412" s="131">
        <v>498000</v>
      </c>
      <c r="AN412" s="132">
        <f t="shared" si="748"/>
        <v>64740</v>
      </c>
      <c r="AO412" s="121">
        <v>174</v>
      </c>
      <c r="AP412" s="121">
        <v>139</v>
      </c>
      <c r="AQ412" s="354">
        <f t="shared" ref="AQ412:AQ434" si="943">IFERROR(AP412/AO412,"")</f>
        <v>0.79885057471264365</v>
      </c>
      <c r="AR412" s="133">
        <f t="shared" si="861"/>
        <v>397828</v>
      </c>
      <c r="AS412" s="133">
        <f t="shared" si="500"/>
        <v>51718</v>
      </c>
      <c r="AT412" s="123">
        <f t="shared" ref="AT412:AT434" si="944">IFERROR(AP412/AO412-AR412/AM412,"")</f>
        <v>-8.3090984626110753E-7</v>
      </c>
      <c r="AU412" s="124">
        <v>0.13</v>
      </c>
      <c r="AV412" s="394" t="s">
        <v>2798</v>
      </c>
      <c r="AW412" s="15">
        <v>44789</v>
      </c>
      <c r="AX412" s="12" t="s">
        <v>206</v>
      </c>
      <c r="AZ412" s="1" t="s">
        <v>2667</v>
      </c>
      <c r="BA412" s="1" t="s">
        <v>2667</v>
      </c>
      <c r="BB412" s="1" t="s">
        <v>2667</v>
      </c>
      <c r="BC412" s="1" t="s">
        <v>2850</v>
      </c>
      <c r="BD412" s="1" t="str">
        <f t="shared" si="942"/>
        <v>Segédszemélyzet_NK_4 - Segédszemélyzet</v>
      </c>
    </row>
    <row r="413" spans="1:56" s="1" customFormat="1" ht="18" hidden="1" customHeight="1" x14ac:dyDescent="0.25">
      <c r="A413" s="264" t="str">
        <f>Bérköltség!$B413</f>
        <v>FEOR</v>
      </c>
      <c r="B413" s="264" t="str">
        <f>IFERROR(
IF(AND(Bérköltség!$F413="",H413="NA"),"HIÁNYOS ADATOK",
IF(Bérköltség!$F413&lt;Bérköltség!$U413,Admin!$B$18,Admin!$B$17)),
"")</f>
        <v>FEOR</v>
      </c>
      <c r="C413" s="265">
        <f>IFERROR(INDEX('Historikus berek_2021-2'!$A$1:$F$903,MATCH(AB413,'Historikus berek_2021-2'!$A$1:$A$903,0),4),"")</f>
        <v>476333.33333333331</v>
      </c>
      <c r="D413" s="279">
        <f t="shared" si="814"/>
        <v>380519.15708812256</v>
      </c>
      <c r="E413" s="265">
        <f t="shared" si="815"/>
        <v>397828</v>
      </c>
      <c r="F413" s="266">
        <f t="shared" si="816"/>
        <v>19558.992490421515</v>
      </c>
      <c r="G413" s="267">
        <f t="shared" si="817"/>
        <v>429986.64750957844</v>
      </c>
      <c r="H413" s="268">
        <f>IFERROR(INDEX('FEOR kodok'!$A$2:$J$1126,MATCH(Bérköltség!AB413,'FEOR kodok'!$B$2:$B$1126,0),8),"NA")</f>
        <v>3910</v>
      </c>
      <c r="I413" s="269">
        <f>IFERROR(INDEX('FEOR kodok'!$A$2:$J$1126,MATCH(Bérköltség!AB413,'FEOR kodok'!$B$2:$B$1126,0),10),"NA")</f>
        <v>65</v>
      </c>
      <c r="J413" s="276" t="str">
        <f t="shared" si="818"/>
        <v>50 év és afelett</v>
      </c>
      <c r="K413" s="269" t="str">
        <f>IFERROR(INDEX(admin_feor[#All],MATCH(Bérköltség!H413,admin_feor[[#All],[Foglalkozás]],0),2),"NA")</f>
        <v>Egyéb ügyintéző</v>
      </c>
      <c r="L413" s="270">
        <f>IFERROR(
INDEX('Admin - FEOR'!$A$4:$F$465,MATCH(Bérköltség!H413,'Admin - FEOR'!$A$4:$A$465,0),
IF(J413="30 év alatt",3,
IF(J413="30–39 éves",4,
IF(J413="40–49 éves",5,
IF(J413="50 év és afelett",6
)))))*1,"NA")</f>
        <v>399150</v>
      </c>
      <c r="M413" s="270">
        <f t="shared" si="819"/>
        <v>498000</v>
      </c>
      <c r="N413" s="318">
        <f t="shared" si="820"/>
        <v>1.247651258925216</v>
      </c>
      <c r="O413" s="270">
        <f>IFERROR(
INDEX('Admin - FEOR'!$A$4:$F$465,MATCH(Bérköltség!H413,'Admin - FEOR'!$A$4:$A$465,0),
IF(J413="30 év alatt",3,
IF(J413="30–39 éves",4,
IF(J413="40–49 éves",5,
IF(J413="50 év és afelett",6
)))))*1.5,"NA")</f>
        <v>598725</v>
      </c>
      <c r="P413" s="270">
        <f t="shared" si="821"/>
        <v>478291.81034482759</v>
      </c>
      <c r="Q413" s="270">
        <f t="shared" si="822"/>
        <v>397828</v>
      </c>
      <c r="R413" s="275">
        <f t="shared" si="823"/>
        <v>0.79885057471264365</v>
      </c>
      <c r="S413" s="270">
        <f t="shared" si="824"/>
        <v>0</v>
      </c>
      <c r="T413" s="270">
        <f t="shared" si="825"/>
        <v>0</v>
      </c>
      <c r="U413" s="271">
        <f t="shared" si="826"/>
        <v>0</v>
      </c>
      <c r="V413" s="272">
        <f t="shared" si="827"/>
        <v>449546</v>
      </c>
      <c r="W413" s="273" t="str">
        <f t="shared" si="828"/>
        <v>Indoklás szükséges mivel a FEOR: 124,8%</v>
      </c>
      <c r="X413" s="372">
        <f t="shared" si="829"/>
        <v>0</v>
      </c>
      <c r="Y413" s="317">
        <f t="shared" si="830"/>
        <v>397828</v>
      </c>
      <c r="Z413" s="317">
        <f t="shared" si="831"/>
        <v>51718</v>
      </c>
      <c r="AA413" s="12">
        <v>2</v>
      </c>
      <c r="AB413" s="274">
        <v>8332374189</v>
      </c>
      <c r="AC413" s="40" t="s">
        <v>339</v>
      </c>
      <c r="AD413" s="82" t="s">
        <v>75</v>
      </c>
      <c r="AE413" s="41" t="s">
        <v>54</v>
      </c>
      <c r="AF413" s="11" t="s">
        <v>159</v>
      </c>
      <c r="AG413" s="11" t="s">
        <v>166</v>
      </c>
      <c r="AH413" s="14" t="s">
        <v>122</v>
      </c>
      <c r="AI413" s="86" t="s">
        <v>26</v>
      </c>
      <c r="AJ413" s="113" t="str">
        <f>IF(COUNTIFS(Admin!$A$29:$A$40,AI413)&gt;0,Admin!$A$28,IF(COUNTIFS(Admin!$B$29:$B$40,AI413)&gt;0,Admin!$B$28,IF(COUNTIFS(Admin!$C$29:$C$40,AI413)&gt;0,Admin!$C$28,IF(COUNTIFS(Admin!$D$29:$D$40,AI413)&gt;0,Admin!$D$28,"-"))))</f>
        <v>2. mérföldkő</v>
      </c>
      <c r="AK413" s="14" t="s">
        <v>7</v>
      </c>
      <c r="AL413" s="9" t="s">
        <v>56</v>
      </c>
      <c r="AM413" s="131">
        <v>498000</v>
      </c>
      <c r="AN413" s="132">
        <f t="shared" si="748"/>
        <v>64740</v>
      </c>
      <c r="AO413" s="121">
        <v>174</v>
      </c>
      <c r="AP413" s="121">
        <v>139</v>
      </c>
      <c r="AQ413" s="354">
        <f t="shared" si="943"/>
        <v>0.79885057471264365</v>
      </c>
      <c r="AR413" s="133">
        <f t="shared" si="861"/>
        <v>397828</v>
      </c>
      <c r="AS413" s="133">
        <f t="shared" si="500"/>
        <v>51718</v>
      </c>
      <c r="AT413" s="123">
        <f t="shared" si="944"/>
        <v>-8.3090984626110753E-7</v>
      </c>
      <c r="AU413" s="124">
        <v>0.13</v>
      </c>
      <c r="AV413" s="394" t="s">
        <v>2798</v>
      </c>
      <c r="AW413" s="15">
        <v>44789</v>
      </c>
      <c r="AX413" s="12" t="s">
        <v>206</v>
      </c>
      <c r="AZ413" s="1" t="s">
        <v>2667</v>
      </c>
      <c r="BA413" s="1" t="s">
        <v>2667</v>
      </c>
      <c r="BB413" s="1" t="s">
        <v>2667</v>
      </c>
      <c r="BC413" s="1" t="s">
        <v>2850</v>
      </c>
      <c r="BD413" s="1" t="str">
        <f t="shared" si="942"/>
        <v>Segédszemélyzet_NK_4 - Segédszemélyzet</v>
      </c>
    </row>
    <row r="414" spans="1:56" s="1" customFormat="1" ht="18" hidden="1" customHeight="1" x14ac:dyDescent="0.25">
      <c r="A414" s="264" t="str">
        <f>Bérköltség!$B414</f>
        <v>FEOR</v>
      </c>
      <c r="B414" s="264" t="str">
        <f>IFERROR(
IF(AND(Bérköltség!$F414="",H414="NA"),"HIÁNYOS ADATOK",
IF(Bérköltség!$F414&lt;Bérköltség!$U414,Admin!$B$18,Admin!$B$17)),
"")</f>
        <v>FEOR</v>
      </c>
      <c r="C414" s="265">
        <f>IFERROR(INDEX('Historikus berek_2021-2'!$A$1:$F$903,MATCH(AB414,'Historikus berek_2021-2'!$A$1:$A$903,0),4),"")</f>
        <v>476333.33333333331</v>
      </c>
      <c r="D414" s="279">
        <f t="shared" si="814"/>
        <v>380519.15708812256</v>
      </c>
      <c r="E414" s="265">
        <f t="shared" si="815"/>
        <v>397828</v>
      </c>
      <c r="F414" s="266">
        <f t="shared" si="816"/>
        <v>19558.992490421515</v>
      </c>
      <c r="G414" s="267">
        <f t="shared" si="817"/>
        <v>429986.64750957844</v>
      </c>
      <c r="H414" s="268">
        <f>IFERROR(INDEX('FEOR kodok'!$A$2:$J$1126,MATCH(Bérköltség!AB414,'FEOR kodok'!$B$2:$B$1126,0),8),"NA")</f>
        <v>3910</v>
      </c>
      <c r="I414" s="269">
        <f>IFERROR(INDEX('FEOR kodok'!$A$2:$J$1126,MATCH(Bérköltség!AB414,'FEOR kodok'!$B$2:$B$1126,0),10),"NA")</f>
        <v>65</v>
      </c>
      <c r="J414" s="276" t="str">
        <f t="shared" si="818"/>
        <v>50 év és afelett</v>
      </c>
      <c r="K414" s="269" t="str">
        <f>IFERROR(INDEX(admin_feor[#All],MATCH(Bérköltség!H414,admin_feor[[#All],[Foglalkozás]],0),2),"NA")</f>
        <v>Egyéb ügyintéző</v>
      </c>
      <c r="L414" s="270">
        <f>IFERROR(
INDEX('Admin - FEOR'!$A$4:$F$465,MATCH(Bérköltség!H414,'Admin - FEOR'!$A$4:$A$465,0),
IF(J414="30 év alatt",3,
IF(J414="30–39 éves",4,
IF(J414="40–49 éves",5,
IF(J414="50 év és afelett",6
)))))*1,"NA")</f>
        <v>399150</v>
      </c>
      <c r="M414" s="270">
        <f t="shared" si="819"/>
        <v>498000</v>
      </c>
      <c r="N414" s="318">
        <f t="shared" si="820"/>
        <v>1.247651258925216</v>
      </c>
      <c r="O414" s="270">
        <f>IFERROR(
INDEX('Admin - FEOR'!$A$4:$F$465,MATCH(Bérköltség!H414,'Admin - FEOR'!$A$4:$A$465,0),
IF(J414="30 év alatt",3,
IF(J414="30–39 éves",4,
IF(J414="40–49 éves",5,
IF(J414="50 év és afelett",6
)))))*1.5,"NA")</f>
        <v>598725</v>
      </c>
      <c r="P414" s="270">
        <f t="shared" si="821"/>
        <v>478291.81034482759</v>
      </c>
      <c r="Q414" s="270">
        <f t="shared" si="822"/>
        <v>397828</v>
      </c>
      <c r="R414" s="275">
        <f t="shared" si="823"/>
        <v>0.79885057471264365</v>
      </c>
      <c r="S414" s="270">
        <f t="shared" si="824"/>
        <v>0</v>
      </c>
      <c r="T414" s="270">
        <f t="shared" si="825"/>
        <v>0</v>
      </c>
      <c r="U414" s="271">
        <f t="shared" si="826"/>
        <v>0</v>
      </c>
      <c r="V414" s="272">
        <f t="shared" si="827"/>
        <v>449546</v>
      </c>
      <c r="W414" s="273" t="str">
        <f t="shared" si="828"/>
        <v>Indoklás szükséges mivel a FEOR: 124,8%</v>
      </c>
      <c r="X414" s="372">
        <f t="shared" si="829"/>
        <v>0</v>
      </c>
      <c r="Y414" s="317">
        <f t="shared" si="830"/>
        <v>397828</v>
      </c>
      <c r="Z414" s="317">
        <f t="shared" si="831"/>
        <v>51718</v>
      </c>
      <c r="AA414" s="12">
        <v>2</v>
      </c>
      <c r="AB414" s="274">
        <v>8332374189</v>
      </c>
      <c r="AC414" s="40" t="s">
        <v>339</v>
      </c>
      <c r="AD414" s="82" t="s">
        <v>75</v>
      </c>
      <c r="AE414" s="41" t="s">
        <v>54</v>
      </c>
      <c r="AF414" s="11" t="s">
        <v>159</v>
      </c>
      <c r="AG414" s="11" t="s">
        <v>166</v>
      </c>
      <c r="AH414" s="14" t="s">
        <v>122</v>
      </c>
      <c r="AI414" s="86" t="s">
        <v>32</v>
      </c>
      <c r="AJ414" s="113" t="str">
        <f>IF(COUNTIFS(Admin!$A$29:$A$40,AI414)&gt;0,Admin!$A$28,IF(COUNTIFS(Admin!$B$29:$B$40,AI414)&gt;0,Admin!$B$28,IF(COUNTIFS(Admin!$C$29:$C$40,AI414)&gt;0,Admin!$C$28,IF(COUNTIFS(Admin!$D$29:$D$40,AI414)&gt;0,Admin!$D$28,"-"))))</f>
        <v>2. mérföldkő</v>
      </c>
      <c r="AK414" s="14" t="s">
        <v>7</v>
      </c>
      <c r="AL414" s="9" t="s">
        <v>56</v>
      </c>
      <c r="AM414" s="131">
        <v>498000</v>
      </c>
      <c r="AN414" s="132">
        <f t="shared" si="748"/>
        <v>64740</v>
      </c>
      <c r="AO414" s="121">
        <v>174</v>
      </c>
      <c r="AP414" s="121">
        <v>139</v>
      </c>
      <c r="AQ414" s="354">
        <f t="shared" si="943"/>
        <v>0.79885057471264365</v>
      </c>
      <c r="AR414" s="133">
        <f t="shared" si="861"/>
        <v>397828</v>
      </c>
      <c r="AS414" s="133">
        <f t="shared" si="500"/>
        <v>51718</v>
      </c>
      <c r="AT414" s="123">
        <f t="shared" si="944"/>
        <v>-8.3090984626110753E-7</v>
      </c>
      <c r="AU414" s="124">
        <v>0.13</v>
      </c>
      <c r="AV414" s="394" t="s">
        <v>2798</v>
      </c>
      <c r="AW414" s="15">
        <v>44908</v>
      </c>
      <c r="AX414" s="12" t="s">
        <v>206</v>
      </c>
      <c r="AZ414" s="1" t="s">
        <v>2667</v>
      </c>
      <c r="BA414" s="1">
        <v>0</v>
      </c>
      <c r="BB414" s="1">
        <v>0</v>
      </c>
      <c r="BC414" s="1" t="s">
        <v>2850</v>
      </c>
      <c r="BD414" s="1" t="str">
        <f t="shared" si="942"/>
        <v>Segédszemélyzet_NK_4 - Segédszemélyzet</v>
      </c>
    </row>
    <row r="415" spans="1:56" s="1" customFormat="1" ht="18" hidden="1" customHeight="1" x14ac:dyDescent="0.25">
      <c r="A415" s="264" t="str">
        <f>Bérköltség!$B415</f>
        <v>FEOR</v>
      </c>
      <c r="B415" s="264" t="str">
        <f>IFERROR(
IF(AND(Bérköltség!$F415="",H415="NA"),"HIÁNYOS ADATOK",
IF(Bérköltség!$F415&lt;Bérköltség!$U415,Admin!$B$18,Admin!$B$17)),
"")</f>
        <v>FEOR</v>
      </c>
      <c r="C415" s="265">
        <f>IFERROR(INDEX('Historikus berek_2021-2'!$A$1:$F$903,MATCH(AB415,'Historikus berek_2021-2'!$A$1:$A$903,0),4),"")</f>
        <v>476333.33333333331</v>
      </c>
      <c r="D415" s="279">
        <f t="shared" si="814"/>
        <v>380519.15708812256</v>
      </c>
      <c r="E415" s="265">
        <f t="shared" si="815"/>
        <v>397828</v>
      </c>
      <c r="F415" s="266">
        <f t="shared" si="816"/>
        <v>17308.842911877437</v>
      </c>
      <c r="G415" s="267">
        <f t="shared" si="817"/>
        <v>380519.15708812256</v>
      </c>
      <c r="H415" s="268">
        <f>IFERROR(INDEX('FEOR kodok'!$A$2:$J$1126,MATCH(Bérköltség!AB415,'FEOR kodok'!$B$2:$B$1126,0),8),"NA")</f>
        <v>3910</v>
      </c>
      <c r="I415" s="269">
        <f>IFERROR(INDEX('FEOR kodok'!$A$2:$J$1126,MATCH(Bérköltség!AB415,'FEOR kodok'!$B$2:$B$1126,0),10),"NA")</f>
        <v>65</v>
      </c>
      <c r="J415" s="276" t="str">
        <f t="shared" si="818"/>
        <v>50 év és afelett</v>
      </c>
      <c r="K415" s="269" t="str">
        <f>IFERROR(INDEX(admin_feor[#All],MATCH(Bérköltség!H415,admin_feor[[#All],[Foglalkozás]],0),2),"NA")</f>
        <v>Egyéb ügyintéző</v>
      </c>
      <c r="L415" s="270">
        <f>IFERROR(
INDEX('Admin - FEOR'!$A$4:$F$465,MATCH(Bérköltség!H415,'Admin - FEOR'!$A$4:$A$465,0),
IF(J415="30 év alatt",3,
IF(J415="30–39 éves",4,
IF(J415="40–49 éves",5,
IF(J415="50 év és afelett",6
)))))*1,"NA")</f>
        <v>399150</v>
      </c>
      <c r="M415" s="270">
        <f t="shared" si="819"/>
        <v>498000</v>
      </c>
      <c r="N415" s="318">
        <f t="shared" si="820"/>
        <v>1.247651258925216</v>
      </c>
      <c r="O415" s="270">
        <f>IFERROR(
INDEX('Admin - FEOR'!$A$4:$F$465,MATCH(Bérköltség!H415,'Admin - FEOR'!$A$4:$A$465,0),
IF(J415="30 év alatt",3,
IF(J415="30–39 éves",4,
IF(J415="40–49 éves",5,
IF(J415="50 év és afelett",6
)))))*1.5,"NA")</f>
        <v>598725</v>
      </c>
      <c r="P415" s="270">
        <f t="shared" si="821"/>
        <v>478291.81034482759</v>
      </c>
      <c r="Q415" s="270">
        <f t="shared" si="822"/>
        <v>397828</v>
      </c>
      <c r="R415" s="275">
        <f t="shared" si="823"/>
        <v>0.79885057471264365</v>
      </c>
      <c r="S415" s="270">
        <f t="shared" si="824"/>
        <v>0</v>
      </c>
      <c r="T415" s="270">
        <f t="shared" si="825"/>
        <v>0</v>
      </c>
      <c r="U415" s="271">
        <f t="shared" si="826"/>
        <v>0</v>
      </c>
      <c r="V415" s="272">
        <f t="shared" si="827"/>
        <v>397828</v>
      </c>
      <c r="W415" s="273" t="str">
        <f t="shared" si="828"/>
        <v>Indoklás szükséges mivel a FEOR: 124,8%</v>
      </c>
      <c r="X415" s="372">
        <f t="shared" si="829"/>
        <v>0</v>
      </c>
      <c r="Y415" s="317">
        <f t="shared" si="830"/>
        <v>397828</v>
      </c>
      <c r="Z415" s="317">
        <f t="shared" si="831"/>
        <v>0</v>
      </c>
      <c r="AA415" s="12">
        <v>2</v>
      </c>
      <c r="AB415" s="274">
        <v>8332374189</v>
      </c>
      <c r="AC415" s="40" t="s">
        <v>339</v>
      </c>
      <c r="AD415" s="82" t="s">
        <v>75</v>
      </c>
      <c r="AE415" s="41" t="s">
        <v>54</v>
      </c>
      <c r="AF415" s="11" t="s">
        <v>159</v>
      </c>
      <c r="AG415" s="11" t="s">
        <v>166</v>
      </c>
      <c r="AH415" s="14" t="s">
        <v>122</v>
      </c>
      <c r="AI415" s="86" t="s">
        <v>33</v>
      </c>
      <c r="AJ415" s="113" t="str">
        <f>IF(COUNTIFS(Admin!$A$29:$A$40,AI415)&gt;0,Admin!$A$28,IF(COUNTIFS(Admin!$B$29:$B$40,AI415)&gt;0,Admin!$B$28,IF(COUNTIFS(Admin!$C$29:$C$40,AI415)&gt;0,Admin!$C$28,IF(COUNTIFS(Admin!$D$29:$D$40,AI415)&gt;0,Admin!$D$28,"-"))))</f>
        <v>2. mérföldkő</v>
      </c>
      <c r="AK415" s="14" t="s">
        <v>7</v>
      </c>
      <c r="AL415" s="9" t="s">
        <v>56</v>
      </c>
      <c r="AM415" s="131">
        <v>498000</v>
      </c>
      <c r="AN415" s="132">
        <v>0</v>
      </c>
      <c r="AO415" s="121">
        <v>174</v>
      </c>
      <c r="AP415" s="121">
        <v>139</v>
      </c>
      <c r="AQ415" s="354">
        <f t="shared" si="943"/>
        <v>0.79885057471264365</v>
      </c>
      <c r="AR415" s="133">
        <f t="shared" si="861"/>
        <v>397828</v>
      </c>
      <c r="AS415" s="133">
        <f>IFERROR(ROUND(AR415*AU415,0),"")</f>
        <v>0</v>
      </c>
      <c r="AT415" s="123">
        <f t="shared" si="944"/>
        <v>-8.3090984626110753E-7</v>
      </c>
      <c r="AU415" s="393">
        <f>AN415/AM415</f>
        <v>0</v>
      </c>
      <c r="AV415" s="394" t="s">
        <v>2798</v>
      </c>
      <c r="AW415" s="15">
        <v>44908</v>
      </c>
      <c r="AX415" s="12" t="s">
        <v>206</v>
      </c>
      <c r="AZ415" s="8" t="str">
        <f>IF(VLOOKUP(LEFT($AB415,10),'Havi béradatok'!$B:$E,2,FALSE)=AG415,"EGYEZIK","HIBÁS")</f>
        <v>EGYEZIK</v>
      </c>
      <c r="BA415" s="1">
        <f>VLOOKUP(LEFT($AB415,10),'Havi béradatok'!$B:$E,3,FALSE)-AM415</f>
        <v>0</v>
      </c>
      <c r="BB415" s="391">
        <f>VLOOKUP(LEFT($AB415,10),'Havi béradatok'!$B:$E,4,FALSE)-AN415</f>
        <v>0</v>
      </c>
      <c r="BC415" s="1" t="s">
        <v>2850</v>
      </c>
      <c r="BD415" s="1" t="str">
        <f t="shared" si="942"/>
        <v>Segédszemélyzet_NK_4 - Segédszemélyzet</v>
      </c>
    </row>
    <row r="416" spans="1:56" s="1" customFormat="1" ht="18" hidden="1" customHeight="1" x14ac:dyDescent="0.25">
      <c r="A416" s="264" t="str">
        <f>Bérköltség!$B416</f>
        <v>FEOR</v>
      </c>
      <c r="B416" s="264" t="str">
        <f>IFERROR(
IF(AND(Bérköltség!$F416="",H416="NA"),"HIÁNYOS ADATOK",
IF(Bérköltség!$F416&lt;Bérköltség!$U416,Admin!$B$18,Admin!$B$17)),
"")</f>
        <v>FEOR</v>
      </c>
      <c r="C416" s="265">
        <f>IFERROR(INDEX('Historikus berek_2021-2'!$A$1:$F$903,MATCH(AB416,'Historikus berek_2021-2'!$A$1:$A$903,0),4),"")</f>
        <v>476333.33333333331</v>
      </c>
      <c r="D416" s="279">
        <f t="shared" si="814"/>
        <v>380519.15708812256</v>
      </c>
      <c r="E416" s="265">
        <f t="shared" si="815"/>
        <v>397828</v>
      </c>
      <c r="F416" s="266">
        <f t="shared" si="816"/>
        <v>17308.842911877437</v>
      </c>
      <c r="G416" s="267">
        <f t="shared" si="817"/>
        <v>380519.15708812256</v>
      </c>
      <c r="H416" s="268">
        <f>IFERROR(INDEX('FEOR kodok'!$A$2:$J$1126,MATCH(Bérköltség!AB416,'FEOR kodok'!$B$2:$B$1126,0),8),"NA")</f>
        <v>3910</v>
      </c>
      <c r="I416" s="269">
        <f>IFERROR(INDEX('FEOR kodok'!$A$2:$J$1126,MATCH(Bérköltség!AB416,'FEOR kodok'!$B$2:$B$1126,0),10),"NA")</f>
        <v>65</v>
      </c>
      <c r="J416" s="276" t="str">
        <f t="shared" si="818"/>
        <v>50 év és afelett</v>
      </c>
      <c r="K416" s="269" t="str">
        <f>IFERROR(INDEX(admin_feor[#All],MATCH(Bérköltség!H416,admin_feor[[#All],[Foglalkozás]],0),2),"NA")</f>
        <v>Egyéb ügyintéző</v>
      </c>
      <c r="L416" s="270">
        <f>IFERROR(
INDEX('Admin - FEOR'!$A$4:$F$465,MATCH(Bérköltség!H416,'Admin - FEOR'!$A$4:$A$465,0),
IF(J416="30 év alatt",3,
IF(J416="30–39 éves",4,
IF(J416="40–49 éves",5,
IF(J416="50 év és afelett",6
)))))*1,"NA")</f>
        <v>399150</v>
      </c>
      <c r="M416" s="270">
        <f t="shared" si="819"/>
        <v>498000</v>
      </c>
      <c r="N416" s="318">
        <f t="shared" si="820"/>
        <v>1.247651258925216</v>
      </c>
      <c r="O416" s="270">
        <f>IFERROR(
INDEX('Admin - FEOR'!$A$4:$F$465,MATCH(Bérköltség!H416,'Admin - FEOR'!$A$4:$A$465,0),
IF(J416="30 év alatt",3,
IF(J416="30–39 éves",4,
IF(J416="40–49 éves",5,
IF(J416="50 év és afelett",6
)))))*1.5,"NA")</f>
        <v>598725</v>
      </c>
      <c r="P416" s="270">
        <f t="shared" si="821"/>
        <v>478291.81034482759</v>
      </c>
      <c r="Q416" s="270">
        <f t="shared" si="822"/>
        <v>397828</v>
      </c>
      <c r="R416" s="275">
        <f t="shared" si="823"/>
        <v>0.79885057471264365</v>
      </c>
      <c r="S416" s="270">
        <f t="shared" si="824"/>
        <v>0</v>
      </c>
      <c r="T416" s="270">
        <f t="shared" si="825"/>
        <v>0</v>
      </c>
      <c r="U416" s="271">
        <f t="shared" si="826"/>
        <v>0</v>
      </c>
      <c r="V416" s="272">
        <f t="shared" si="827"/>
        <v>397828</v>
      </c>
      <c r="W416" s="273" t="str">
        <f t="shared" si="828"/>
        <v>Indoklás szükséges mivel a FEOR: 124,8%</v>
      </c>
      <c r="X416" s="372">
        <f t="shared" si="829"/>
        <v>0</v>
      </c>
      <c r="Y416" s="317">
        <f t="shared" si="830"/>
        <v>397828</v>
      </c>
      <c r="Z416" s="317">
        <f t="shared" si="831"/>
        <v>0</v>
      </c>
      <c r="AA416" s="12">
        <v>2</v>
      </c>
      <c r="AB416" s="274">
        <v>8332374189</v>
      </c>
      <c r="AC416" s="40" t="s">
        <v>339</v>
      </c>
      <c r="AD416" s="82" t="s">
        <v>75</v>
      </c>
      <c r="AE416" s="41" t="s">
        <v>54</v>
      </c>
      <c r="AF416" s="11" t="s">
        <v>159</v>
      </c>
      <c r="AG416" s="11" t="s">
        <v>166</v>
      </c>
      <c r="AH416" s="14" t="s">
        <v>122</v>
      </c>
      <c r="AI416" s="86" t="s">
        <v>34</v>
      </c>
      <c r="AJ416" s="113" t="str">
        <f>IF(COUNTIFS(Admin!$A$29:$A$40,AI416)&gt;0,Admin!$A$28,IF(COUNTIFS(Admin!$B$29:$B$40,AI416)&gt;0,Admin!$B$28,IF(COUNTIFS(Admin!$C$29:$C$40,AI416)&gt;0,Admin!$C$28,IF(COUNTIFS(Admin!$D$29:$D$40,AI416)&gt;0,Admin!$D$28,"-"))))</f>
        <v>2. mérföldkő</v>
      </c>
      <c r="AK416" s="14" t="s">
        <v>7</v>
      </c>
      <c r="AL416" s="9" t="s">
        <v>56</v>
      </c>
      <c r="AM416" s="131">
        <v>498000</v>
      </c>
      <c r="AN416" s="132">
        <v>0</v>
      </c>
      <c r="AO416" s="121">
        <v>174</v>
      </c>
      <c r="AP416" s="121">
        <v>139</v>
      </c>
      <c r="AQ416" s="354">
        <f t="shared" si="943"/>
        <v>0.79885057471264365</v>
      </c>
      <c r="AR416" s="133">
        <f t="shared" si="861"/>
        <v>397828</v>
      </c>
      <c r="AS416" s="133">
        <f t="shared" si="500"/>
        <v>0</v>
      </c>
      <c r="AT416" s="123">
        <f t="shared" si="944"/>
        <v>-8.3090984626110753E-7</v>
      </c>
      <c r="AU416" s="393">
        <f>AN416/AM416</f>
        <v>0</v>
      </c>
      <c r="AV416" s="394" t="s">
        <v>2798</v>
      </c>
      <c r="AW416" s="15">
        <v>44908</v>
      </c>
      <c r="AX416" s="12" t="s">
        <v>206</v>
      </c>
      <c r="BC416" s="1" t="s">
        <v>2850</v>
      </c>
      <c r="BD416" s="1" t="str">
        <f t="shared" si="942"/>
        <v>Segédszemélyzet_NK_4 - Segédszemélyzet</v>
      </c>
    </row>
    <row r="417" spans="1:56" s="1" customFormat="1" ht="18" customHeight="1" x14ac:dyDescent="0.25">
      <c r="A417" s="264" t="str">
        <f>Bérköltség!$B417</f>
        <v>FEOR</v>
      </c>
      <c r="B417" s="264" t="str">
        <f>IFERROR(
IF(AND(Bérköltség!$F417="",H417="NA"),"HIÁNYOS ADATOK",
IF(Bérköltség!$F417&lt;Bérköltség!$U417,Admin!$B$18,Admin!$B$17)),
"")</f>
        <v>FEOR</v>
      </c>
      <c r="C417" s="265">
        <f>IFERROR(INDEX('Historikus berek_2021-2'!$A$1:$F$903,MATCH(AB417,'Historikus berek_2021-2'!$A$1:$A$903,0),4),"")</f>
        <v>476333.33333333331</v>
      </c>
      <c r="D417" s="279">
        <f t="shared" ref="D417:D422" si="945">IFERROR(C417*AQ417,"")</f>
        <v>380519.15708812256</v>
      </c>
      <c r="E417" s="265">
        <f t="shared" ref="E417:E422" si="946">AR417</f>
        <v>397828</v>
      </c>
      <c r="F417" s="266">
        <f t="shared" ref="F417:F422" si="947">IFERROR(IF((E417*(1+AU417)-D417*(1+AU417))&lt;0,0,(E417*(1+AU417)-D417*(1+AU417))),"")</f>
        <v>17308.842911877437</v>
      </c>
      <c r="G417" s="267">
        <f t="shared" ref="G417:G422" si="948">IFERROR((E417*(1+AU417)-F417),"")</f>
        <v>380519.15708812256</v>
      </c>
      <c r="H417" s="268">
        <f>IFERROR(INDEX('FEOR kodok'!$A$2:$J$1126,MATCH(Bérköltség!AB417,'FEOR kodok'!$B$2:$B$1126,0),8),"NA")</f>
        <v>3910</v>
      </c>
      <c r="I417" s="269">
        <f>IFERROR(INDEX('FEOR kodok'!$A$2:$J$1126,MATCH(Bérköltség!AB417,'FEOR kodok'!$B$2:$B$1126,0),10),"NA")</f>
        <v>65</v>
      </c>
      <c r="J417" s="276" t="str">
        <f t="shared" ref="J417:J422" si="949">IF(I417="NA","NA",
IF(I417&lt;30,"30 év alatt",
IF(AND(I417&gt;=30,I417&lt;=39),"30–39 éves",
IF(AND(I417&gt;=40,I417&lt;=49),"40–49 éves",
IF(I417&gt;=50,"50 év és afelett",
"")))))</f>
        <v>50 év és afelett</v>
      </c>
      <c r="K417" s="269" t="str">
        <f>IFERROR(INDEX(admin_feor[#All],MATCH(Bérköltség!H417,admin_feor[[#All],[Foglalkozás]],0),2),"NA")</f>
        <v>Egyéb ügyintéző</v>
      </c>
      <c r="L417" s="270">
        <f>IFERROR(
INDEX('Admin - FEOR'!$A$4:$F$465,MATCH(Bérköltség!H417,'Admin - FEOR'!$A$4:$A$465,0),
IF(J417="30 év alatt",3,
IF(J417="30–39 éves",4,
IF(J417="40–49 éves",5,
IF(J417="50 év és afelett",6
)))))*1,"NA")</f>
        <v>399150</v>
      </c>
      <c r="M417" s="270">
        <f t="shared" ref="M417:M422" si="950">AM417</f>
        <v>498000</v>
      </c>
      <c r="N417" s="318">
        <f t="shared" ref="N417:N422" si="951">IFERROR(
M417/L417,"NA")</f>
        <v>1.247651258925216</v>
      </c>
      <c r="O417" s="270">
        <f>IFERROR(
INDEX('Admin - FEOR'!$A$4:$F$465,MATCH(Bérköltség!H417,'Admin - FEOR'!$A$4:$A$465,0),
IF(J417="30 év alatt",3,
IF(J417="30–39 éves",4,
IF(J417="40–49 éves",5,
IF(J417="50 év és afelett",6
)))))*1.5,"NA")</f>
        <v>598725</v>
      </c>
      <c r="P417" s="270">
        <f t="shared" ref="P417:P422" si="952">IFERROR(
AQ417*O417,"NA")</f>
        <v>478291.81034482759</v>
      </c>
      <c r="Q417" s="270">
        <f t="shared" ref="Q417:Q422" si="953">IFERROR(AR417,"")</f>
        <v>397828</v>
      </c>
      <c r="R417" s="275">
        <f t="shared" ref="R417:R422" si="954">IFERROR(AQ417,"")</f>
        <v>0.79885057471264365</v>
      </c>
      <c r="S417" s="270">
        <f t="shared" ref="S417:S422" si="955">IFERROR(
IF(AR417-P417&lt;0,0,AR417-P417),"NA")</f>
        <v>0</v>
      </c>
      <c r="T417" s="270">
        <f t="shared" ref="T417:T422" si="956">IFERROR(
S417*AU417,"NA")</f>
        <v>0</v>
      </c>
      <c r="U417" s="271">
        <f t="shared" ref="U417:U422" si="957">IFERROR(
S417+T417,"NA")</f>
        <v>0</v>
      </c>
      <c r="V417" s="272">
        <f t="shared" ref="V417:V422" si="958">IFERROR(
IF(U417&gt;0,AR417+AS417-U417,AR417+AS417),"NA")</f>
        <v>397828</v>
      </c>
      <c r="W417" s="273" t="str">
        <f t="shared" ref="W417:W422" si="959">IF(P417="NA","FEOR hiányzik",
IF(AND(N417&gt;1,A417="FEOR"),CONCATENATE("Indoklás szükséges mivel a FEOR: ",ROUND(N417*100,1),"%"),"Nem szükséges indoklás.")
)</f>
        <v>Indoklás szükséges mivel a FEOR: 124,8%</v>
      </c>
      <c r="X417" s="372">
        <f t="shared" ref="X417:X422" si="960">IF(A417="FEOR",U417,IF(A417="HIÁNYOS ADATOK","HIÁNYOS ADATOK",F417))</f>
        <v>0</v>
      </c>
      <c r="Y417" s="317">
        <f t="shared" ref="Y417:Y422" si="961">IF(A417="FEOR",ROUND((V417/(1+AU417)),0),IF(A417="HIÁNYOS ADATOK","HIÁNYOS ADATOK",ROUND(G417/(1+AU417),0)))</f>
        <v>397828</v>
      </c>
      <c r="Z417" s="317">
        <f t="shared" ref="Z417:Z422" si="962">IF(A417="FEOR",ROUND((V417-Y417),0),IF(A417="HIÁNYOS ADATOK","HIÁNYOS ADATOK",ROUND((G417-Y417),0)))</f>
        <v>0</v>
      </c>
      <c r="AA417" s="36"/>
      <c r="AB417" s="274">
        <v>8332374189</v>
      </c>
      <c r="AC417" s="40" t="s">
        <v>339</v>
      </c>
      <c r="AD417" s="82" t="s">
        <v>75</v>
      </c>
      <c r="AE417" s="41" t="s">
        <v>54</v>
      </c>
      <c r="AF417" s="11" t="s">
        <v>159</v>
      </c>
      <c r="AG417" s="11" t="s">
        <v>166</v>
      </c>
      <c r="AH417" s="14" t="s">
        <v>122</v>
      </c>
      <c r="AI417" s="86" t="s">
        <v>35</v>
      </c>
      <c r="AJ417" s="113" t="str">
        <f>IF(COUNTIFS(Admin!$A$29:$A$40,AI417)&gt;0,Admin!$A$28,IF(COUNTIFS(Admin!$B$29:$B$40,AI417)&gt;0,Admin!$B$28,IF(COUNTIFS(Admin!$C$29:$C$40,AI417)&gt;0,Admin!$C$28,IF(COUNTIFS(Admin!$D$29:$D$40,AI417)&gt;0,Admin!$D$28,"-"))))</f>
        <v>3. mérföldkő</v>
      </c>
      <c r="AK417" s="14" t="s">
        <v>7</v>
      </c>
      <c r="AL417" s="9" t="s">
        <v>56</v>
      </c>
      <c r="AM417" s="131">
        <v>498000</v>
      </c>
      <c r="AN417" s="132">
        <v>0</v>
      </c>
      <c r="AO417" s="121">
        <v>174</v>
      </c>
      <c r="AP417" s="121">
        <v>139</v>
      </c>
      <c r="AQ417" s="354">
        <f t="shared" ref="AQ417" si="963">IFERROR(AP417/AO417,"")</f>
        <v>0.79885057471264365</v>
      </c>
      <c r="AR417" s="133">
        <f t="shared" ref="AR417" si="964">IFERROR(ROUND(AM417*AP417/AO417,0),"")</f>
        <v>397828</v>
      </c>
      <c r="AS417" s="133">
        <f t="shared" ref="AS417" si="965">IFERROR(ROUND(AR417*AU417,0),"")</f>
        <v>0</v>
      </c>
      <c r="AT417" s="123">
        <f t="shared" ref="AT417" si="966">IFERROR(AP417/AO417-AR417/AM417,"")</f>
        <v>-8.3090984626110753E-7</v>
      </c>
      <c r="AU417" s="393">
        <f t="shared" ref="AU417:AU422" si="967">AN417/AM417</f>
        <v>0</v>
      </c>
      <c r="AV417" s="394" t="s">
        <v>2798</v>
      </c>
      <c r="AW417" s="15">
        <v>44995</v>
      </c>
      <c r="AX417" s="12" t="s">
        <v>206</v>
      </c>
      <c r="AZ417" s="1" t="str">
        <f>IF(VLOOKUP(LEFT($AB417,10),'Havi béradatok'!$B:$E,2,FALSE)=AG417,"EGYEZIK","HIBÁS")</f>
        <v>EGYEZIK</v>
      </c>
      <c r="BA417" s="1">
        <f>VLOOKUP(LEFT($AB417,10),'Havi béradatok'!$B:$E,3,FALSE)-AM417</f>
        <v>0</v>
      </c>
      <c r="BB417" s="1">
        <f>VLOOKUP(LEFT($AB417,10),'Havi béradatok'!$B:$E,4,FALSE)-AN417</f>
        <v>0</v>
      </c>
      <c r="BC417" s="400" t="s">
        <v>2850</v>
      </c>
      <c r="BD417" s="400"/>
    </row>
    <row r="418" spans="1:56" s="1" customFormat="1" ht="18" hidden="1" customHeight="1" x14ac:dyDescent="0.25">
      <c r="A418" s="264" t="str">
        <f>Bérköltség!$B418</f>
        <v>FEOR</v>
      </c>
      <c r="B418" s="264" t="str">
        <f>IFERROR(
IF(AND(Bérköltség!$F418="",H418="NA"),"HIÁNYOS ADATOK",
IF(Bérköltség!$F418&lt;Bérköltség!$U418,Admin!$B$18,Admin!$B$17)),
"")</f>
        <v>FEOR</v>
      </c>
      <c r="C418" s="265">
        <f>IFERROR(INDEX('Historikus berek_2021-2'!$A$1:$F$903,MATCH(AB418,'Historikus berek_2021-2'!$A$1:$A$903,0),4),"")</f>
        <v>476333.33333333331</v>
      </c>
      <c r="D418" s="279">
        <f t="shared" si="945"/>
        <v>380519.15708812256</v>
      </c>
      <c r="E418" s="265">
        <f t="shared" si="946"/>
        <v>397828</v>
      </c>
      <c r="F418" s="266">
        <f t="shared" si="947"/>
        <v>17308.842911877437</v>
      </c>
      <c r="G418" s="267">
        <f t="shared" si="948"/>
        <v>380519.15708812256</v>
      </c>
      <c r="H418" s="268">
        <f>IFERROR(INDEX('FEOR kodok'!$A$2:$J$1126,MATCH(Bérköltség!AB418,'FEOR kodok'!$B$2:$B$1126,0),8),"NA")</f>
        <v>3910</v>
      </c>
      <c r="I418" s="269">
        <f>IFERROR(INDEX('FEOR kodok'!$A$2:$J$1126,MATCH(Bérköltség!AB418,'FEOR kodok'!$B$2:$B$1126,0),10),"NA")</f>
        <v>65</v>
      </c>
      <c r="J418" s="276" t="str">
        <f t="shared" si="949"/>
        <v>50 év és afelett</v>
      </c>
      <c r="K418" s="269" t="str">
        <f>IFERROR(INDEX(admin_feor[#All],MATCH(Bérköltség!H418,admin_feor[[#All],[Foglalkozás]],0),2),"NA")</f>
        <v>Egyéb ügyintéző</v>
      </c>
      <c r="L418" s="270">
        <f>IFERROR(
INDEX('Admin - FEOR'!$A$4:$F$465,MATCH(Bérköltség!H418,'Admin - FEOR'!$A$4:$A$465,0),
IF(J418="30 év alatt",3,
IF(J418="30–39 éves",4,
IF(J418="40–49 éves",5,
IF(J418="50 év és afelett",6
)))))*1,"NA")</f>
        <v>399150</v>
      </c>
      <c r="M418" s="270">
        <f t="shared" si="950"/>
        <v>498000</v>
      </c>
      <c r="N418" s="318">
        <f t="shared" si="951"/>
        <v>1.247651258925216</v>
      </c>
      <c r="O418" s="270">
        <f>IFERROR(
INDEX('Admin - FEOR'!$A$4:$F$465,MATCH(Bérköltség!H418,'Admin - FEOR'!$A$4:$A$465,0),
IF(J418="30 év alatt",3,
IF(J418="30–39 éves",4,
IF(J418="40–49 éves",5,
IF(J418="50 év és afelett",6
)))))*1.5,"NA")</f>
        <v>598725</v>
      </c>
      <c r="P418" s="270">
        <f t="shared" si="952"/>
        <v>478291.81034482759</v>
      </c>
      <c r="Q418" s="270">
        <f t="shared" si="953"/>
        <v>397828</v>
      </c>
      <c r="R418" s="275">
        <f t="shared" si="954"/>
        <v>0.79885057471264365</v>
      </c>
      <c r="S418" s="270">
        <f t="shared" si="955"/>
        <v>0</v>
      </c>
      <c r="T418" s="270">
        <f t="shared" si="956"/>
        <v>0</v>
      </c>
      <c r="U418" s="271">
        <f t="shared" si="957"/>
        <v>0</v>
      </c>
      <c r="V418" s="272">
        <f t="shared" si="958"/>
        <v>397828</v>
      </c>
      <c r="W418" s="273" t="str">
        <f t="shared" si="959"/>
        <v>Indoklás szükséges mivel a FEOR: 124,8%</v>
      </c>
      <c r="X418" s="372">
        <f t="shared" si="960"/>
        <v>0</v>
      </c>
      <c r="Y418" s="317">
        <f t="shared" si="961"/>
        <v>397828</v>
      </c>
      <c r="Z418" s="317">
        <f t="shared" si="962"/>
        <v>0</v>
      </c>
      <c r="AA418" s="36"/>
      <c r="AB418" s="274">
        <v>8332374189</v>
      </c>
      <c r="AC418" s="40" t="s">
        <v>339</v>
      </c>
      <c r="AD418" s="82" t="s">
        <v>75</v>
      </c>
      <c r="AE418" s="41" t="s">
        <v>54</v>
      </c>
      <c r="AF418" s="11" t="s">
        <v>159</v>
      </c>
      <c r="AG418" s="11" t="s">
        <v>166</v>
      </c>
      <c r="AH418" s="14" t="s">
        <v>122</v>
      </c>
      <c r="AI418" s="86" t="s">
        <v>36</v>
      </c>
      <c r="AJ418" s="113" t="str">
        <f>IF(COUNTIFS(Admin!$A$29:$A$40,AI418)&gt;0,Admin!$A$28,IF(COUNTIFS(Admin!$B$29:$B$40,AI418)&gt;0,Admin!$B$28,IF(COUNTIFS(Admin!$C$29:$C$40,AI418)&gt;0,Admin!$C$28,IF(COUNTIFS(Admin!$D$29:$D$40,AI418)&gt;0,Admin!$D$28,"-"))))</f>
        <v>3. mérföldkő</v>
      </c>
      <c r="AK418" s="14" t="s">
        <v>141</v>
      </c>
      <c r="AL418" s="9" t="s">
        <v>56</v>
      </c>
      <c r="AM418" s="131">
        <v>498000</v>
      </c>
      <c r="AN418" s="132">
        <v>0</v>
      </c>
      <c r="AO418" s="121">
        <v>174</v>
      </c>
      <c r="AP418" s="121">
        <v>139</v>
      </c>
      <c r="AQ418" s="354">
        <f t="shared" ref="AQ418:AQ422" si="968">IFERROR(AP418/AO418,"")</f>
        <v>0.79885057471264365</v>
      </c>
      <c r="AR418" s="133">
        <f t="shared" ref="AR418:AR422" si="969">IFERROR(ROUND(AM418*AP418/AO418,0),"")</f>
        <v>397828</v>
      </c>
      <c r="AS418" s="133">
        <f t="shared" ref="AS418:AS422" si="970">IFERROR(ROUND(AR418*AU418,0),"")</f>
        <v>0</v>
      </c>
      <c r="AT418" s="123">
        <f t="shared" ref="AT418:AT422" si="971">IFERROR(AP418/AO418-AR418/AM418,"")</f>
        <v>-8.3090984626110753E-7</v>
      </c>
      <c r="AU418" s="393">
        <f t="shared" si="967"/>
        <v>0</v>
      </c>
      <c r="AV418" s="394" t="s">
        <v>2798</v>
      </c>
      <c r="AW418" s="15">
        <v>44995</v>
      </c>
      <c r="AX418" s="12" t="s">
        <v>206</v>
      </c>
      <c r="BC418" s="1" t="s">
        <v>2850</v>
      </c>
    </row>
    <row r="419" spans="1:56" s="1" customFormat="1" ht="18" hidden="1" customHeight="1" x14ac:dyDescent="0.25">
      <c r="A419" s="264" t="str">
        <f>Bérköltség!$B419</f>
        <v>FEOR</v>
      </c>
      <c r="B419" s="264" t="str">
        <f>IFERROR(
IF(AND(Bérköltség!$F419="",H419="NA"),"HIÁNYOS ADATOK",
IF(Bérköltség!$F419&lt;Bérköltség!$U419,Admin!$B$18,Admin!$B$17)),
"")</f>
        <v>FEOR</v>
      </c>
      <c r="C419" s="265">
        <f>IFERROR(INDEX('Historikus berek_2021-2'!$A$1:$F$903,MATCH(AB419,'Historikus berek_2021-2'!$A$1:$A$903,0),4),"")</f>
        <v>476333.33333333331</v>
      </c>
      <c r="D419" s="279">
        <f t="shared" si="945"/>
        <v>380519.15708812256</v>
      </c>
      <c r="E419" s="265">
        <f t="shared" si="946"/>
        <v>397828</v>
      </c>
      <c r="F419" s="266">
        <f t="shared" si="947"/>
        <v>17308.842911877437</v>
      </c>
      <c r="G419" s="267">
        <f t="shared" si="948"/>
        <v>380519.15708812256</v>
      </c>
      <c r="H419" s="268">
        <f>IFERROR(INDEX('FEOR kodok'!$A$2:$J$1126,MATCH(Bérköltség!AB419,'FEOR kodok'!$B$2:$B$1126,0),8),"NA")</f>
        <v>3910</v>
      </c>
      <c r="I419" s="269">
        <f>IFERROR(INDEX('FEOR kodok'!$A$2:$J$1126,MATCH(Bérköltség!AB419,'FEOR kodok'!$B$2:$B$1126,0),10),"NA")</f>
        <v>65</v>
      </c>
      <c r="J419" s="276" t="str">
        <f t="shared" si="949"/>
        <v>50 év és afelett</v>
      </c>
      <c r="K419" s="269" t="str">
        <f>IFERROR(INDEX(admin_feor[#All],MATCH(Bérköltség!H419,admin_feor[[#All],[Foglalkozás]],0),2),"NA")</f>
        <v>Egyéb ügyintéző</v>
      </c>
      <c r="L419" s="270">
        <f>IFERROR(
INDEX('Admin - FEOR'!$A$4:$F$465,MATCH(Bérköltség!H419,'Admin - FEOR'!$A$4:$A$465,0),
IF(J419="30 év alatt",3,
IF(J419="30–39 éves",4,
IF(J419="40–49 éves",5,
IF(J419="50 év és afelett",6
)))))*1,"NA")</f>
        <v>399150</v>
      </c>
      <c r="M419" s="270">
        <f t="shared" si="950"/>
        <v>498000</v>
      </c>
      <c r="N419" s="318">
        <f t="shared" si="951"/>
        <v>1.247651258925216</v>
      </c>
      <c r="O419" s="270">
        <f>IFERROR(
INDEX('Admin - FEOR'!$A$4:$F$465,MATCH(Bérköltség!H419,'Admin - FEOR'!$A$4:$A$465,0),
IF(J419="30 év alatt",3,
IF(J419="30–39 éves",4,
IF(J419="40–49 éves",5,
IF(J419="50 év és afelett",6
)))))*1.5,"NA")</f>
        <v>598725</v>
      </c>
      <c r="P419" s="270">
        <f t="shared" si="952"/>
        <v>478291.81034482759</v>
      </c>
      <c r="Q419" s="270">
        <f t="shared" si="953"/>
        <v>397828</v>
      </c>
      <c r="R419" s="275">
        <f t="shared" si="954"/>
        <v>0.79885057471264365</v>
      </c>
      <c r="S419" s="270">
        <f t="shared" si="955"/>
        <v>0</v>
      </c>
      <c r="T419" s="270">
        <f t="shared" si="956"/>
        <v>0</v>
      </c>
      <c r="U419" s="271">
        <f t="shared" si="957"/>
        <v>0</v>
      </c>
      <c r="V419" s="272">
        <f t="shared" si="958"/>
        <v>397828</v>
      </c>
      <c r="W419" s="273" t="str">
        <f t="shared" si="959"/>
        <v>Indoklás szükséges mivel a FEOR: 124,8%</v>
      </c>
      <c r="X419" s="372">
        <f t="shared" si="960"/>
        <v>0</v>
      </c>
      <c r="Y419" s="317">
        <f t="shared" si="961"/>
        <v>397828</v>
      </c>
      <c r="Z419" s="317">
        <f t="shared" si="962"/>
        <v>0</v>
      </c>
      <c r="AA419" s="36"/>
      <c r="AB419" s="274">
        <v>8332374189</v>
      </c>
      <c r="AC419" s="40" t="s">
        <v>339</v>
      </c>
      <c r="AD419" s="82" t="s">
        <v>75</v>
      </c>
      <c r="AE419" s="41" t="s">
        <v>54</v>
      </c>
      <c r="AF419" s="11" t="s">
        <v>159</v>
      </c>
      <c r="AG419" s="11" t="s">
        <v>166</v>
      </c>
      <c r="AH419" s="14" t="s">
        <v>122</v>
      </c>
      <c r="AI419" s="86" t="s">
        <v>37</v>
      </c>
      <c r="AJ419" s="113" t="str">
        <f>IF(COUNTIFS(Admin!$A$29:$A$40,AI419)&gt;0,Admin!$A$28,IF(COUNTIFS(Admin!$B$29:$B$40,AI419)&gt;0,Admin!$B$28,IF(COUNTIFS(Admin!$C$29:$C$40,AI419)&gt;0,Admin!$C$28,IF(COUNTIFS(Admin!$D$29:$D$40,AI419)&gt;0,Admin!$D$28,"-"))))</f>
        <v>3. mérföldkő</v>
      </c>
      <c r="AK419" s="14" t="s">
        <v>141</v>
      </c>
      <c r="AL419" s="9" t="s">
        <v>56</v>
      </c>
      <c r="AM419" s="131">
        <v>498000</v>
      </c>
      <c r="AN419" s="132">
        <v>0</v>
      </c>
      <c r="AO419" s="121">
        <v>174</v>
      </c>
      <c r="AP419" s="121">
        <v>139</v>
      </c>
      <c r="AQ419" s="354">
        <f t="shared" si="968"/>
        <v>0.79885057471264365</v>
      </c>
      <c r="AR419" s="133">
        <f t="shared" si="969"/>
        <v>397828</v>
      </c>
      <c r="AS419" s="133">
        <f t="shared" si="970"/>
        <v>0</v>
      </c>
      <c r="AT419" s="123">
        <f t="shared" si="971"/>
        <v>-8.3090984626110753E-7</v>
      </c>
      <c r="AU419" s="393">
        <f t="shared" si="967"/>
        <v>0</v>
      </c>
      <c r="AV419" s="394" t="s">
        <v>2798</v>
      </c>
      <c r="AW419" s="15">
        <v>44995</v>
      </c>
      <c r="AX419" s="12" t="s">
        <v>206</v>
      </c>
      <c r="BC419" s="1" t="s">
        <v>2850</v>
      </c>
    </row>
    <row r="420" spans="1:56" s="1" customFormat="1" ht="18" hidden="1" customHeight="1" x14ac:dyDescent="0.25">
      <c r="A420" s="264" t="str">
        <f>Bérköltség!$B420</f>
        <v>FEOR</v>
      </c>
      <c r="B420" s="264" t="str">
        <f>IFERROR(
IF(AND(Bérköltség!$F420="",H420="NA"),"HIÁNYOS ADATOK",
IF(Bérköltség!$F420&lt;Bérköltség!$U420,Admin!$B$18,Admin!$B$17)),
"")</f>
        <v>FEOR</v>
      </c>
      <c r="C420" s="265">
        <f>IFERROR(INDEX('Historikus berek_2021-2'!$A$1:$F$903,MATCH(AB420,'Historikus berek_2021-2'!$A$1:$A$903,0),4),"")</f>
        <v>476333.33333333331</v>
      </c>
      <c r="D420" s="279">
        <f t="shared" si="945"/>
        <v>380519.15708812256</v>
      </c>
      <c r="E420" s="265">
        <f t="shared" si="946"/>
        <v>397828</v>
      </c>
      <c r="F420" s="266">
        <f t="shared" si="947"/>
        <v>17308.842911877437</v>
      </c>
      <c r="G420" s="267">
        <f t="shared" si="948"/>
        <v>380519.15708812256</v>
      </c>
      <c r="H420" s="268">
        <f>IFERROR(INDEX('FEOR kodok'!$A$2:$J$1126,MATCH(Bérköltség!AB420,'FEOR kodok'!$B$2:$B$1126,0),8),"NA")</f>
        <v>3910</v>
      </c>
      <c r="I420" s="269">
        <f>IFERROR(INDEX('FEOR kodok'!$A$2:$J$1126,MATCH(Bérköltség!AB420,'FEOR kodok'!$B$2:$B$1126,0),10),"NA")</f>
        <v>65</v>
      </c>
      <c r="J420" s="276" t="str">
        <f t="shared" si="949"/>
        <v>50 év és afelett</v>
      </c>
      <c r="K420" s="269" t="str">
        <f>IFERROR(INDEX(admin_feor[#All],MATCH(Bérköltség!H420,admin_feor[[#All],[Foglalkozás]],0),2),"NA")</f>
        <v>Egyéb ügyintéző</v>
      </c>
      <c r="L420" s="270">
        <f>IFERROR(
INDEX('Admin - FEOR'!$A$4:$F$465,MATCH(Bérköltség!H420,'Admin - FEOR'!$A$4:$A$465,0),
IF(J420="30 év alatt",3,
IF(J420="30–39 éves",4,
IF(J420="40–49 éves",5,
IF(J420="50 év és afelett",6
)))))*1,"NA")</f>
        <v>399150</v>
      </c>
      <c r="M420" s="270">
        <f t="shared" si="950"/>
        <v>498000</v>
      </c>
      <c r="N420" s="318">
        <f t="shared" si="951"/>
        <v>1.247651258925216</v>
      </c>
      <c r="O420" s="270">
        <f>IFERROR(
INDEX('Admin - FEOR'!$A$4:$F$465,MATCH(Bérköltség!H420,'Admin - FEOR'!$A$4:$A$465,0),
IF(J420="30 év alatt",3,
IF(J420="30–39 éves",4,
IF(J420="40–49 éves",5,
IF(J420="50 év és afelett",6
)))))*1.5,"NA")</f>
        <v>598725</v>
      </c>
      <c r="P420" s="270">
        <f t="shared" si="952"/>
        <v>478291.81034482759</v>
      </c>
      <c r="Q420" s="270">
        <f t="shared" si="953"/>
        <v>397828</v>
      </c>
      <c r="R420" s="275">
        <f t="shared" si="954"/>
        <v>0.79885057471264365</v>
      </c>
      <c r="S420" s="270">
        <f t="shared" si="955"/>
        <v>0</v>
      </c>
      <c r="T420" s="270">
        <f t="shared" si="956"/>
        <v>0</v>
      </c>
      <c r="U420" s="271">
        <f t="shared" si="957"/>
        <v>0</v>
      </c>
      <c r="V420" s="272">
        <f t="shared" si="958"/>
        <v>397828</v>
      </c>
      <c r="W420" s="273" t="str">
        <f t="shared" si="959"/>
        <v>Indoklás szükséges mivel a FEOR: 124,8%</v>
      </c>
      <c r="X420" s="372">
        <f t="shared" si="960"/>
        <v>0</v>
      </c>
      <c r="Y420" s="317">
        <f t="shared" si="961"/>
        <v>397828</v>
      </c>
      <c r="Z420" s="317">
        <f t="shared" si="962"/>
        <v>0</v>
      </c>
      <c r="AA420" s="36"/>
      <c r="AB420" s="274">
        <v>8332374189</v>
      </c>
      <c r="AC420" s="40" t="s">
        <v>339</v>
      </c>
      <c r="AD420" s="82" t="s">
        <v>75</v>
      </c>
      <c r="AE420" s="41" t="s">
        <v>54</v>
      </c>
      <c r="AF420" s="11" t="s">
        <v>159</v>
      </c>
      <c r="AG420" s="11" t="s">
        <v>166</v>
      </c>
      <c r="AH420" s="14" t="s">
        <v>122</v>
      </c>
      <c r="AI420" s="86" t="s">
        <v>38</v>
      </c>
      <c r="AJ420" s="113" t="str">
        <f>IF(COUNTIFS(Admin!$A$29:$A$40,AI420)&gt;0,Admin!$A$28,IF(COUNTIFS(Admin!$B$29:$B$40,AI420)&gt;0,Admin!$B$28,IF(COUNTIFS(Admin!$C$29:$C$40,AI420)&gt;0,Admin!$C$28,IF(COUNTIFS(Admin!$D$29:$D$40,AI420)&gt;0,Admin!$D$28,"-"))))</f>
        <v>3. mérföldkő</v>
      </c>
      <c r="AK420" s="14" t="s">
        <v>141</v>
      </c>
      <c r="AL420" s="9" t="s">
        <v>56</v>
      </c>
      <c r="AM420" s="131">
        <v>498000</v>
      </c>
      <c r="AN420" s="132">
        <v>0</v>
      </c>
      <c r="AO420" s="121">
        <v>174</v>
      </c>
      <c r="AP420" s="121">
        <v>139</v>
      </c>
      <c r="AQ420" s="354">
        <f t="shared" si="968"/>
        <v>0.79885057471264365</v>
      </c>
      <c r="AR420" s="133">
        <f t="shared" si="969"/>
        <v>397828</v>
      </c>
      <c r="AS420" s="133">
        <f t="shared" si="970"/>
        <v>0</v>
      </c>
      <c r="AT420" s="123">
        <f t="shared" si="971"/>
        <v>-8.3090984626110753E-7</v>
      </c>
      <c r="AU420" s="393">
        <f t="shared" si="967"/>
        <v>0</v>
      </c>
      <c r="AV420" s="394" t="s">
        <v>2798</v>
      </c>
      <c r="AW420" s="15">
        <v>44995</v>
      </c>
      <c r="AX420" s="12" t="s">
        <v>206</v>
      </c>
      <c r="BC420" s="1" t="s">
        <v>2850</v>
      </c>
    </row>
    <row r="421" spans="1:56" s="1" customFormat="1" ht="18" hidden="1" customHeight="1" x14ac:dyDescent="0.25">
      <c r="A421" s="264" t="str">
        <f>Bérköltség!$B421</f>
        <v>FEOR</v>
      </c>
      <c r="B421" s="264" t="str">
        <f>IFERROR(
IF(AND(Bérköltség!$F421="",H421="NA"),"HIÁNYOS ADATOK",
IF(Bérköltség!$F421&lt;Bérköltség!$U421,Admin!$B$18,Admin!$B$17)),
"")</f>
        <v>FEOR</v>
      </c>
      <c r="C421" s="265">
        <f>IFERROR(INDEX('Historikus berek_2021-2'!$A$1:$F$903,MATCH(AB421,'Historikus berek_2021-2'!$A$1:$A$903,0),4),"")</f>
        <v>476333.33333333331</v>
      </c>
      <c r="D421" s="279">
        <f t="shared" si="945"/>
        <v>380519.15708812256</v>
      </c>
      <c r="E421" s="265">
        <f t="shared" si="946"/>
        <v>397828</v>
      </c>
      <c r="F421" s="266">
        <f t="shared" si="947"/>
        <v>17308.842911877437</v>
      </c>
      <c r="G421" s="267">
        <f t="shared" si="948"/>
        <v>380519.15708812256</v>
      </c>
      <c r="H421" s="268">
        <f>IFERROR(INDEX('FEOR kodok'!$A$2:$J$1126,MATCH(Bérköltség!AB421,'FEOR kodok'!$B$2:$B$1126,0),8),"NA")</f>
        <v>3910</v>
      </c>
      <c r="I421" s="269">
        <f>IFERROR(INDEX('FEOR kodok'!$A$2:$J$1126,MATCH(Bérköltség!AB421,'FEOR kodok'!$B$2:$B$1126,0),10),"NA")</f>
        <v>65</v>
      </c>
      <c r="J421" s="276" t="str">
        <f t="shared" si="949"/>
        <v>50 év és afelett</v>
      </c>
      <c r="K421" s="269" t="str">
        <f>IFERROR(INDEX(admin_feor[#All],MATCH(Bérköltség!H421,admin_feor[[#All],[Foglalkozás]],0),2),"NA")</f>
        <v>Egyéb ügyintéző</v>
      </c>
      <c r="L421" s="270">
        <f>IFERROR(
INDEX('Admin - FEOR'!$A$4:$F$465,MATCH(Bérköltség!H421,'Admin - FEOR'!$A$4:$A$465,0),
IF(J421="30 év alatt",3,
IF(J421="30–39 éves",4,
IF(J421="40–49 éves",5,
IF(J421="50 év és afelett",6
)))))*1,"NA")</f>
        <v>399150</v>
      </c>
      <c r="M421" s="270">
        <f t="shared" si="950"/>
        <v>498000</v>
      </c>
      <c r="N421" s="318">
        <f t="shared" si="951"/>
        <v>1.247651258925216</v>
      </c>
      <c r="O421" s="270">
        <f>IFERROR(
INDEX('Admin - FEOR'!$A$4:$F$465,MATCH(Bérköltség!H421,'Admin - FEOR'!$A$4:$A$465,0),
IF(J421="30 év alatt",3,
IF(J421="30–39 éves",4,
IF(J421="40–49 éves",5,
IF(J421="50 év és afelett",6
)))))*1.5,"NA")</f>
        <v>598725</v>
      </c>
      <c r="P421" s="270">
        <f t="shared" si="952"/>
        <v>478291.81034482759</v>
      </c>
      <c r="Q421" s="270">
        <f t="shared" si="953"/>
        <v>397828</v>
      </c>
      <c r="R421" s="275">
        <f t="shared" si="954"/>
        <v>0.79885057471264365</v>
      </c>
      <c r="S421" s="270">
        <f t="shared" si="955"/>
        <v>0</v>
      </c>
      <c r="T421" s="270">
        <f t="shared" si="956"/>
        <v>0</v>
      </c>
      <c r="U421" s="271">
        <f t="shared" si="957"/>
        <v>0</v>
      </c>
      <c r="V421" s="272">
        <f t="shared" si="958"/>
        <v>397828</v>
      </c>
      <c r="W421" s="273" t="str">
        <f t="shared" si="959"/>
        <v>Indoklás szükséges mivel a FEOR: 124,8%</v>
      </c>
      <c r="X421" s="372">
        <f t="shared" si="960"/>
        <v>0</v>
      </c>
      <c r="Y421" s="317">
        <f t="shared" si="961"/>
        <v>397828</v>
      </c>
      <c r="Z421" s="317">
        <f t="shared" si="962"/>
        <v>0</v>
      </c>
      <c r="AA421" s="36"/>
      <c r="AB421" s="274">
        <v>8332374189</v>
      </c>
      <c r="AC421" s="40" t="s">
        <v>339</v>
      </c>
      <c r="AD421" s="82" t="s">
        <v>75</v>
      </c>
      <c r="AE421" s="41" t="s">
        <v>54</v>
      </c>
      <c r="AF421" s="11" t="s">
        <v>159</v>
      </c>
      <c r="AG421" s="11" t="s">
        <v>166</v>
      </c>
      <c r="AH421" s="14" t="s">
        <v>122</v>
      </c>
      <c r="AI421" s="86" t="s">
        <v>39</v>
      </c>
      <c r="AJ421" s="113" t="str">
        <f>IF(COUNTIFS(Admin!$A$29:$A$40,AI421)&gt;0,Admin!$A$28,IF(COUNTIFS(Admin!$B$29:$B$40,AI421)&gt;0,Admin!$B$28,IF(COUNTIFS(Admin!$C$29:$C$40,AI421)&gt;0,Admin!$C$28,IF(COUNTIFS(Admin!$D$29:$D$40,AI421)&gt;0,Admin!$D$28,"-"))))</f>
        <v>3. mérföldkő</v>
      </c>
      <c r="AK421" s="14" t="s">
        <v>141</v>
      </c>
      <c r="AL421" s="9" t="s">
        <v>56</v>
      </c>
      <c r="AM421" s="131">
        <v>498000</v>
      </c>
      <c r="AN421" s="132">
        <v>0</v>
      </c>
      <c r="AO421" s="121">
        <v>174</v>
      </c>
      <c r="AP421" s="121">
        <v>139</v>
      </c>
      <c r="AQ421" s="354">
        <f t="shared" si="968"/>
        <v>0.79885057471264365</v>
      </c>
      <c r="AR421" s="133">
        <f t="shared" si="969"/>
        <v>397828</v>
      </c>
      <c r="AS421" s="133">
        <f t="shared" si="970"/>
        <v>0</v>
      </c>
      <c r="AT421" s="123">
        <f t="shared" si="971"/>
        <v>-8.3090984626110753E-7</v>
      </c>
      <c r="AU421" s="393">
        <f t="shared" si="967"/>
        <v>0</v>
      </c>
      <c r="AV421" s="394" t="s">
        <v>2798</v>
      </c>
      <c r="AW421" s="15">
        <v>44995</v>
      </c>
      <c r="AX421" s="12" t="s">
        <v>206</v>
      </c>
      <c r="BC421" s="1" t="s">
        <v>2850</v>
      </c>
    </row>
    <row r="422" spans="1:56" s="1" customFormat="1" ht="18" hidden="1" customHeight="1" x14ac:dyDescent="0.25">
      <c r="A422" s="264" t="str">
        <f>Bérköltség!$B422</f>
        <v>FEOR</v>
      </c>
      <c r="B422" s="264" t="str">
        <f>IFERROR(
IF(AND(Bérköltség!$F422="",H422="NA"),"HIÁNYOS ADATOK",
IF(Bérköltség!$F422&lt;Bérköltség!$U422,Admin!$B$18,Admin!$B$17)),
"")</f>
        <v>FEOR</v>
      </c>
      <c r="C422" s="265">
        <f>IFERROR(INDEX('Historikus berek_2021-2'!$A$1:$F$903,MATCH(AB422,'Historikus berek_2021-2'!$A$1:$A$903,0),4),"")</f>
        <v>476333.33333333331</v>
      </c>
      <c r="D422" s="279">
        <f t="shared" si="945"/>
        <v>380519.15708812256</v>
      </c>
      <c r="E422" s="265">
        <f t="shared" si="946"/>
        <v>397828</v>
      </c>
      <c r="F422" s="266">
        <f t="shared" si="947"/>
        <v>17308.842911877437</v>
      </c>
      <c r="G422" s="267">
        <f t="shared" si="948"/>
        <v>380519.15708812256</v>
      </c>
      <c r="H422" s="268">
        <f>IFERROR(INDEX('FEOR kodok'!$A$2:$J$1126,MATCH(Bérköltség!AB422,'FEOR kodok'!$B$2:$B$1126,0),8),"NA")</f>
        <v>3910</v>
      </c>
      <c r="I422" s="269">
        <f>IFERROR(INDEX('FEOR kodok'!$A$2:$J$1126,MATCH(Bérköltség!AB422,'FEOR kodok'!$B$2:$B$1126,0),10),"NA")</f>
        <v>65</v>
      </c>
      <c r="J422" s="276" t="str">
        <f t="shared" si="949"/>
        <v>50 év és afelett</v>
      </c>
      <c r="K422" s="269" t="str">
        <f>IFERROR(INDEX(admin_feor[#All],MATCH(Bérköltség!H422,admin_feor[[#All],[Foglalkozás]],0),2),"NA")</f>
        <v>Egyéb ügyintéző</v>
      </c>
      <c r="L422" s="270">
        <f>IFERROR(
INDEX('Admin - FEOR'!$A$4:$F$465,MATCH(Bérköltség!H422,'Admin - FEOR'!$A$4:$A$465,0),
IF(J422="30 év alatt",3,
IF(J422="30–39 éves",4,
IF(J422="40–49 éves",5,
IF(J422="50 év és afelett",6
)))))*1,"NA")</f>
        <v>399150</v>
      </c>
      <c r="M422" s="270">
        <f t="shared" si="950"/>
        <v>498000</v>
      </c>
      <c r="N422" s="318">
        <f t="shared" si="951"/>
        <v>1.247651258925216</v>
      </c>
      <c r="O422" s="270">
        <f>IFERROR(
INDEX('Admin - FEOR'!$A$4:$F$465,MATCH(Bérköltség!H422,'Admin - FEOR'!$A$4:$A$465,0),
IF(J422="30 év alatt",3,
IF(J422="30–39 éves",4,
IF(J422="40–49 éves",5,
IF(J422="50 év és afelett",6
)))))*1.5,"NA")</f>
        <v>598725</v>
      </c>
      <c r="P422" s="270">
        <f t="shared" si="952"/>
        <v>478291.81034482759</v>
      </c>
      <c r="Q422" s="270">
        <f t="shared" si="953"/>
        <v>397828</v>
      </c>
      <c r="R422" s="275">
        <f t="shared" si="954"/>
        <v>0.79885057471264365</v>
      </c>
      <c r="S422" s="270">
        <f t="shared" si="955"/>
        <v>0</v>
      </c>
      <c r="T422" s="270">
        <f t="shared" si="956"/>
        <v>0</v>
      </c>
      <c r="U422" s="271">
        <f t="shared" si="957"/>
        <v>0</v>
      </c>
      <c r="V422" s="272">
        <f t="shared" si="958"/>
        <v>397828</v>
      </c>
      <c r="W422" s="273" t="str">
        <f t="shared" si="959"/>
        <v>Indoklás szükséges mivel a FEOR: 124,8%</v>
      </c>
      <c r="X422" s="372">
        <f t="shared" si="960"/>
        <v>0</v>
      </c>
      <c r="Y422" s="317">
        <f t="shared" si="961"/>
        <v>397828</v>
      </c>
      <c r="Z422" s="317">
        <f t="shared" si="962"/>
        <v>0</v>
      </c>
      <c r="AA422" s="36"/>
      <c r="AB422" s="274">
        <v>8332374189</v>
      </c>
      <c r="AC422" s="40" t="s">
        <v>339</v>
      </c>
      <c r="AD422" s="82" t="s">
        <v>75</v>
      </c>
      <c r="AE422" s="41" t="s">
        <v>54</v>
      </c>
      <c r="AF422" s="11" t="s">
        <v>159</v>
      </c>
      <c r="AG422" s="11" t="s">
        <v>166</v>
      </c>
      <c r="AH422" s="14" t="s">
        <v>122</v>
      </c>
      <c r="AI422" s="86" t="s">
        <v>40</v>
      </c>
      <c r="AJ422" s="113" t="str">
        <f>IF(COUNTIFS(Admin!$A$29:$A$40,AI422)&gt;0,Admin!$A$28,IF(COUNTIFS(Admin!$B$29:$B$40,AI422)&gt;0,Admin!$B$28,IF(COUNTIFS(Admin!$C$29:$C$40,AI422)&gt;0,Admin!$C$28,IF(COUNTIFS(Admin!$D$29:$D$40,AI422)&gt;0,Admin!$D$28,"-"))))</f>
        <v>3. mérföldkő</v>
      </c>
      <c r="AK422" s="14" t="s">
        <v>141</v>
      </c>
      <c r="AL422" s="9" t="s">
        <v>56</v>
      </c>
      <c r="AM422" s="131">
        <v>498000</v>
      </c>
      <c r="AN422" s="132">
        <v>0</v>
      </c>
      <c r="AO422" s="121">
        <v>174</v>
      </c>
      <c r="AP422" s="121">
        <v>139</v>
      </c>
      <c r="AQ422" s="354">
        <f t="shared" si="968"/>
        <v>0.79885057471264365</v>
      </c>
      <c r="AR422" s="133">
        <f t="shared" si="969"/>
        <v>397828</v>
      </c>
      <c r="AS422" s="133">
        <f t="shared" si="970"/>
        <v>0</v>
      </c>
      <c r="AT422" s="123">
        <f t="shared" si="971"/>
        <v>-8.3090984626110753E-7</v>
      </c>
      <c r="AU422" s="393">
        <f t="shared" si="967"/>
        <v>0</v>
      </c>
      <c r="AV422" s="394" t="s">
        <v>2798</v>
      </c>
      <c r="AW422" s="15">
        <v>44995</v>
      </c>
      <c r="AX422" s="12" t="s">
        <v>206</v>
      </c>
      <c r="BC422" s="1" t="s">
        <v>2850</v>
      </c>
    </row>
    <row r="423" spans="1:56" s="1" customFormat="1" ht="18" hidden="1" customHeight="1" x14ac:dyDescent="0.25">
      <c r="A423" s="264" t="str">
        <f>Bérköltség!$B423</f>
        <v>FEOR</v>
      </c>
      <c r="B423" s="264" t="str">
        <f>IFERROR(
IF(AND(Bérköltség!$F423="",H423="NA"),"HIÁNYOS ADATOK",
IF(Bérköltség!$F423&lt;Bérköltség!$U423,Admin!$B$18,Admin!$B$17)),
"")</f>
        <v>FEOR</v>
      </c>
      <c r="C423" s="265">
        <f>IFERROR(INDEX('Historikus berek_2021-2'!$A$1:$F$903,MATCH(AB423,'Historikus berek_2021-2'!$A$1:$A$903,0),4),"")</f>
        <v>330000</v>
      </c>
      <c r="D423" s="279">
        <f t="shared" si="814"/>
        <v>101538.46153846155</v>
      </c>
      <c r="E423" s="265">
        <f t="shared" si="815"/>
        <v>123077</v>
      </c>
      <c r="F423" s="266">
        <f t="shared" si="816"/>
        <v>24338.548461538448</v>
      </c>
      <c r="G423" s="267">
        <f t="shared" si="817"/>
        <v>114738.46153846153</v>
      </c>
      <c r="H423" s="268">
        <f>IFERROR(INDEX('FEOR kodok'!$A$2:$J$1126,MATCH(Bérköltség!AB423,'FEOR kodok'!$B$2:$B$1126,0),8),"NA")</f>
        <v>2117</v>
      </c>
      <c r="I423" s="269">
        <f>IFERROR(INDEX('FEOR kodok'!$A$2:$J$1126,MATCH(Bérköltség!AB423,'FEOR kodok'!$B$2:$B$1126,0),10),"NA")</f>
        <v>28</v>
      </c>
      <c r="J423" s="276" t="str">
        <f t="shared" si="818"/>
        <v>30 év alatt</v>
      </c>
      <c r="K423" s="269" t="str">
        <f>IFERROR(INDEX(admin_feor[#All],MATCH(Bérköltség!H423,admin_feor[[#All],[Foglalkozás]],0),2),"NA")</f>
        <v>Vegyészmérnök</v>
      </c>
      <c r="L423" s="270">
        <f>IFERROR(
INDEX('Admin - FEOR'!$A$4:$F$465,MATCH(Bérköltség!H423,'Admin - FEOR'!$A$4:$A$465,0),
IF(J423="30 év alatt",3,
IF(J423="30–39 éves",4,
IF(J423="40–49 éves",5,
IF(J423="50 év és afelett",6
)))))*1,"NA")</f>
        <v>538686</v>
      </c>
      <c r="M423" s="270">
        <f t="shared" si="819"/>
        <v>400000</v>
      </c>
      <c r="N423" s="318">
        <f t="shared" si="820"/>
        <v>0.74254760658342711</v>
      </c>
      <c r="O423" s="270">
        <f>IFERROR(
INDEX('Admin - FEOR'!$A$4:$F$465,MATCH(Bérköltség!H423,'Admin - FEOR'!$A$4:$A$465,0),
IF(J423="30 év alatt",3,
IF(J423="30–39 éves",4,
IF(J423="40–49 éves",5,
IF(J423="50 év és afelett",6
)))))*1.5,"NA")</f>
        <v>808029</v>
      </c>
      <c r="P423" s="270">
        <f t="shared" si="821"/>
        <v>248624.30769230772</v>
      </c>
      <c r="Q423" s="270">
        <f t="shared" si="822"/>
        <v>123077</v>
      </c>
      <c r="R423" s="275">
        <f t="shared" si="823"/>
        <v>0.30769230769230771</v>
      </c>
      <c r="S423" s="270">
        <f t="shared" si="824"/>
        <v>0</v>
      </c>
      <c r="T423" s="270">
        <f t="shared" si="825"/>
        <v>0</v>
      </c>
      <c r="U423" s="271">
        <f t="shared" si="826"/>
        <v>0</v>
      </c>
      <c r="V423" s="272">
        <f t="shared" si="827"/>
        <v>139077</v>
      </c>
      <c r="W423" s="273" t="str">
        <f t="shared" si="828"/>
        <v>Nem szükséges indoklás.</v>
      </c>
      <c r="X423" s="372">
        <f t="shared" si="829"/>
        <v>0</v>
      </c>
      <c r="Y423" s="317">
        <f t="shared" si="830"/>
        <v>123077</v>
      </c>
      <c r="Z423" s="317">
        <f t="shared" si="831"/>
        <v>16000</v>
      </c>
      <c r="AA423" s="12">
        <v>2</v>
      </c>
      <c r="AB423" s="274">
        <v>8469970453</v>
      </c>
      <c r="AC423" s="40" t="s">
        <v>221</v>
      </c>
      <c r="AD423" s="82" t="s">
        <v>75</v>
      </c>
      <c r="AE423" s="41" t="s">
        <v>52</v>
      </c>
      <c r="AF423" s="11" t="s">
        <v>152</v>
      </c>
      <c r="AG423" s="11" t="s">
        <v>203</v>
      </c>
      <c r="AH423" s="14" t="s">
        <v>122</v>
      </c>
      <c r="AI423" s="86" t="s">
        <v>23</v>
      </c>
      <c r="AJ423" s="113" t="str">
        <f>IF(COUNTIFS(Admin!$A$29:$A$40,AI423)&gt;0,Admin!$A$28,IF(COUNTIFS(Admin!$B$29:$B$40,AI423)&gt;0,Admin!$B$28,IF(COUNTIFS(Admin!$C$29:$C$40,AI423)&gt;0,Admin!$C$28,IF(COUNTIFS(Admin!$D$29:$D$40,AI423)&gt;0,Admin!$D$28,"-"))))</f>
        <v>2. mérföldkő</v>
      </c>
      <c r="AK423" s="14" t="s">
        <v>7</v>
      </c>
      <c r="AL423" s="9" t="s">
        <v>56</v>
      </c>
      <c r="AM423" s="131">
        <v>400000</v>
      </c>
      <c r="AN423" s="132">
        <f t="shared" si="748"/>
        <v>52000</v>
      </c>
      <c r="AO423" s="121">
        <v>130</v>
      </c>
      <c r="AP423" s="121">
        <v>40</v>
      </c>
      <c r="AQ423" s="354">
        <f t="shared" si="943"/>
        <v>0.30769230769230771</v>
      </c>
      <c r="AR423" s="133">
        <f t="shared" si="861"/>
        <v>123077</v>
      </c>
      <c r="AS423" s="133">
        <f t="shared" si="500"/>
        <v>16000</v>
      </c>
      <c r="AT423" s="123">
        <f t="shared" si="944"/>
        <v>-1.9230769227052136E-7</v>
      </c>
      <c r="AU423" s="124">
        <v>0.13</v>
      </c>
      <c r="AV423" s="394" t="s">
        <v>2799</v>
      </c>
      <c r="AW423" s="15">
        <v>44796</v>
      </c>
      <c r="AX423" s="12" t="s">
        <v>206</v>
      </c>
      <c r="BC423" s="1" t="s">
        <v>2851</v>
      </c>
      <c r="BD423" s="1" t="str">
        <f t="shared" ref="BD423:BD429" si="972">CONCATENATE(BC423," - ",AE423)</f>
        <v>Kutató_VM_7 - Kutató</v>
      </c>
    </row>
    <row r="424" spans="1:56" s="1" customFormat="1" ht="18" hidden="1" customHeight="1" x14ac:dyDescent="0.25">
      <c r="A424" s="264" t="str">
        <f>Bérköltség!$B424</f>
        <v>FEOR</v>
      </c>
      <c r="B424" s="264" t="str">
        <f>IFERROR(
IF(AND(Bérköltség!$F424="",H424="NA"),"HIÁNYOS ADATOK",
IF(Bérköltség!$F424&lt;Bérköltség!$U424,Admin!$B$18,Admin!$B$17)),
"")</f>
        <v>FEOR</v>
      </c>
      <c r="C424" s="265">
        <f>IFERROR(INDEX('Historikus berek_2021-2'!$A$1:$F$903,MATCH(AB424,'Historikus berek_2021-2'!$A$1:$A$903,0),4),"")</f>
        <v>330000</v>
      </c>
      <c r="D424" s="279">
        <f t="shared" si="814"/>
        <v>101538.46153846155</v>
      </c>
      <c r="E424" s="265">
        <f t="shared" si="815"/>
        <v>123077</v>
      </c>
      <c r="F424" s="266">
        <f t="shared" si="816"/>
        <v>24338.548461538448</v>
      </c>
      <c r="G424" s="267">
        <f t="shared" si="817"/>
        <v>114738.46153846153</v>
      </c>
      <c r="H424" s="268">
        <f>IFERROR(INDEX('FEOR kodok'!$A$2:$J$1126,MATCH(Bérköltség!AB424,'FEOR kodok'!$B$2:$B$1126,0),8),"NA")</f>
        <v>2117</v>
      </c>
      <c r="I424" s="269">
        <f>IFERROR(INDEX('FEOR kodok'!$A$2:$J$1126,MATCH(Bérköltség!AB424,'FEOR kodok'!$B$2:$B$1126,0),10),"NA")</f>
        <v>28</v>
      </c>
      <c r="J424" s="276" t="str">
        <f t="shared" si="818"/>
        <v>30 év alatt</v>
      </c>
      <c r="K424" s="269" t="str">
        <f>IFERROR(INDEX(admin_feor[#All],MATCH(Bérköltség!H424,admin_feor[[#All],[Foglalkozás]],0),2),"NA")</f>
        <v>Vegyészmérnök</v>
      </c>
      <c r="L424" s="270">
        <f>IFERROR(
INDEX('Admin - FEOR'!$A$4:$F$465,MATCH(Bérköltség!H424,'Admin - FEOR'!$A$4:$A$465,0),
IF(J424="30 év alatt",3,
IF(J424="30–39 éves",4,
IF(J424="40–49 éves",5,
IF(J424="50 év és afelett",6
)))))*1,"NA")</f>
        <v>538686</v>
      </c>
      <c r="M424" s="270">
        <f t="shared" si="819"/>
        <v>400000</v>
      </c>
      <c r="N424" s="318">
        <f t="shared" si="820"/>
        <v>0.74254760658342711</v>
      </c>
      <c r="O424" s="270">
        <f>IFERROR(
INDEX('Admin - FEOR'!$A$4:$F$465,MATCH(Bérköltség!H424,'Admin - FEOR'!$A$4:$A$465,0),
IF(J424="30 év alatt",3,
IF(J424="30–39 éves",4,
IF(J424="40–49 éves",5,
IF(J424="50 év és afelett",6
)))))*1.5,"NA")</f>
        <v>808029</v>
      </c>
      <c r="P424" s="270">
        <f t="shared" si="821"/>
        <v>248624.30769230772</v>
      </c>
      <c r="Q424" s="270">
        <f t="shared" si="822"/>
        <v>123077</v>
      </c>
      <c r="R424" s="275">
        <f t="shared" si="823"/>
        <v>0.30769230769230771</v>
      </c>
      <c r="S424" s="270">
        <f t="shared" si="824"/>
        <v>0</v>
      </c>
      <c r="T424" s="270">
        <f t="shared" si="825"/>
        <v>0</v>
      </c>
      <c r="U424" s="271">
        <f t="shared" si="826"/>
        <v>0</v>
      </c>
      <c r="V424" s="272">
        <f t="shared" si="827"/>
        <v>139077</v>
      </c>
      <c r="W424" s="273" t="str">
        <f t="shared" si="828"/>
        <v>Nem szükséges indoklás.</v>
      </c>
      <c r="X424" s="372">
        <f t="shared" si="829"/>
        <v>0</v>
      </c>
      <c r="Y424" s="317">
        <f t="shared" si="830"/>
        <v>123077</v>
      </c>
      <c r="Z424" s="317">
        <f t="shared" si="831"/>
        <v>16000</v>
      </c>
      <c r="AA424" s="12">
        <v>2</v>
      </c>
      <c r="AB424" s="274">
        <v>8469970453</v>
      </c>
      <c r="AC424" s="40" t="s">
        <v>221</v>
      </c>
      <c r="AD424" s="82" t="s">
        <v>75</v>
      </c>
      <c r="AE424" s="41" t="s">
        <v>52</v>
      </c>
      <c r="AF424" s="11" t="s">
        <v>152</v>
      </c>
      <c r="AG424" s="11" t="s">
        <v>203</v>
      </c>
      <c r="AH424" s="14" t="s">
        <v>122</v>
      </c>
      <c r="AI424" s="86" t="s">
        <v>24</v>
      </c>
      <c r="AJ424" s="113" t="str">
        <f>IF(COUNTIFS(Admin!$A$29:$A$40,AI424)&gt;0,Admin!$A$28,IF(COUNTIFS(Admin!$B$29:$B$40,AI424)&gt;0,Admin!$B$28,IF(COUNTIFS(Admin!$C$29:$C$40,AI424)&gt;0,Admin!$C$28,IF(COUNTIFS(Admin!$D$29:$D$40,AI424)&gt;0,Admin!$D$28,"-"))))</f>
        <v>2. mérföldkő</v>
      </c>
      <c r="AK424" s="14" t="s">
        <v>7</v>
      </c>
      <c r="AL424" s="9" t="s">
        <v>56</v>
      </c>
      <c r="AM424" s="131">
        <v>400000</v>
      </c>
      <c r="AN424" s="132">
        <f t="shared" ref="AN424:AN434" si="973">IFERROR(ROUND(AM424*AU424,0),"")</f>
        <v>52000</v>
      </c>
      <c r="AO424" s="121">
        <v>130</v>
      </c>
      <c r="AP424" s="121">
        <v>40</v>
      </c>
      <c r="AQ424" s="354">
        <f t="shared" si="943"/>
        <v>0.30769230769230771</v>
      </c>
      <c r="AR424" s="133">
        <f t="shared" si="861"/>
        <v>123077</v>
      </c>
      <c r="AS424" s="133">
        <f t="shared" si="500"/>
        <v>16000</v>
      </c>
      <c r="AT424" s="123">
        <f t="shared" si="944"/>
        <v>-1.9230769227052136E-7</v>
      </c>
      <c r="AU424" s="124">
        <v>0.13</v>
      </c>
      <c r="AV424" s="394" t="s">
        <v>2799</v>
      </c>
      <c r="AW424" s="15">
        <v>44796</v>
      </c>
      <c r="AX424" s="12" t="s">
        <v>206</v>
      </c>
      <c r="BC424" s="1" t="s">
        <v>2851</v>
      </c>
      <c r="BD424" s="1" t="str">
        <f t="shared" si="972"/>
        <v>Kutató_VM_7 - Kutató</v>
      </c>
    </row>
    <row r="425" spans="1:56" s="1" customFormat="1" ht="18" hidden="1" customHeight="1" x14ac:dyDescent="0.25">
      <c r="A425" s="264" t="str">
        <f>Bérköltség!$B425</f>
        <v>FEOR</v>
      </c>
      <c r="B425" s="264" t="str">
        <f>IFERROR(
IF(AND(Bérköltség!$F425="",H425="NA"),"HIÁNYOS ADATOK",
IF(Bérköltség!$F425&lt;Bérköltség!$U425,Admin!$B$18,Admin!$B$17)),
"")</f>
        <v>FEOR</v>
      </c>
      <c r="C425" s="265">
        <f>IFERROR(INDEX('Historikus berek_2021-2'!$A$1:$F$903,MATCH(AB425,'Historikus berek_2021-2'!$A$1:$A$903,0),4),"")</f>
        <v>330000</v>
      </c>
      <c r="D425" s="279">
        <f t="shared" si="814"/>
        <v>101538.46153846155</v>
      </c>
      <c r="E425" s="265">
        <f t="shared" si="815"/>
        <v>123077</v>
      </c>
      <c r="F425" s="266">
        <f t="shared" si="816"/>
        <v>24338.548461538448</v>
      </c>
      <c r="G425" s="267">
        <f t="shared" si="817"/>
        <v>114738.46153846153</v>
      </c>
      <c r="H425" s="268">
        <f>IFERROR(INDEX('FEOR kodok'!$A$2:$J$1126,MATCH(Bérköltség!AB425,'FEOR kodok'!$B$2:$B$1126,0),8),"NA")</f>
        <v>2117</v>
      </c>
      <c r="I425" s="269">
        <f>IFERROR(INDEX('FEOR kodok'!$A$2:$J$1126,MATCH(Bérköltség!AB425,'FEOR kodok'!$B$2:$B$1126,0),10),"NA")</f>
        <v>28</v>
      </c>
      <c r="J425" s="276" t="str">
        <f t="shared" si="818"/>
        <v>30 év alatt</v>
      </c>
      <c r="K425" s="269" t="str">
        <f>IFERROR(INDEX(admin_feor[#All],MATCH(Bérköltség!H425,admin_feor[[#All],[Foglalkozás]],0),2),"NA")</f>
        <v>Vegyészmérnök</v>
      </c>
      <c r="L425" s="270">
        <f>IFERROR(
INDEX('Admin - FEOR'!$A$4:$F$465,MATCH(Bérköltség!H425,'Admin - FEOR'!$A$4:$A$465,0),
IF(J425="30 év alatt",3,
IF(J425="30–39 éves",4,
IF(J425="40–49 éves",5,
IF(J425="50 év és afelett",6
)))))*1,"NA")</f>
        <v>538686</v>
      </c>
      <c r="M425" s="270">
        <f t="shared" si="819"/>
        <v>399999</v>
      </c>
      <c r="N425" s="318">
        <f t="shared" si="820"/>
        <v>0.7425457502144106</v>
      </c>
      <c r="O425" s="270">
        <f>IFERROR(
INDEX('Admin - FEOR'!$A$4:$F$465,MATCH(Bérköltség!H425,'Admin - FEOR'!$A$4:$A$465,0),
IF(J425="30 év alatt",3,
IF(J425="30–39 éves",4,
IF(J425="40–49 éves",5,
IF(J425="50 év és afelett",6
)))))*1.5,"NA")</f>
        <v>808029</v>
      </c>
      <c r="P425" s="270">
        <f t="shared" si="821"/>
        <v>248624.30769230772</v>
      </c>
      <c r="Q425" s="270">
        <f t="shared" si="822"/>
        <v>123077</v>
      </c>
      <c r="R425" s="275">
        <f t="shared" si="823"/>
        <v>0.30769230769230771</v>
      </c>
      <c r="S425" s="270">
        <f t="shared" si="824"/>
        <v>0</v>
      </c>
      <c r="T425" s="270">
        <f t="shared" si="825"/>
        <v>0</v>
      </c>
      <c r="U425" s="271">
        <f t="shared" si="826"/>
        <v>0</v>
      </c>
      <c r="V425" s="272">
        <f t="shared" si="827"/>
        <v>139077</v>
      </c>
      <c r="W425" s="273" t="str">
        <f t="shared" si="828"/>
        <v>Nem szükséges indoklás.</v>
      </c>
      <c r="X425" s="372">
        <f t="shared" si="829"/>
        <v>0</v>
      </c>
      <c r="Y425" s="317">
        <f t="shared" si="830"/>
        <v>123077</v>
      </c>
      <c r="Z425" s="317">
        <f t="shared" si="831"/>
        <v>16000</v>
      </c>
      <c r="AA425" s="12">
        <v>2</v>
      </c>
      <c r="AB425" s="274">
        <v>8469970453</v>
      </c>
      <c r="AC425" s="40" t="s">
        <v>221</v>
      </c>
      <c r="AD425" s="82" t="s">
        <v>75</v>
      </c>
      <c r="AE425" s="41" t="s">
        <v>52</v>
      </c>
      <c r="AF425" s="11" t="s">
        <v>152</v>
      </c>
      <c r="AG425" s="11" t="s">
        <v>203</v>
      </c>
      <c r="AH425" s="14" t="s">
        <v>122</v>
      </c>
      <c r="AI425" s="86" t="s">
        <v>25</v>
      </c>
      <c r="AJ425" s="113" t="str">
        <f>IF(COUNTIFS(Admin!$A$29:$A$40,AI425)&gt;0,Admin!$A$28,IF(COUNTIFS(Admin!$B$29:$B$40,AI425)&gt;0,Admin!$B$28,IF(COUNTIFS(Admin!$C$29:$C$40,AI425)&gt;0,Admin!$C$28,IF(COUNTIFS(Admin!$D$29:$D$40,AI425)&gt;0,Admin!$D$28,"-"))))</f>
        <v>2. mérföldkő</v>
      </c>
      <c r="AK425" s="14" t="s">
        <v>7</v>
      </c>
      <c r="AL425" s="9" t="s">
        <v>56</v>
      </c>
      <c r="AM425" s="131">
        <v>399999</v>
      </c>
      <c r="AN425" s="132">
        <f t="shared" si="973"/>
        <v>52000</v>
      </c>
      <c r="AO425" s="121">
        <v>130</v>
      </c>
      <c r="AP425" s="121">
        <v>40</v>
      </c>
      <c r="AQ425" s="354">
        <f t="shared" si="943"/>
        <v>0.30769230769230771</v>
      </c>
      <c r="AR425" s="133">
        <f t="shared" si="861"/>
        <v>123077</v>
      </c>
      <c r="AS425" s="133">
        <f t="shared" si="500"/>
        <v>16000</v>
      </c>
      <c r="AT425" s="123">
        <f t="shared" si="944"/>
        <v>-9.6154086537403316E-7</v>
      </c>
      <c r="AU425" s="124">
        <v>0.13</v>
      </c>
      <c r="AV425" s="394" t="s">
        <v>2799</v>
      </c>
      <c r="AW425" s="15">
        <v>44796</v>
      </c>
      <c r="AX425" s="12" t="s">
        <v>206</v>
      </c>
      <c r="AZ425" s="1" t="s">
        <v>2667</v>
      </c>
      <c r="BA425" s="1" t="s">
        <v>2667</v>
      </c>
      <c r="BB425" s="1" t="s">
        <v>2667</v>
      </c>
      <c r="BC425" s="1" t="s">
        <v>2851</v>
      </c>
      <c r="BD425" s="1" t="str">
        <f t="shared" si="972"/>
        <v>Kutató_VM_7 - Kutató</v>
      </c>
    </row>
    <row r="426" spans="1:56" s="1" customFormat="1" ht="18" hidden="1" customHeight="1" x14ac:dyDescent="0.25">
      <c r="A426" s="264" t="str">
        <f>Bérköltség!$B426</f>
        <v>FEOR</v>
      </c>
      <c r="B426" s="264" t="str">
        <f>IFERROR(
IF(AND(Bérköltség!$F426="",H426="NA"),"HIÁNYOS ADATOK",
IF(Bérköltség!$F426&lt;Bérköltség!$U426,Admin!$B$18,Admin!$B$17)),
"")</f>
        <v>FEOR</v>
      </c>
      <c r="C426" s="265">
        <f>IFERROR(INDEX('Historikus berek_2021-2'!$A$1:$F$903,MATCH(AB426,'Historikus berek_2021-2'!$A$1:$A$903,0),4),"")</f>
        <v>330000</v>
      </c>
      <c r="D426" s="279">
        <f t="shared" si="814"/>
        <v>101538.46153846155</v>
      </c>
      <c r="E426" s="265">
        <f t="shared" si="815"/>
        <v>123077</v>
      </c>
      <c r="F426" s="266">
        <f t="shared" si="816"/>
        <v>24338.548461538448</v>
      </c>
      <c r="G426" s="267">
        <f t="shared" si="817"/>
        <v>114738.46153846153</v>
      </c>
      <c r="H426" s="268">
        <f>IFERROR(INDEX('FEOR kodok'!$A$2:$J$1126,MATCH(Bérköltség!AB426,'FEOR kodok'!$B$2:$B$1126,0),8),"NA")</f>
        <v>2117</v>
      </c>
      <c r="I426" s="269">
        <f>IFERROR(INDEX('FEOR kodok'!$A$2:$J$1126,MATCH(Bérköltség!AB426,'FEOR kodok'!$B$2:$B$1126,0),10),"NA")</f>
        <v>28</v>
      </c>
      <c r="J426" s="276" t="str">
        <f t="shared" si="818"/>
        <v>30 év alatt</v>
      </c>
      <c r="K426" s="269" t="str">
        <f>IFERROR(INDEX(admin_feor[#All],MATCH(Bérköltség!H426,admin_feor[[#All],[Foglalkozás]],0),2),"NA")</f>
        <v>Vegyészmérnök</v>
      </c>
      <c r="L426" s="270">
        <f>IFERROR(
INDEX('Admin - FEOR'!$A$4:$F$465,MATCH(Bérköltség!H426,'Admin - FEOR'!$A$4:$A$465,0),
IF(J426="30 év alatt",3,
IF(J426="30–39 éves",4,
IF(J426="40–49 éves",5,
IF(J426="50 év és afelett",6
)))))*1,"NA")</f>
        <v>538686</v>
      </c>
      <c r="M426" s="270">
        <f t="shared" si="819"/>
        <v>399999</v>
      </c>
      <c r="N426" s="318">
        <f t="shared" si="820"/>
        <v>0.7425457502144106</v>
      </c>
      <c r="O426" s="270">
        <f>IFERROR(
INDEX('Admin - FEOR'!$A$4:$F$465,MATCH(Bérköltség!H426,'Admin - FEOR'!$A$4:$A$465,0),
IF(J426="30 év alatt",3,
IF(J426="30–39 éves",4,
IF(J426="40–49 éves",5,
IF(J426="50 év és afelett",6
)))))*1.5,"NA")</f>
        <v>808029</v>
      </c>
      <c r="P426" s="270">
        <f t="shared" si="821"/>
        <v>248624.30769230772</v>
      </c>
      <c r="Q426" s="270">
        <f t="shared" si="822"/>
        <v>123077</v>
      </c>
      <c r="R426" s="275">
        <f t="shared" si="823"/>
        <v>0.30769230769230771</v>
      </c>
      <c r="S426" s="270">
        <f t="shared" si="824"/>
        <v>0</v>
      </c>
      <c r="T426" s="270">
        <f t="shared" si="825"/>
        <v>0</v>
      </c>
      <c r="U426" s="271">
        <f t="shared" si="826"/>
        <v>0</v>
      </c>
      <c r="V426" s="272">
        <f t="shared" si="827"/>
        <v>139077</v>
      </c>
      <c r="W426" s="273" t="str">
        <f t="shared" si="828"/>
        <v>Nem szükséges indoklás.</v>
      </c>
      <c r="X426" s="372">
        <f t="shared" si="829"/>
        <v>0</v>
      </c>
      <c r="Y426" s="317">
        <f t="shared" si="830"/>
        <v>123077</v>
      </c>
      <c r="Z426" s="317">
        <f t="shared" si="831"/>
        <v>16000</v>
      </c>
      <c r="AA426" s="12">
        <v>2</v>
      </c>
      <c r="AB426" s="274">
        <v>8469970453</v>
      </c>
      <c r="AC426" s="40" t="s">
        <v>221</v>
      </c>
      <c r="AD426" s="82" t="s">
        <v>75</v>
      </c>
      <c r="AE426" s="41" t="s">
        <v>52</v>
      </c>
      <c r="AF426" s="11" t="s">
        <v>152</v>
      </c>
      <c r="AG426" s="11" t="s">
        <v>203</v>
      </c>
      <c r="AH426" s="14" t="s">
        <v>122</v>
      </c>
      <c r="AI426" s="86" t="s">
        <v>26</v>
      </c>
      <c r="AJ426" s="113" t="str">
        <f>IF(COUNTIFS(Admin!$A$29:$A$40,AI426)&gt;0,Admin!$A$28,IF(COUNTIFS(Admin!$B$29:$B$40,AI426)&gt;0,Admin!$B$28,IF(COUNTIFS(Admin!$C$29:$C$40,AI426)&gt;0,Admin!$C$28,IF(COUNTIFS(Admin!$D$29:$D$40,AI426)&gt;0,Admin!$D$28,"-"))))</f>
        <v>2. mérföldkő</v>
      </c>
      <c r="AK426" s="14" t="s">
        <v>7</v>
      </c>
      <c r="AL426" s="9" t="s">
        <v>56</v>
      </c>
      <c r="AM426" s="131">
        <v>399999</v>
      </c>
      <c r="AN426" s="132">
        <f t="shared" si="973"/>
        <v>52000</v>
      </c>
      <c r="AO426" s="121">
        <v>130</v>
      </c>
      <c r="AP426" s="121">
        <v>40</v>
      </c>
      <c r="AQ426" s="354">
        <f t="shared" si="943"/>
        <v>0.30769230769230771</v>
      </c>
      <c r="AR426" s="133">
        <f t="shared" si="861"/>
        <v>123077</v>
      </c>
      <c r="AS426" s="133">
        <f t="shared" si="500"/>
        <v>16000</v>
      </c>
      <c r="AT426" s="123">
        <f t="shared" si="944"/>
        <v>-9.6154086537403316E-7</v>
      </c>
      <c r="AU426" s="124">
        <v>0.13</v>
      </c>
      <c r="AV426" s="394" t="s">
        <v>2799</v>
      </c>
      <c r="AW426" s="15">
        <v>44796</v>
      </c>
      <c r="AX426" s="12" t="s">
        <v>206</v>
      </c>
      <c r="AZ426" s="1" t="s">
        <v>2667</v>
      </c>
      <c r="BA426" s="1" t="s">
        <v>2668</v>
      </c>
      <c r="BB426" s="1" t="s">
        <v>2668</v>
      </c>
      <c r="BC426" s="1" t="s">
        <v>2851</v>
      </c>
      <c r="BD426" s="1" t="str">
        <f t="shared" si="972"/>
        <v>Kutató_VM_7 - Kutató</v>
      </c>
    </row>
    <row r="427" spans="1:56" s="1" customFormat="1" ht="18" hidden="1" customHeight="1" x14ac:dyDescent="0.25">
      <c r="A427" s="264" t="str">
        <f>Bérköltség!$B427</f>
        <v>FEOR</v>
      </c>
      <c r="B427" s="264" t="str">
        <f>IFERROR(
IF(AND(Bérköltség!$F427="",H427="NA"),"HIÁNYOS ADATOK",
IF(Bérköltség!$F427&lt;Bérköltség!$U427,Admin!$B$18,Admin!$B$17)),
"")</f>
        <v>FEOR</v>
      </c>
      <c r="C427" s="265">
        <f>IFERROR(INDEX('Historikus berek_2021-2'!$A$1:$F$903,MATCH(AB427,'Historikus berek_2021-2'!$A$1:$A$903,0),4),"")</f>
        <v>330000</v>
      </c>
      <c r="D427" s="279">
        <f t="shared" si="814"/>
        <v>101538.46153846155</v>
      </c>
      <c r="E427" s="265">
        <f t="shared" si="815"/>
        <v>123077</v>
      </c>
      <c r="F427" s="266">
        <f t="shared" si="816"/>
        <v>24338.548461538448</v>
      </c>
      <c r="G427" s="267">
        <f t="shared" si="817"/>
        <v>114738.46153846153</v>
      </c>
      <c r="H427" s="268">
        <f>IFERROR(INDEX('FEOR kodok'!$A$2:$J$1126,MATCH(Bérköltség!AB427,'FEOR kodok'!$B$2:$B$1126,0),8),"NA")</f>
        <v>2117</v>
      </c>
      <c r="I427" s="269">
        <f>IFERROR(INDEX('FEOR kodok'!$A$2:$J$1126,MATCH(Bérköltség!AB427,'FEOR kodok'!$B$2:$B$1126,0),10),"NA")</f>
        <v>28</v>
      </c>
      <c r="J427" s="276" t="str">
        <f t="shared" si="818"/>
        <v>30 év alatt</v>
      </c>
      <c r="K427" s="269" t="str">
        <f>IFERROR(INDEX(admin_feor[#All],MATCH(Bérköltség!H427,admin_feor[[#All],[Foglalkozás]],0),2),"NA")</f>
        <v>Vegyészmérnök</v>
      </c>
      <c r="L427" s="270">
        <f>IFERROR(
INDEX('Admin - FEOR'!$A$4:$F$465,MATCH(Bérköltség!H427,'Admin - FEOR'!$A$4:$A$465,0),
IF(J427="30 év alatt",3,
IF(J427="30–39 éves",4,
IF(J427="40–49 éves",5,
IF(J427="50 év és afelett",6
)))))*1,"NA")</f>
        <v>538686</v>
      </c>
      <c r="M427" s="270">
        <f t="shared" si="819"/>
        <v>400000</v>
      </c>
      <c r="N427" s="318">
        <f t="shared" si="820"/>
        <v>0.74254760658342711</v>
      </c>
      <c r="O427" s="270">
        <f>IFERROR(
INDEX('Admin - FEOR'!$A$4:$F$465,MATCH(Bérköltség!H427,'Admin - FEOR'!$A$4:$A$465,0),
IF(J427="30 év alatt",3,
IF(J427="30–39 éves",4,
IF(J427="40–49 éves",5,
IF(J427="50 év és afelett",6
)))))*1.5,"NA")</f>
        <v>808029</v>
      </c>
      <c r="P427" s="270">
        <f t="shared" si="821"/>
        <v>248624.30769230772</v>
      </c>
      <c r="Q427" s="270">
        <f t="shared" si="822"/>
        <v>123077</v>
      </c>
      <c r="R427" s="275">
        <f t="shared" si="823"/>
        <v>0.30769230769230771</v>
      </c>
      <c r="S427" s="270">
        <f t="shared" si="824"/>
        <v>0</v>
      </c>
      <c r="T427" s="270">
        <f t="shared" si="825"/>
        <v>0</v>
      </c>
      <c r="U427" s="271">
        <f t="shared" si="826"/>
        <v>0</v>
      </c>
      <c r="V427" s="272">
        <f t="shared" si="827"/>
        <v>139077</v>
      </c>
      <c r="W427" s="273" t="str">
        <f t="shared" si="828"/>
        <v>Nem szükséges indoklás.</v>
      </c>
      <c r="X427" s="372">
        <f t="shared" si="829"/>
        <v>0</v>
      </c>
      <c r="Y427" s="317">
        <f t="shared" si="830"/>
        <v>123077</v>
      </c>
      <c r="Z427" s="317">
        <f t="shared" si="831"/>
        <v>16000</v>
      </c>
      <c r="AA427" s="12">
        <v>2</v>
      </c>
      <c r="AB427" s="274">
        <v>8469970453</v>
      </c>
      <c r="AC427" s="40" t="s">
        <v>221</v>
      </c>
      <c r="AD427" s="82" t="s">
        <v>75</v>
      </c>
      <c r="AE427" s="41" t="s">
        <v>52</v>
      </c>
      <c r="AF427" s="11" t="s">
        <v>152</v>
      </c>
      <c r="AG427" s="11" t="s">
        <v>203</v>
      </c>
      <c r="AH427" s="14" t="s">
        <v>122</v>
      </c>
      <c r="AI427" s="86" t="s">
        <v>32</v>
      </c>
      <c r="AJ427" s="113" t="str">
        <f>IF(COUNTIFS(Admin!$A$29:$A$40,AI427)&gt;0,Admin!$A$28,IF(COUNTIFS(Admin!$B$29:$B$40,AI427)&gt;0,Admin!$B$28,IF(COUNTIFS(Admin!$C$29:$C$40,AI427)&gt;0,Admin!$C$28,IF(COUNTIFS(Admin!$D$29:$D$40,AI427)&gt;0,Admin!$D$28,"-"))))</f>
        <v>2. mérföldkő</v>
      </c>
      <c r="AK427" s="14" t="s">
        <v>7</v>
      </c>
      <c r="AL427" s="9" t="s">
        <v>56</v>
      </c>
      <c r="AM427" s="131">
        <v>400000</v>
      </c>
      <c r="AN427" s="132">
        <f t="shared" si="973"/>
        <v>52000</v>
      </c>
      <c r="AO427" s="121">
        <v>130</v>
      </c>
      <c r="AP427" s="121">
        <v>40</v>
      </c>
      <c r="AQ427" s="354">
        <f t="shared" si="943"/>
        <v>0.30769230769230771</v>
      </c>
      <c r="AR427" s="133">
        <f t="shared" si="861"/>
        <v>123077</v>
      </c>
      <c r="AS427" s="133">
        <f t="shared" si="500"/>
        <v>16000</v>
      </c>
      <c r="AT427" s="123">
        <f t="shared" si="944"/>
        <v>-1.9230769227052136E-7</v>
      </c>
      <c r="AU427" s="124">
        <v>0.13</v>
      </c>
      <c r="AV427" s="394" t="s">
        <v>2799</v>
      </c>
      <c r="AW427" s="15">
        <v>44796</v>
      </c>
      <c r="AX427" s="12" t="s">
        <v>206</v>
      </c>
      <c r="AZ427" s="1" t="s">
        <v>2667</v>
      </c>
      <c r="BA427" s="1">
        <v>1</v>
      </c>
      <c r="BB427" s="1">
        <v>1</v>
      </c>
      <c r="BC427" s="1" t="s">
        <v>2851</v>
      </c>
      <c r="BD427" s="1" t="str">
        <f t="shared" si="972"/>
        <v>Kutató_VM_7 - Kutató</v>
      </c>
    </row>
    <row r="428" spans="1:56" s="1" customFormat="1" ht="18" hidden="1" customHeight="1" x14ac:dyDescent="0.25">
      <c r="A428" s="264" t="str">
        <f>Bérköltség!$B428</f>
        <v>FEOR</v>
      </c>
      <c r="B428" s="264" t="str">
        <f>IFERROR(
IF(AND(Bérköltség!$F428="",H428="NA"),"HIÁNYOS ADATOK",
IF(Bérköltség!$F428&lt;Bérköltség!$U428,Admin!$B$18,Admin!$B$17)),
"")</f>
        <v>FEOR</v>
      </c>
      <c r="C428" s="265">
        <f>IFERROR(INDEX('Historikus berek_2021-2'!$A$1:$F$903,MATCH(AB428,'Historikus berek_2021-2'!$A$1:$A$903,0),4),"")</f>
        <v>330000</v>
      </c>
      <c r="D428" s="279">
        <f t="shared" si="814"/>
        <v>101538.46153846155</v>
      </c>
      <c r="E428" s="265">
        <f t="shared" si="815"/>
        <v>123077</v>
      </c>
      <c r="F428" s="266">
        <f t="shared" si="816"/>
        <v>24338.548461538448</v>
      </c>
      <c r="G428" s="267">
        <f t="shared" si="817"/>
        <v>114738.46153846153</v>
      </c>
      <c r="H428" s="268">
        <f>IFERROR(INDEX('FEOR kodok'!$A$2:$J$1126,MATCH(Bérköltség!AB428,'FEOR kodok'!$B$2:$B$1126,0),8),"NA")</f>
        <v>2117</v>
      </c>
      <c r="I428" s="269">
        <f>IFERROR(INDEX('FEOR kodok'!$A$2:$J$1126,MATCH(Bérköltség!AB428,'FEOR kodok'!$B$2:$B$1126,0),10),"NA")</f>
        <v>28</v>
      </c>
      <c r="J428" s="276" t="str">
        <f t="shared" si="818"/>
        <v>30 év alatt</v>
      </c>
      <c r="K428" s="269" t="str">
        <f>IFERROR(INDEX(admin_feor[#All],MATCH(Bérköltség!H428,admin_feor[[#All],[Foglalkozás]],0),2),"NA")</f>
        <v>Vegyészmérnök</v>
      </c>
      <c r="L428" s="270">
        <f>IFERROR(
INDEX('Admin - FEOR'!$A$4:$F$465,MATCH(Bérköltség!H428,'Admin - FEOR'!$A$4:$A$465,0),
IF(J428="30 év alatt",3,
IF(J428="30–39 éves",4,
IF(J428="40–49 éves",5,
IF(J428="50 év és afelett",6
)))))*1,"NA")</f>
        <v>538686</v>
      </c>
      <c r="M428" s="270">
        <f t="shared" si="819"/>
        <v>400000</v>
      </c>
      <c r="N428" s="318">
        <f t="shared" si="820"/>
        <v>0.74254760658342711</v>
      </c>
      <c r="O428" s="270">
        <f>IFERROR(
INDEX('Admin - FEOR'!$A$4:$F$465,MATCH(Bérköltség!H428,'Admin - FEOR'!$A$4:$A$465,0),
IF(J428="30 év alatt",3,
IF(J428="30–39 éves",4,
IF(J428="40–49 éves",5,
IF(J428="50 év és afelett",6
)))))*1.5,"NA")</f>
        <v>808029</v>
      </c>
      <c r="P428" s="270">
        <f t="shared" si="821"/>
        <v>248624.30769230772</v>
      </c>
      <c r="Q428" s="270">
        <f t="shared" si="822"/>
        <v>123077</v>
      </c>
      <c r="R428" s="275">
        <f t="shared" si="823"/>
        <v>0.30769230769230771</v>
      </c>
      <c r="S428" s="270">
        <f t="shared" si="824"/>
        <v>0</v>
      </c>
      <c r="T428" s="270">
        <f t="shared" si="825"/>
        <v>0</v>
      </c>
      <c r="U428" s="271">
        <f t="shared" si="826"/>
        <v>0</v>
      </c>
      <c r="V428" s="272">
        <f t="shared" si="827"/>
        <v>139077</v>
      </c>
      <c r="W428" s="273" t="str">
        <f t="shared" si="828"/>
        <v>Nem szükséges indoklás.</v>
      </c>
      <c r="X428" s="372">
        <f t="shared" si="829"/>
        <v>0</v>
      </c>
      <c r="Y428" s="317">
        <f t="shared" si="830"/>
        <v>123077</v>
      </c>
      <c r="Z428" s="317">
        <f t="shared" si="831"/>
        <v>16000</v>
      </c>
      <c r="AA428" s="12">
        <v>2</v>
      </c>
      <c r="AB428" s="274">
        <v>8469970453</v>
      </c>
      <c r="AC428" s="40" t="s">
        <v>221</v>
      </c>
      <c r="AD428" s="82" t="s">
        <v>75</v>
      </c>
      <c r="AE428" s="41" t="s">
        <v>52</v>
      </c>
      <c r="AF428" s="11" t="s">
        <v>152</v>
      </c>
      <c r="AG428" s="11" t="s">
        <v>203</v>
      </c>
      <c r="AH428" s="14" t="s">
        <v>122</v>
      </c>
      <c r="AI428" s="86" t="s">
        <v>33</v>
      </c>
      <c r="AJ428" s="113" t="str">
        <f>IF(COUNTIFS(Admin!$A$29:$A$40,AI428)&gt;0,Admin!$A$28,IF(COUNTIFS(Admin!$B$29:$B$40,AI428)&gt;0,Admin!$B$28,IF(COUNTIFS(Admin!$C$29:$C$40,AI428)&gt;0,Admin!$C$28,IF(COUNTIFS(Admin!$D$29:$D$40,AI428)&gt;0,Admin!$D$28,"-"))))</f>
        <v>2. mérföldkő</v>
      </c>
      <c r="AK428" s="14" t="s">
        <v>7</v>
      </c>
      <c r="AL428" s="9" t="s">
        <v>56</v>
      </c>
      <c r="AM428" s="131">
        <v>400000</v>
      </c>
      <c r="AN428" s="132">
        <f t="shared" si="973"/>
        <v>52000</v>
      </c>
      <c r="AO428" s="121">
        <v>130</v>
      </c>
      <c r="AP428" s="121">
        <v>40</v>
      </c>
      <c r="AQ428" s="354">
        <f t="shared" si="943"/>
        <v>0.30769230769230771</v>
      </c>
      <c r="AR428" s="133">
        <f t="shared" si="861"/>
        <v>123077</v>
      </c>
      <c r="AS428" s="133">
        <f t="shared" si="500"/>
        <v>16000</v>
      </c>
      <c r="AT428" s="123">
        <f t="shared" si="944"/>
        <v>-1.9230769227052136E-7</v>
      </c>
      <c r="AU428" s="124">
        <v>0.13</v>
      </c>
      <c r="AV428" s="394" t="s">
        <v>2799</v>
      </c>
      <c r="AW428" s="15">
        <v>44796</v>
      </c>
      <c r="AX428" s="12" t="s">
        <v>206</v>
      </c>
      <c r="AZ428" s="8" t="str">
        <f>IF(VLOOKUP(LEFT($AB428,10),'Havi béradatok'!$B:$E,2,FALSE)=AG428,"EGYEZIK","HIBÁS")</f>
        <v>EGYEZIK</v>
      </c>
      <c r="BA428" s="1">
        <f>VLOOKUP(LEFT($AB428,10),'Havi béradatok'!$B:$E,3,FALSE)-AM428</f>
        <v>30000</v>
      </c>
      <c r="BB428" s="1">
        <f>VLOOKUP(LEFT($AB428,10),'Havi béradatok'!$B:$E,4,FALSE)-AN428</f>
        <v>16380</v>
      </c>
      <c r="BC428" s="1" t="s">
        <v>2851</v>
      </c>
      <c r="BD428" s="1" t="str">
        <f t="shared" si="972"/>
        <v>Kutató_VM_7 - Kutató</v>
      </c>
    </row>
    <row r="429" spans="1:56" s="1" customFormat="1" ht="18" hidden="1" customHeight="1" x14ac:dyDescent="0.25">
      <c r="A429" s="264" t="str">
        <f>Bérköltség!$B429</f>
        <v>FEOR</v>
      </c>
      <c r="B429" s="264" t="str">
        <f>IFERROR(
IF(AND(Bérköltség!$F429="",H429="NA"),"HIÁNYOS ADATOK",
IF(Bérköltség!$F429&lt;Bérköltség!$U429,Admin!$B$18,Admin!$B$17)),
"")</f>
        <v>FEOR</v>
      </c>
      <c r="C429" s="265">
        <f>IFERROR(INDEX('Historikus berek_2021-2'!$A$1:$F$903,MATCH(AB429,'Historikus berek_2021-2'!$A$1:$A$903,0),4),"")</f>
        <v>330000</v>
      </c>
      <c r="D429" s="279">
        <f t="shared" si="814"/>
        <v>330000</v>
      </c>
      <c r="E429" s="265">
        <f t="shared" si="815"/>
        <v>430000</v>
      </c>
      <c r="F429" s="266">
        <f t="shared" si="816"/>
        <v>113000</v>
      </c>
      <c r="G429" s="267">
        <f t="shared" si="817"/>
        <v>372899.99999999994</v>
      </c>
      <c r="H429" s="268">
        <f>IFERROR(INDEX('FEOR kodok'!$A$2:$J$1126,MATCH(Bérköltség!AB429,'FEOR kodok'!$B$2:$B$1126,0),8),"NA")</f>
        <v>2117</v>
      </c>
      <c r="I429" s="269">
        <f>IFERROR(INDEX('FEOR kodok'!$A$2:$J$1126,MATCH(Bérköltség!AB429,'FEOR kodok'!$B$2:$B$1126,0),10),"NA")</f>
        <v>28</v>
      </c>
      <c r="J429" s="276" t="str">
        <f t="shared" si="818"/>
        <v>30 év alatt</v>
      </c>
      <c r="K429" s="269" t="str">
        <f>IFERROR(INDEX(admin_feor[#All],MATCH(Bérköltség!H429,admin_feor[[#All],[Foglalkozás]],0),2),"NA")</f>
        <v>Vegyészmérnök</v>
      </c>
      <c r="L429" s="270">
        <f>IFERROR(
INDEX('Admin - FEOR'!$A$4:$F$465,MATCH(Bérköltség!H429,'Admin - FEOR'!$A$4:$A$465,0),
IF(J429="30 év alatt",3,
IF(J429="30–39 éves",4,
IF(J429="40–49 éves",5,
IF(J429="50 év és afelett",6
)))))*1,"NA")</f>
        <v>538686</v>
      </c>
      <c r="M429" s="270">
        <f t="shared" si="819"/>
        <v>430000</v>
      </c>
      <c r="N429" s="318">
        <f t="shared" si="820"/>
        <v>0.7982386770771841</v>
      </c>
      <c r="O429" s="270">
        <f>IFERROR(
INDEX('Admin - FEOR'!$A$4:$F$465,MATCH(Bérköltség!H429,'Admin - FEOR'!$A$4:$A$465,0),
IF(J429="30 év alatt",3,
IF(J429="30–39 éves",4,
IF(J429="40–49 éves",5,
IF(J429="50 év és afelett",6
)))))*1.5,"NA")</f>
        <v>808029</v>
      </c>
      <c r="P429" s="270">
        <f t="shared" si="821"/>
        <v>808029</v>
      </c>
      <c r="Q429" s="270">
        <f t="shared" si="822"/>
        <v>430000</v>
      </c>
      <c r="R429" s="275">
        <f t="shared" si="823"/>
        <v>1</v>
      </c>
      <c r="S429" s="270">
        <f t="shared" si="824"/>
        <v>0</v>
      </c>
      <c r="T429" s="270">
        <f t="shared" si="825"/>
        <v>0</v>
      </c>
      <c r="U429" s="271">
        <f t="shared" si="826"/>
        <v>0</v>
      </c>
      <c r="V429" s="272">
        <f t="shared" si="827"/>
        <v>485900</v>
      </c>
      <c r="W429" s="273" t="str">
        <f t="shared" si="828"/>
        <v>Nem szükséges indoklás.</v>
      </c>
      <c r="X429" s="372">
        <f t="shared" si="829"/>
        <v>0</v>
      </c>
      <c r="Y429" s="317">
        <f t="shared" si="830"/>
        <v>430000</v>
      </c>
      <c r="Z429" s="317">
        <f t="shared" si="831"/>
        <v>55900</v>
      </c>
      <c r="AA429" s="12">
        <v>2</v>
      </c>
      <c r="AB429" s="274">
        <v>8469970453</v>
      </c>
      <c r="AC429" s="40" t="s">
        <v>221</v>
      </c>
      <c r="AD429" s="82" t="s">
        <v>75</v>
      </c>
      <c r="AE429" s="41" t="s">
        <v>52</v>
      </c>
      <c r="AF429" s="11" t="s">
        <v>152</v>
      </c>
      <c r="AG429" s="11" t="s">
        <v>203</v>
      </c>
      <c r="AH429" s="14" t="s">
        <v>122</v>
      </c>
      <c r="AI429" s="86" t="s">
        <v>34</v>
      </c>
      <c r="AJ429" s="113" t="str">
        <f>IF(COUNTIFS(Admin!$A$29:$A$40,AI429)&gt;0,Admin!$A$28,IF(COUNTIFS(Admin!$B$29:$B$40,AI429)&gt;0,Admin!$B$28,IF(COUNTIFS(Admin!$C$29:$C$40,AI429)&gt;0,Admin!$C$28,IF(COUNTIFS(Admin!$D$29:$D$40,AI429)&gt;0,Admin!$D$28,"-"))))</f>
        <v>2. mérföldkő</v>
      </c>
      <c r="AK429" s="14" t="s">
        <v>7</v>
      </c>
      <c r="AL429" s="9" t="s">
        <v>56</v>
      </c>
      <c r="AM429" s="131">
        <v>430000</v>
      </c>
      <c r="AN429" s="132">
        <f t="shared" si="973"/>
        <v>55900</v>
      </c>
      <c r="AO429" s="121">
        <v>130</v>
      </c>
      <c r="AP429" s="121">
        <v>130</v>
      </c>
      <c r="AQ429" s="354">
        <f t="shared" si="943"/>
        <v>1</v>
      </c>
      <c r="AR429" s="133">
        <f t="shared" si="861"/>
        <v>430000</v>
      </c>
      <c r="AS429" s="133">
        <f t="shared" si="500"/>
        <v>55900</v>
      </c>
      <c r="AT429" s="123">
        <f t="shared" si="944"/>
        <v>0</v>
      </c>
      <c r="AU429" s="124">
        <v>0.13</v>
      </c>
      <c r="AV429" s="394" t="s">
        <v>2799</v>
      </c>
      <c r="AW429" s="15">
        <v>44977</v>
      </c>
      <c r="AX429" s="12" t="s">
        <v>206</v>
      </c>
      <c r="BC429" s="1" t="s">
        <v>2851</v>
      </c>
      <c r="BD429" s="1" t="str">
        <f t="shared" si="972"/>
        <v>Kutató_VM_7 - Kutató</v>
      </c>
    </row>
    <row r="430" spans="1:56" s="1" customFormat="1" ht="18" customHeight="1" x14ac:dyDescent="0.25">
      <c r="A430" s="264" t="str">
        <f>Bérköltség!$B430</f>
        <v>FEOR</v>
      </c>
      <c r="B430" s="264" t="str">
        <f>IFERROR(
IF(AND(Bérköltség!$F430="",H430="NA"),"HIÁNYOS ADATOK",
IF(Bérköltség!$F430&lt;Bérköltség!$U430,Admin!$B$18,Admin!$B$17)),
"")</f>
        <v>FEOR</v>
      </c>
      <c r="C430" s="265">
        <f>IFERROR(INDEX('Historikus berek_2021-2'!$A$1:$F$903,MATCH(AB430,'Historikus berek_2021-2'!$A$1:$A$903,0),4),"")</f>
        <v>330000</v>
      </c>
      <c r="D430" s="279">
        <f t="shared" si="814"/>
        <v>330000</v>
      </c>
      <c r="E430" s="265">
        <f t="shared" si="815"/>
        <v>430000</v>
      </c>
      <c r="F430" s="266">
        <f t="shared" si="816"/>
        <v>113000</v>
      </c>
      <c r="G430" s="267">
        <f t="shared" si="817"/>
        <v>372899.99999999994</v>
      </c>
      <c r="H430" s="268">
        <f>IFERROR(INDEX('FEOR kodok'!$A$2:$J$1126,MATCH(Bérköltség!AB430,'FEOR kodok'!$B$2:$B$1126,0),8),"NA")</f>
        <v>2117</v>
      </c>
      <c r="I430" s="269">
        <f>IFERROR(INDEX('FEOR kodok'!$A$2:$J$1126,MATCH(Bérköltség!AB430,'FEOR kodok'!$B$2:$B$1126,0),10),"NA")</f>
        <v>28</v>
      </c>
      <c r="J430" s="276" t="str">
        <f t="shared" si="818"/>
        <v>30 év alatt</v>
      </c>
      <c r="K430" s="269" t="str">
        <f>IFERROR(INDEX(admin_feor[#All],MATCH(Bérköltség!H430,admin_feor[[#All],[Foglalkozás]],0),2),"NA")</f>
        <v>Vegyészmérnök</v>
      </c>
      <c r="L430" s="270">
        <f>IFERROR(
INDEX('Admin - FEOR'!$A$4:$F$465,MATCH(Bérköltség!H430,'Admin - FEOR'!$A$4:$A$465,0),
IF(J430="30 év alatt",3,
IF(J430="30–39 éves",4,
IF(J430="40–49 éves",5,
IF(J430="50 év és afelett",6
)))))*1,"NA")</f>
        <v>538686</v>
      </c>
      <c r="M430" s="270">
        <f t="shared" si="819"/>
        <v>430000</v>
      </c>
      <c r="N430" s="318">
        <f t="shared" si="820"/>
        <v>0.7982386770771841</v>
      </c>
      <c r="O430" s="270">
        <f>IFERROR(
INDEX('Admin - FEOR'!$A$4:$F$465,MATCH(Bérköltség!H430,'Admin - FEOR'!$A$4:$A$465,0),
IF(J430="30 év alatt",3,
IF(J430="30–39 éves",4,
IF(J430="40–49 éves",5,
IF(J430="50 év és afelett",6
)))))*1.5,"NA")</f>
        <v>808029</v>
      </c>
      <c r="P430" s="270">
        <f t="shared" si="821"/>
        <v>808029</v>
      </c>
      <c r="Q430" s="270">
        <f t="shared" si="822"/>
        <v>430000</v>
      </c>
      <c r="R430" s="275">
        <f t="shared" si="823"/>
        <v>1</v>
      </c>
      <c r="S430" s="270">
        <f t="shared" si="824"/>
        <v>0</v>
      </c>
      <c r="T430" s="270">
        <f t="shared" si="825"/>
        <v>0</v>
      </c>
      <c r="U430" s="271">
        <f t="shared" si="826"/>
        <v>0</v>
      </c>
      <c r="V430" s="272">
        <f t="shared" si="827"/>
        <v>485900</v>
      </c>
      <c r="W430" s="273" t="str">
        <f t="shared" si="828"/>
        <v>Nem szükséges indoklás.</v>
      </c>
      <c r="X430" s="372">
        <f t="shared" si="829"/>
        <v>0</v>
      </c>
      <c r="Y430" s="317">
        <f t="shared" si="830"/>
        <v>430000</v>
      </c>
      <c r="Z430" s="317">
        <f t="shared" si="831"/>
        <v>55900</v>
      </c>
      <c r="AA430" s="36"/>
      <c r="AB430" s="274">
        <v>8469970453</v>
      </c>
      <c r="AC430" s="40" t="s">
        <v>221</v>
      </c>
      <c r="AD430" s="82" t="s">
        <v>75</v>
      </c>
      <c r="AE430" s="41" t="s">
        <v>52</v>
      </c>
      <c r="AF430" s="11" t="s">
        <v>152</v>
      </c>
      <c r="AG430" s="11" t="s">
        <v>203</v>
      </c>
      <c r="AH430" s="14" t="s">
        <v>122</v>
      </c>
      <c r="AI430" s="86" t="s">
        <v>35</v>
      </c>
      <c r="AJ430" s="113" t="str">
        <f>IF(COUNTIFS(Admin!$A$29:$A$40,AI430)&gt;0,Admin!$A$28,IF(COUNTIFS(Admin!$B$29:$B$40,AI430)&gt;0,Admin!$B$28,IF(COUNTIFS(Admin!$C$29:$C$40,AI430)&gt;0,Admin!$C$28,IF(COUNTIFS(Admin!$D$29:$D$40,AI430)&gt;0,Admin!$D$28,"-"))))</f>
        <v>3. mérföldkő</v>
      </c>
      <c r="AK430" s="14" t="s">
        <v>7</v>
      </c>
      <c r="AL430" s="9" t="s">
        <v>56</v>
      </c>
      <c r="AM430" s="131">
        <v>430000</v>
      </c>
      <c r="AN430" s="132">
        <f t="shared" si="973"/>
        <v>55900</v>
      </c>
      <c r="AO430" s="121">
        <v>130</v>
      </c>
      <c r="AP430" s="121">
        <v>130</v>
      </c>
      <c r="AQ430" s="354">
        <f t="shared" si="943"/>
        <v>1</v>
      </c>
      <c r="AR430" s="133">
        <f t="shared" si="861"/>
        <v>430000</v>
      </c>
      <c r="AS430" s="133">
        <f t="shared" si="500"/>
        <v>55900</v>
      </c>
      <c r="AT430" s="123">
        <f t="shared" si="944"/>
        <v>0</v>
      </c>
      <c r="AU430" s="124">
        <v>0.13</v>
      </c>
      <c r="AV430" s="394" t="s">
        <v>2799</v>
      </c>
      <c r="AW430" s="15">
        <v>44977</v>
      </c>
      <c r="AX430" s="12" t="s">
        <v>206</v>
      </c>
      <c r="AZ430" s="1" t="str">
        <f>IF(VLOOKUP(LEFT($AB430,10),'Havi béradatok'!$B:$E,2,FALSE)=AG430,"EGYEZIK","HIBÁS")</f>
        <v>EGYEZIK</v>
      </c>
      <c r="BA430" s="1">
        <f>VLOOKUP(LEFT($AB430,10),'Havi béradatok'!$B:$E,3,FALSE)-AM430</f>
        <v>0</v>
      </c>
      <c r="BB430" s="391">
        <f>VLOOKUP(LEFT($AB430,10),'Havi béradatok'!$B:$E,4,FALSE)-AN430</f>
        <v>12480</v>
      </c>
      <c r="BC430" s="400" t="s">
        <v>2851</v>
      </c>
      <c r="BD430" s="400"/>
    </row>
    <row r="431" spans="1:56" s="1" customFormat="1" ht="18" hidden="1" customHeight="1" x14ac:dyDescent="0.25">
      <c r="A431" s="264" t="str">
        <f>Bérköltség!$B431</f>
        <v>FEOR</v>
      </c>
      <c r="B431" s="264" t="str">
        <f>IFERROR(
IF(AND(Bérköltség!$F431="",H431="NA"),"HIÁNYOS ADATOK",
IF(Bérköltség!$F431&lt;Bérköltség!$U431,Admin!$B$18,Admin!$B$17)),
"")</f>
        <v>FEOR</v>
      </c>
      <c r="C431" s="265">
        <f>IFERROR(INDEX('Historikus berek_2021-2'!$A$1:$F$903,MATCH(AB431,'Historikus berek_2021-2'!$A$1:$A$903,0),4),"")</f>
        <v>330000</v>
      </c>
      <c r="D431" s="279">
        <f t="shared" si="814"/>
        <v>330000</v>
      </c>
      <c r="E431" s="265">
        <f t="shared" si="815"/>
        <v>430000</v>
      </c>
      <c r="F431" s="266">
        <f t="shared" si="816"/>
        <v>113000</v>
      </c>
      <c r="G431" s="267">
        <f t="shared" si="817"/>
        <v>372899.99999999994</v>
      </c>
      <c r="H431" s="268">
        <f>IFERROR(INDEX('FEOR kodok'!$A$2:$J$1126,MATCH(Bérköltség!AB431,'FEOR kodok'!$B$2:$B$1126,0),8),"NA")</f>
        <v>2117</v>
      </c>
      <c r="I431" s="269">
        <f>IFERROR(INDEX('FEOR kodok'!$A$2:$J$1126,MATCH(Bérköltség!AB431,'FEOR kodok'!$B$2:$B$1126,0),10),"NA")</f>
        <v>28</v>
      </c>
      <c r="J431" s="276" t="str">
        <f t="shared" si="818"/>
        <v>30 év alatt</v>
      </c>
      <c r="K431" s="269" t="str">
        <f>IFERROR(INDEX(admin_feor[#All],MATCH(Bérköltség!H431,admin_feor[[#All],[Foglalkozás]],0),2),"NA")</f>
        <v>Vegyészmérnök</v>
      </c>
      <c r="L431" s="270">
        <f>IFERROR(
INDEX('Admin - FEOR'!$A$4:$F$465,MATCH(Bérköltség!H431,'Admin - FEOR'!$A$4:$A$465,0),
IF(J431="30 év alatt",3,
IF(J431="30–39 éves",4,
IF(J431="40–49 éves",5,
IF(J431="50 év és afelett",6
)))))*1,"NA")</f>
        <v>538686</v>
      </c>
      <c r="M431" s="270">
        <f t="shared" si="819"/>
        <v>430000</v>
      </c>
      <c r="N431" s="318">
        <f t="shared" si="820"/>
        <v>0.7982386770771841</v>
      </c>
      <c r="O431" s="270">
        <f>IFERROR(
INDEX('Admin - FEOR'!$A$4:$F$465,MATCH(Bérköltség!H431,'Admin - FEOR'!$A$4:$A$465,0),
IF(J431="30 év alatt",3,
IF(J431="30–39 éves",4,
IF(J431="40–49 éves",5,
IF(J431="50 év és afelett",6
)))))*1.5,"NA")</f>
        <v>808029</v>
      </c>
      <c r="P431" s="270">
        <f t="shared" si="821"/>
        <v>808029</v>
      </c>
      <c r="Q431" s="270">
        <f t="shared" si="822"/>
        <v>430000</v>
      </c>
      <c r="R431" s="275">
        <f t="shared" si="823"/>
        <v>1</v>
      </c>
      <c r="S431" s="270">
        <f t="shared" si="824"/>
        <v>0</v>
      </c>
      <c r="T431" s="270">
        <f t="shared" si="825"/>
        <v>0</v>
      </c>
      <c r="U431" s="271">
        <f t="shared" si="826"/>
        <v>0</v>
      </c>
      <c r="V431" s="272">
        <f t="shared" si="827"/>
        <v>485900</v>
      </c>
      <c r="W431" s="273" t="str">
        <f t="shared" si="828"/>
        <v>Nem szükséges indoklás.</v>
      </c>
      <c r="X431" s="372">
        <f t="shared" si="829"/>
        <v>0</v>
      </c>
      <c r="Y431" s="317">
        <f t="shared" si="830"/>
        <v>430000</v>
      </c>
      <c r="Z431" s="317">
        <f t="shared" si="831"/>
        <v>55900</v>
      </c>
      <c r="AA431" s="36"/>
      <c r="AB431" s="274">
        <v>8469970453</v>
      </c>
      <c r="AC431" s="40" t="s">
        <v>221</v>
      </c>
      <c r="AD431" s="82" t="s">
        <v>75</v>
      </c>
      <c r="AE431" s="41" t="s">
        <v>52</v>
      </c>
      <c r="AF431" s="11" t="s">
        <v>152</v>
      </c>
      <c r="AG431" s="11" t="s">
        <v>203</v>
      </c>
      <c r="AH431" s="14" t="s">
        <v>122</v>
      </c>
      <c r="AI431" s="86" t="s">
        <v>36</v>
      </c>
      <c r="AJ431" s="113" t="str">
        <f>IF(COUNTIFS(Admin!$A$29:$A$40,AI431)&gt;0,Admin!$A$28,IF(COUNTIFS(Admin!$B$29:$B$40,AI431)&gt;0,Admin!$B$28,IF(COUNTIFS(Admin!$C$29:$C$40,AI431)&gt;0,Admin!$C$28,IF(COUNTIFS(Admin!$D$29:$D$40,AI431)&gt;0,Admin!$D$28,"-"))))</f>
        <v>3. mérföldkő</v>
      </c>
      <c r="AK431" s="14" t="s">
        <v>141</v>
      </c>
      <c r="AL431" s="9" t="s">
        <v>56</v>
      </c>
      <c r="AM431" s="131">
        <v>430000</v>
      </c>
      <c r="AN431" s="132">
        <f t="shared" si="973"/>
        <v>55900</v>
      </c>
      <c r="AO431" s="121">
        <v>130</v>
      </c>
      <c r="AP431" s="121">
        <v>130</v>
      </c>
      <c r="AQ431" s="354">
        <f t="shared" si="943"/>
        <v>1</v>
      </c>
      <c r="AR431" s="133">
        <f t="shared" si="861"/>
        <v>430000</v>
      </c>
      <c r="AS431" s="133">
        <f t="shared" si="500"/>
        <v>55900</v>
      </c>
      <c r="AT431" s="123">
        <f t="shared" si="944"/>
        <v>0</v>
      </c>
      <c r="AU431" s="124">
        <v>0.13</v>
      </c>
      <c r="AV431" s="394" t="s">
        <v>2799</v>
      </c>
      <c r="AW431" s="15">
        <v>44977</v>
      </c>
      <c r="AX431" s="12" t="s">
        <v>206</v>
      </c>
      <c r="BC431" s="1" t="s">
        <v>2851</v>
      </c>
    </row>
    <row r="432" spans="1:56" s="1" customFormat="1" ht="18" hidden="1" customHeight="1" x14ac:dyDescent="0.25">
      <c r="A432" s="264" t="str">
        <f>Bérköltség!$B432</f>
        <v>FEOR</v>
      </c>
      <c r="B432" s="264" t="str">
        <f>IFERROR(
IF(AND(Bérköltség!$F432="",H432="NA"),"HIÁNYOS ADATOK",
IF(Bérköltség!$F432&lt;Bérköltség!$U432,Admin!$B$18,Admin!$B$17)),
"")</f>
        <v>FEOR</v>
      </c>
      <c r="C432" s="265">
        <f>IFERROR(INDEX('Historikus berek_2021-2'!$A$1:$F$903,MATCH(AB432,'Historikus berek_2021-2'!$A$1:$A$903,0),4),"")</f>
        <v>330000</v>
      </c>
      <c r="D432" s="279">
        <f t="shared" si="814"/>
        <v>330000</v>
      </c>
      <c r="E432" s="265">
        <f t="shared" si="815"/>
        <v>430000</v>
      </c>
      <c r="F432" s="266">
        <f t="shared" si="816"/>
        <v>113000</v>
      </c>
      <c r="G432" s="267">
        <f t="shared" si="817"/>
        <v>372899.99999999994</v>
      </c>
      <c r="H432" s="268">
        <f>IFERROR(INDEX('FEOR kodok'!$A$2:$J$1126,MATCH(Bérköltség!AB432,'FEOR kodok'!$B$2:$B$1126,0),8),"NA")</f>
        <v>2117</v>
      </c>
      <c r="I432" s="269">
        <f>IFERROR(INDEX('FEOR kodok'!$A$2:$J$1126,MATCH(Bérköltség!AB432,'FEOR kodok'!$B$2:$B$1126,0),10),"NA")</f>
        <v>28</v>
      </c>
      <c r="J432" s="276" t="str">
        <f t="shared" si="818"/>
        <v>30 év alatt</v>
      </c>
      <c r="K432" s="269" t="str">
        <f>IFERROR(INDEX(admin_feor[#All],MATCH(Bérköltség!H432,admin_feor[[#All],[Foglalkozás]],0),2),"NA")</f>
        <v>Vegyészmérnök</v>
      </c>
      <c r="L432" s="270">
        <f>IFERROR(
INDEX('Admin - FEOR'!$A$4:$F$465,MATCH(Bérköltség!H432,'Admin - FEOR'!$A$4:$A$465,0),
IF(J432="30 év alatt",3,
IF(J432="30–39 éves",4,
IF(J432="40–49 éves",5,
IF(J432="50 év és afelett",6
)))))*1,"NA")</f>
        <v>538686</v>
      </c>
      <c r="M432" s="270">
        <f t="shared" si="819"/>
        <v>430000</v>
      </c>
      <c r="N432" s="318">
        <f t="shared" si="820"/>
        <v>0.7982386770771841</v>
      </c>
      <c r="O432" s="270">
        <f>IFERROR(
INDEX('Admin - FEOR'!$A$4:$F$465,MATCH(Bérköltség!H432,'Admin - FEOR'!$A$4:$A$465,0),
IF(J432="30 év alatt",3,
IF(J432="30–39 éves",4,
IF(J432="40–49 éves",5,
IF(J432="50 év és afelett",6
)))))*1.5,"NA")</f>
        <v>808029</v>
      </c>
      <c r="P432" s="270">
        <f t="shared" si="821"/>
        <v>808029</v>
      </c>
      <c r="Q432" s="270">
        <f t="shared" si="822"/>
        <v>430000</v>
      </c>
      <c r="R432" s="275">
        <f t="shared" si="823"/>
        <v>1</v>
      </c>
      <c r="S432" s="270">
        <f t="shared" si="824"/>
        <v>0</v>
      </c>
      <c r="T432" s="270">
        <f t="shared" si="825"/>
        <v>0</v>
      </c>
      <c r="U432" s="271">
        <f t="shared" si="826"/>
        <v>0</v>
      </c>
      <c r="V432" s="272">
        <f t="shared" si="827"/>
        <v>485900</v>
      </c>
      <c r="W432" s="273" t="str">
        <f t="shared" si="828"/>
        <v>Nem szükséges indoklás.</v>
      </c>
      <c r="X432" s="372">
        <f t="shared" si="829"/>
        <v>0</v>
      </c>
      <c r="Y432" s="317">
        <f t="shared" si="830"/>
        <v>430000</v>
      </c>
      <c r="Z432" s="317">
        <f t="shared" si="831"/>
        <v>55900</v>
      </c>
      <c r="AA432" s="36"/>
      <c r="AB432" s="274">
        <v>8469970453</v>
      </c>
      <c r="AC432" s="40" t="s">
        <v>221</v>
      </c>
      <c r="AD432" s="82" t="s">
        <v>75</v>
      </c>
      <c r="AE432" s="41" t="s">
        <v>52</v>
      </c>
      <c r="AF432" s="11" t="s">
        <v>152</v>
      </c>
      <c r="AG432" s="11" t="s">
        <v>203</v>
      </c>
      <c r="AH432" s="14" t="s">
        <v>122</v>
      </c>
      <c r="AI432" s="86" t="s">
        <v>37</v>
      </c>
      <c r="AJ432" s="113" t="str">
        <f>IF(COUNTIFS(Admin!$A$29:$A$40,AI432)&gt;0,Admin!$A$28,IF(COUNTIFS(Admin!$B$29:$B$40,AI432)&gt;0,Admin!$B$28,IF(COUNTIFS(Admin!$C$29:$C$40,AI432)&gt;0,Admin!$C$28,IF(COUNTIFS(Admin!$D$29:$D$40,AI432)&gt;0,Admin!$D$28,"-"))))</f>
        <v>3. mérföldkő</v>
      </c>
      <c r="AK432" s="14" t="s">
        <v>141</v>
      </c>
      <c r="AL432" s="9" t="s">
        <v>56</v>
      </c>
      <c r="AM432" s="131">
        <v>430000</v>
      </c>
      <c r="AN432" s="132">
        <f t="shared" si="973"/>
        <v>55900</v>
      </c>
      <c r="AO432" s="121">
        <v>130</v>
      </c>
      <c r="AP432" s="121">
        <v>130</v>
      </c>
      <c r="AQ432" s="354">
        <f t="shared" si="943"/>
        <v>1</v>
      </c>
      <c r="AR432" s="133">
        <f t="shared" si="861"/>
        <v>430000</v>
      </c>
      <c r="AS432" s="133">
        <f t="shared" si="500"/>
        <v>55900</v>
      </c>
      <c r="AT432" s="123">
        <f t="shared" si="944"/>
        <v>0</v>
      </c>
      <c r="AU432" s="124">
        <v>0.13</v>
      </c>
      <c r="AV432" s="394" t="s">
        <v>2799</v>
      </c>
      <c r="AW432" s="15">
        <v>44977</v>
      </c>
      <c r="AX432" s="12" t="s">
        <v>206</v>
      </c>
      <c r="BC432" s="1" t="s">
        <v>2851</v>
      </c>
    </row>
    <row r="433" spans="1:63" s="1" customFormat="1" ht="18" hidden="1" customHeight="1" x14ac:dyDescent="0.25">
      <c r="A433" s="264" t="str">
        <f>Bérköltség!$B433</f>
        <v>FEOR</v>
      </c>
      <c r="B433" s="264" t="str">
        <f>IFERROR(
IF(AND(Bérköltség!$F433="",H433="NA"),"HIÁNYOS ADATOK",
IF(Bérköltség!$F433&lt;Bérköltség!$U433,Admin!$B$18,Admin!$B$17)),
"")</f>
        <v>FEOR</v>
      </c>
      <c r="C433" s="265">
        <f>IFERROR(INDEX('Historikus berek_2021-2'!$A$1:$F$903,MATCH(AB433,'Historikus berek_2021-2'!$A$1:$A$903,0),4),"")</f>
        <v>330000</v>
      </c>
      <c r="D433" s="279">
        <f t="shared" si="814"/>
        <v>330000</v>
      </c>
      <c r="E433" s="265">
        <f t="shared" si="815"/>
        <v>430000</v>
      </c>
      <c r="F433" s="266">
        <f t="shared" si="816"/>
        <v>113000</v>
      </c>
      <c r="G433" s="267">
        <f t="shared" si="817"/>
        <v>372899.99999999994</v>
      </c>
      <c r="H433" s="268">
        <f>IFERROR(INDEX('FEOR kodok'!$A$2:$J$1126,MATCH(Bérköltség!AB433,'FEOR kodok'!$B$2:$B$1126,0),8),"NA")</f>
        <v>2117</v>
      </c>
      <c r="I433" s="269">
        <f>IFERROR(INDEX('FEOR kodok'!$A$2:$J$1126,MATCH(Bérköltség!AB433,'FEOR kodok'!$B$2:$B$1126,0),10),"NA")</f>
        <v>28</v>
      </c>
      <c r="J433" s="276" t="str">
        <f t="shared" si="818"/>
        <v>30 év alatt</v>
      </c>
      <c r="K433" s="269" t="str">
        <f>IFERROR(INDEX(admin_feor[#All],MATCH(Bérköltség!H433,admin_feor[[#All],[Foglalkozás]],0),2),"NA")</f>
        <v>Vegyészmérnök</v>
      </c>
      <c r="L433" s="270">
        <f>IFERROR(
INDEX('Admin - FEOR'!$A$4:$F$465,MATCH(Bérköltség!H433,'Admin - FEOR'!$A$4:$A$465,0),
IF(J433="30 év alatt",3,
IF(J433="30–39 éves",4,
IF(J433="40–49 éves",5,
IF(J433="50 év és afelett",6
)))))*1,"NA")</f>
        <v>538686</v>
      </c>
      <c r="M433" s="270">
        <f t="shared" si="819"/>
        <v>430000</v>
      </c>
      <c r="N433" s="318">
        <f t="shared" si="820"/>
        <v>0.7982386770771841</v>
      </c>
      <c r="O433" s="270">
        <f>IFERROR(
INDEX('Admin - FEOR'!$A$4:$F$465,MATCH(Bérköltség!H433,'Admin - FEOR'!$A$4:$A$465,0),
IF(J433="30 év alatt",3,
IF(J433="30–39 éves",4,
IF(J433="40–49 éves",5,
IF(J433="50 év és afelett",6
)))))*1.5,"NA")</f>
        <v>808029</v>
      </c>
      <c r="P433" s="270">
        <f t="shared" si="821"/>
        <v>808029</v>
      </c>
      <c r="Q433" s="270">
        <f t="shared" si="822"/>
        <v>430000</v>
      </c>
      <c r="R433" s="275">
        <f t="shared" si="823"/>
        <v>1</v>
      </c>
      <c r="S433" s="270">
        <f t="shared" si="824"/>
        <v>0</v>
      </c>
      <c r="T433" s="270">
        <f t="shared" si="825"/>
        <v>0</v>
      </c>
      <c r="U433" s="271">
        <f t="shared" si="826"/>
        <v>0</v>
      </c>
      <c r="V433" s="272">
        <f t="shared" si="827"/>
        <v>485900</v>
      </c>
      <c r="W433" s="273" t="str">
        <f t="shared" si="828"/>
        <v>Nem szükséges indoklás.</v>
      </c>
      <c r="X433" s="372">
        <f t="shared" si="829"/>
        <v>0</v>
      </c>
      <c r="Y433" s="317">
        <f t="shared" si="830"/>
        <v>430000</v>
      </c>
      <c r="Z433" s="317">
        <f t="shared" si="831"/>
        <v>55900</v>
      </c>
      <c r="AA433" s="36"/>
      <c r="AB433" s="274">
        <v>8469970453</v>
      </c>
      <c r="AC433" s="40" t="s">
        <v>221</v>
      </c>
      <c r="AD433" s="82" t="s">
        <v>75</v>
      </c>
      <c r="AE433" s="41" t="s">
        <v>52</v>
      </c>
      <c r="AF433" s="11" t="s">
        <v>152</v>
      </c>
      <c r="AG433" s="11" t="s">
        <v>203</v>
      </c>
      <c r="AH433" s="14" t="s">
        <v>122</v>
      </c>
      <c r="AI433" s="86" t="s">
        <v>38</v>
      </c>
      <c r="AJ433" s="113" t="str">
        <f>IF(COUNTIFS(Admin!$A$29:$A$40,AI433)&gt;0,Admin!$A$28,IF(COUNTIFS(Admin!$B$29:$B$40,AI433)&gt;0,Admin!$B$28,IF(COUNTIFS(Admin!$C$29:$C$40,AI433)&gt;0,Admin!$C$28,IF(COUNTIFS(Admin!$D$29:$D$40,AI433)&gt;0,Admin!$D$28,"-"))))</f>
        <v>3. mérföldkő</v>
      </c>
      <c r="AK433" s="14" t="s">
        <v>141</v>
      </c>
      <c r="AL433" s="9" t="s">
        <v>56</v>
      </c>
      <c r="AM433" s="131">
        <v>430000</v>
      </c>
      <c r="AN433" s="132">
        <f t="shared" si="973"/>
        <v>55900</v>
      </c>
      <c r="AO433" s="121">
        <v>130</v>
      </c>
      <c r="AP433" s="121">
        <v>130</v>
      </c>
      <c r="AQ433" s="354">
        <f t="shared" si="943"/>
        <v>1</v>
      </c>
      <c r="AR433" s="133">
        <f t="shared" si="861"/>
        <v>430000</v>
      </c>
      <c r="AS433" s="133">
        <f t="shared" si="500"/>
        <v>55900</v>
      </c>
      <c r="AT433" s="123">
        <f t="shared" si="944"/>
        <v>0</v>
      </c>
      <c r="AU433" s="124">
        <v>0.13</v>
      </c>
      <c r="AV433" s="394" t="s">
        <v>2799</v>
      </c>
      <c r="AW433" s="15">
        <v>44977</v>
      </c>
      <c r="AX433" s="12" t="s">
        <v>206</v>
      </c>
      <c r="BC433" s="1" t="s">
        <v>2851</v>
      </c>
    </row>
    <row r="434" spans="1:63" s="1" customFormat="1" ht="18" hidden="1" customHeight="1" x14ac:dyDescent="0.25">
      <c r="A434" s="264" t="str">
        <f>Bérköltség!$B434</f>
        <v>FEOR</v>
      </c>
      <c r="B434" s="264" t="str">
        <f>IFERROR(
IF(AND(Bérköltség!$F434="",H434="NA"),"HIÁNYOS ADATOK",
IF(Bérköltség!$F434&lt;Bérköltség!$U434,Admin!$B$18,Admin!$B$17)),
"")</f>
        <v>FEOR</v>
      </c>
      <c r="C434" s="265">
        <f>IFERROR(INDEX('Historikus berek_2021-2'!$A$1:$F$903,MATCH(AB434,'Historikus berek_2021-2'!$A$1:$A$903,0),4),"")</f>
        <v>330000</v>
      </c>
      <c r="D434" s="279">
        <f t="shared" si="814"/>
        <v>330000</v>
      </c>
      <c r="E434" s="265">
        <f t="shared" si="815"/>
        <v>430000</v>
      </c>
      <c r="F434" s="266">
        <f t="shared" si="816"/>
        <v>113000</v>
      </c>
      <c r="G434" s="267">
        <f t="shared" si="817"/>
        <v>372899.99999999994</v>
      </c>
      <c r="H434" s="268">
        <f>IFERROR(INDEX('FEOR kodok'!$A$2:$J$1126,MATCH(Bérköltség!AB434,'FEOR kodok'!$B$2:$B$1126,0),8),"NA")</f>
        <v>2117</v>
      </c>
      <c r="I434" s="269">
        <f>IFERROR(INDEX('FEOR kodok'!$A$2:$J$1126,MATCH(Bérköltség!AB434,'FEOR kodok'!$B$2:$B$1126,0),10),"NA")</f>
        <v>28</v>
      </c>
      <c r="J434" s="276" t="str">
        <f t="shared" si="818"/>
        <v>30 év alatt</v>
      </c>
      <c r="K434" s="269" t="str">
        <f>IFERROR(INDEX(admin_feor[#All],MATCH(Bérköltség!H434,admin_feor[[#All],[Foglalkozás]],0),2),"NA")</f>
        <v>Vegyészmérnök</v>
      </c>
      <c r="L434" s="270">
        <f>IFERROR(
INDEX('Admin - FEOR'!$A$4:$F$465,MATCH(Bérköltség!H434,'Admin - FEOR'!$A$4:$A$465,0),
IF(J434="30 év alatt",3,
IF(J434="30–39 éves",4,
IF(J434="40–49 éves",5,
IF(J434="50 év és afelett",6
)))))*1,"NA")</f>
        <v>538686</v>
      </c>
      <c r="M434" s="270">
        <f t="shared" si="819"/>
        <v>430000</v>
      </c>
      <c r="N434" s="318">
        <f t="shared" si="820"/>
        <v>0.7982386770771841</v>
      </c>
      <c r="O434" s="270">
        <f>IFERROR(
INDEX('Admin - FEOR'!$A$4:$F$465,MATCH(Bérköltség!H434,'Admin - FEOR'!$A$4:$A$465,0),
IF(J434="30 év alatt",3,
IF(J434="30–39 éves",4,
IF(J434="40–49 éves",5,
IF(J434="50 év és afelett",6
)))))*1.5,"NA")</f>
        <v>808029</v>
      </c>
      <c r="P434" s="270">
        <f t="shared" si="821"/>
        <v>808029</v>
      </c>
      <c r="Q434" s="270">
        <f t="shared" si="822"/>
        <v>430000</v>
      </c>
      <c r="R434" s="275">
        <f t="shared" si="823"/>
        <v>1</v>
      </c>
      <c r="S434" s="270">
        <f t="shared" si="824"/>
        <v>0</v>
      </c>
      <c r="T434" s="270">
        <f t="shared" si="825"/>
        <v>0</v>
      </c>
      <c r="U434" s="271">
        <f t="shared" si="826"/>
        <v>0</v>
      </c>
      <c r="V434" s="272">
        <f t="shared" si="827"/>
        <v>485900</v>
      </c>
      <c r="W434" s="273" t="str">
        <f t="shared" si="828"/>
        <v>Nem szükséges indoklás.</v>
      </c>
      <c r="X434" s="372">
        <f t="shared" si="829"/>
        <v>0</v>
      </c>
      <c r="Y434" s="317">
        <f t="shared" si="830"/>
        <v>430000</v>
      </c>
      <c r="Z434" s="317">
        <f t="shared" si="831"/>
        <v>55900</v>
      </c>
      <c r="AA434" s="36"/>
      <c r="AB434" s="274">
        <v>8469970453</v>
      </c>
      <c r="AC434" s="40" t="s">
        <v>221</v>
      </c>
      <c r="AD434" s="82" t="s">
        <v>75</v>
      </c>
      <c r="AE434" s="41" t="s">
        <v>52</v>
      </c>
      <c r="AF434" s="11" t="s">
        <v>152</v>
      </c>
      <c r="AG434" s="11" t="s">
        <v>203</v>
      </c>
      <c r="AH434" s="14" t="s">
        <v>122</v>
      </c>
      <c r="AI434" s="86" t="s">
        <v>39</v>
      </c>
      <c r="AJ434" s="113" t="str">
        <f>IF(COUNTIFS(Admin!$A$29:$A$40,AI434)&gt;0,Admin!$A$28,IF(COUNTIFS(Admin!$B$29:$B$40,AI434)&gt;0,Admin!$B$28,IF(COUNTIFS(Admin!$C$29:$C$40,AI434)&gt;0,Admin!$C$28,IF(COUNTIFS(Admin!$D$29:$D$40,AI434)&gt;0,Admin!$D$28,"-"))))</f>
        <v>3. mérföldkő</v>
      </c>
      <c r="AK434" s="14" t="s">
        <v>141</v>
      </c>
      <c r="AL434" s="9" t="s">
        <v>56</v>
      </c>
      <c r="AM434" s="131">
        <v>430000</v>
      </c>
      <c r="AN434" s="132">
        <f t="shared" si="973"/>
        <v>55900</v>
      </c>
      <c r="AO434" s="121">
        <v>130</v>
      </c>
      <c r="AP434" s="121">
        <v>130</v>
      </c>
      <c r="AQ434" s="354">
        <f t="shared" si="943"/>
        <v>1</v>
      </c>
      <c r="AR434" s="133">
        <f t="shared" si="861"/>
        <v>430000</v>
      </c>
      <c r="AS434" s="133">
        <f t="shared" si="500"/>
        <v>55900</v>
      </c>
      <c r="AT434" s="123">
        <f t="shared" si="944"/>
        <v>0</v>
      </c>
      <c r="AU434" s="124">
        <v>0.13</v>
      </c>
      <c r="AV434" s="394" t="s">
        <v>2799</v>
      </c>
      <c r="AW434" s="15">
        <v>44977</v>
      </c>
      <c r="AX434" s="12" t="s">
        <v>206</v>
      </c>
      <c r="BC434" s="1" t="s">
        <v>2851</v>
      </c>
    </row>
    <row r="435" spans="1:63" s="1" customFormat="1" ht="18" hidden="1" customHeight="1" x14ac:dyDescent="0.25">
      <c r="A435" s="264"/>
      <c r="B435" s="264"/>
      <c r="C435" s="265"/>
      <c r="D435" s="279"/>
      <c r="E435" s="265"/>
      <c r="F435" s="266"/>
      <c r="G435" s="267"/>
      <c r="H435" s="268"/>
      <c r="I435" s="269"/>
      <c r="J435" s="276"/>
      <c r="K435" s="269"/>
      <c r="L435" s="270"/>
      <c r="M435" s="270"/>
      <c r="N435" s="318"/>
      <c r="O435" s="270"/>
      <c r="P435" s="270"/>
      <c r="Q435" s="270"/>
      <c r="R435" s="275"/>
      <c r="S435" s="270"/>
      <c r="T435" s="270"/>
      <c r="U435" s="271"/>
      <c r="V435" s="272"/>
      <c r="W435" s="273"/>
      <c r="X435" s="371"/>
      <c r="Y435" s="317"/>
      <c r="Z435" s="317"/>
      <c r="AA435" s="36"/>
      <c r="AB435" s="333"/>
      <c r="AC435" s="40"/>
      <c r="AD435" s="82"/>
      <c r="AE435" s="41"/>
      <c r="AF435" s="11"/>
      <c r="AG435" s="11"/>
      <c r="AH435" s="14"/>
      <c r="AI435" s="86"/>
      <c r="AJ435" s="113"/>
      <c r="AK435" s="14"/>
      <c r="AL435" s="9"/>
      <c r="AM435" s="131"/>
      <c r="AN435" s="132"/>
      <c r="AO435" s="121"/>
      <c r="AP435" s="121"/>
      <c r="AQ435" s="122"/>
      <c r="AR435" s="133" t="str">
        <f t="shared" ref="AR435:AR437" si="974">IFERROR(ROUND(AM435*AP435/AO435,0),"")</f>
        <v/>
      </c>
      <c r="AS435" s="133" t="str">
        <f t="shared" ref="AS435:AS437" si="975">IFERROR(ROUND(AR435*AU435,0),"")</f>
        <v/>
      </c>
      <c r="AT435" s="123"/>
      <c r="AU435" s="124">
        <v>0.13</v>
      </c>
      <c r="AV435" s="185"/>
      <c r="AW435" s="15"/>
      <c r="AX435" s="12"/>
    </row>
    <row r="436" spans="1:63" s="1" customFormat="1" ht="18" hidden="1" customHeight="1" x14ac:dyDescent="0.25">
      <c r="A436" s="264"/>
      <c r="B436" s="264"/>
      <c r="C436" s="265"/>
      <c r="D436" s="279"/>
      <c r="E436" s="265"/>
      <c r="F436" s="266"/>
      <c r="G436" s="267"/>
      <c r="H436" s="268"/>
      <c r="I436" s="269"/>
      <c r="J436" s="276"/>
      <c r="K436" s="269"/>
      <c r="L436" s="270"/>
      <c r="M436" s="270"/>
      <c r="N436" s="318"/>
      <c r="O436" s="270"/>
      <c r="P436" s="270"/>
      <c r="Q436" s="270"/>
      <c r="R436" s="275"/>
      <c r="S436" s="270"/>
      <c r="T436" s="270"/>
      <c r="U436" s="271"/>
      <c r="V436" s="272"/>
      <c r="W436" s="273"/>
      <c r="X436" s="371"/>
      <c r="Y436" s="317"/>
      <c r="Z436" s="317"/>
      <c r="AA436" s="36"/>
      <c r="AB436" s="333"/>
      <c r="AC436" s="40"/>
      <c r="AD436" s="82"/>
      <c r="AE436" s="41"/>
      <c r="AF436" s="11"/>
      <c r="AG436" s="11"/>
      <c r="AH436" s="14"/>
      <c r="AI436" s="86"/>
      <c r="AJ436" s="113"/>
      <c r="AK436" s="14"/>
      <c r="AL436" s="9"/>
      <c r="AM436" s="131"/>
      <c r="AN436" s="132"/>
      <c r="AO436" s="121"/>
      <c r="AP436" s="121"/>
      <c r="AQ436" s="122"/>
      <c r="AR436" s="133" t="str">
        <f t="shared" si="974"/>
        <v/>
      </c>
      <c r="AS436" s="133" t="str">
        <f t="shared" si="975"/>
        <v/>
      </c>
      <c r="AT436" s="123"/>
      <c r="AU436" s="124">
        <v>0.13</v>
      </c>
      <c r="AV436" s="185"/>
      <c r="AW436" s="15"/>
      <c r="AX436" s="12"/>
    </row>
    <row r="437" spans="1:63" s="1" customFormat="1" ht="18" hidden="1" customHeight="1" x14ac:dyDescent="0.25">
      <c r="A437" s="264"/>
      <c r="B437" s="264"/>
      <c r="C437" s="265"/>
      <c r="D437" s="279"/>
      <c r="E437" s="265"/>
      <c r="F437" s="266"/>
      <c r="G437" s="267"/>
      <c r="H437" s="268"/>
      <c r="I437" s="269"/>
      <c r="J437" s="276"/>
      <c r="K437" s="269"/>
      <c r="L437" s="270"/>
      <c r="M437" s="270"/>
      <c r="N437" s="318"/>
      <c r="O437" s="270"/>
      <c r="P437" s="270"/>
      <c r="Q437" s="270"/>
      <c r="R437" s="275"/>
      <c r="S437" s="270"/>
      <c r="T437" s="270"/>
      <c r="U437" s="271"/>
      <c r="V437" s="272"/>
      <c r="W437" s="273"/>
      <c r="X437" s="371"/>
      <c r="Y437" s="317"/>
      <c r="Z437" s="317"/>
      <c r="AA437" s="36"/>
      <c r="AB437" s="333"/>
      <c r="AC437" s="40"/>
      <c r="AD437" s="82"/>
      <c r="AE437" s="41"/>
      <c r="AF437" s="11"/>
      <c r="AG437" s="11"/>
      <c r="AH437" s="14"/>
      <c r="AI437" s="86"/>
      <c r="AJ437" s="113"/>
      <c r="AK437" s="14"/>
      <c r="AL437" s="9"/>
      <c r="AM437" s="131"/>
      <c r="AN437" s="132"/>
      <c r="AO437" s="121"/>
      <c r="AP437" s="121"/>
      <c r="AQ437" s="122"/>
      <c r="AR437" s="133" t="str">
        <f t="shared" si="974"/>
        <v/>
      </c>
      <c r="AS437" s="133" t="str">
        <f t="shared" si="975"/>
        <v/>
      </c>
      <c r="AT437" s="123"/>
      <c r="AU437" s="124">
        <v>0.13</v>
      </c>
      <c r="AV437" s="185"/>
      <c r="AW437" s="15"/>
      <c r="AX437" s="12"/>
    </row>
    <row r="438" spans="1:63" s="1" customFormat="1" ht="18" hidden="1" customHeight="1" x14ac:dyDescent="0.25">
      <c r="A438" s="356"/>
      <c r="B438" s="356"/>
      <c r="C438" s="357"/>
      <c r="D438" s="358"/>
      <c r="E438" s="357"/>
      <c r="F438" s="359"/>
      <c r="G438" s="360"/>
      <c r="H438" s="361"/>
      <c r="I438" s="356"/>
      <c r="J438" s="362"/>
      <c r="K438" s="356"/>
      <c r="L438" s="358"/>
      <c r="M438" s="358"/>
      <c r="N438" s="363"/>
      <c r="O438" s="358"/>
      <c r="P438" s="358"/>
      <c r="Q438" s="358"/>
      <c r="R438" s="364"/>
      <c r="S438" s="358"/>
      <c r="T438" s="358"/>
      <c r="U438" s="365"/>
      <c r="V438" s="366"/>
      <c r="W438" s="367"/>
      <c r="X438" s="367"/>
      <c r="Y438" s="368"/>
      <c r="Z438" s="368"/>
      <c r="AA438" s="335"/>
      <c r="AB438" s="336"/>
      <c r="AC438" s="334" t="s">
        <v>2663</v>
      </c>
      <c r="AD438" s="337"/>
      <c r="AE438" s="338"/>
      <c r="AF438" s="339"/>
      <c r="AG438" s="339"/>
      <c r="AH438" s="340"/>
      <c r="AI438" s="341"/>
      <c r="AJ438" s="342"/>
      <c r="AK438" s="340"/>
      <c r="AL438" s="343"/>
      <c r="AM438" s="344"/>
      <c r="AN438" s="345"/>
      <c r="AO438" s="346"/>
      <c r="AP438" s="346"/>
      <c r="AQ438" s="347"/>
      <c r="AR438" s="348"/>
      <c r="AS438" s="348"/>
      <c r="AT438" s="349"/>
      <c r="AU438" s="350"/>
      <c r="AV438" s="351"/>
      <c r="AW438" s="352"/>
      <c r="AX438" s="353"/>
    </row>
    <row r="439" spans="1:63" s="1" customFormat="1" ht="18" hidden="1" customHeight="1" x14ac:dyDescent="0.25">
      <c r="A439" s="264"/>
      <c r="B439" s="264"/>
      <c r="C439" s="265"/>
      <c r="D439" s="279"/>
      <c r="E439" s="265"/>
      <c r="F439" s="266"/>
      <c r="G439" s="267"/>
      <c r="H439" s="268"/>
      <c r="I439" s="269"/>
      <c r="J439" s="276"/>
      <c r="K439" s="269"/>
      <c r="L439" s="270"/>
      <c r="M439" s="270"/>
      <c r="N439" s="318"/>
      <c r="O439" s="270"/>
      <c r="P439" s="270"/>
      <c r="Q439" s="270"/>
      <c r="R439" s="275"/>
      <c r="S439" s="270"/>
      <c r="T439" s="270"/>
      <c r="U439" s="271"/>
      <c r="V439" s="272"/>
      <c r="W439" s="273"/>
      <c r="X439" s="371"/>
      <c r="Y439" s="317"/>
      <c r="Z439" s="317"/>
      <c r="AA439" s="36"/>
      <c r="AB439" s="333"/>
      <c r="AC439" s="40"/>
      <c r="AD439" s="82"/>
      <c r="AE439" s="41"/>
      <c r="AF439" s="11"/>
      <c r="AG439" s="11"/>
      <c r="AH439" s="14"/>
      <c r="AI439" s="86"/>
      <c r="AJ439" s="113"/>
      <c r="AK439" s="14"/>
      <c r="AL439" s="9"/>
      <c r="AM439" s="131"/>
      <c r="AN439" s="132"/>
      <c r="AO439" s="121"/>
      <c r="AP439" s="121"/>
      <c r="AQ439" s="122"/>
      <c r="AR439" s="133"/>
      <c r="AS439" s="133"/>
      <c r="AT439" s="123"/>
      <c r="AU439" s="124">
        <v>0.13</v>
      </c>
      <c r="AV439" s="185"/>
      <c r="AW439" s="15"/>
      <c r="AX439" s="12"/>
    </row>
    <row r="440" spans="1:63" s="1" customFormat="1" ht="18" hidden="1" customHeight="1" x14ac:dyDescent="0.25">
      <c r="A440" s="264"/>
      <c r="B440" s="264"/>
      <c r="C440" s="265"/>
      <c r="D440" s="279"/>
      <c r="E440" s="265"/>
      <c r="F440" s="266"/>
      <c r="G440" s="267"/>
      <c r="H440" s="268"/>
      <c r="I440" s="269"/>
      <c r="J440" s="276"/>
      <c r="K440" s="269"/>
      <c r="L440" s="270"/>
      <c r="M440" s="270"/>
      <c r="N440" s="318"/>
      <c r="O440" s="270"/>
      <c r="P440" s="270"/>
      <c r="Q440" s="270"/>
      <c r="R440" s="275"/>
      <c r="S440" s="270"/>
      <c r="T440" s="270"/>
      <c r="U440" s="271"/>
      <c r="V440" s="272"/>
      <c r="W440" s="273"/>
      <c r="X440" s="371"/>
      <c r="Y440" s="317"/>
      <c r="Z440" s="317"/>
      <c r="AA440" s="36"/>
      <c r="AB440" s="333"/>
      <c r="AC440" s="40"/>
      <c r="AD440" s="82"/>
      <c r="AE440" s="41"/>
      <c r="AF440" s="11"/>
      <c r="AG440" s="11"/>
      <c r="AH440" s="14"/>
      <c r="AI440" s="86"/>
      <c r="AJ440" s="113"/>
      <c r="AK440" s="14"/>
      <c r="AL440" s="9"/>
      <c r="AM440" s="131"/>
      <c r="AN440" s="132"/>
      <c r="AO440" s="121"/>
      <c r="AP440" s="121"/>
      <c r="AQ440" s="122"/>
      <c r="AR440" s="133"/>
      <c r="AS440" s="133"/>
      <c r="AT440" s="123"/>
      <c r="AU440" s="124">
        <v>0.13</v>
      </c>
      <c r="AV440" s="185"/>
      <c r="AW440" s="15"/>
      <c r="AX440" s="12"/>
    </row>
    <row r="441" spans="1:63" s="1" customFormat="1" ht="18" hidden="1" customHeight="1" x14ac:dyDescent="0.25">
      <c r="A441" s="264"/>
      <c r="B441" s="264"/>
      <c r="C441" s="265"/>
      <c r="D441" s="279"/>
      <c r="E441" s="265"/>
      <c r="F441" s="266"/>
      <c r="G441" s="267"/>
      <c r="H441" s="268"/>
      <c r="I441" s="269"/>
      <c r="J441" s="276"/>
      <c r="K441" s="269"/>
      <c r="L441" s="270"/>
      <c r="M441" s="270"/>
      <c r="N441" s="318"/>
      <c r="O441" s="270"/>
      <c r="P441" s="270"/>
      <c r="Q441" s="270"/>
      <c r="R441" s="275"/>
      <c r="S441" s="270"/>
      <c r="T441" s="270"/>
      <c r="U441" s="271"/>
      <c r="V441" s="272"/>
      <c r="W441" s="273"/>
      <c r="X441" s="371"/>
      <c r="Y441" s="317"/>
      <c r="Z441" s="317"/>
      <c r="AA441" s="36"/>
      <c r="AB441" s="333"/>
      <c r="AC441" s="40"/>
      <c r="AD441" s="82"/>
      <c r="AE441" s="41"/>
      <c r="AF441" s="11"/>
      <c r="AG441" s="11"/>
      <c r="AH441" s="14"/>
      <c r="AI441" s="86"/>
      <c r="AJ441" s="113"/>
      <c r="AK441" s="14"/>
      <c r="AL441" s="9"/>
      <c r="AM441" s="131"/>
      <c r="AN441" s="132"/>
      <c r="AO441" s="121"/>
      <c r="AP441" s="121"/>
      <c r="AQ441" s="122"/>
      <c r="AR441" s="133"/>
      <c r="AS441" s="133"/>
      <c r="AT441" s="123"/>
      <c r="AU441" s="124">
        <v>0.13</v>
      </c>
      <c r="AV441" s="185"/>
      <c r="AW441" s="15"/>
      <c r="AX441" s="12"/>
    </row>
    <row r="442" spans="1:63" s="1" customFormat="1" hidden="1" x14ac:dyDescent="0.25">
      <c r="A442" s="264"/>
      <c r="B442" s="264"/>
      <c r="C442" s="265"/>
      <c r="D442" s="279"/>
      <c r="E442" s="265"/>
      <c r="F442" s="266"/>
      <c r="G442" s="267"/>
      <c r="H442" s="268"/>
      <c r="I442" s="269"/>
      <c r="J442" s="276"/>
      <c r="K442" s="269"/>
      <c r="L442" s="270"/>
      <c r="M442" s="270"/>
      <c r="N442" s="318"/>
      <c r="O442" s="270"/>
      <c r="P442" s="270"/>
      <c r="Q442" s="270"/>
      <c r="R442" s="275"/>
      <c r="S442" s="270"/>
      <c r="T442" s="270"/>
      <c r="U442" s="271"/>
      <c r="V442" s="272"/>
      <c r="W442" s="273"/>
      <c r="X442" s="372"/>
      <c r="Y442" s="317"/>
      <c r="Z442" s="317"/>
      <c r="AA442" s="36"/>
      <c r="AB442" s="274"/>
      <c r="AC442" s="40"/>
      <c r="AD442" s="82"/>
      <c r="AE442" s="41"/>
      <c r="AF442" s="11"/>
      <c r="AG442" s="11"/>
      <c r="AH442" s="14"/>
      <c r="AI442" s="86"/>
      <c r="AJ442" s="113" t="str">
        <f>IF(COUNTIFS(Admin!$A$29:$A$40,AI442)&gt;0,Admin!$A$28,IF(COUNTIFS(Admin!$B$29:$B$40,AI442)&gt;0,Admin!$B$28,IF(COUNTIFS(Admin!$C$29:$C$40,AI442)&gt;0,Admin!$C$28,IF(COUNTIFS(Admin!$D$29:$D$40,AI442)&gt;0,Admin!$D$28,"-"))))</f>
        <v>-</v>
      </c>
      <c r="AK442" s="14"/>
      <c r="AL442" s="9"/>
      <c r="AM442" s="131"/>
      <c r="AN442" s="132">
        <f>IFERROR(ROUND(AM442*0.9*AU442,0),"")</f>
        <v>0</v>
      </c>
      <c r="AO442" s="121"/>
      <c r="AP442" s="121"/>
      <c r="AQ442" s="122"/>
      <c r="AR442" s="133"/>
      <c r="AS442" s="133"/>
      <c r="AT442" s="123"/>
      <c r="AU442" s="124">
        <v>0.13</v>
      </c>
      <c r="AV442" s="185"/>
      <c r="AW442" s="15"/>
      <c r="AX442" s="12"/>
    </row>
    <row r="443" spans="1:63" ht="15.75" thickBot="1" x14ac:dyDescent="0.3">
      <c r="Y443" s="204">
        <f>SUBTOTAL(109,Y9:Y442)</f>
        <v>10100993</v>
      </c>
      <c r="Z443" s="204">
        <f>SUBTOTAL(109,Z9:Z442)</f>
        <v>1131141</v>
      </c>
      <c r="AA443" s="193" t="s">
        <v>202</v>
      </c>
      <c r="AB443" s="202"/>
      <c r="AC443" s="194"/>
      <c r="AD443" s="195"/>
      <c r="AE443" s="194"/>
      <c r="AF443" s="196"/>
      <c r="AG443" s="196"/>
      <c r="AH443" s="197"/>
      <c r="AI443" s="198"/>
      <c r="AJ443" s="199"/>
      <c r="AK443" s="200"/>
      <c r="AL443" s="200"/>
      <c r="AM443" s="201"/>
      <c r="AN443" s="201"/>
      <c r="AO443" s="202"/>
      <c r="AP443" s="203"/>
      <c r="AQ443" s="203"/>
      <c r="AR443" s="204">
        <f>SUBTOTAL(109,AR9:AR442)</f>
        <v>10659745</v>
      </c>
      <c r="AS443" s="204">
        <f>SUBTOTAL(109,AS9:AS442)</f>
        <v>1203777</v>
      </c>
      <c r="AT443" s="205"/>
      <c r="AU443" s="202"/>
      <c r="AV443" s="202"/>
      <c r="AW443" s="206"/>
      <c r="AX443" s="206"/>
    </row>
    <row r="445" spans="1:63" ht="14.45" customHeight="1" x14ac:dyDescent="0.25">
      <c r="AP445" s="7"/>
      <c r="AQ445" s="7"/>
      <c r="AR445" s="7"/>
      <c r="AS445" s="7"/>
    </row>
    <row r="446" spans="1:63" s="3" customFormat="1" ht="15" hidden="1" customHeight="1" outlineLevel="1" x14ac:dyDescent="0.25">
      <c r="C446" s="5"/>
      <c r="D446" s="319"/>
      <c r="E446" s="5"/>
      <c r="F446" s="5"/>
      <c r="G446" s="5"/>
      <c r="H446" s="5"/>
      <c r="I446" s="5"/>
      <c r="J446" s="5"/>
      <c r="K446" s="5"/>
      <c r="L446" s="5"/>
      <c r="M446" s="5"/>
      <c r="N446" s="5"/>
      <c r="O446" s="5"/>
      <c r="P446" s="5"/>
      <c r="Q446" s="5"/>
      <c r="R446" s="5"/>
      <c r="S446" s="5"/>
      <c r="T446" s="5"/>
      <c r="U446" s="5"/>
      <c r="V446" s="5"/>
      <c r="W446" s="5"/>
      <c r="X446" s="5"/>
      <c r="Y446" s="5"/>
      <c r="Z446" s="5"/>
      <c r="AB446" s="129"/>
      <c r="AD446" s="5"/>
      <c r="AF446" s="3" t="s">
        <v>31</v>
      </c>
      <c r="AH446" s="3" t="s">
        <v>43</v>
      </c>
      <c r="AI446" s="141"/>
      <c r="AJ446" s="13"/>
      <c r="AK446" s="3" t="s">
        <v>7</v>
      </c>
      <c r="AL446" s="3" t="s">
        <v>15</v>
      </c>
      <c r="AM446" s="135"/>
      <c r="AN446" s="135"/>
      <c r="AO446" s="126"/>
      <c r="AP446" s="127"/>
      <c r="AQ446" s="127"/>
      <c r="AR446" s="136"/>
      <c r="AS446" s="137"/>
      <c r="AT446" s="128"/>
      <c r="AU446" s="129"/>
      <c r="AV446" s="129"/>
      <c r="AW446" s="5"/>
      <c r="AX446" s="5"/>
      <c r="AY446"/>
      <c r="AZ446"/>
      <c r="BA446"/>
      <c r="BB446"/>
      <c r="BC446"/>
      <c r="BD446"/>
      <c r="BE446"/>
      <c r="BF446"/>
      <c r="BG446"/>
      <c r="BH446"/>
      <c r="BI446"/>
      <c r="BJ446"/>
      <c r="BK446"/>
    </row>
    <row r="447" spans="1:63" s="3" customFormat="1" ht="15" hidden="1" customHeight="1" outlineLevel="1" x14ac:dyDescent="0.25">
      <c r="C447" s="5"/>
      <c r="D447" s="319"/>
      <c r="E447" s="5"/>
      <c r="F447" s="5"/>
      <c r="G447" s="5"/>
      <c r="H447" s="5"/>
      <c r="I447" s="5"/>
      <c r="J447" s="5"/>
      <c r="K447" s="5"/>
      <c r="L447" s="5"/>
      <c r="M447" s="5"/>
      <c r="N447" s="5"/>
      <c r="O447" s="5"/>
      <c r="P447" s="5"/>
      <c r="Q447" s="5"/>
      <c r="R447" s="5"/>
      <c r="S447" s="5"/>
      <c r="T447" s="5"/>
      <c r="U447" s="5"/>
      <c r="V447" s="5"/>
      <c r="W447" s="5"/>
      <c r="X447" s="5"/>
      <c r="Y447" s="5"/>
      <c r="Z447" s="5"/>
      <c r="AB447" s="129"/>
      <c r="AD447" s="5"/>
      <c r="AH447" s="3" t="s">
        <v>44</v>
      </c>
      <c r="AI447" s="141"/>
      <c r="AJ447" s="13"/>
      <c r="AK447" s="3" t="s">
        <v>8</v>
      </c>
      <c r="AL447" s="3" t="s">
        <v>16</v>
      </c>
      <c r="AM447" s="135"/>
      <c r="AN447" s="135"/>
      <c r="AO447" s="126"/>
      <c r="AP447" s="127"/>
      <c r="AQ447" s="127"/>
      <c r="AR447" s="136"/>
      <c r="AS447" s="137"/>
      <c r="AT447" s="128"/>
      <c r="AU447" s="129"/>
      <c r="AV447" s="129"/>
      <c r="AW447" s="5"/>
      <c r="AX447" s="5"/>
      <c r="AY447"/>
      <c r="AZ447"/>
      <c r="BA447"/>
      <c r="BB447"/>
      <c r="BC447"/>
      <c r="BD447"/>
      <c r="BE447"/>
      <c r="BF447"/>
      <c r="BG447"/>
      <c r="BH447"/>
      <c r="BI447"/>
      <c r="BJ447"/>
      <c r="BK447"/>
    </row>
    <row r="448" spans="1:63" s="3" customFormat="1" ht="15" hidden="1" customHeight="1" outlineLevel="1" x14ac:dyDescent="0.25">
      <c r="C448" s="5"/>
      <c r="D448" s="319"/>
      <c r="E448" s="5"/>
      <c r="F448" s="5"/>
      <c r="G448" s="5"/>
      <c r="H448" s="5"/>
      <c r="I448" s="5"/>
      <c r="J448" s="5"/>
      <c r="K448" s="5"/>
      <c r="L448" s="5"/>
      <c r="M448" s="5"/>
      <c r="N448" s="5"/>
      <c r="O448" s="5"/>
      <c r="P448" s="5"/>
      <c r="Q448" s="5"/>
      <c r="R448" s="5"/>
      <c r="S448" s="5"/>
      <c r="T448" s="5"/>
      <c r="U448" s="5"/>
      <c r="V448" s="5"/>
      <c r="W448" s="5"/>
      <c r="X448" s="5"/>
      <c r="Y448" s="5"/>
      <c r="Z448" s="5"/>
      <c r="AB448" s="129"/>
      <c r="AD448" s="5"/>
      <c r="AH448" s="3" t="s">
        <v>45</v>
      </c>
      <c r="AI448" s="141"/>
      <c r="AJ448" s="13"/>
      <c r="AL448" s="3" t="s">
        <v>17</v>
      </c>
      <c r="AM448" s="135"/>
      <c r="AN448" s="135"/>
      <c r="AO448" s="126"/>
      <c r="AP448" s="127"/>
      <c r="AQ448" s="127"/>
      <c r="AR448" s="136"/>
      <c r="AS448" s="137"/>
      <c r="AT448" s="128"/>
      <c r="AU448" s="129"/>
      <c r="AV448" s="129"/>
      <c r="AW448" s="5"/>
      <c r="AX448" s="5"/>
      <c r="AY448"/>
      <c r="AZ448"/>
      <c r="BA448"/>
      <c r="BB448"/>
      <c r="BC448"/>
      <c r="BD448"/>
      <c r="BE448"/>
      <c r="BF448"/>
      <c r="BG448"/>
      <c r="BH448"/>
      <c r="BI448"/>
      <c r="BJ448"/>
      <c r="BK448"/>
    </row>
    <row r="449" spans="3:63" s="3" customFormat="1" ht="15" hidden="1" customHeight="1" outlineLevel="1" x14ac:dyDescent="0.25">
      <c r="C449" s="5"/>
      <c r="D449" s="319"/>
      <c r="E449" s="5"/>
      <c r="F449" s="5"/>
      <c r="G449" s="5"/>
      <c r="H449" s="5"/>
      <c r="I449" s="5"/>
      <c r="J449" s="5"/>
      <c r="K449" s="5"/>
      <c r="L449" s="5"/>
      <c r="M449" s="5"/>
      <c r="N449" s="5"/>
      <c r="O449" s="5"/>
      <c r="P449" s="5"/>
      <c r="Q449" s="5"/>
      <c r="R449" s="5"/>
      <c r="S449" s="5"/>
      <c r="T449" s="5"/>
      <c r="U449" s="5"/>
      <c r="V449" s="5"/>
      <c r="W449" s="5"/>
      <c r="X449" s="5"/>
      <c r="Y449" s="5"/>
      <c r="Z449" s="5"/>
      <c r="AB449" s="129"/>
      <c r="AD449" s="5"/>
      <c r="AH449" s="3" t="s">
        <v>46</v>
      </c>
      <c r="AI449" s="141"/>
      <c r="AJ449" s="13"/>
      <c r="AM449" s="135"/>
      <c r="AN449" s="135"/>
      <c r="AO449" s="126"/>
      <c r="AP449" s="127"/>
      <c r="AQ449" s="127"/>
      <c r="AR449" s="136"/>
      <c r="AS449" s="137"/>
      <c r="AT449" s="128"/>
      <c r="AU449" s="129"/>
      <c r="AV449" s="129"/>
      <c r="AW449" s="5"/>
      <c r="AX449" s="5"/>
      <c r="AY449"/>
      <c r="AZ449"/>
      <c r="BA449"/>
      <c r="BB449"/>
      <c r="BC449"/>
      <c r="BD449"/>
      <c r="BE449"/>
      <c r="BF449"/>
      <c r="BG449"/>
      <c r="BH449"/>
      <c r="BI449"/>
      <c r="BJ449"/>
      <c r="BK449"/>
    </row>
    <row r="450" spans="3:63" s="3" customFormat="1" ht="15" hidden="1" customHeight="1" outlineLevel="1" x14ac:dyDescent="0.25">
      <c r="C450" s="5"/>
      <c r="D450" s="319"/>
      <c r="E450" s="5"/>
      <c r="F450" s="5"/>
      <c r="G450" s="5"/>
      <c r="H450" s="5"/>
      <c r="I450" s="5"/>
      <c r="J450" s="5"/>
      <c r="K450" s="5"/>
      <c r="L450" s="5"/>
      <c r="M450" s="5"/>
      <c r="N450" s="5"/>
      <c r="O450" s="5"/>
      <c r="P450" s="5"/>
      <c r="Q450" s="5"/>
      <c r="R450" s="5"/>
      <c r="S450" s="5"/>
      <c r="T450" s="5"/>
      <c r="U450" s="5"/>
      <c r="V450" s="5"/>
      <c r="W450" s="5"/>
      <c r="X450" s="5"/>
      <c r="Y450" s="5"/>
      <c r="Z450" s="5"/>
      <c r="AB450" s="129"/>
      <c r="AD450" s="5"/>
      <c r="AH450" s="3" t="s">
        <v>47</v>
      </c>
      <c r="AI450" s="141"/>
      <c r="AJ450" s="13"/>
      <c r="AM450" s="135"/>
      <c r="AN450" s="135"/>
      <c r="AO450" s="126"/>
      <c r="AP450" s="127"/>
      <c r="AQ450" s="127"/>
      <c r="AR450" s="136"/>
      <c r="AS450" s="137"/>
      <c r="AT450" s="128"/>
      <c r="AU450" s="129"/>
      <c r="AV450" s="129"/>
      <c r="AW450" s="5"/>
      <c r="AX450" s="5"/>
      <c r="AY450"/>
      <c r="AZ450"/>
      <c r="BA450"/>
      <c r="BB450"/>
      <c r="BC450"/>
      <c r="BD450"/>
      <c r="BE450"/>
      <c r="BF450"/>
      <c r="BG450"/>
      <c r="BH450"/>
      <c r="BI450"/>
      <c r="BJ450"/>
      <c r="BK450"/>
    </row>
    <row r="451" spans="3:63" s="3" customFormat="1" ht="15" hidden="1" customHeight="1" outlineLevel="1" x14ac:dyDescent="0.25">
      <c r="C451" s="5"/>
      <c r="D451" s="319"/>
      <c r="E451" s="5"/>
      <c r="F451" s="5"/>
      <c r="G451" s="5"/>
      <c r="H451" s="5"/>
      <c r="I451" s="5"/>
      <c r="J451" s="5"/>
      <c r="K451" s="5"/>
      <c r="L451" s="5"/>
      <c r="M451" s="5"/>
      <c r="N451" s="5"/>
      <c r="O451" s="5"/>
      <c r="P451" s="5"/>
      <c r="Q451" s="5"/>
      <c r="R451" s="5"/>
      <c r="S451" s="5"/>
      <c r="T451" s="5"/>
      <c r="U451" s="5"/>
      <c r="V451" s="5"/>
      <c r="W451" s="5"/>
      <c r="X451" s="5"/>
      <c r="Y451" s="5"/>
      <c r="Z451" s="5"/>
      <c r="AB451" s="129"/>
      <c r="AD451" s="5"/>
      <c r="AH451" s="3" t="s">
        <v>48</v>
      </c>
      <c r="AI451" s="141"/>
      <c r="AJ451" s="13"/>
      <c r="AM451" s="135"/>
      <c r="AN451" s="135"/>
      <c r="AO451" s="126"/>
      <c r="AP451" s="127"/>
      <c r="AQ451" s="127"/>
      <c r="AR451" s="136"/>
      <c r="AS451" s="137"/>
      <c r="AT451" s="128"/>
      <c r="AU451" s="129"/>
      <c r="AV451" s="129"/>
      <c r="AW451" s="5"/>
      <c r="AX451" s="5"/>
      <c r="AY451"/>
      <c r="AZ451"/>
      <c r="BA451"/>
      <c r="BB451"/>
      <c r="BC451"/>
      <c r="BD451"/>
      <c r="BE451"/>
      <c r="BF451"/>
      <c r="BG451"/>
      <c r="BH451"/>
      <c r="BI451"/>
      <c r="BJ451"/>
      <c r="BK451"/>
    </row>
    <row r="452" spans="3:63" s="3" customFormat="1" ht="15" hidden="1" customHeight="1" outlineLevel="1" x14ac:dyDescent="0.25">
      <c r="C452" s="5"/>
      <c r="D452" s="319"/>
      <c r="E452" s="5"/>
      <c r="F452" s="5"/>
      <c r="G452" s="5"/>
      <c r="H452" s="5"/>
      <c r="I452" s="5"/>
      <c r="J452" s="5"/>
      <c r="K452" s="5"/>
      <c r="L452" s="5"/>
      <c r="M452" s="5"/>
      <c r="N452" s="5"/>
      <c r="O452" s="5"/>
      <c r="P452" s="5"/>
      <c r="Q452" s="5"/>
      <c r="R452" s="5"/>
      <c r="S452" s="5"/>
      <c r="T452" s="5"/>
      <c r="U452" s="5"/>
      <c r="V452" s="5"/>
      <c r="W452" s="5"/>
      <c r="X452" s="5"/>
      <c r="Y452" s="5"/>
      <c r="Z452" s="5"/>
      <c r="AB452" s="129"/>
      <c r="AD452" s="5"/>
      <c r="AH452" s="3" t="s">
        <v>49</v>
      </c>
      <c r="AI452" s="141"/>
      <c r="AJ452" s="13"/>
      <c r="AM452" s="135"/>
      <c r="AN452" s="135"/>
      <c r="AO452" s="126"/>
      <c r="AP452" s="127"/>
      <c r="AQ452" s="127"/>
      <c r="AR452" s="136"/>
      <c r="AS452" s="137"/>
      <c r="AT452" s="128"/>
      <c r="AU452" s="129"/>
      <c r="AV452" s="129"/>
      <c r="AW452" s="5"/>
      <c r="AX452" s="5"/>
      <c r="AY452"/>
      <c r="AZ452"/>
      <c r="BA452"/>
      <c r="BB452"/>
      <c r="BC452"/>
      <c r="BD452"/>
      <c r="BE452"/>
      <c r="BF452"/>
      <c r="BG452"/>
      <c r="BH452"/>
      <c r="BI452"/>
      <c r="BJ452"/>
      <c r="BK452"/>
    </row>
    <row r="453" spans="3:63" s="3" customFormat="1" ht="15" hidden="1" customHeight="1" outlineLevel="1" x14ac:dyDescent="0.25">
      <c r="C453" s="5"/>
      <c r="D453" s="319"/>
      <c r="E453" s="5"/>
      <c r="F453" s="5"/>
      <c r="G453" s="5"/>
      <c r="H453" s="5"/>
      <c r="I453" s="5"/>
      <c r="J453" s="5"/>
      <c r="K453" s="5"/>
      <c r="L453" s="5"/>
      <c r="M453" s="5"/>
      <c r="N453" s="5"/>
      <c r="O453" s="5"/>
      <c r="P453" s="5"/>
      <c r="Q453" s="5"/>
      <c r="R453" s="5"/>
      <c r="S453" s="5"/>
      <c r="T453" s="5"/>
      <c r="U453" s="5"/>
      <c r="V453" s="5"/>
      <c r="W453" s="5"/>
      <c r="X453" s="5"/>
      <c r="Y453" s="5"/>
      <c r="Z453" s="5"/>
      <c r="AB453" s="129"/>
      <c r="AD453" s="5"/>
      <c r="AH453" s="3" t="s">
        <v>50</v>
      </c>
      <c r="AI453" s="141"/>
      <c r="AJ453" s="13"/>
      <c r="AM453" s="135"/>
      <c r="AN453" s="135"/>
      <c r="AO453" s="126"/>
      <c r="AP453" s="127"/>
      <c r="AQ453" s="127"/>
      <c r="AR453" s="136"/>
      <c r="AS453" s="137"/>
      <c r="AT453" s="128"/>
      <c r="AU453" s="129"/>
      <c r="AV453" s="129"/>
      <c r="AW453" s="5"/>
      <c r="AX453" s="5"/>
      <c r="AY453"/>
      <c r="AZ453"/>
      <c r="BA453"/>
      <c r="BB453"/>
      <c r="BC453"/>
      <c r="BD453"/>
      <c r="BE453"/>
      <c r="BF453"/>
      <c r="BG453"/>
      <c r="BH453"/>
      <c r="BI453"/>
      <c r="BJ453"/>
      <c r="BK453"/>
    </row>
    <row r="454" spans="3:63" s="3" customFormat="1" ht="15" hidden="1" customHeight="1" outlineLevel="1" x14ac:dyDescent="0.25">
      <c r="C454" s="5"/>
      <c r="D454" s="319"/>
      <c r="E454" s="5"/>
      <c r="F454" s="5"/>
      <c r="G454" s="5"/>
      <c r="H454" s="5"/>
      <c r="I454" s="5"/>
      <c r="J454" s="5"/>
      <c r="K454" s="5"/>
      <c r="L454" s="5"/>
      <c r="M454" s="5"/>
      <c r="N454" s="5"/>
      <c r="O454" s="5"/>
      <c r="P454" s="5"/>
      <c r="Q454" s="5"/>
      <c r="R454" s="5"/>
      <c r="S454" s="5"/>
      <c r="T454" s="5"/>
      <c r="U454" s="5"/>
      <c r="V454" s="5"/>
      <c r="W454" s="5"/>
      <c r="X454" s="5"/>
      <c r="Y454" s="5"/>
      <c r="Z454" s="5"/>
      <c r="AB454" s="129"/>
      <c r="AD454" s="5"/>
      <c r="AH454" s="3" t="s">
        <v>51</v>
      </c>
      <c r="AI454" s="141"/>
      <c r="AJ454" s="13"/>
      <c r="AM454" s="135"/>
      <c r="AN454" s="135"/>
      <c r="AO454" s="126"/>
      <c r="AP454" s="127"/>
      <c r="AQ454" s="127"/>
      <c r="AR454" s="136"/>
      <c r="AS454" s="137"/>
      <c r="AT454" s="128"/>
      <c r="AU454" s="129"/>
      <c r="AV454" s="129"/>
      <c r="AW454" s="5"/>
      <c r="AX454" s="5"/>
      <c r="AY454"/>
      <c r="AZ454"/>
      <c r="BA454"/>
      <c r="BB454"/>
      <c r="BC454"/>
      <c r="BD454"/>
      <c r="BE454"/>
      <c r="BF454"/>
      <c r="BG454"/>
      <c r="BH454"/>
      <c r="BI454"/>
      <c r="BJ454"/>
      <c r="BK454"/>
    </row>
    <row r="455" spans="3:63" s="3" customFormat="1" ht="15" hidden="1" customHeight="1" outlineLevel="1" x14ac:dyDescent="0.25">
      <c r="C455" s="5"/>
      <c r="D455" s="319"/>
      <c r="E455" s="5"/>
      <c r="F455" s="5"/>
      <c r="G455" s="5"/>
      <c r="H455" s="5"/>
      <c r="I455" s="5"/>
      <c r="J455" s="5"/>
      <c r="K455" s="5"/>
      <c r="L455" s="5"/>
      <c r="M455" s="5"/>
      <c r="N455" s="5"/>
      <c r="O455" s="5"/>
      <c r="P455" s="5"/>
      <c r="Q455" s="5"/>
      <c r="R455" s="5"/>
      <c r="S455" s="5"/>
      <c r="T455" s="5"/>
      <c r="U455" s="5"/>
      <c r="V455" s="5"/>
      <c r="W455" s="5"/>
      <c r="X455" s="5"/>
      <c r="Y455" s="5"/>
      <c r="Z455" s="5"/>
      <c r="AB455" s="129"/>
      <c r="AD455" s="5"/>
      <c r="AI455" s="141"/>
      <c r="AJ455" s="13"/>
      <c r="AM455" s="135"/>
      <c r="AN455" s="135"/>
      <c r="AO455" s="126"/>
      <c r="AP455" s="127"/>
      <c r="AQ455" s="127"/>
      <c r="AR455" s="136"/>
      <c r="AS455" s="137"/>
      <c r="AT455" s="128"/>
      <c r="AU455" s="129"/>
      <c r="AV455" s="129"/>
      <c r="AW455" s="5"/>
      <c r="AX455" s="5"/>
      <c r="AY455"/>
      <c r="AZ455"/>
      <c r="BA455"/>
      <c r="BB455"/>
      <c r="BC455"/>
      <c r="BD455"/>
      <c r="BE455"/>
      <c r="BF455"/>
      <c r="BG455"/>
      <c r="BH455"/>
      <c r="BI455"/>
      <c r="BJ455"/>
      <c r="BK455"/>
    </row>
    <row r="456" spans="3:63" s="3" customFormat="1" ht="15" hidden="1" customHeight="1" outlineLevel="1" x14ac:dyDescent="0.25">
      <c r="C456" s="5"/>
      <c r="D456" s="319"/>
      <c r="E456" s="5"/>
      <c r="F456" s="5"/>
      <c r="G456" s="5"/>
      <c r="H456" s="5"/>
      <c r="I456" s="5"/>
      <c r="J456" s="5"/>
      <c r="K456" s="5"/>
      <c r="L456" s="5"/>
      <c r="M456" s="5"/>
      <c r="N456" s="5"/>
      <c r="O456" s="5"/>
      <c r="P456" s="5"/>
      <c r="Q456" s="5"/>
      <c r="R456" s="5"/>
      <c r="S456" s="5"/>
      <c r="T456" s="5"/>
      <c r="U456" s="5"/>
      <c r="V456" s="5"/>
      <c r="W456" s="5"/>
      <c r="X456" s="5"/>
      <c r="Y456" s="5"/>
      <c r="Z456" s="5"/>
      <c r="AB456" s="129"/>
      <c r="AD456" s="5"/>
      <c r="AI456" s="141"/>
      <c r="AJ456" s="13"/>
      <c r="AM456" s="135"/>
      <c r="AN456" s="135"/>
      <c r="AO456" s="126"/>
      <c r="AP456" s="127"/>
      <c r="AQ456" s="127"/>
      <c r="AR456" s="136"/>
      <c r="AS456" s="137"/>
      <c r="AT456" s="128"/>
      <c r="AU456" s="129"/>
      <c r="AV456" s="129"/>
      <c r="AW456" s="5"/>
      <c r="AX456" s="5"/>
      <c r="AY456"/>
      <c r="AZ456"/>
      <c r="BA456"/>
      <c r="BB456"/>
      <c r="BC456"/>
      <c r="BD456"/>
      <c r="BE456"/>
      <c r="BF456"/>
      <c r="BG456"/>
      <c r="BH456"/>
      <c r="BI456"/>
      <c r="BJ456"/>
      <c r="BK456"/>
    </row>
    <row r="457" spans="3:63" s="3" customFormat="1" ht="15" hidden="1" customHeight="1" outlineLevel="1" x14ac:dyDescent="0.25">
      <c r="C457" s="5"/>
      <c r="D457" s="319"/>
      <c r="E457" s="5"/>
      <c r="F457" s="5"/>
      <c r="G457" s="5"/>
      <c r="H457" s="5"/>
      <c r="I457" s="5"/>
      <c r="J457" s="5"/>
      <c r="K457" s="5"/>
      <c r="L457" s="5"/>
      <c r="M457" s="5"/>
      <c r="N457" s="5"/>
      <c r="O457" s="5"/>
      <c r="P457" s="5"/>
      <c r="Q457" s="5"/>
      <c r="R457" s="5"/>
      <c r="S457" s="5"/>
      <c r="T457" s="5"/>
      <c r="U457" s="5"/>
      <c r="V457" s="5"/>
      <c r="W457" s="5"/>
      <c r="X457" s="5"/>
      <c r="Y457" s="5"/>
      <c r="Z457" s="5"/>
      <c r="AB457" s="129"/>
      <c r="AD457" s="5"/>
      <c r="AI457" s="141"/>
      <c r="AJ457" s="13"/>
      <c r="AM457" s="135"/>
      <c r="AN457" s="135"/>
      <c r="AO457" s="126"/>
      <c r="AP457" s="127"/>
      <c r="AQ457" s="127"/>
      <c r="AR457" s="136"/>
      <c r="AS457" s="137"/>
      <c r="AT457" s="128"/>
      <c r="AU457" s="129"/>
      <c r="AV457" s="129"/>
      <c r="AW457" s="5"/>
      <c r="AX457" s="5"/>
      <c r="AY457"/>
      <c r="AZ457"/>
      <c r="BA457"/>
      <c r="BB457"/>
      <c r="BC457"/>
      <c r="BD457"/>
      <c r="BE457"/>
      <c r="BF457"/>
      <c r="BG457"/>
      <c r="BH457"/>
      <c r="BI457"/>
      <c r="BJ457"/>
      <c r="BK457"/>
    </row>
    <row r="458" spans="3:63" s="3" customFormat="1" ht="15" hidden="1" customHeight="1" outlineLevel="1" x14ac:dyDescent="0.25">
      <c r="C458" s="5"/>
      <c r="D458" s="319"/>
      <c r="E458" s="5"/>
      <c r="F458" s="5"/>
      <c r="G458" s="5"/>
      <c r="H458" s="5"/>
      <c r="I458" s="5"/>
      <c r="J458" s="5"/>
      <c r="K458" s="5"/>
      <c r="L458" s="5"/>
      <c r="M458" s="5"/>
      <c r="N458" s="5"/>
      <c r="O458" s="5"/>
      <c r="P458" s="5"/>
      <c r="Q458" s="5"/>
      <c r="R458" s="5"/>
      <c r="S458" s="5"/>
      <c r="T458" s="5"/>
      <c r="U458" s="5"/>
      <c r="V458" s="5"/>
      <c r="W458" s="5"/>
      <c r="X458" s="5"/>
      <c r="Y458" s="5"/>
      <c r="Z458" s="5"/>
      <c r="AB458" s="129"/>
      <c r="AD458" s="5"/>
      <c r="AI458" s="141"/>
      <c r="AJ458" s="13"/>
      <c r="AM458" s="135"/>
      <c r="AN458" s="135"/>
      <c r="AO458" s="126"/>
      <c r="AP458" s="127"/>
      <c r="AQ458" s="127"/>
      <c r="AR458" s="136"/>
      <c r="AS458" s="137"/>
      <c r="AT458" s="128"/>
      <c r="AU458" s="129"/>
      <c r="AV458" s="129"/>
      <c r="AW458" s="5"/>
      <c r="AX458" s="5"/>
      <c r="AY458"/>
      <c r="AZ458"/>
      <c r="BA458"/>
      <c r="BB458"/>
      <c r="BC458"/>
      <c r="BD458"/>
      <c r="BE458"/>
      <c r="BF458"/>
      <c r="BG458"/>
      <c r="BH458"/>
      <c r="BI458"/>
      <c r="BJ458"/>
      <c r="BK458"/>
    </row>
    <row r="459" spans="3:63" s="3" customFormat="1" ht="15" hidden="1" customHeight="1" outlineLevel="1" x14ac:dyDescent="0.25">
      <c r="C459" s="5"/>
      <c r="D459" s="319"/>
      <c r="E459" s="5"/>
      <c r="F459" s="5"/>
      <c r="G459" s="5"/>
      <c r="H459" s="5"/>
      <c r="I459" s="5"/>
      <c r="J459" s="5"/>
      <c r="K459" s="5"/>
      <c r="L459" s="5"/>
      <c r="M459" s="5"/>
      <c r="N459" s="5"/>
      <c r="O459" s="5"/>
      <c r="P459" s="5"/>
      <c r="Q459" s="5"/>
      <c r="R459" s="5"/>
      <c r="S459" s="5"/>
      <c r="T459" s="5"/>
      <c r="U459" s="5"/>
      <c r="V459" s="5"/>
      <c r="W459" s="5"/>
      <c r="X459" s="5"/>
      <c r="Y459" s="5"/>
      <c r="Z459" s="5"/>
      <c r="AB459" s="129"/>
      <c r="AD459" s="5"/>
      <c r="AI459" s="141"/>
      <c r="AJ459" s="19"/>
      <c r="AM459" s="135"/>
      <c r="AN459" s="135"/>
      <c r="AO459" s="126"/>
      <c r="AP459" s="127"/>
      <c r="AQ459" s="127"/>
      <c r="AR459" s="136"/>
      <c r="AS459" s="137"/>
      <c r="AT459" s="128"/>
      <c r="AU459" s="129"/>
      <c r="AV459" s="129"/>
      <c r="AW459" s="5"/>
      <c r="AX459" s="5"/>
      <c r="AY459"/>
      <c r="AZ459"/>
      <c r="BA459"/>
      <c r="BB459"/>
      <c r="BC459"/>
      <c r="BD459"/>
      <c r="BE459"/>
      <c r="BF459"/>
      <c r="BG459"/>
      <c r="BH459"/>
      <c r="BI459"/>
      <c r="BJ459"/>
      <c r="BK459"/>
    </row>
    <row r="460" spans="3:63" s="3" customFormat="1" ht="15" hidden="1" customHeight="1" outlineLevel="1" x14ac:dyDescent="0.25">
      <c r="C460" s="5"/>
      <c r="D460" s="319"/>
      <c r="E460" s="5"/>
      <c r="F460" s="5"/>
      <c r="G460" s="5"/>
      <c r="H460" s="5"/>
      <c r="I460" s="5"/>
      <c r="J460" s="5"/>
      <c r="K460" s="5"/>
      <c r="L460" s="5"/>
      <c r="M460" s="5"/>
      <c r="N460" s="5"/>
      <c r="O460" s="5"/>
      <c r="P460" s="5"/>
      <c r="Q460" s="5"/>
      <c r="R460" s="5"/>
      <c r="S460" s="5"/>
      <c r="T460" s="5"/>
      <c r="U460" s="5"/>
      <c r="V460" s="5"/>
      <c r="W460" s="5"/>
      <c r="X460" s="5"/>
      <c r="Y460" s="5"/>
      <c r="Z460" s="5"/>
      <c r="AB460" s="129"/>
      <c r="AD460" s="5"/>
      <c r="AI460" s="141"/>
      <c r="AJ460" s="19"/>
      <c r="AM460" s="135"/>
      <c r="AN460" s="135"/>
      <c r="AO460" s="126"/>
      <c r="AP460" s="127"/>
      <c r="AQ460" s="127"/>
      <c r="AR460" s="136"/>
      <c r="AS460" s="137"/>
      <c r="AT460" s="128"/>
      <c r="AU460" s="129"/>
      <c r="AV460" s="129"/>
      <c r="AW460" s="5"/>
      <c r="AX460" s="5"/>
      <c r="AY460"/>
      <c r="AZ460"/>
      <c r="BA460"/>
      <c r="BB460"/>
      <c r="BC460"/>
      <c r="BD460"/>
      <c r="BE460"/>
      <c r="BF460"/>
      <c r="BG460"/>
      <c r="BH460"/>
      <c r="BI460"/>
      <c r="BJ460"/>
      <c r="BK460"/>
    </row>
    <row r="461" spans="3:63" s="3" customFormat="1" ht="15" hidden="1" customHeight="1" outlineLevel="1" x14ac:dyDescent="0.25">
      <c r="C461" s="5"/>
      <c r="D461" s="319"/>
      <c r="E461" s="5"/>
      <c r="F461" s="5"/>
      <c r="G461" s="5"/>
      <c r="H461" s="5"/>
      <c r="I461" s="5"/>
      <c r="J461" s="5"/>
      <c r="K461" s="5"/>
      <c r="L461" s="5"/>
      <c r="M461" s="5"/>
      <c r="N461" s="5"/>
      <c r="O461" s="5"/>
      <c r="P461" s="5"/>
      <c r="Q461" s="5"/>
      <c r="R461" s="5"/>
      <c r="S461" s="5"/>
      <c r="T461" s="5"/>
      <c r="U461" s="5"/>
      <c r="V461" s="5"/>
      <c r="W461" s="5"/>
      <c r="X461" s="5"/>
      <c r="Y461" s="5"/>
      <c r="Z461" s="5"/>
      <c r="AB461" s="129"/>
      <c r="AD461" s="5"/>
      <c r="AI461" s="141"/>
      <c r="AJ461" s="19"/>
      <c r="AM461" s="135"/>
      <c r="AN461" s="135"/>
      <c r="AO461" s="126"/>
      <c r="AP461" s="127"/>
      <c r="AQ461" s="127"/>
      <c r="AR461" s="136"/>
      <c r="AS461" s="137"/>
      <c r="AT461" s="128"/>
      <c r="AU461" s="129"/>
      <c r="AV461" s="129"/>
      <c r="AW461" s="5"/>
      <c r="AX461" s="5"/>
      <c r="AY461"/>
      <c r="AZ461"/>
      <c r="BA461"/>
      <c r="BB461"/>
      <c r="BC461"/>
      <c r="BD461"/>
      <c r="BE461"/>
      <c r="BF461"/>
      <c r="BG461"/>
      <c r="BH461"/>
      <c r="BI461"/>
      <c r="BJ461"/>
      <c r="BK461"/>
    </row>
    <row r="462" spans="3:63" s="3" customFormat="1" ht="15" hidden="1" customHeight="1" outlineLevel="1" x14ac:dyDescent="0.25">
      <c r="C462" s="5"/>
      <c r="D462" s="319"/>
      <c r="E462" s="5"/>
      <c r="F462" s="5"/>
      <c r="G462" s="5"/>
      <c r="H462" s="5"/>
      <c r="I462" s="5"/>
      <c r="J462" s="5"/>
      <c r="K462" s="5"/>
      <c r="L462" s="5"/>
      <c r="M462" s="5"/>
      <c r="N462" s="5"/>
      <c r="O462" s="5"/>
      <c r="P462" s="5"/>
      <c r="Q462" s="5"/>
      <c r="R462" s="5"/>
      <c r="S462" s="5"/>
      <c r="T462" s="5"/>
      <c r="U462" s="5"/>
      <c r="V462" s="5"/>
      <c r="W462" s="5"/>
      <c r="X462" s="5"/>
      <c r="Y462" s="5"/>
      <c r="Z462" s="5"/>
      <c r="AB462" s="129"/>
      <c r="AD462" s="5"/>
      <c r="AI462" s="141"/>
      <c r="AJ462" s="13"/>
      <c r="AM462" s="135"/>
      <c r="AN462" s="135"/>
      <c r="AO462" s="126"/>
      <c r="AP462" s="127"/>
      <c r="AQ462" s="127"/>
      <c r="AR462" s="136"/>
      <c r="AS462" s="137"/>
      <c r="AT462" s="128"/>
      <c r="AU462" s="129"/>
      <c r="AV462" s="129"/>
      <c r="AW462" s="5"/>
      <c r="AX462" s="5"/>
      <c r="AY462"/>
      <c r="AZ462"/>
      <c r="BA462"/>
      <c r="BB462"/>
      <c r="BC462"/>
      <c r="BD462"/>
      <c r="BE462"/>
      <c r="BF462"/>
      <c r="BG462"/>
      <c r="BH462"/>
      <c r="BI462"/>
      <c r="BJ462"/>
      <c r="BK462"/>
    </row>
    <row r="463" spans="3:63" s="3" customFormat="1" ht="15" hidden="1" customHeight="1" outlineLevel="1" x14ac:dyDescent="0.25">
      <c r="C463" s="5"/>
      <c r="D463" s="319"/>
      <c r="E463" s="5"/>
      <c r="F463" s="5"/>
      <c r="G463" s="5"/>
      <c r="H463" s="5"/>
      <c r="I463" s="5"/>
      <c r="J463" s="5"/>
      <c r="K463" s="5"/>
      <c r="L463" s="5"/>
      <c r="M463" s="5"/>
      <c r="N463" s="5"/>
      <c r="O463" s="5"/>
      <c r="P463" s="5"/>
      <c r="Q463" s="5"/>
      <c r="R463" s="5"/>
      <c r="S463" s="5"/>
      <c r="T463" s="5"/>
      <c r="U463" s="5"/>
      <c r="V463" s="5"/>
      <c r="W463" s="5"/>
      <c r="X463" s="5"/>
      <c r="Y463" s="5"/>
      <c r="Z463" s="5"/>
      <c r="AB463" s="129"/>
      <c r="AD463" s="5"/>
      <c r="AI463" s="141"/>
      <c r="AJ463" s="13"/>
      <c r="AM463" s="135"/>
      <c r="AN463" s="135"/>
      <c r="AO463" s="126"/>
      <c r="AP463" s="127"/>
      <c r="AQ463" s="127"/>
      <c r="AR463" s="136"/>
      <c r="AS463" s="137"/>
      <c r="AT463" s="128"/>
      <c r="AU463" s="129"/>
      <c r="AV463" s="129"/>
      <c r="AW463" s="5"/>
      <c r="AX463" s="5"/>
      <c r="AY463"/>
      <c r="AZ463"/>
      <c r="BA463"/>
      <c r="BB463"/>
      <c r="BC463"/>
      <c r="BD463"/>
      <c r="BE463"/>
      <c r="BF463"/>
      <c r="BG463"/>
      <c r="BH463"/>
      <c r="BI463"/>
      <c r="BJ463"/>
      <c r="BK463"/>
    </row>
    <row r="464" spans="3:63" s="3" customFormat="1" ht="15" hidden="1" customHeight="1" outlineLevel="1" x14ac:dyDescent="0.25">
      <c r="C464" s="5"/>
      <c r="D464" s="319"/>
      <c r="E464" s="5"/>
      <c r="F464" s="5"/>
      <c r="G464" s="5"/>
      <c r="H464" s="5"/>
      <c r="I464" s="5"/>
      <c r="J464" s="5"/>
      <c r="K464" s="5"/>
      <c r="L464" s="5"/>
      <c r="M464" s="5"/>
      <c r="N464" s="5"/>
      <c r="O464" s="5"/>
      <c r="P464" s="5"/>
      <c r="Q464" s="5"/>
      <c r="R464" s="5"/>
      <c r="S464" s="5"/>
      <c r="T464" s="5"/>
      <c r="U464" s="5"/>
      <c r="V464" s="5"/>
      <c r="W464" s="5"/>
      <c r="X464" s="5"/>
      <c r="Y464" s="5"/>
      <c r="Z464" s="5"/>
      <c r="AB464" s="129"/>
      <c r="AD464" s="5"/>
      <c r="AI464" s="141"/>
      <c r="AJ464" s="13"/>
      <c r="AM464" s="135"/>
      <c r="AN464" s="135"/>
      <c r="AO464" s="126"/>
      <c r="AP464" s="127"/>
      <c r="AQ464" s="127"/>
      <c r="AR464" s="136"/>
      <c r="AS464" s="137"/>
      <c r="AT464" s="128"/>
      <c r="AU464" s="129"/>
      <c r="AV464" s="129"/>
      <c r="AW464" s="5"/>
      <c r="AX464" s="5"/>
      <c r="AY464"/>
      <c r="AZ464"/>
      <c r="BA464"/>
      <c r="BB464"/>
      <c r="BC464"/>
      <c r="BD464"/>
      <c r="BE464"/>
      <c r="BF464"/>
      <c r="BG464"/>
      <c r="BH464"/>
      <c r="BI464"/>
      <c r="BJ464"/>
      <c r="BK464"/>
    </row>
    <row r="465" spans="3:63" s="3" customFormat="1" ht="15" hidden="1" customHeight="1" outlineLevel="1" x14ac:dyDescent="0.25">
      <c r="C465" s="5"/>
      <c r="D465" s="319"/>
      <c r="E465" s="5"/>
      <c r="F465" s="5"/>
      <c r="G465" s="5"/>
      <c r="H465" s="5"/>
      <c r="I465" s="5"/>
      <c r="J465" s="5"/>
      <c r="K465" s="5"/>
      <c r="L465" s="5"/>
      <c r="M465" s="5"/>
      <c r="N465" s="5"/>
      <c r="O465" s="5"/>
      <c r="P465" s="5"/>
      <c r="Q465" s="5"/>
      <c r="R465" s="5"/>
      <c r="S465" s="5"/>
      <c r="T465" s="5"/>
      <c r="U465" s="5"/>
      <c r="V465" s="5"/>
      <c r="W465" s="5"/>
      <c r="X465" s="5"/>
      <c r="Y465" s="5"/>
      <c r="Z465" s="5"/>
      <c r="AB465" s="129"/>
      <c r="AD465" s="5"/>
      <c r="AI465" s="141"/>
      <c r="AJ465" s="13"/>
      <c r="AM465" s="135"/>
      <c r="AN465" s="135"/>
      <c r="AO465" s="126"/>
      <c r="AP465" s="127"/>
      <c r="AQ465" s="127"/>
      <c r="AR465" s="136"/>
      <c r="AS465" s="137"/>
      <c r="AT465" s="128"/>
      <c r="AU465" s="129"/>
      <c r="AV465" s="129"/>
      <c r="AW465" s="5"/>
      <c r="AX465" s="5"/>
      <c r="AY465"/>
      <c r="AZ465"/>
      <c r="BA465"/>
      <c r="BB465"/>
      <c r="BC465"/>
      <c r="BD465"/>
      <c r="BE465"/>
      <c r="BF465"/>
      <c r="BG465"/>
      <c r="BH465"/>
      <c r="BI465"/>
      <c r="BJ465"/>
      <c r="BK465"/>
    </row>
    <row r="466" spans="3:63" s="3" customFormat="1" ht="15" hidden="1" customHeight="1" outlineLevel="1" x14ac:dyDescent="0.25">
      <c r="C466" s="5"/>
      <c r="D466" s="319"/>
      <c r="E466" s="5"/>
      <c r="F466" s="5"/>
      <c r="G466" s="5"/>
      <c r="H466" s="5"/>
      <c r="I466" s="5"/>
      <c r="J466" s="5"/>
      <c r="K466" s="5"/>
      <c r="L466" s="5"/>
      <c r="M466" s="5"/>
      <c r="N466" s="5"/>
      <c r="O466" s="5"/>
      <c r="P466" s="5"/>
      <c r="Q466" s="5"/>
      <c r="R466" s="5"/>
      <c r="S466" s="5"/>
      <c r="T466" s="5"/>
      <c r="U466" s="5"/>
      <c r="V466" s="5"/>
      <c r="W466" s="5"/>
      <c r="X466" s="5"/>
      <c r="Y466" s="5"/>
      <c r="Z466" s="5"/>
      <c r="AB466" s="129"/>
      <c r="AD466" s="5"/>
      <c r="AI466" s="141"/>
      <c r="AJ466" s="13"/>
      <c r="AM466" s="135"/>
      <c r="AN466" s="135"/>
      <c r="AO466" s="126"/>
      <c r="AP466" s="127"/>
      <c r="AQ466" s="127"/>
      <c r="AR466" s="136"/>
      <c r="AS466" s="137"/>
      <c r="AT466" s="128"/>
      <c r="AU466" s="129"/>
      <c r="AV466" s="129"/>
      <c r="AW466" s="5"/>
      <c r="AX466" s="5"/>
      <c r="AY466"/>
      <c r="AZ466"/>
      <c r="BA466"/>
      <c r="BB466"/>
      <c r="BC466"/>
      <c r="BD466"/>
      <c r="BE466"/>
      <c r="BF466"/>
      <c r="BG466"/>
      <c r="BH466"/>
      <c r="BI466"/>
      <c r="BJ466"/>
      <c r="BK466"/>
    </row>
    <row r="467" spans="3:63" s="3" customFormat="1" ht="15" hidden="1" customHeight="1" outlineLevel="1" x14ac:dyDescent="0.25">
      <c r="C467" s="5"/>
      <c r="D467" s="319"/>
      <c r="E467" s="5"/>
      <c r="F467" s="5"/>
      <c r="G467" s="5"/>
      <c r="H467" s="5"/>
      <c r="I467" s="5"/>
      <c r="J467" s="5"/>
      <c r="K467" s="5"/>
      <c r="L467" s="5"/>
      <c r="M467" s="5"/>
      <c r="N467" s="5"/>
      <c r="O467" s="5"/>
      <c r="P467" s="5"/>
      <c r="Q467" s="5"/>
      <c r="R467" s="5"/>
      <c r="S467" s="5"/>
      <c r="T467" s="5"/>
      <c r="U467" s="5"/>
      <c r="V467" s="5"/>
      <c r="W467" s="5"/>
      <c r="X467" s="5"/>
      <c r="Y467" s="5"/>
      <c r="Z467" s="5"/>
      <c r="AB467" s="129"/>
      <c r="AD467" s="5"/>
      <c r="AI467" s="141"/>
      <c r="AJ467" s="13"/>
      <c r="AM467" s="135"/>
      <c r="AN467" s="135"/>
      <c r="AO467" s="126"/>
      <c r="AP467" s="127"/>
      <c r="AQ467" s="127"/>
      <c r="AR467" s="136"/>
      <c r="AS467" s="137"/>
      <c r="AT467" s="128"/>
      <c r="AU467" s="129"/>
      <c r="AV467" s="129"/>
      <c r="AW467" s="5"/>
      <c r="AX467" s="5"/>
      <c r="AY467"/>
      <c r="AZ467"/>
      <c r="BA467"/>
      <c r="BB467"/>
      <c r="BC467"/>
      <c r="BD467"/>
      <c r="BE467"/>
      <c r="BF467"/>
      <c r="BG467"/>
      <c r="BH467"/>
      <c r="BI467"/>
      <c r="BJ467"/>
      <c r="BK467"/>
    </row>
    <row r="468" spans="3:63" s="3" customFormat="1" ht="15" hidden="1" customHeight="1" outlineLevel="1" x14ac:dyDescent="0.25">
      <c r="C468" s="5"/>
      <c r="D468" s="319"/>
      <c r="E468" s="5"/>
      <c r="F468" s="5"/>
      <c r="G468" s="5"/>
      <c r="H468" s="5"/>
      <c r="I468" s="5"/>
      <c r="J468" s="5"/>
      <c r="K468" s="5"/>
      <c r="L468" s="5"/>
      <c r="M468" s="5"/>
      <c r="N468" s="5"/>
      <c r="O468" s="5"/>
      <c r="P468" s="5"/>
      <c r="Q468" s="5"/>
      <c r="R468" s="5"/>
      <c r="S468" s="5"/>
      <c r="T468" s="5"/>
      <c r="U468" s="5"/>
      <c r="V468" s="5"/>
      <c r="W468" s="5"/>
      <c r="X468" s="5"/>
      <c r="Y468" s="5"/>
      <c r="Z468" s="5"/>
      <c r="AB468" s="129"/>
      <c r="AD468" s="5"/>
      <c r="AI468" s="141"/>
      <c r="AJ468" s="13"/>
      <c r="AM468" s="135"/>
      <c r="AN468" s="135"/>
      <c r="AO468" s="126"/>
      <c r="AP468" s="127"/>
      <c r="AQ468" s="127"/>
      <c r="AR468" s="136"/>
      <c r="AS468" s="137"/>
      <c r="AT468" s="128"/>
      <c r="AU468" s="129"/>
      <c r="AV468" s="129"/>
      <c r="AW468" s="5"/>
      <c r="AX468" s="5"/>
      <c r="AY468"/>
      <c r="AZ468"/>
      <c r="BA468"/>
      <c r="BB468"/>
      <c r="BC468"/>
      <c r="BD468"/>
      <c r="BE468"/>
      <c r="BF468"/>
      <c r="BG468"/>
      <c r="BH468"/>
      <c r="BI468"/>
      <c r="BJ468"/>
      <c r="BK468"/>
    </row>
    <row r="469" spans="3:63" s="3" customFormat="1" ht="15" hidden="1" customHeight="1" outlineLevel="1" x14ac:dyDescent="0.25">
      <c r="C469" s="5"/>
      <c r="D469" s="319"/>
      <c r="E469" s="5"/>
      <c r="F469" s="5"/>
      <c r="G469" s="5"/>
      <c r="H469" s="5"/>
      <c r="I469" s="5"/>
      <c r="J469" s="5"/>
      <c r="K469" s="5"/>
      <c r="L469" s="5"/>
      <c r="M469" s="5"/>
      <c r="N469" s="5"/>
      <c r="O469" s="5"/>
      <c r="P469" s="5"/>
      <c r="Q469" s="5"/>
      <c r="R469" s="5"/>
      <c r="S469" s="5"/>
      <c r="T469" s="5"/>
      <c r="U469" s="5"/>
      <c r="V469" s="5"/>
      <c r="W469" s="5"/>
      <c r="X469" s="5"/>
      <c r="Y469" s="5"/>
      <c r="Z469" s="5"/>
      <c r="AB469" s="129"/>
      <c r="AD469" s="5"/>
      <c r="AI469" s="141"/>
      <c r="AJ469" s="13"/>
      <c r="AM469" s="135"/>
      <c r="AN469" s="135"/>
      <c r="AO469" s="126"/>
      <c r="AP469" s="127"/>
      <c r="AQ469" s="127"/>
      <c r="AR469" s="136"/>
      <c r="AS469" s="137"/>
      <c r="AT469" s="128"/>
      <c r="AU469" s="129"/>
      <c r="AV469" s="129"/>
      <c r="AW469" s="5"/>
      <c r="AX469" s="5"/>
      <c r="AY469"/>
      <c r="AZ469"/>
      <c r="BA469"/>
      <c r="BB469"/>
      <c r="BC469"/>
      <c r="BD469"/>
      <c r="BE469"/>
      <c r="BF469"/>
      <c r="BG469"/>
      <c r="BH469"/>
      <c r="BI469"/>
      <c r="BJ469"/>
      <c r="BK469"/>
    </row>
    <row r="470" spans="3:63" s="3" customFormat="1" ht="15" hidden="1" customHeight="1" outlineLevel="1" x14ac:dyDescent="0.25">
      <c r="C470" s="5"/>
      <c r="D470" s="319"/>
      <c r="E470" s="5"/>
      <c r="F470" s="5"/>
      <c r="G470" s="5"/>
      <c r="H470" s="5"/>
      <c r="I470" s="5"/>
      <c r="J470" s="5"/>
      <c r="K470" s="5"/>
      <c r="L470" s="5"/>
      <c r="M470" s="5"/>
      <c r="N470" s="5"/>
      <c r="O470" s="5"/>
      <c r="P470" s="5"/>
      <c r="Q470" s="5"/>
      <c r="R470" s="5"/>
      <c r="S470" s="5"/>
      <c r="T470" s="5"/>
      <c r="U470" s="5"/>
      <c r="V470" s="5"/>
      <c r="W470" s="5"/>
      <c r="X470" s="5"/>
      <c r="Y470" s="5"/>
      <c r="Z470" s="5"/>
      <c r="AB470" s="129"/>
      <c r="AD470" s="5"/>
      <c r="AI470" s="141"/>
      <c r="AJ470" s="13"/>
      <c r="AM470" s="135"/>
      <c r="AN470" s="135"/>
      <c r="AO470" s="126"/>
      <c r="AP470" s="127"/>
      <c r="AQ470" s="127"/>
      <c r="AR470" s="136"/>
      <c r="AS470" s="138"/>
      <c r="AT470" s="128"/>
      <c r="AU470" s="129"/>
      <c r="AV470" s="129"/>
      <c r="AW470" s="5"/>
      <c r="AX470" s="5"/>
      <c r="AY470"/>
      <c r="AZ470"/>
      <c r="BA470"/>
      <c r="BB470"/>
      <c r="BC470"/>
      <c r="BD470"/>
      <c r="BE470"/>
      <c r="BF470"/>
      <c r="BG470"/>
      <c r="BH470"/>
      <c r="BI470"/>
      <c r="BJ470"/>
      <c r="BK470"/>
    </row>
    <row r="471" spans="3:63" s="3" customFormat="1" ht="15" hidden="1" customHeight="1" outlineLevel="1" x14ac:dyDescent="0.25">
      <c r="C471" s="5"/>
      <c r="D471" s="319"/>
      <c r="E471" s="5"/>
      <c r="F471" s="5"/>
      <c r="G471" s="5"/>
      <c r="H471" s="5"/>
      <c r="I471" s="5"/>
      <c r="J471" s="5"/>
      <c r="K471" s="5"/>
      <c r="L471" s="5"/>
      <c r="M471" s="5"/>
      <c r="N471" s="5"/>
      <c r="O471" s="5"/>
      <c r="P471" s="5"/>
      <c r="Q471" s="5"/>
      <c r="R471" s="5"/>
      <c r="S471" s="5"/>
      <c r="T471" s="5"/>
      <c r="U471" s="5"/>
      <c r="V471" s="5"/>
      <c r="W471" s="5"/>
      <c r="X471" s="5"/>
      <c r="Y471" s="5"/>
      <c r="Z471" s="5"/>
      <c r="AB471" s="129"/>
      <c r="AD471" s="5"/>
      <c r="AI471" s="141"/>
      <c r="AJ471" s="13"/>
      <c r="AM471" s="135"/>
      <c r="AN471" s="135"/>
      <c r="AO471" s="126"/>
      <c r="AP471" s="127"/>
      <c r="AQ471" s="127"/>
      <c r="AR471" s="127"/>
      <c r="AS471" s="126"/>
      <c r="AT471" s="128"/>
      <c r="AU471" s="129"/>
      <c r="AV471" s="129"/>
      <c r="AW471" s="5"/>
      <c r="AX471" s="5"/>
      <c r="AY471"/>
      <c r="AZ471"/>
      <c r="BA471"/>
      <c r="BB471"/>
      <c r="BC471"/>
      <c r="BD471"/>
      <c r="BE471"/>
      <c r="BF471"/>
      <c r="BG471"/>
      <c r="BH471"/>
      <c r="BI471"/>
      <c r="BJ471"/>
      <c r="BK471"/>
    </row>
    <row r="472" spans="3:63" s="3" customFormat="1" ht="15" hidden="1" customHeight="1" outlineLevel="1" x14ac:dyDescent="0.25">
      <c r="C472" s="5"/>
      <c r="D472" s="319"/>
      <c r="E472" s="5"/>
      <c r="F472" s="5"/>
      <c r="G472" s="5"/>
      <c r="H472" s="5"/>
      <c r="I472" s="5"/>
      <c r="J472" s="5"/>
      <c r="K472" s="5"/>
      <c r="L472" s="5"/>
      <c r="M472" s="5"/>
      <c r="N472" s="5"/>
      <c r="O472" s="5"/>
      <c r="P472" s="5"/>
      <c r="Q472" s="5"/>
      <c r="R472" s="5"/>
      <c r="S472" s="5"/>
      <c r="T472" s="5"/>
      <c r="U472" s="5"/>
      <c r="V472" s="5"/>
      <c r="W472" s="5"/>
      <c r="X472" s="5"/>
      <c r="Y472" s="5"/>
      <c r="Z472" s="5"/>
      <c r="AB472" s="129"/>
      <c r="AD472" s="5"/>
      <c r="AI472" s="141"/>
      <c r="AJ472" s="13"/>
      <c r="AM472" s="135"/>
      <c r="AN472" s="135"/>
      <c r="AO472" s="126"/>
      <c r="AP472" s="127"/>
      <c r="AQ472" s="127"/>
      <c r="AR472" s="423"/>
      <c r="AS472" s="423"/>
      <c r="AT472" s="128"/>
      <c r="AU472" s="129"/>
      <c r="AV472" s="129"/>
      <c r="AW472" s="5"/>
      <c r="AX472" s="5"/>
      <c r="AY472"/>
      <c r="AZ472"/>
      <c r="BA472"/>
      <c r="BB472"/>
      <c r="BC472"/>
      <c r="BD472"/>
      <c r="BE472"/>
      <c r="BF472"/>
      <c r="BG472"/>
      <c r="BH472"/>
      <c r="BI472"/>
      <c r="BJ472"/>
      <c r="BK472"/>
    </row>
    <row r="473" spans="3:63" s="3" customFormat="1" ht="15" hidden="1" customHeight="1" outlineLevel="1" x14ac:dyDescent="0.25">
      <c r="C473" s="5"/>
      <c r="D473" s="319"/>
      <c r="E473" s="5"/>
      <c r="F473" s="5"/>
      <c r="G473" s="5"/>
      <c r="H473" s="5"/>
      <c r="I473" s="5"/>
      <c r="J473" s="5"/>
      <c r="K473" s="5"/>
      <c r="L473" s="5"/>
      <c r="M473" s="5"/>
      <c r="N473" s="5"/>
      <c r="O473" s="5"/>
      <c r="P473" s="5"/>
      <c r="Q473" s="5"/>
      <c r="R473" s="5"/>
      <c r="S473" s="5"/>
      <c r="T473" s="5"/>
      <c r="U473" s="5"/>
      <c r="V473" s="5"/>
      <c r="W473" s="5"/>
      <c r="X473" s="5"/>
      <c r="Y473" s="5"/>
      <c r="Z473" s="5"/>
      <c r="AB473" s="129"/>
      <c r="AD473" s="5"/>
      <c r="AI473" s="141"/>
      <c r="AJ473" s="13"/>
      <c r="AM473" s="135"/>
      <c r="AN473" s="135"/>
      <c r="AO473" s="126"/>
      <c r="AP473" s="127"/>
      <c r="AQ473" s="127"/>
      <c r="AR473" s="130"/>
      <c r="AS473" s="130"/>
      <c r="AT473" s="128"/>
      <c r="AU473" s="129"/>
      <c r="AV473" s="129"/>
      <c r="AW473" s="5"/>
      <c r="AX473" s="5"/>
      <c r="AY473"/>
      <c r="AZ473"/>
      <c r="BA473"/>
      <c r="BB473"/>
      <c r="BC473"/>
      <c r="BD473"/>
      <c r="BE473"/>
      <c r="BF473"/>
      <c r="BG473"/>
      <c r="BH473"/>
      <c r="BI473"/>
      <c r="BJ473"/>
      <c r="BK473"/>
    </row>
    <row r="474" spans="3:63" s="3" customFormat="1" ht="15" hidden="1" customHeight="1" outlineLevel="1" x14ac:dyDescent="0.25">
      <c r="C474" s="5"/>
      <c r="D474" s="319"/>
      <c r="E474" s="5"/>
      <c r="F474" s="5"/>
      <c r="G474" s="5"/>
      <c r="H474" s="5"/>
      <c r="I474" s="5"/>
      <c r="J474" s="5"/>
      <c r="K474" s="5"/>
      <c r="L474" s="5"/>
      <c r="M474" s="5"/>
      <c r="N474" s="5"/>
      <c r="O474" s="5"/>
      <c r="P474" s="5"/>
      <c r="Q474" s="5"/>
      <c r="R474" s="5"/>
      <c r="S474" s="5"/>
      <c r="T474" s="5"/>
      <c r="U474" s="5"/>
      <c r="V474" s="5"/>
      <c r="W474" s="5"/>
      <c r="X474" s="5"/>
      <c r="Y474" s="5"/>
      <c r="Z474" s="5"/>
      <c r="AB474" s="129"/>
      <c r="AD474" s="5"/>
      <c r="AI474" s="141"/>
      <c r="AJ474" s="19"/>
      <c r="AM474" s="135"/>
      <c r="AN474" s="135"/>
      <c r="AO474" s="126"/>
      <c r="AP474" s="127"/>
      <c r="AQ474" s="127"/>
      <c r="AR474" s="136"/>
      <c r="AS474" s="137"/>
      <c r="AT474" s="128"/>
      <c r="AU474" s="129"/>
      <c r="AV474" s="129"/>
      <c r="AW474" s="5"/>
      <c r="AX474" s="5"/>
      <c r="AY474"/>
      <c r="AZ474"/>
      <c r="BA474"/>
      <c r="BB474"/>
      <c r="BC474"/>
      <c r="BD474"/>
      <c r="BE474"/>
      <c r="BF474"/>
      <c r="BG474"/>
      <c r="BH474"/>
      <c r="BI474"/>
      <c r="BJ474"/>
      <c r="BK474"/>
    </row>
    <row r="475" spans="3:63" s="3" customFormat="1" ht="15" hidden="1" customHeight="1" outlineLevel="1" x14ac:dyDescent="0.25">
      <c r="C475" s="5"/>
      <c r="D475" s="319"/>
      <c r="E475" s="5"/>
      <c r="F475" s="5"/>
      <c r="G475" s="5"/>
      <c r="H475" s="5"/>
      <c r="I475" s="5"/>
      <c r="J475" s="5"/>
      <c r="K475" s="5"/>
      <c r="L475" s="5"/>
      <c r="M475" s="5"/>
      <c r="N475" s="5"/>
      <c r="O475" s="5"/>
      <c r="P475" s="5"/>
      <c r="Q475" s="5"/>
      <c r="R475" s="5"/>
      <c r="S475" s="5"/>
      <c r="T475" s="5"/>
      <c r="U475" s="5"/>
      <c r="V475" s="5"/>
      <c r="W475" s="5"/>
      <c r="X475" s="5"/>
      <c r="Y475" s="5"/>
      <c r="Z475" s="5"/>
      <c r="AB475" s="129"/>
      <c r="AD475" s="5"/>
      <c r="AI475" s="141"/>
      <c r="AJ475" s="20"/>
      <c r="AM475" s="135"/>
      <c r="AN475" s="135"/>
      <c r="AO475" s="126"/>
      <c r="AP475" s="127"/>
      <c r="AQ475" s="127"/>
      <c r="AR475" s="136"/>
      <c r="AS475" s="137"/>
      <c r="AT475" s="128"/>
      <c r="AU475" s="129"/>
      <c r="AV475" s="129"/>
      <c r="AW475" s="5"/>
      <c r="AX475" s="5"/>
      <c r="AY475"/>
      <c r="AZ475"/>
      <c r="BA475"/>
      <c r="BB475"/>
      <c r="BC475"/>
      <c r="BD475"/>
      <c r="BE475"/>
      <c r="BF475"/>
      <c r="BG475"/>
      <c r="BH475"/>
      <c r="BI475"/>
      <c r="BJ475"/>
      <c r="BK475"/>
    </row>
    <row r="476" spans="3:63" s="3" customFormat="1" ht="15" hidden="1" customHeight="1" outlineLevel="1" x14ac:dyDescent="0.25">
      <c r="C476" s="5"/>
      <c r="D476" s="319"/>
      <c r="E476" s="5"/>
      <c r="F476" s="5"/>
      <c r="G476" s="5"/>
      <c r="H476" s="5"/>
      <c r="I476" s="5"/>
      <c r="J476" s="5"/>
      <c r="K476" s="5"/>
      <c r="L476" s="5"/>
      <c r="M476" s="5"/>
      <c r="N476" s="5"/>
      <c r="O476" s="5"/>
      <c r="P476" s="5"/>
      <c r="Q476" s="5"/>
      <c r="R476" s="5"/>
      <c r="S476" s="5"/>
      <c r="T476" s="5"/>
      <c r="U476" s="5"/>
      <c r="V476" s="5"/>
      <c r="W476" s="5"/>
      <c r="X476" s="5"/>
      <c r="Y476" s="5"/>
      <c r="Z476" s="5"/>
      <c r="AB476" s="129"/>
      <c r="AD476" s="5"/>
      <c r="AI476" s="141"/>
      <c r="AJ476" s="19"/>
      <c r="AM476" s="135"/>
      <c r="AN476" s="135"/>
      <c r="AO476" s="126"/>
      <c r="AP476" s="127"/>
      <c r="AQ476" s="127"/>
      <c r="AR476" s="136"/>
      <c r="AS476" s="137"/>
      <c r="AT476" s="128"/>
      <c r="AU476" s="129"/>
      <c r="AV476" s="129"/>
      <c r="AW476" s="5"/>
      <c r="AX476" s="5"/>
      <c r="AY476"/>
      <c r="AZ476"/>
      <c r="BA476"/>
      <c r="BB476"/>
      <c r="BC476"/>
      <c r="BD476"/>
      <c r="BE476"/>
      <c r="BF476"/>
      <c r="BG476"/>
      <c r="BH476"/>
      <c r="BI476"/>
      <c r="BJ476"/>
      <c r="BK476"/>
    </row>
    <row r="477" spans="3:63" s="3" customFormat="1" ht="15" hidden="1" customHeight="1" outlineLevel="1" x14ac:dyDescent="0.25">
      <c r="C477" s="5"/>
      <c r="D477" s="319"/>
      <c r="E477" s="5"/>
      <c r="F477" s="5"/>
      <c r="G477" s="5"/>
      <c r="H477" s="5"/>
      <c r="I477" s="5"/>
      <c r="J477" s="5"/>
      <c r="K477" s="5"/>
      <c r="L477" s="5"/>
      <c r="M477" s="5"/>
      <c r="N477" s="5"/>
      <c r="O477" s="5"/>
      <c r="P477" s="5"/>
      <c r="Q477" s="5"/>
      <c r="R477" s="5"/>
      <c r="S477" s="5"/>
      <c r="T477" s="5"/>
      <c r="U477" s="5"/>
      <c r="V477" s="5"/>
      <c r="W477" s="5"/>
      <c r="X477" s="5"/>
      <c r="Y477" s="5"/>
      <c r="Z477" s="5"/>
      <c r="AB477" s="129"/>
      <c r="AD477" s="5"/>
      <c r="AI477" s="141"/>
      <c r="AJ477" s="20"/>
      <c r="AM477" s="135"/>
      <c r="AN477" s="135"/>
      <c r="AO477" s="126"/>
      <c r="AP477" s="127"/>
      <c r="AQ477" s="127"/>
      <c r="AR477" s="136"/>
      <c r="AS477" s="137"/>
      <c r="AT477" s="128"/>
      <c r="AU477" s="129"/>
      <c r="AV477" s="129"/>
      <c r="AW477" s="5"/>
      <c r="AX477" s="5"/>
      <c r="AY477"/>
      <c r="AZ477"/>
      <c r="BA477"/>
      <c r="BB477"/>
      <c r="BC477"/>
      <c r="BD477"/>
      <c r="BE477"/>
      <c r="BF477"/>
      <c r="BG477"/>
      <c r="BH477"/>
      <c r="BI477"/>
      <c r="BJ477"/>
      <c r="BK477"/>
    </row>
    <row r="478" spans="3:63" s="3" customFormat="1" ht="15" hidden="1" customHeight="1" outlineLevel="1" x14ac:dyDescent="0.25">
      <c r="C478" s="5"/>
      <c r="D478" s="319"/>
      <c r="E478" s="5"/>
      <c r="F478" s="5"/>
      <c r="G478" s="5"/>
      <c r="H478" s="5"/>
      <c r="I478" s="5"/>
      <c r="J478" s="5"/>
      <c r="K478" s="5"/>
      <c r="L478" s="5"/>
      <c r="M478" s="5"/>
      <c r="N478" s="5"/>
      <c r="O478" s="5"/>
      <c r="P478" s="5"/>
      <c r="Q478" s="5"/>
      <c r="R478" s="5"/>
      <c r="S478" s="5"/>
      <c r="T478" s="5"/>
      <c r="U478" s="5"/>
      <c r="V478" s="5"/>
      <c r="W478" s="5"/>
      <c r="X478" s="5"/>
      <c r="Y478" s="5"/>
      <c r="Z478" s="5"/>
      <c r="AB478" s="129"/>
      <c r="AD478" s="5"/>
      <c r="AI478" s="141"/>
      <c r="AJ478" s="19"/>
      <c r="AM478" s="135"/>
      <c r="AN478" s="135"/>
      <c r="AO478" s="126"/>
      <c r="AP478" s="126"/>
      <c r="AQ478" s="126"/>
      <c r="AR478" s="136"/>
      <c r="AS478" s="137"/>
      <c r="AT478" s="128"/>
      <c r="AU478" s="129"/>
      <c r="AV478" s="129"/>
      <c r="AW478" s="5"/>
      <c r="AX478" s="5"/>
      <c r="AY478"/>
      <c r="AZ478"/>
      <c r="BA478"/>
      <c r="BB478"/>
      <c r="BC478"/>
      <c r="BD478"/>
      <c r="BE478"/>
      <c r="BF478"/>
      <c r="BG478"/>
      <c r="BH478"/>
      <c r="BI478"/>
      <c r="BJ478"/>
      <c r="BK478"/>
    </row>
    <row r="479" spans="3:63" s="3" customFormat="1" ht="15" hidden="1" customHeight="1" outlineLevel="1" x14ac:dyDescent="0.25">
      <c r="C479" s="5"/>
      <c r="D479" s="319"/>
      <c r="E479" s="5"/>
      <c r="F479" s="5"/>
      <c r="G479" s="5"/>
      <c r="H479" s="5"/>
      <c r="I479" s="5"/>
      <c r="J479" s="5"/>
      <c r="K479" s="5"/>
      <c r="L479" s="5"/>
      <c r="M479" s="5"/>
      <c r="N479" s="5"/>
      <c r="O479" s="5"/>
      <c r="P479" s="5"/>
      <c r="Q479" s="5"/>
      <c r="R479" s="5"/>
      <c r="S479" s="5"/>
      <c r="T479" s="5"/>
      <c r="U479" s="5"/>
      <c r="V479" s="5"/>
      <c r="W479" s="5"/>
      <c r="X479" s="5"/>
      <c r="Y479" s="5"/>
      <c r="Z479" s="5"/>
      <c r="AB479" s="129"/>
      <c r="AD479" s="5"/>
      <c r="AI479" s="141"/>
      <c r="AJ479" s="20"/>
      <c r="AM479" s="135"/>
      <c r="AN479" s="135"/>
      <c r="AO479" s="126"/>
      <c r="AP479" s="126"/>
      <c r="AQ479" s="126"/>
      <c r="AR479" s="136"/>
      <c r="AS479" s="138"/>
      <c r="AT479" s="128"/>
      <c r="AU479" s="129"/>
      <c r="AV479" s="129"/>
      <c r="AW479" s="5"/>
      <c r="AX479" s="5"/>
      <c r="AY479"/>
      <c r="AZ479"/>
      <c r="BA479"/>
      <c r="BB479"/>
      <c r="BC479"/>
      <c r="BD479"/>
      <c r="BE479"/>
      <c r="BF479"/>
      <c r="BG479"/>
      <c r="BH479"/>
      <c r="BI479"/>
      <c r="BJ479"/>
      <c r="BK479"/>
    </row>
    <row r="480" spans="3:63" s="3" customFormat="1" ht="15" hidden="1" customHeight="1" outlineLevel="1" x14ac:dyDescent="0.25">
      <c r="C480" s="5"/>
      <c r="D480" s="319"/>
      <c r="E480" s="5"/>
      <c r="F480" s="5"/>
      <c r="G480" s="5"/>
      <c r="H480" s="5"/>
      <c r="I480" s="5"/>
      <c r="J480" s="5"/>
      <c r="K480" s="5"/>
      <c r="L480" s="5"/>
      <c r="M480" s="5"/>
      <c r="N480" s="5"/>
      <c r="O480" s="5"/>
      <c r="P480" s="5"/>
      <c r="Q480" s="5"/>
      <c r="R480" s="5"/>
      <c r="S480" s="5"/>
      <c r="T480" s="5"/>
      <c r="U480" s="5"/>
      <c r="V480" s="5"/>
      <c r="W480" s="5"/>
      <c r="X480" s="5"/>
      <c r="Y480" s="5"/>
      <c r="Z480" s="5"/>
      <c r="AB480" s="129"/>
      <c r="AD480" s="5"/>
      <c r="AI480" s="141"/>
      <c r="AJ480" s="19"/>
      <c r="AM480" s="135"/>
      <c r="AN480" s="135"/>
      <c r="AO480" s="126"/>
      <c r="AP480" s="126"/>
      <c r="AQ480" s="126"/>
      <c r="AR480" s="127"/>
      <c r="AS480" s="127"/>
      <c r="AT480" s="128"/>
      <c r="AU480" s="129"/>
      <c r="AV480" s="129"/>
      <c r="AW480" s="5"/>
      <c r="AX480" s="5"/>
      <c r="AY480"/>
      <c r="AZ480"/>
      <c r="BA480"/>
      <c r="BB480"/>
      <c r="BC480"/>
      <c r="BD480"/>
      <c r="BE480"/>
      <c r="BF480"/>
      <c r="BG480"/>
      <c r="BH480"/>
      <c r="BI480"/>
      <c r="BJ480"/>
      <c r="BK480"/>
    </row>
    <row r="481" spans="3:63" s="3" customFormat="1" ht="15" hidden="1" customHeight="1" outlineLevel="1" x14ac:dyDescent="0.25">
      <c r="C481" s="5"/>
      <c r="D481" s="319"/>
      <c r="E481" s="5"/>
      <c r="F481" s="5"/>
      <c r="G481" s="5"/>
      <c r="H481" s="5"/>
      <c r="I481" s="5"/>
      <c r="J481" s="5"/>
      <c r="K481" s="5"/>
      <c r="L481" s="5"/>
      <c r="M481" s="5"/>
      <c r="N481" s="5"/>
      <c r="O481" s="5"/>
      <c r="P481" s="5"/>
      <c r="Q481" s="5"/>
      <c r="R481" s="5"/>
      <c r="S481" s="5"/>
      <c r="T481" s="5"/>
      <c r="U481" s="5"/>
      <c r="V481" s="5"/>
      <c r="W481" s="5"/>
      <c r="X481" s="5"/>
      <c r="Y481" s="5"/>
      <c r="Z481" s="5"/>
      <c r="AB481" s="129"/>
      <c r="AD481" s="5"/>
      <c r="AI481" s="141"/>
      <c r="AJ481" s="20"/>
      <c r="AM481" s="135"/>
      <c r="AN481" s="135"/>
      <c r="AO481" s="126"/>
      <c r="AP481" s="126"/>
      <c r="AQ481" s="126"/>
      <c r="AR481" s="127"/>
      <c r="AS481" s="127"/>
      <c r="AT481" s="128"/>
      <c r="AU481" s="129"/>
      <c r="AV481" s="129"/>
      <c r="AW481" s="5"/>
      <c r="AX481" s="5"/>
      <c r="AY481"/>
      <c r="AZ481"/>
      <c r="BA481"/>
      <c r="BB481"/>
      <c r="BC481"/>
      <c r="BD481"/>
      <c r="BE481"/>
      <c r="BF481"/>
      <c r="BG481"/>
      <c r="BH481"/>
      <c r="BI481"/>
      <c r="BJ481"/>
      <c r="BK481"/>
    </row>
    <row r="482" spans="3:63" collapsed="1" x14ac:dyDescent="0.25"/>
  </sheetData>
  <autoFilter ref="A8:BK442" xr:uid="{00000000-0001-0000-0100-000000000000}">
    <filterColumn colId="34">
      <filters>
        <filter val="2023.04"/>
      </filters>
    </filterColumn>
  </autoFilter>
  <sortState xmlns:xlrd2="http://schemas.microsoft.com/office/spreadsheetml/2017/richdata2" ref="AC9:BT348">
    <sortCondition ref="AC9:AC348"/>
    <sortCondition ref="AI9:AI348"/>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A6F3B47B-409D-4F56-9F16-94141BC7C2B6}">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mergeCells count="5">
    <mergeCell ref="A2:B2"/>
    <mergeCell ref="C7:G7"/>
    <mergeCell ref="H7:W7"/>
    <mergeCell ref="AA7:AQ7"/>
    <mergeCell ref="AR472:AS472"/>
  </mergeCells>
  <dataValidations count="1">
    <dataValidation type="list" allowBlank="1" showInputMessage="1" showErrorMessage="1" sqref="AC65679:AG65686 AC65688:AG65688 AC65670:AG65677"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legacyDrawing r:id="rId3"/>
  <extLst>
    <ext xmlns:x14="http://schemas.microsoft.com/office/spreadsheetml/2009/9/main" uri="{CCE6A557-97BC-4b89-ADB6-D9C93CAAB3DF}">
      <x14:dataValidations xmlns:xm="http://schemas.microsoft.com/office/excel/2006/main" count="8">
        <x14:dataValidation type="list" allowBlank="1" showDropDown="1" showInputMessage="1" showErrorMessage="1" xr:uid="{3F72D2D0-900B-4D19-A455-BE7EAA4D05DD}">
          <x14:formula1>
            <xm:f>'D:\NextCloud\Projektek\Laci\RRF\Elszámolások, kalkulációk\[EMNL_RRF_berszamitas.xlsx]Admin - FEOR'!#REF!</xm:f>
          </x14:formula1>
          <xm:sqref>H8</xm:sqref>
        </x14:dataValidation>
        <x14:dataValidation type="list" allowBlank="1" showInputMessage="1" showErrorMessage="1" xr:uid="{9B1F6DF5-DC3C-4074-896C-74EFF2B5982F}">
          <x14:formula1>
            <xm:f>Hónapok!$A$1:$A$36</xm:f>
          </x14:formula1>
          <xm:sqref>AI9:AI151 AI153:AI442</xm:sqref>
        </x14:dataValidation>
        <x14:dataValidation type="list" allowBlank="1" showInputMessage="1" showErrorMessage="1" xr:uid="{AD1E8EA2-FB65-4DCA-AE55-CAFACCDC81A1}">
          <x14:formula1>
            <xm:f>Admin!$A$9:$A$10</xm:f>
          </x14:formula1>
          <xm:sqref>AD9:AD442</xm:sqref>
        </x14:dataValidation>
        <x14:dataValidation type="list" allowBlank="1" showInputMessage="1" showErrorMessage="1" xr:uid="{713160AC-17D5-4FBB-837E-91AA842C6421}">
          <x14:formula1>
            <xm:f>Admin!$A$13:$A$15</xm:f>
          </x14:formula1>
          <xm:sqref>AL9:AL442</xm:sqref>
        </x14:dataValidation>
        <x14:dataValidation type="list" allowBlank="1" showInputMessage="1" showErrorMessage="1" xr:uid="{1A176839-74E5-4642-826D-AEDB6AC829D8}">
          <x14:formula1>
            <xm:f>Admin!$A$2:$A$6</xm:f>
          </x14:formula1>
          <xm:sqref>AF9:AF442</xm:sqref>
        </x14:dataValidation>
        <x14:dataValidation type="list" allowBlank="1" showInputMessage="1" showErrorMessage="1" xr:uid="{79DCBCE7-FB72-4E13-B09B-5A33EAAEDDBA}">
          <x14:formula1>
            <xm:f>Admin!$A$18:$A$19</xm:f>
          </x14:formula1>
          <xm:sqref>AK9:AK442</xm:sqref>
        </x14:dataValidation>
        <x14:dataValidation type="list" allowBlank="1" showInputMessage="1" showErrorMessage="1" xr:uid="{E6B3ECC9-4BC9-41C3-8FD2-1CF93F36C02B}">
          <x14:formula1>
            <xm:f>IF(AD9=Admin!$A$9,Admin!$B$2:$B$9,IF(AD9=Admin!$A$10,Admin!$B$10:$B$14,""))</xm:f>
          </x14:formula1>
          <xm:sqref>AE9:AE442</xm:sqref>
        </x14:dataValidation>
        <x14:dataValidation type="list" allowBlank="1" showInputMessage="1" showErrorMessage="1" xr:uid="{DD285F88-0455-489E-A80A-8B9F098F6687}">
          <x14:formula1>
            <xm:f>IF(AD9=Admin!$A$9,Admin!$C$2:$C$3,IF(AD9=Admin!$A$10,Admin!$D$8,""))</xm:f>
          </x14:formula1>
          <xm:sqref>AH9:AH442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109"/>
  <sheetViews>
    <sheetView zoomScale="80" zoomScaleNormal="80" workbookViewId="0">
      <pane ySplit="2" topLeftCell="A73" activePane="bottomLeft" state="frozen"/>
      <selection pane="bottomLeft" activeCell="A101" sqref="A101"/>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6" customWidth="1"/>
    <col min="9" max="9" width="19.5703125" style="2" bestFit="1" customWidth="1"/>
    <col min="10" max="10" width="17.140625" style="7" customWidth="1"/>
    <col min="11" max="11" width="21.42578125" customWidth="1"/>
    <col min="12" max="12" width="15.7109375" style="6" customWidth="1"/>
    <col min="13" max="13" width="21" style="6" bestFit="1" customWidth="1"/>
    <col min="14" max="15" width="36" customWidth="1"/>
  </cols>
  <sheetData>
    <row r="1" spans="1:14" ht="21.75" thickBot="1" x14ac:dyDescent="0.4">
      <c r="C1" s="211"/>
      <c r="J1" s="17"/>
      <c r="K1" s="18"/>
    </row>
    <row r="2" spans="1:14" s="4" customFormat="1" ht="48.75" customHeight="1" thickBot="1" x14ac:dyDescent="0.3">
      <c r="A2" s="106" t="s">
        <v>13</v>
      </c>
      <c r="B2" s="46" t="s">
        <v>77</v>
      </c>
      <c r="C2" s="107" t="s">
        <v>148</v>
      </c>
      <c r="D2" s="108" t="s">
        <v>58</v>
      </c>
      <c r="E2" s="108" t="s">
        <v>59</v>
      </c>
      <c r="F2" s="108" t="s">
        <v>3</v>
      </c>
      <c r="G2" s="108" t="s">
        <v>4</v>
      </c>
      <c r="H2" s="109" t="s">
        <v>19</v>
      </c>
      <c r="I2" s="110" t="s">
        <v>2</v>
      </c>
      <c r="J2" s="108" t="s">
        <v>12</v>
      </c>
      <c r="K2" s="109" t="s">
        <v>27</v>
      </c>
      <c r="L2" s="108" t="s">
        <v>5</v>
      </c>
      <c r="M2" s="112" t="s">
        <v>149</v>
      </c>
      <c r="N2" s="111" t="s">
        <v>11</v>
      </c>
    </row>
    <row r="3" spans="1:14" s="8" customFormat="1" ht="61.5" customHeight="1" x14ac:dyDescent="0.25">
      <c r="A3" s="97"/>
      <c r="B3" s="45" t="s">
        <v>75</v>
      </c>
      <c r="C3" s="98"/>
      <c r="D3" s="99"/>
      <c r="E3" s="99"/>
      <c r="F3" s="100" t="s">
        <v>62</v>
      </c>
      <c r="G3" s="100" t="s">
        <v>61</v>
      </c>
      <c r="H3" s="101" t="s">
        <v>60</v>
      </c>
      <c r="I3" s="102"/>
      <c r="J3" s="103"/>
      <c r="K3" s="104"/>
      <c r="L3" s="103"/>
      <c r="M3" s="103" t="str">
        <f>IF(K3&gt;0,
(IF(K3&lt;Hónapok!$A$10,Admin!$A$28,
(IF(K3&lt;Hónapok!$A$22,Admin!$B$28,
(IF(K3&lt;Hónapok!$A$34,Admin!$C$28,
(IF(K3&lt;Hónapok!$A$37,Admin!$D$28,"")))))))),"")</f>
        <v/>
      </c>
      <c r="N3" s="105"/>
    </row>
    <row r="4" spans="1:14" s="8" customFormat="1" ht="105" x14ac:dyDescent="0.25">
      <c r="A4" s="43"/>
      <c r="B4" s="42"/>
      <c r="C4" s="44"/>
      <c r="D4" s="26"/>
      <c r="E4" s="26"/>
      <c r="F4" s="27"/>
      <c r="G4" s="23" t="s">
        <v>150</v>
      </c>
      <c r="H4" s="24" t="e" cm="1" vm="1">
        <f t="array" aca="1" ref="H4" ca="1">IF(B3=Admin!$A$9,Admin!$C$4:$C$23,IF(B3=Admin!$A$10,Admin!$D$2:$D$9,""))</f>
        <v>#VALUE!</v>
      </c>
      <c r="I4" s="28"/>
      <c r="J4" s="24"/>
      <c r="K4" s="24"/>
      <c r="L4" s="24"/>
      <c r="M4" s="24" t="str">
        <f>IF(K4&gt;0,
(IF(K4&lt;Hónapok!$A$10,Admin!$A$28,
(IF(K4&lt;Hónapok!$A$22,Admin!$B$28,
(IF(K4&lt;Hónapok!$A$34,Admin!$C$28,
(IF(K4&lt;Hónapok!$A$37,Admin!$D$28,"")))))))),"")</f>
        <v/>
      </c>
      <c r="N4" s="25"/>
    </row>
    <row r="5" spans="1:14" s="212" customFormat="1" ht="15" customHeight="1" x14ac:dyDescent="0.25">
      <c r="A5" s="43" t="s">
        <v>2800</v>
      </c>
      <c r="B5" s="42" t="s">
        <v>76</v>
      </c>
      <c r="C5" s="44" t="s">
        <v>251</v>
      </c>
      <c r="D5" s="26" t="s">
        <v>207</v>
      </c>
      <c r="E5" s="26" t="s">
        <v>208</v>
      </c>
      <c r="F5" s="27" t="s">
        <v>209</v>
      </c>
      <c r="G5" s="27" t="s">
        <v>210</v>
      </c>
      <c r="H5" s="24"/>
      <c r="I5" s="28">
        <v>16542</v>
      </c>
      <c r="J5" s="24" t="s">
        <v>7</v>
      </c>
      <c r="K5" s="24" t="s">
        <v>21</v>
      </c>
      <c r="L5" s="24" t="s">
        <v>160</v>
      </c>
      <c r="M5" s="24" t="str">
        <f>IF(K5&gt;0,
(IF(K5&lt;[4]Hónapok!$A$10,[4]Admin!$A$28,
(IF(K5&lt;[4]Hónapok!$A$22,[4]Admin!$B$28,
(IF(K5&lt;[4]Hónapok!$A$34,[4]Admin!$C$28,
(IF(K5&lt;[4]Hónapok!$A$37,[4]Admin!$D$28,"")))))))),"")</f>
        <v>2. mérföldkő</v>
      </c>
      <c r="N5" s="25"/>
    </row>
    <row r="6" spans="1:14" s="212" customFormat="1" ht="44.25" customHeight="1" x14ac:dyDescent="0.25">
      <c r="A6" s="43">
        <v>2</v>
      </c>
      <c r="B6" s="42" t="s">
        <v>75</v>
      </c>
      <c r="C6" s="44" t="s">
        <v>98</v>
      </c>
      <c r="D6" s="26" t="s">
        <v>2803</v>
      </c>
      <c r="E6" s="26"/>
      <c r="F6" s="27" t="s">
        <v>157</v>
      </c>
      <c r="G6" s="27" t="s">
        <v>224</v>
      </c>
      <c r="H6" s="24"/>
      <c r="I6" s="28">
        <v>81146</v>
      </c>
      <c r="J6" s="24" t="s">
        <v>7</v>
      </c>
      <c r="K6" s="24" t="s">
        <v>32</v>
      </c>
      <c r="L6" s="24" t="s">
        <v>159</v>
      </c>
      <c r="M6" s="24" t="str">
        <f>IF(K6&gt;0,
(IF(K6&lt;[4]Hónapok!$A$10,[4]Admin!$A$28,
(IF(K6&lt;[4]Hónapok!$A$22,[4]Admin!$B$28,
(IF(K6&lt;[4]Hónapok!$A$34,[4]Admin!$C$28,
(IF(K6&lt;[4]Hónapok!$A$37,[4]Admin!$D$28,"")))))))),"")</f>
        <v>2. mérföldkő</v>
      </c>
      <c r="N6" s="25"/>
    </row>
    <row r="7" spans="1:14" s="212" customFormat="1" ht="44.25" customHeight="1" x14ac:dyDescent="0.25">
      <c r="A7" s="43">
        <v>2</v>
      </c>
      <c r="B7" s="42" t="s">
        <v>75</v>
      </c>
      <c r="C7" s="44" t="s">
        <v>98</v>
      </c>
      <c r="D7" s="26" t="s">
        <v>2803</v>
      </c>
      <c r="E7" s="26"/>
      <c r="F7" s="27" t="s">
        <v>157</v>
      </c>
      <c r="G7" s="27" t="s">
        <v>225</v>
      </c>
      <c r="H7" s="24"/>
      <c r="I7" s="28">
        <v>7384</v>
      </c>
      <c r="J7" s="24" t="s">
        <v>7</v>
      </c>
      <c r="K7" s="24" t="s">
        <v>32</v>
      </c>
      <c r="L7" s="24" t="s">
        <v>159</v>
      </c>
      <c r="M7" s="24" t="str">
        <f>IF(K7&gt;0,
(IF(K7&lt;[4]Hónapok!$A$10,[4]Admin!$A$28,
(IF(K7&lt;[4]Hónapok!$A$22,[4]Admin!$B$28,
(IF(K7&lt;[4]Hónapok!$A$34,[4]Admin!$C$28,
(IF(K7&lt;[4]Hónapok!$A$37,[4]Admin!$D$28,"")))))))),"")</f>
        <v>2. mérföldkő</v>
      </c>
      <c r="N7" s="25"/>
    </row>
    <row r="8" spans="1:14" s="212" customFormat="1" ht="44.25" customHeight="1" x14ac:dyDescent="0.25">
      <c r="A8" s="43">
        <v>2</v>
      </c>
      <c r="B8" s="42" t="s">
        <v>75</v>
      </c>
      <c r="C8" s="44" t="s">
        <v>96</v>
      </c>
      <c r="D8" s="26" t="s">
        <v>300</v>
      </c>
      <c r="E8" s="26" t="s">
        <v>301</v>
      </c>
      <c r="F8" s="27" t="s">
        <v>279</v>
      </c>
      <c r="G8" s="27" t="s">
        <v>302</v>
      </c>
      <c r="H8" s="24"/>
      <c r="I8" s="28">
        <v>59626</v>
      </c>
      <c r="J8" s="24" t="s">
        <v>7</v>
      </c>
      <c r="K8" s="24" t="s">
        <v>26</v>
      </c>
      <c r="L8" s="24" t="s">
        <v>159</v>
      </c>
      <c r="M8" s="24" t="str">
        <f>IF(K8&gt;0,
(IF(K8&lt;[4]Hónapok!$A$10,[4]Admin!$A$28,
(IF(K8&lt;[4]Hónapok!$A$22,[4]Admin!$B$28,
(IF(K8&lt;[4]Hónapok!$A$34,[4]Admin!$C$28,
(IF(K8&lt;[4]Hónapok!$A$37,[4]Admin!$D$28,"")))))))),"")</f>
        <v>2. mérföldkő</v>
      </c>
      <c r="N8" s="25"/>
    </row>
    <row r="9" spans="1:14" s="212" customFormat="1" ht="44.25" customHeight="1" x14ac:dyDescent="0.25">
      <c r="A9" s="43">
        <v>2</v>
      </c>
      <c r="B9" s="42" t="s">
        <v>75</v>
      </c>
      <c r="C9" s="44" t="s">
        <v>98</v>
      </c>
      <c r="D9" s="26" t="s">
        <v>2802</v>
      </c>
      <c r="E9" s="26"/>
      <c r="F9" s="27" t="s">
        <v>212</v>
      </c>
      <c r="G9" s="27" t="s">
        <v>224</v>
      </c>
      <c r="H9" s="24"/>
      <c r="I9" s="28">
        <v>81146</v>
      </c>
      <c r="J9" s="24" t="s">
        <v>7</v>
      </c>
      <c r="K9" s="24" t="s">
        <v>32</v>
      </c>
      <c r="L9" s="24" t="s">
        <v>159</v>
      </c>
      <c r="M9" s="24" t="str">
        <f>IF(K9&gt;0,
(IF(K9&lt;[4]Hónapok!$A$10,[4]Admin!$A$28,
(IF(K9&lt;[4]Hónapok!$A$22,[4]Admin!$B$28,
(IF(K9&lt;[4]Hónapok!$A$34,[4]Admin!$C$28,
(IF(K9&lt;[4]Hónapok!$A$37,[4]Admin!$D$28,"")))))))),"")</f>
        <v>2. mérföldkő</v>
      </c>
      <c r="N9" s="25"/>
    </row>
    <row r="10" spans="1:14" s="212" customFormat="1" ht="44.25" customHeight="1" x14ac:dyDescent="0.25">
      <c r="A10" s="43">
        <v>2</v>
      </c>
      <c r="B10" s="42" t="s">
        <v>75</v>
      </c>
      <c r="C10" s="44" t="s">
        <v>98</v>
      </c>
      <c r="D10" s="26" t="s">
        <v>2802</v>
      </c>
      <c r="E10" s="26"/>
      <c r="F10" s="27" t="s">
        <v>212</v>
      </c>
      <c r="G10" s="27" t="s">
        <v>225</v>
      </c>
      <c r="H10" s="24"/>
      <c r="I10" s="28">
        <v>7384</v>
      </c>
      <c r="J10" s="24" t="s">
        <v>7</v>
      </c>
      <c r="K10" s="24" t="s">
        <v>32</v>
      </c>
      <c r="L10" s="24" t="s">
        <v>159</v>
      </c>
      <c r="M10" s="24" t="str">
        <f>IF(K10&gt;0,
(IF(K10&lt;[4]Hónapok!$A$10,[4]Admin!$A$28,
(IF(K10&lt;[4]Hónapok!$A$22,[4]Admin!$B$28,
(IF(K10&lt;[4]Hónapok!$A$34,[4]Admin!$C$28,
(IF(K10&lt;[4]Hónapok!$A$37,[4]Admin!$D$28,"")))))))),"")</f>
        <v>2. mérföldkő</v>
      </c>
      <c r="N10" s="25"/>
    </row>
    <row r="11" spans="1:14" s="212" customFormat="1" ht="44.25" customHeight="1" x14ac:dyDescent="0.25">
      <c r="A11" s="43">
        <v>2</v>
      </c>
      <c r="B11" s="42" t="s">
        <v>75</v>
      </c>
      <c r="C11" s="44" t="s">
        <v>96</v>
      </c>
      <c r="D11" s="26" t="s">
        <v>350</v>
      </c>
      <c r="E11" s="26" t="s">
        <v>351</v>
      </c>
      <c r="F11" s="27" t="s">
        <v>309</v>
      </c>
      <c r="G11" s="27" t="s">
        <v>226</v>
      </c>
      <c r="H11" s="24"/>
      <c r="I11" s="28">
        <v>115738</v>
      </c>
      <c r="J11" s="24" t="s">
        <v>7</v>
      </c>
      <c r="K11" s="24" t="s">
        <v>32</v>
      </c>
      <c r="L11" s="24" t="s">
        <v>159</v>
      </c>
      <c r="M11" s="24" t="str">
        <f>IF(K11&gt;0,
(IF(K11&lt;[4]Hónapok!$A$10,[4]Admin!$A$28,
(IF(K11&lt;[4]Hónapok!$A$22,[4]Admin!$B$28,
(IF(K11&lt;[4]Hónapok!$A$34,[4]Admin!$C$28,
(IF(K11&lt;[4]Hónapok!$A$37,[4]Admin!$D$28,"")))))))),"")</f>
        <v>2. mérföldkő</v>
      </c>
      <c r="N11" s="27" t="s">
        <v>352</v>
      </c>
    </row>
    <row r="12" spans="1:14" s="212" customFormat="1" ht="44.25" customHeight="1" x14ac:dyDescent="0.25">
      <c r="A12" s="43">
        <v>2</v>
      </c>
      <c r="B12" s="42" t="s">
        <v>75</v>
      </c>
      <c r="C12" s="44" t="s">
        <v>98</v>
      </c>
      <c r="D12" s="26" t="s">
        <v>2801</v>
      </c>
      <c r="E12" s="26"/>
      <c r="F12" s="27" t="s">
        <v>213</v>
      </c>
      <c r="G12" s="27" t="s">
        <v>224</v>
      </c>
      <c r="H12" s="24"/>
      <c r="I12" s="28">
        <v>81146</v>
      </c>
      <c r="J12" s="24" t="s">
        <v>7</v>
      </c>
      <c r="K12" s="24" t="s">
        <v>32</v>
      </c>
      <c r="L12" s="24" t="s">
        <v>159</v>
      </c>
      <c r="M12" s="24" t="str">
        <f>IF(K12&gt;0,
(IF(K12&lt;[4]Hónapok!$A$10,[4]Admin!$A$28,
(IF(K12&lt;[4]Hónapok!$A$22,[4]Admin!$B$28,
(IF(K12&lt;[4]Hónapok!$A$34,[4]Admin!$C$28,
(IF(K12&lt;[4]Hónapok!$A$37,[4]Admin!$D$28,"")))))))),"")</f>
        <v>2. mérföldkő</v>
      </c>
      <c r="N12" s="25"/>
    </row>
    <row r="13" spans="1:14" s="212" customFormat="1" ht="44.25" customHeight="1" x14ac:dyDescent="0.25">
      <c r="A13" s="43">
        <v>2</v>
      </c>
      <c r="B13" s="42" t="s">
        <v>75</v>
      </c>
      <c r="C13" s="44" t="s">
        <v>98</v>
      </c>
      <c r="D13" s="26" t="s">
        <v>2801</v>
      </c>
      <c r="E13" s="26"/>
      <c r="F13" s="27" t="s">
        <v>213</v>
      </c>
      <c r="G13" s="27" t="s">
        <v>225</v>
      </c>
      <c r="H13" s="24"/>
      <c r="I13" s="28">
        <v>7384</v>
      </c>
      <c r="J13" s="24" t="s">
        <v>7</v>
      </c>
      <c r="K13" s="24" t="s">
        <v>32</v>
      </c>
      <c r="L13" s="24" t="s">
        <v>159</v>
      </c>
      <c r="M13" s="24" t="str">
        <f>IF(K13&gt;0,
(IF(K13&lt;[4]Hónapok!$A$10,[4]Admin!$A$28,
(IF(K13&lt;[4]Hónapok!$A$22,[4]Admin!$B$28,
(IF(K13&lt;[4]Hónapok!$A$34,[4]Admin!$C$28,
(IF(K13&lt;[4]Hónapok!$A$37,[4]Admin!$D$28,"")))))))),"")</f>
        <v>2. mérföldkő</v>
      </c>
      <c r="N13" s="25"/>
    </row>
    <row r="14" spans="1:14" s="212" customFormat="1" ht="44.25" customHeight="1" x14ac:dyDescent="0.25">
      <c r="A14" s="43">
        <v>2</v>
      </c>
      <c r="B14" s="42" t="s">
        <v>75</v>
      </c>
      <c r="C14" s="44" t="s">
        <v>96</v>
      </c>
      <c r="D14" s="26" t="s">
        <v>278</v>
      </c>
      <c r="E14" s="26" t="s">
        <v>277</v>
      </c>
      <c r="F14" s="27" t="s">
        <v>279</v>
      </c>
      <c r="G14" s="27" t="s">
        <v>227</v>
      </c>
      <c r="H14" s="24"/>
      <c r="I14" s="28">
        <v>3941</v>
      </c>
      <c r="J14" s="24" t="s">
        <v>7</v>
      </c>
      <c r="K14" s="24" t="s">
        <v>25</v>
      </c>
      <c r="L14" s="24" t="s">
        <v>159</v>
      </c>
      <c r="M14" s="24" t="str">
        <f>IF(K14&gt;0,
(IF(K14&lt;[4]Hónapok!$A$10,[4]Admin!$A$28,
(IF(K14&lt;[4]Hónapok!$A$22,[4]Admin!$B$28,
(IF(K14&lt;[4]Hónapok!$A$34,[4]Admin!$C$28,
(IF(K14&lt;[4]Hónapok!$A$37,[4]Admin!$D$28,"")))))))),"")</f>
        <v>2. mérföldkő</v>
      </c>
      <c r="N14" s="27" t="s">
        <v>259</v>
      </c>
    </row>
    <row r="15" spans="1:14" s="212" customFormat="1" ht="44.25" customHeight="1" x14ac:dyDescent="0.25">
      <c r="A15" s="43">
        <v>2</v>
      </c>
      <c r="B15" s="42" t="s">
        <v>75</v>
      </c>
      <c r="C15" s="44" t="s">
        <v>97</v>
      </c>
      <c r="D15" s="26" t="s">
        <v>261</v>
      </c>
      <c r="E15" s="26" t="s">
        <v>260</v>
      </c>
      <c r="F15" s="27" t="s">
        <v>262</v>
      </c>
      <c r="G15" s="27" t="s">
        <v>228</v>
      </c>
      <c r="H15" s="24"/>
      <c r="I15" s="28">
        <v>291930</v>
      </c>
      <c r="J15" s="24" t="s">
        <v>7</v>
      </c>
      <c r="K15" s="24" t="s">
        <v>24</v>
      </c>
      <c r="L15" s="24" t="s">
        <v>159</v>
      </c>
      <c r="M15" s="24" t="str">
        <f>IF(K15&gt;0,
(IF(K15&lt;[4]Hónapok!$A$10,[4]Admin!$A$28,
(IF(K15&lt;[4]Hónapok!$A$22,[4]Admin!$B$28,
(IF(K15&lt;[4]Hónapok!$A$34,[4]Admin!$C$28,
(IF(K15&lt;[4]Hónapok!$A$37,[4]Admin!$D$28,"")))))))),"")</f>
        <v>2. mérföldkő</v>
      </c>
      <c r="N15" s="27" t="s">
        <v>259</v>
      </c>
    </row>
    <row r="16" spans="1:14" s="212" customFormat="1" ht="60" x14ac:dyDescent="0.25">
      <c r="A16" s="43"/>
      <c r="B16" s="42" t="s">
        <v>75</v>
      </c>
      <c r="C16" s="44" t="s">
        <v>132</v>
      </c>
      <c r="D16" s="26" t="s">
        <v>223</v>
      </c>
      <c r="E16" s="26" t="s">
        <v>287</v>
      </c>
      <c r="F16" s="27" t="s">
        <v>232</v>
      </c>
      <c r="G16" s="27" t="s">
        <v>233</v>
      </c>
      <c r="H16" s="320" t="s">
        <v>288</v>
      </c>
      <c r="I16" s="28">
        <f>5371227-593020</f>
        <v>4778207</v>
      </c>
      <c r="J16" s="24" t="s">
        <v>141</v>
      </c>
      <c r="K16" s="24" t="s">
        <v>24</v>
      </c>
      <c r="L16" s="24" t="s">
        <v>151</v>
      </c>
      <c r="M16" s="24" t="str">
        <f>IF(K16&gt;0,
(IF(K16&lt;[4]Hónapok!$A$10,[4]Admin!$A$28,
(IF(K16&lt;[4]Hónapok!$A$22,[4]Admin!$B$28,
(IF(K16&lt;[4]Hónapok!$A$34,[4]Admin!$C$28,
(IF(K16&lt;[4]Hónapok!$A$37,[4]Admin!$D$28,"")))))))),"")</f>
        <v>2. mérföldkő</v>
      </c>
      <c r="N16" s="27"/>
    </row>
    <row r="17" spans="1:14" s="212" customFormat="1" ht="60" x14ac:dyDescent="0.25">
      <c r="A17" s="43"/>
      <c r="B17" s="42" t="s">
        <v>75</v>
      </c>
      <c r="C17" s="44" t="s">
        <v>132</v>
      </c>
      <c r="D17" s="26" t="s">
        <v>223</v>
      </c>
      <c r="E17" s="26"/>
      <c r="F17" s="27" t="s">
        <v>270</v>
      </c>
      <c r="G17" s="27" t="s">
        <v>286</v>
      </c>
      <c r="H17" s="24"/>
      <c r="I17" s="28">
        <v>1450231</v>
      </c>
      <c r="J17" s="24" t="s">
        <v>141</v>
      </c>
      <c r="K17" s="24" t="s">
        <v>24</v>
      </c>
      <c r="L17" s="24" t="s">
        <v>151</v>
      </c>
      <c r="M17" s="24" t="str">
        <f>IF(K17&gt;0,
(IF(K17&lt;[4]Hónapok!$A$10,[4]Admin!$A$28,
(IF(K17&lt;[4]Hónapok!$A$22,[4]Admin!$B$28,
(IF(K17&lt;[4]Hónapok!$A$34,[4]Admin!$C$28,
(IF(K17&lt;[4]Hónapok!$A$37,[4]Admin!$D$28,"")))))))),"")</f>
        <v>2. mérföldkő</v>
      </c>
      <c r="N17" s="27"/>
    </row>
    <row r="18" spans="1:14" s="212" customFormat="1" ht="60" x14ac:dyDescent="0.25">
      <c r="A18" s="43">
        <v>2</v>
      </c>
      <c r="B18" s="42" t="s">
        <v>75</v>
      </c>
      <c r="C18" s="44" t="s">
        <v>132</v>
      </c>
      <c r="D18" s="26" t="s">
        <v>2809</v>
      </c>
      <c r="E18" s="26" t="s">
        <v>2810</v>
      </c>
      <c r="F18" s="27" t="s">
        <v>232</v>
      </c>
      <c r="G18" s="27" t="s">
        <v>2811</v>
      </c>
      <c r="H18" s="320" t="s">
        <v>288</v>
      </c>
      <c r="I18" s="399">
        <v>593020</v>
      </c>
      <c r="J18" s="24" t="s">
        <v>7</v>
      </c>
      <c r="K18" s="24" t="s">
        <v>34</v>
      </c>
      <c r="L18" s="24" t="s">
        <v>151</v>
      </c>
      <c r="M18" s="24" t="str">
        <f>IF(K18&gt;0,
(IF(K18&lt;[4]Hónapok!$A$10,[4]Admin!$A$28,
(IF(K18&lt;[4]Hónapok!$A$22,[4]Admin!$B$28,
(IF(K18&lt;[4]Hónapok!$A$34,[4]Admin!$C$28,
(IF(K18&lt;[4]Hónapok!$A$37,[4]Admin!$D$28,"")))))))),"")</f>
        <v>2. mérföldkő</v>
      </c>
      <c r="N18" s="27"/>
    </row>
    <row r="19" spans="1:14" s="212" customFormat="1" ht="60" x14ac:dyDescent="0.25">
      <c r="A19" s="43"/>
      <c r="B19" s="42" t="s">
        <v>75</v>
      </c>
      <c r="C19" s="44" t="s">
        <v>132</v>
      </c>
      <c r="D19" s="26" t="s">
        <v>269</v>
      </c>
      <c r="E19" s="26"/>
      <c r="F19" s="27" t="s">
        <v>270</v>
      </c>
      <c r="G19" s="27" t="s">
        <v>2867</v>
      </c>
      <c r="H19" s="320" t="s">
        <v>288</v>
      </c>
      <c r="I19" s="28">
        <v>160115</v>
      </c>
      <c r="J19" s="24" t="s">
        <v>7</v>
      </c>
      <c r="K19" s="24" t="s">
        <v>35</v>
      </c>
      <c r="L19" s="24" t="s">
        <v>151</v>
      </c>
      <c r="M19" s="24" t="str">
        <f>IF(K19&gt;0,
(IF(K19&lt;[4]Hónapok!$A$10,[4]Admin!$A$28,
(IF(K19&lt;[4]Hónapok!$A$22,[4]Admin!$B$28,
(IF(K19&lt;[4]Hónapok!$A$34,[4]Admin!$C$28,
(IF(K19&lt;[4]Hónapok!$A$37,[4]Admin!$D$28,"")))))))),"")</f>
        <v>3. mérföldkő</v>
      </c>
      <c r="N19" s="27"/>
    </row>
    <row r="20" spans="1:14" s="212" customFormat="1" ht="30" x14ac:dyDescent="0.25">
      <c r="A20" s="43" t="s">
        <v>2800</v>
      </c>
      <c r="B20" s="42" t="s">
        <v>76</v>
      </c>
      <c r="C20" s="44" t="s">
        <v>251</v>
      </c>
      <c r="D20" s="26" t="s">
        <v>235</v>
      </c>
      <c r="E20" s="26" t="s">
        <v>234</v>
      </c>
      <c r="F20" s="27" t="s">
        <v>236</v>
      </c>
      <c r="G20" s="27" t="s">
        <v>237</v>
      </c>
      <c r="H20" s="24"/>
      <c r="I20" s="28">
        <v>13534</v>
      </c>
      <c r="J20" s="24" t="s">
        <v>7</v>
      </c>
      <c r="K20" s="24" t="s">
        <v>24</v>
      </c>
      <c r="L20" s="24" t="s">
        <v>160</v>
      </c>
      <c r="M20" s="24" t="str">
        <f>IF(K20&gt;0,
(IF(K20&lt;[4]Hónapok!$A$10,[4]Admin!$A$28,
(IF(K20&lt;[4]Hónapok!$A$22,[4]Admin!$B$28,
(IF(K20&lt;[4]Hónapok!$A$34,[4]Admin!$C$28,
(IF(K20&lt;[4]Hónapok!$A$37,[4]Admin!$D$28,"")))))))),"")</f>
        <v>2. mérföldkő</v>
      </c>
      <c r="N20" s="27"/>
    </row>
    <row r="21" spans="1:14" s="212" customFormat="1" ht="45" x14ac:dyDescent="0.25">
      <c r="A21" s="43">
        <v>2</v>
      </c>
      <c r="B21" s="42" t="s">
        <v>75</v>
      </c>
      <c r="C21" s="44" t="s">
        <v>98</v>
      </c>
      <c r="D21" s="26" t="s">
        <v>240</v>
      </c>
      <c r="E21" s="26"/>
      <c r="F21" s="27" t="s">
        <v>154</v>
      </c>
      <c r="G21" s="27" t="s">
        <v>241</v>
      </c>
      <c r="H21" s="24"/>
      <c r="I21" s="28">
        <v>60870</v>
      </c>
      <c r="J21" s="24" t="s">
        <v>7</v>
      </c>
      <c r="K21" s="392" t="s">
        <v>26</v>
      </c>
      <c r="L21" s="24" t="s">
        <v>151</v>
      </c>
      <c r="M21" s="24" t="str">
        <f>IF(K21&gt;0,
(IF(K21&lt;[4]Hónapok!$A$10,[4]Admin!$A$28,
(IF(K21&lt;[4]Hónapok!$A$22,[4]Admin!$B$28,
(IF(K21&lt;[4]Hónapok!$A$34,[4]Admin!$C$28,
(IF(K21&lt;[4]Hónapok!$A$37,[4]Admin!$D$28,"")))))))),"")</f>
        <v>2. mérföldkő</v>
      </c>
      <c r="N21" s="27"/>
    </row>
    <row r="22" spans="1:14" s="212" customFormat="1" ht="45" x14ac:dyDescent="0.25">
      <c r="A22" s="43">
        <v>2</v>
      </c>
      <c r="B22" s="42" t="s">
        <v>75</v>
      </c>
      <c r="C22" s="44" t="s">
        <v>98</v>
      </c>
      <c r="D22" s="26" t="s">
        <v>240</v>
      </c>
      <c r="E22" s="26"/>
      <c r="F22" s="27" t="s">
        <v>154</v>
      </c>
      <c r="G22" s="27" t="s">
        <v>242</v>
      </c>
      <c r="H22" s="24"/>
      <c r="I22" s="28">
        <v>5539</v>
      </c>
      <c r="J22" s="24" t="s">
        <v>7</v>
      </c>
      <c r="K22" s="392" t="s">
        <v>26</v>
      </c>
      <c r="L22" s="24" t="s">
        <v>151</v>
      </c>
      <c r="M22" s="24" t="str">
        <f>IF(K22&gt;0,
(IF(K22&lt;[4]Hónapok!$A$10,[4]Admin!$A$28,
(IF(K22&lt;[4]Hónapok!$A$22,[4]Admin!$B$28,
(IF(K22&lt;[4]Hónapok!$A$34,[4]Admin!$C$28,
(IF(K22&lt;[4]Hónapok!$A$37,[4]Admin!$D$28,"")))))))),"")</f>
        <v>2. mérföldkő</v>
      </c>
      <c r="N22" s="27"/>
    </row>
    <row r="23" spans="1:14" s="212" customFormat="1" ht="60" x14ac:dyDescent="0.25">
      <c r="A23" s="43">
        <v>2</v>
      </c>
      <c r="B23" s="42" t="s">
        <v>75</v>
      </c>
      <c r="C23" s="44" t="s">
        <v>97</v>
      </c>
      <c r="D23" s="26" t="s">
        <v>307</v>
      </c>
      <c r="E23" s="26" t="s">
        <v>308</v>
      </c>
      <c r="F23" s="27" t="s">
        <v>309</v>
      </c>
      <c r="G23" s="27" t="s">
        <v>306</v>
      </c>
      <c r="H23" s="24"/>
      <c r="I23" s="28">
        <v>92278</v>
      </c>
      <c r="J23" s="24" t="s">
        <v>7</v>
      </c>
      <c r="K23" s="24" t="s">
        <v>26</v>
      </c>
      <c r="L23" s="24" t="s">
        <v>151</v>
      </c>
      <c r="M23" s="24" t="str">
        <f>IF(K23&gt;0,
(IF(K23&lt;[4]Hónapok!$A$10,[4]Admin!$A$28,
(IF(K23&lt;[4]Hónapok!$A$22,[4]Admin!$B$28,
(IF(K23&lt;[4]Hónapok!$A$34,[4]Admin!$C$28,
(IF(K23&lt;[4]Hónapok!$A$37,[4]Admin!$D$28,"")))))))),"")</f>
        <v>2. mérföldkő</v>
      </c>
      <c r="N23" s="27"/>
    </row>
    <row r="24" spans="1:14" s="212" customFormat="1" ht="45" x14ac:dyDescent="0.25">
      <c r="A24" s="43">
        <v>2</v>
      </c>
      <c r="B24" s="42" t="s">
        <v>75</v>
      </c>
      <c r="C24" s="44" t="s">
        <v>96</v>
      </c>
      <c r="D24" s="26" t="s">
        <v>240</v>
      </c>
      <c r="E24" s="26"/>
      <c r="F24" s="27" t="s">
        <v>154</v>
      </c>
      <c r="G24" s="27" t="s">
        <v>243</v>
      </c>
      <c r="H24" s="24"/>
      <c r="I24" s="28">
        <v>61161</v>
      </c>
      <c r="J24" s="24" t="s">
        <v>7</v>
      </c>
      <c r="K24" s="24"/>
      <c r="L24" s="24" t="s">
        <v>151</v>
      </c>
      <c r="M24" s="24" t="str">
        <f>IF(K24&gt;0,
(IF(K24&lt;[4]Hónapok!$A$10,[4]Admin!$A$28,
(IF(K24&lt;[4]Hónapok!$A$22,[4]Admin!$B$28,
(IF(K24&lt;[4]Hónapok!$A$34,[4]Admin!$C$28,
(IF(K24&lt;[4]Hónapok!$A$37,[4]Admin!$D$28,"")))))))),"")</f>
        <v/>
      </c>
      <c r="N24" s="27"/>
    </row>
    <row r="25" spans="1:14" s="212" customFormat="1" ht="60" x14ac:dyDescent="0.25">
      <c r="A25" s="43">
        <v>2</v>
      </c>
      <c r="B25" s="42" t="s">
        <v>75</v>
      </c>
      <c r="C25" s="44" t="s">
        <v>96</v>
      </c>
      <c r="D25" s="26" t="s">
        <v>304</v>
      </c>
      <c r="E25" s="26" t="s">
        <v>305</v>
      </c>
      <c r="F25" s="27" t="s">
        <v>279</v>
      </c>
      <c r="G25" s="27" t="s">
        <v>303</v>
      </c>
      <c r="H25" s="24"/>
      <c r="I25" s="28">
        <v>1970</v>
      </c>
      <c r="J25" s="24" t="s">
        <v>7</v>
      </c>
      <c r="K25" s="24" t="s">
        <v>26</v>
      </c>
      <c r="L25" s="24" t="s">
        <v>151</v>
      </c>
      <c r="M25" s="24" t="str">
        <f>IF(K25&gt;0,
(IF(K25&lt;[4]Hónapok!$A$10,[4]Admin!$A$28,
(IF(K25&lt;[4]Hónapok!$A$22,[4]Admin!$B$28,
(IF(K25&lt;[4]Hónapok!$A$34,[4]Admin!$C$28,
(IF(K25&lt;[4]Hónapok!$A$37,[4]Admin!$D$28,"")))))))),"")</f>
        <v>2. mérföldkő</v>
      </c>
      <c r="N25" s="27"/>
    </row>
    <row r="26" spans="1:14" s="212" customFormat="1" ht="45" x14ac:dyDescent="0.25">
      <c r="A26" s="43">
        <v>2</v>
      </c>
      <c r="B26" s="42" t="s">
        <v>75</v>
      </c>
      <c r="C26" s="44" t="s">
        <v>98</v>
      </c>
      <c r="D26" s="26" t="s">
        <v>244</v>
      </c>
      <c r="E26" s="26"/>
      <c r="F26" s="27" t="s">
        <v>197</v>
      </c>
      <c r="G26" s="27" t="s">
        <v>241</v>
      </c>
      <c r="H26" s="24"/>
      <c r="I26" s="28">
        <v>60870</v>
      </c>
      <c r="J26" s="24" t="s">
        <v>7</v>
      </c>
      <c r="K26" s="392" t="s">
        <v>26</v>
      </c>
      <c r="L26" s="24" t="s">
        <v>151</v>
      </c>
      <c r="M26" s="24" t="str">
        <f>IF(K26&gt;0,
(IF(K26&lt;[4]Hónapok!$A$10,[4]Admin!$A$28,
(IF(K26&lt;[4]Hónapok!$A$22,[4]Admin!$B$28,
(IF(K26&lt;[4]Hónapok!$A$34,[4]Admin!$C$28,
(IF(K26&lt;[4]Hónapok!$A$37,[4]Admin!$D$28,"")))))))),"")</f>
        <v>2. mérföldkő</v>
      </c>
      <c r="N26" s="27"/>
    </row>
    <row r="27" spans="1:14" s="212" customFormat="1" ht="45" x14ac:dyDescent="0.25">
      <c r="A27" s="43">
        <v>2</v>
      </c>
      <c r="B27" s="42" t="s">
        <v>75</v>
      </c>
      <c r="C27" s="44" t="s">
        <v>98</v>
      </c>
      <c r="D27" s="26" t="s">
        <v>244</v>
      </c>
      <c r="E27" s="26"/>
      <c r="F27" s="27" t="s">
        <v>197</v>
      </c>
      <c r="G27" s="27" t="s">
        <v>242</v>
      </c>
      <c r="H27" s="24"/>
      <c r="I27" s="28">
        <v>5539</v>
      </c>
      <c r="J27" s="24" t="s">
        <v>7</v>
      </c>
      <c r="K27" s="392" t="s">
        <v>26</v>
      </c>
      <c r="L27" s="24" t="s">
        <v>151</v>
      </c>
      <c r="M27" s="24" t="str">
        <f>IF(K27&gt;0,
(IF(K27&lt;[4]Hónapok!$A$10,[4]Admin!$A$28,
(IF(K27&lt;[4]Hónapok!$A$22,[4]Admin!$B$28,
(IF(K27&lt;[4]Hónapok!$A$34,[4]Admin!$C$28,
(IF(K27&lt;[4]Hónapok!$A$37,[4]Admin!$D$28,"")))))))),"")</f>
        <v>2. mérföldkő</v>
      </c>
      <c r="N27" s="27"/>
    </row>
    <row r="28" spans="1:14" s="212" customFormat="1" ht="30" x14ac:dyDescent="0.25">
      <c r="A28" s="43" t="s">
        <v>2800</v>
      </c>
      <c r="B28" s="42" t="s">
        <v>76</v>
      </c>
      <c r="C28" s="44" t="s">
        <v>117</v>
      </c>
      <c r="D28" s="26" t="s">
        <v>258</v>
      </c>
      <c r="E28" s="26" t="s">
        <v>257</v>
      </c>
      <c r="F28" s="27" t="s">
        <v>252</v>
      </c>
      <c r="G28" s="27" t="s">
        <v>253</v>
      </c>
      <c r="H28" s="24">
        <v>20221018257</v>
      </c>
      <c r="I28" s="28">
        <v>23350</v>
      </c>
      <c r="J28" s="24" t="s">
        <v>7</v>
      </c>
      <c r="K28" s="24" t="s">
        <v>25</v>
      </c>
      <c r="L28" s="24" t="s">
        <v>160</v>
      </c>
      <c r="M28" s="24" t="str">
        <f>IF(K28&gt;0,
(IF(K28&lt;[4]Hónapok!$A$10,[4]Admin!$A$28,
(IF(K28&lt;[4]Hónapok!$A$22,[4]Admin!$B$28,
(IF(K28&lt;[4]Hónapok!$A$34,[4]Admin!$C$28,
(IF(K28&lt;[4]Hónapok!$A$37,[4]Admin!$D$28,"")))))))),"")</f>
        <v>2. mérföldkő</v>
      </c>
      <c r="N28" s="27"/>
    </row>
    <row r="29" spans="1:14" s="212" customFormat="1" ht="30" x14ac:dyDescent="0.25">
      <c r="A29" s="43" t="s">
        <v>2800</v>
      </c>
      <c r="B29" s="42" t="s">
        <v>76</v>
      </c>
      <c r="C29" s="44" t="s">
        <v>117</v>
      </c>
      <c r="D29" s="26" t="s">
        <v>268</v>
      </c>
      <c r="E29" s="26" t="s">
        <v>269</v>
      </c>
      <c r="F29" s="27" t="s">
        <v>270</v>
      </c>
      <c r="G29" s="27" t="s">
        <v>271</v>
      </c>
      <c r="H29" s="24"/>
      <c r="I29" s="28">
        <v>7715</v>
      </c>
      <c r="J29" s="24" t="s">
        <v>7</v>
      </c>
      <c r="K29" s="24" t="s">
        <v>25</v>
      </c>
      <c r="L29" s="24" t="s">
        <v>160</v>
      </c>
      <c r="M29" s="24" t="str">
        <f>IF(K29&gt;0,
(IF(K29&lt;[4]Hónapok!$A$10,[4]Admin!$A$28,
(IF(K29&lt;[4]Hónapok!$A$22,[4]Admin!$B$28,
(IF(K29&lt;[4]Hónapok!$A$34,[4]Admin!$C$28,
(IF(K29&lt;[4]Hónapok!$A$37,[4]Admin!$D$28,"")))))))),"")</f>
        <v>2. mérföldkő</v>
      </c>
      <c r="N29" s="27"/>
    </row>
    <row r="30" spans="1:14" s="212" customFormat="1" ht="30" x14ac:dyDescent="0.25">
      <c r="A30" s="43">
        <v>2</v>
      </c>
      <c r="B30" s="42" t="s">
        <v>75</v>
      </c>
      <c r="C30" s="44" t="s">
        <v>112</v>
      </c>
      <c r="D30" s="26" t="s">
        <v>356</v>
      </c>
      <c r="E30" s="26" t="s">
        <v>357</v>
      </c>
      <c r="F30" s="27" t="s">
        <v>319</v>
      </c>
      <c r="G30" s="27" t="s">
        <v>254</v>
      </c>
      <c r="H30" s="320" t="s">
        <v>255</v>
      </c>
      <c r="I30" s="28">
        <v>3376782</v>
      </c>
      <c r="J30" s="24" t="s">
        <v>7</v>
      </c>
      <c r="K30" s="24" t="s">
        <v>32</v>
      </c>
      <c r="L30" s="24" t="s">
        <v>152</v>
      </c>
      <c r="M30" s="24" t="str">
        <f>IF(K30&gt;0,
(IF(K30&lt;[4]Hónapok!$A$10,[4]Admin!$A$28,
(IF(K30&lt;[4]Hónapok!$A$22,[4]Admin!$B$28,
(IF(K30&lt;[4]Hónapok!$A$34,[4]Admin!$C$28,
(IF(K30&lt;[4]Hónapok!$A$37,[4]Admin!$D$28,"")))))))),"")</f>
        <v>2. mérföldkő</v>
      </c>
      <c r="N30" s="27"/>
    </row>
    <row r="31" spans="1:14" s="212" customFormat="1" x14ac:dyDescent="0.25">
      <c r="A31" s="43" t="s">
        <v>2800</v>
      </c>
      <c r="B31" s="42" t="s">
        <v>76</v>
      </c>
      <c r="C31" s="44" t="s">
        <v>115</v>
      </c>
      <c r="D31" s="26" t="s">
        <v>356</v>
      </c>
      <c r="E31" s="26" t="s">
        <v>357</v>
      </c>
      <c r="F31" s="27" t="s">
        <v>319</v>
      </c>
      <c r="G31" s="27" t="s">
        <v>2804</v>
      </c>
      <c r="H31" s="320" t="s">
        <v>255</v>
      </c>
      <c r="I31" s="28">
        <v>50652</v>
      </c>
      <c r="J31" s="24" t="s">
        <v>7</v>
      </c>
      <c r="K31" s="24" t="s">
        <v>32</v>
      </c>
      <c r="L31" s="24" t="s">
        <v>160</v>
      </c>
      <c r="M31" s="24" t="str">
        <f>IF(K31&gt;0,
(IF(K31&lt;[4]Hónapok!$A$10,[4]Admin!$A$28,
(IF(K31&lt;[4]Hónapok!$A$22,[4]Admin!$B$28,
(IF(K31&lt;[4]Hónapok!$A$34,[4]Admin!$C$28,
(IF(K31&lt;[4]Hónapok!$A$37,[4]Admin!$D$28,"")))))))),"")</f>
        <v>2. mérföldkő</v>
      </c>
      <c r="N31" s="27"/>
    </row>
    <row r="32" spans="1:14" s="212" customFormat="1" ht="60" x14ac:dyDescent="0.25">
      <c r="A32" s="43">
        <v>2</v>
      </c>
      <c r="B32" s="42" t="s">
        <v>75</v>
      </c>
      <c r="C32" s="44" t="s">
        <v>131</v>
      </c>
      <c r="D32" s="26" t="s">
        <v>290</v>
      </c>
      <c r="E32" s="26" t="s">
        <v>291</v>
      </c>
      <c r="F32" s="27" t="s">
        <v>263</v>
      </c>
      <c r="G32" s="27" t="s">
        <v>264</v>
      </c>
      <c r="H32" s="320" t="s">
        <v>266</v>
      </c>
      <c r="I32" s="28">
        <v>529400</v>
      </c>
      <c r="J32" s="24" t="s">
        <v>7</v>
      </c>
      <c r="K32" s="24" t="s">
        <v>25</v>
      </c>
      <c r="L32" s="24" t="s">
        <v>159</v>
      </c>
      <c r="M32" s="24" t="str">
        <f>IF(K32&gt;0,
(IF(K32&lt;[4]Hónapok!$A$10,[4]Admin!$A$28,
(IF(K32&lt;[4]Hónapok!$A$22,[4]Admin!$B$28,
(IF(K32&lt;[4]Hónapok!$A$34,[4]Admin!$C$28,
(IF(K32&lt;[4]Hónapok!$A$37,[4]Admin!$D$28,"")))))))),"")</f>
        <v>2. mérföldkő</v>
      </c>
      <c r="N32" s="27"/>
    </row>
    <row r="33" spans="1:14" s="212" customFormat="1" ht="60" x14ac:dyDescent="0.25">
      <c r="A33" s="43">
        <v>2</v>
      </c>
      <c r="B33" s="42" t="s">
        <v>75</v>
      </c>
      <c r="C33" s="44" t="s">
        <v>131</v>
      </c>
      <c r="D33" s="26" t="s">
        <v>223</v>
      </c>
      <c r="E33" s="26"/>
      <c r="F33" s="27" t="s">
        <v>263</v>
      </c>
      <c r="G33" s="27" t="s">
        <v>265</v>
      </c>
      <c r="H33" s="24"/>
      <c r="I33" s="28">
        <v>142938</v>
      </c>
      <c r="J33" s="24" t="s">
        <v>7</v>
      </c>
      <c r="K33" s="24"/>
      <c r="L33" s="24" t="s">
        <v>159</v>
      </c>
      <c r="M33" s="24" t="str">
        <f>IF(K33&gt;0,
(IF(K33&lt;[4]Hónapok!$A$10,[4]Admin!$A$28,
(IF(K33&lt;[4]Hónapok!$A$22,[4]Admin!$B$28,
(IF(K33&lt;[4]Hónapok!$A$34,[4]Admin!$C$28,
(IF(K33&lt;[4]Hónapok!$A$37,[4]Admin!$D$28,"")))))))),"")</f>
        <v/>
      </c>
      <c r="N33" s="27"/>
    </row>
    <row r="34" spans="1:14" s="212" customFormat="1" ht="30" x14ac:dyDescent="0.25">
      <c r="A34" s="43" t="s">
        <v>2800</v>
      </c>
      <c r="B34" s="42" t="s">
        <v>76</v>
      </c>
      <c r="C34" s="44" t="s">
        <v>117</v>
      </c>
      <c r="D34" s="26" t="s">
        <v>298</v>
      </c>
      <c r="E34" s="26" t="s">
        <v>299</v>
      </c>
      <c r="F34" s="27" t="s">
        <v>252</v>
      </c>
      <c r="G34" s="27" t="s">
        <v>267</v>
      </c>
      <c r="H34" s="24">
        <v>20221024259</v>
      </c>
      <c r="I34" s="28">
        <v>50800</v>
      </c>
      <c r="J34" s="24" t="s">
        <v>7</v>
      </c>
      <c r="K34" s="24" t="s">
        <v>26</v>
      </c>
      <c r="L34" s="24" t="s">
        <v>160</v>
      </c>
      <c r="M34" s="24" t="str">
        <f>IF(K34&gt;0,
(IF(K34&lt;[4]Hónapok!$A$10,[4]Admin!$A$28,
(IF(K34&lt;[4]Hónapok!$A$22,[4]Admin!$B$28,
(IF(K34&lt;[4]Hónapok!$A$34,[4]Admin!$C$28,
(IF(K34&lt;[4]Hónapok!$A$37,[4]Admin!$D$28,"")))))))),"")</f>
        <v>2. mérföldkő</v>
      </c>
      <c r="N34" s="27"/>
    </row>
    <row r="35" spans="1:14" s="212" customFormat="1" ht="30" x14ac:dyDescent="0.25">
      <c r="A35" s="43" t="s">
        <v>2800</v>
      </c>
      <c r="B35" s="42" t="s">
        <v>76</v>
      </c>
      <c r="C35" s="44" t="s">
        <v>118</v>
      </c>
      <c r="D35" s="26" t="s">
        <v>324</v>
      </c>
      <c r="E35" s="26" t="s">
        <v>325</v>
      </c>
      <c r="F35" s="27" t="s">
        <v>273</v>
      </c>
      <c r="G35" s="27" t="s">
        <v>274</v>
      </c>
      <c r="H35" s="26" t="s">
        <v>272</v>
      </c>
      <c r="I35" s="28">
        <v>757503</v>
      </c>
      <c r="J35" s="24" t="s">
        <v>7</v>
      </c>
      <c r="K35" s="24" t="s">
        <v>26</v>
      </c>
      <c r="L35" s="24" t="s">
        <v>160</v>
      </c>
      <c r="M35" s="24" t="str">
        <f>IF(K35&gt;0,
(IF(K35&lt;[4]Hónapok!$A$10,[4]Admin!$A$28,
(IF(K35&lt;[4]Hónapok!$A$22,[4]Admin!$B$28,
(IF(K35&lt;[4]Hónapok!$A$34,[4]Admin!$C$28,
(IF(K35&lt;[4]Hónapok!$A$37,[4]Admin!$D$28,"")))))))),"")</f>
        <v>2. mérföldkő</v>
      </c>
      <c r="N35" s="27"/>
    </row>
    <row r="36" spans="1:14" s="212" customFormat="1" ht="30" x14ac:dyDescent="0.25">
      <c r="A36" s="43" t="s">
        <v>2800</v>
      </c>
      <c r="B36" s="42" t="s">
        <v>76</v>
      </c>
      <c r="C36" s="44" t="s">
        <v>118</v>
      </c>
      <c r="D36" s="26" t="s">
        <v>337</v>
      </c>
      <c r="E36" s="26" t="s">
        <v>338</v>
      </c>
      <c r="F36" s="27" t="s">
        <v>275</v>
      </c>
      <c r="G36" s="27" t="s">
        <v>276</v>
      </c>
      <c r="H36" s="26" t="s">
        <v>272</v>
      </c>
      <c r="I36" s="28">
        <v>296724</v>
      </c>
      <c r="J36" s="24" t="s">
        <v>7</v>
      </c>
      <c r="K36" s="24" t="s">
        <v>26</v>
      </c>
      <c r="L36" s="24" t="s">
        <v>160</v>
      </c>
      <c r="M36" s="24" t="str">
        <f>IF(K36&gt;0,
(IF(K36&lt;[4]Hónapok!$A$10,[4]Admin!$A$28,
(IF(K36&lt;[4]Hónapok!$A$22,[4]Admin!$B$28,
(IF(K36&lt;[4]Hónapok!$A$34,[4]Admin!$C$28,
(IF(K36&lt;[4]Hónapok!$A$37,[4]Admin!$D$28,"")))))))),"")</f>
        <v>2. mérföldkő</v>
      </c>
      <c r="N36" s="27"/>
    </row>
    <row r="37" spans="1:14" s="212" customFormat="1" x14ac:dyDescent="0.25">
      <c r="A37" s="43">
        <v>2</v>
      </c>
      <c r="B37" s="42" t="s">
        <v>75</v>
      </c>
      <c r="C37" s="44" t="s">
        <v>96</v>
      </c>
      <c r="D37" s="26" t="s">
        <v>280</v>
      </c>
      <c r="E37" s="26" t="s">
        <v>281</v>
      </c>
      <c r="F37" s="27" t="s">
        <v>157</v>
      </c>
      <c r="G37" s="27" t="s">
        <v>282</v>
      </c>
      <c r="H37" s="24"/>
      <c r="I37" s="28">
        <v>88126</v>
      </c>
      <c r="J37" s="24" t="s">
        <v>7</v>
      </c>
      <c r="K37" s="24" t="s">
        <v>25</v>
      </c>
      <c r="L37" s="24" t="s">
        <v>159</v>
      </c>
      <c r="M37" s="24" t="str">
        <f>IF(K37&gt;0,
(IF(K37&lt;[4]Hónapok!$A$10,[4]Admin!$A$28,
(IF(K37&lt;[4]Hónapok!$A$22,[4]Admin!$B$28,
(IF(K37&lt;[4]Hónapok!$A$34,[4]Admin!$C$28,
(IF(K37&lt;[4]Hónapok!$A$37,[4]Admin!$D$28,"")))))))),"")</f>
        <v>2. mérföldkő</v>
      </c>
      <c r="N37" s="27"/>
    </row>
    <row r="38" spans="1:14" s="212" customFormat="1" x14ac:dyDescent="0.25">
      <c r="A38" s="43">
        <v>2</v>
      </c>
      <c r="B38" s="42" t="s">
        <v>75</v>
      </c>
      <c r="C38" s="44" t="s">
        <v>97</v>
      </c>
      <c r="D38" s="26" t="s">
        <v>280</v>
      </c>
      <c r="E38" s="26" t="s">
        <v>281</v>
      </c>
      <c r="F38" s="27" t="s">
        <v>157</v>
      </c>
      <c r="G38" s="27" t="s">
        <v>283</v>
      </c>
      <c r="H38" s="24"/>
      <c r="I38" s="28">
        <v>43872</v>
      </c>
      <c r="J38" s="24" t="s">
        <v>7</v>
      </c>
      <c r="K38" s="24" t="s">
        <v>25</v>
      </c>
      <c r="L38" s="24" t="s">
        <v>159</v>
      </c>
      <c r="M38" s="24" t="str">
        <f>IF(K38&gt;0,
(IF(K38&lt;[4]Hónapok!$A$10,[4]Admin!$A$28,
(IF(K38&lt;[4]Hónapok!$A$22,[4]Admin!$B$28,
(IF(K38&lt;[4]Hónapok!$A$34,[4]Admin!$C$28,
(IF(K38&lt;[4]Hónapok!$A$37,[4]Admin!$D$28,"")))))))),"")</f>
        <v>2. mérföldkő</v>
      </c>
      <c r="N38" s="27"/>
    </row>
    <row r="39" spans="1:14" s="212" customFormat="1" ht="30" x14ac:dyDescent="0.25">
      <c r="A39" s="43">
        <v>2</v>
      </c>
      <c r="B39" s="42" t="s">
        <v>75</v>
      </c>
      <c r="C39" s="44" t="s">
        <v>96</v>
      </c>
      <c r="D39" s="26" t="s">
        <v>285</v>
      </c>
      <c r="E39" s="26" t="s">
        <v>284</v>
      </c>
      <c r="F39" s="27" t="s">
        <v>215</v>
      </c>
      <c r="G39" s="27" t="s">
        <v>282</v>
      </c>
      <c r="H39" s="24"/>
      <c r="I39" s="28">
        <v>69218</v>
      </c>
      <c r="J39" s="24" t="s">
        <v>7</v>
      </c>
      <c r="K39" s="24" t="s">
        <v>26</v>
      </c>
      <c r="L39" s="24" t="s">
        <v>159</v>
      </c>
      <c r="M39" s="24" t="str">
        <f>IF(K39&gt;0,
(IF(K39&lt;[4]Hónapok!$A$10,[4]Admin!$A$28,
(IF(K39&lt;[4]Hónapok!$A$22,[4]Admin!$B$28,
(IF(K39&lt;[4]Hónapok!$A$34,[4]Admin!$C$28,
(IF(K39&lt;[4]Hónapok!$A$37,[4]Admin!$D$28,"")))))))),"")</f>
        <v>2. mérföldkő</v>
      </c>
      <c r="N39" s="27" t="s">
        <v>323</v>
      </c>
    </row>
    <row r="40" spans="1:14" s="212" customFormat="1" ht="30" x14ac:dyDescent="0.25">
      <c r="A40" s="43">
        <v>2</v>
      </c>
      <c r="B40" s="42" t="s">
        <v>75</v>
      </c>
      <c r="C40" s="44" t="s">
        <v>97</v>
      </c>
      <c r="D40" s="26" t="s">
        <v>285</v>
      </c>
      <c r="E40" s="26" t="s">
        <v>284</v>
      </c>
      <c r="F40" s="27" t="s">
        <v>215</v>
      </c>
      <c r="G40" s="27" t="s">
        <v>283</v>
      </c>
      <c r="H40" s="24"/>
      <c r="I40" s="28">
        <v>83400</v>
      </c>
      <c r="J40" s="24" t="s">
        <v>7</v>
      </c>
      <c r="K40" s="24" t="s">
        <v>26</v>
      </c>
      <c r="L40" s="24" t="s">
        <v>159</v>
      </c>
      <c r="M40" s="24" t="str">
        <f>IF(K40&gt;0,
(IF(K40&lt;[4]Hónapok!$A$10,[4]Admin!$A$28,
(IF(K40&lt;[4]Hónapok!$A$22,[4]Admin!$B$28,
(IF(K40&lt;[4]Hónapok!$A$34,[4]Admin!$C$28,
(IF(K40&lt;[4]Hónapok!$A$37,[4]Admin!$D$28,"")))))))),"")</f>
        <v>2. mérföldkő</v>
      </c>
      <c r="N40" s="27" t="s">
        <v>323</v>
      </c>
    </row>
    <row r="41" spans="1:14" s="212" customFormat="1" x14ac:dyDescent="0.25">
      <c r="A41" s="43">
        <v>2</v>
      </c>
      <c r="B41" s="42" t="s">
        <v>75</v>
      </c>
      <c r="C41" s="44" t="s">
        <v>100</v>
      </c>
      <c r="D41" s="26" t="s">
        <v>335</v>
      </c>
      <c r="E41" s="26" t="s">
        <v>336</v>
      </c>
      <c r="F41" s="27" t="s">
        <v>273</v>
      </c>
      <c r="G41" s="27" t="s">
        <v>289</v>
      </c>
      <c r="H41" s="24">
        <v>202210252541</v>
      </c>
      <c r="I41" s="28">
        <v>243997</v>
      </c>
      <c r="J41" s="24" t="s">
        <v>7</v>
      </c>
      <c r="K41" s="24" t="s">
        <v>32</v>
      </c>
      <c r="L41" s="24" t="s">
        <v>152</v>
      </c>
      <c r="M41" s="24" t="str">
        <f>IF(K41&gt;0,
(IF(K41&lt;[4]Hónapok!$A$10,[4]Admin!$A$28,
(IF(K41&lt;[4]Hónapok!$A$22,[4]Admin!$B$28,
(IF(K41&lt;[4]Hónapok!$A$34,[4]Admin!$C$28,
(IF(K41&lt;[4]Hónapok!$A$37,[4]Admin!$D$28,"")))))))),"")</f>
        <v>2. mérföldkő</v>
      </c>
      <c r="N41" s="27"/>
    </row>
    <row r="42" spans="1:14" s="212" customFormat="1" ht="30" x14ac:dyDescent="0.25">
      <c r="A42" s="43">
        <v>2</v>
      </c>
      <c r="B42" s="42" t="s">
        <v>75</v>
      </c>
      <c r="C42" s="44" t="s">
        <v>96</v>
      </c>
      <c r="D42" s="26" t="s">
        <v>294</v>
      </c>
      <c r="E42" s="26" t="s">
        <v>295</v>
      </c>
      <c r="F42" s="27" t="s">
        <v>215</v>
      </c>
      <c r="G42" s="27" t="s">
        <v>237</v>
      </c>
      <c r="H42" s="24"/>
      <c r="I42" s="395">
        <v>23674</v>
      </c>
      <c r="J42" s="24" t="s">
        <v>7</v>
      </c>
      <c r="K42" s="24" t="s">
        <v>25</v>
      </c>
      <c r="L42" s="24" t="s">
        <v>159</v>
      </c>
      <c r="M42" s="24" t="str">
        <f>IF(K42&gt;0,
(IF(K42&lt;[4]Hónapok!$A$10,[4]Admin!$A$28,
(IF(K42&lt;[4]Hónapok!$A$22,[4]Admin!$B$28,
(IF(K42&lt;[4]Hónapok!$A$34,[4]Admin!$C$28,
(IF(K42&lt;[4]Hónapok!$A$37,[4]Admin!$D$28,"")))))))),"")</f>
        <v>2. mérföldkő</v>
      </c>
      <c r="N42" s="27"/>
    </row>
    <row r="43" spans="1:14" s="212" customFormat="1" ht="30" x14ac:dyDescent="0.25">
      <c r="A43" s="43">
        <v>2</v>
      </c>
      <c r="B43" s="42" t="s">
        <v>75</v>
      </c>
      <c r="C43" s="44" t="s">
        <v>96</v>
      </c>
      <c r="D43" s="26" t="s">
        <v>310</v>
      </c>
      <c r="E43" s="26" t="s">
        <v>311</v>
      </c>
      <c r="F43" s="27" t="s">
        <v>215</v>
      </c>
      <c r="G43" s="27" t="s">
        <v>312</v>
      </c>
      <c r="H43" s="24"/>
      <c r="I43" s="395">
        <v>23674</v>
      </c>
      <c r="J43" s="24" t="s">
        <v>7</v>
      </c>
      <c r="K43" s="24" t="s">
        <v>26</v>
      </c>
      <c r="L43" s="24" t="s">
        <v>159</v>
      </c>
      <c r="M43" s="24" t="str">
        <f>IF(K43&gt;0,
(IF(K43&lt;[4]Hónapok!$A$10,[4]Admin!$A$28,
(IF(K43&lt;[4]Hónapok!$A$22,[4]Admin!$B$28,
(IF(K43&lt;[4]Hónapok!$A$34,[4]Admin!$C$28,
(IF(K43&lt;[4]Hónapok!$A$37,[4]Admin!$D$28,"")))))))),"")</f>
        <v>2. mérföldkő</v>
      </c>
      <c r="N43" s="27"/>
    </row>
    <row r="44" spans="1:14" s="212" customFormat="1" ht="30" x14ac:dyDescent="0.25">
      <c r="A44" s="43">
        <v>2</v>
      </c>
      <c r="B44" s="42" t="s">
        <v>75</v>
      </c>
      <c r="C44" s="44" t="s">
        <v>96</v>
      </c>
      <c r="D44" s="26" t="s">
        <v>313</v>
      </c>
      <c r="E44" s="26" t="s">
        <v>314</v>
      </c>
      <c r="F44" s="27" t="s">
        <v>157</v>
      </c>
      <c r="G44" s="27" t="s">
        <v>315</v>
      </c>
      <c r="H44" s="24"/>
      <c r="I44" s="28">
        <v>41844</v>
      </c>
      <c r="J44" s="24" t="s">
        <v>7</v>
      </c>
      <c r="K44" s="24" t="s">
        <v>26</v>
      </c>
      <c r="L44" s="24" t="s">
        <v>159</v>
      </c>
      <c r="M44" s="24" t="str">
        <f>IF(K44&gt;0,
(IF(K44&lt;[4]Hónapok!$A$10,[4]Admin!$A$28,
(IF(K44&lt;[4]Hónapok!$A$22,[4]Admin!$B$28,
(IF(K44&lt;[4]Hónapok!$A$34,[4]Admin!$C$28,
(IF(K44&lt;[4]Hónapok!$A$37,[4]Admin!$D$28,"")))))))),"")</f>
        <v>2. mérföldkő</v>
      </c>
      <c r="N44" s="27"/>
    </row>
    <row r="45" spans="1:14" s="212" customFormat="1" x14ac:dyDescent="0.25">
      <c r="A45" s="43">
        <v>2</v>
      </c>
      <c r="B45" s="42" t="s">
        <v>75</v>
      </c>
      <c r="C45" s="44" t="s">
        <v>96</v>
      </c>
      <c r="D45" s="26" t="s">
        <v>316</v>
      </c>
      <c r="E45" s="26" t="s">
        <v>317</v>
      </c>
      <c r="F45" s="27" t="s">
        <v>157</v>
      </c>
      <c r="G45" s="27" t="s">
        <v>318</v>
      </c>
      <c r="H45" s="24"/>
      <c r="I45" s="28">
        <v>13884</v>
      </c>
      <c r="J45" s="24" t="s">
        <v>7</v>
      </c>
      <c r="K45" s="24" t="s">
        <v>26</v>
      </c>
      <c r="L45" s="24" t="s">
        <v>159</v>
      </c>
      <c r="M45" s="24" t="str">
        <f>IF(K45&gt;0,
(IF(K45&lt;[4]Hónapok!$A$10,[4]Admin!$A$28,
(IF(K45&lt;[4]Hónapok!$A$22,[4]Admin!$B$28,
(IF(K45&lt;[4]Hónapok!$A$34,[4]Admin!$C$28,
(IF(K45&lt;[4]Hónapok!$A$37,[4]Admin!$D$28,"")))))))),"")</f>
        <v>2. mérföldkő</v>
      </c>
      <c r="N45" s="27"/>
    </row>
    <row r="46" spans="1:14" s="212" customFormat="1" x14ac:dyDescent="0.25">
      <c r="A46" s="43">
        <v>2</v>
      </c>
      <c r="B46" s="42" t="s">
        <v>75</v>
      </c>
      <c r="C46" s="44" t="s">
        <v>96</v>
      </c>
      <c r="D46" s="26" t="s">
        <v>320</v>
      </c>
      <c r="E46" s="26" t="s">
        <v>321</v>
      </c>
      <c r="F46" s="27" t="s">
        <v>157</v>
      </c>
      <c r="G46" s="27" t="s">
        <v>322</v>
      </c>
      <c r="H46" s="24"/>
      <c r="I46" s="28">
        <v>15112</v>
      </c>
      <c r="J46" s="24" t="s">
        <v>7</v>
      </c>
      <c r="K46" s="24" t="s">
        <v>26</v>
      </c>
      <c r="L46" s="24" t="s">
        <v>159</v>
      </c>
      <c r="M46" s="24" t="str">
        <f>IF(K46&gt;0,
(IF(K46&lt;[4]Hónapok!$A$10,[4]Admin!$A$28,
(IF(K46&lt;[4]Hónapok!$A$22,[4]Admin!$B$28,
(IF(K46&lt;[4]Hónapok!$A$34,[4]Admin!$C$28,
(IF(K46&lt;[4]Hónapok!$A$37,[4]Admin!$D$28,"")))))))),"")</f>
        <v>2. mérföldkő</v>
      </c>
      <c r="N46" s="27"/>
    </row>
    <row r="47" spans="1:14" s="212" customFormat="1" x14ac:dyDescent="0.25">
      <c r="A47" s="43">
        <v>2</v>
      </c>
      <c r="B47" s="42" t="s">
        <v>75</v>
      </c>
      <c r="C47" s="44" t="s">
        <v>96</v>
      </c>
      <c r="D47" s="26" t="s">
        <v>326</v>
      </c>
      <c r="E47" s="26" t="s">
        <v>327</v>
      </c>
      <c r="F47" s="27" t="s">
        <v>157</v>
      </c>
      <c r="G47" s="27" t="s">
        <v>328</v>
      </c>
      <c r="H47" s="24"/>
      <c r="I47" s="28">
        <v>19836</v>
      </c>
      <c r="J47" s="24" t="s">
        <v>7</v>
      </c>
      <c r="K47" s="24" t="s">
        <v>26</v>
      </c>
      <c r="L47" s="24" t="s">
        <v>159</v>
      </c>
      <c r="M47" s="24" t="str">
        <f>IF(K47&gt;0,
(IF(K47&lt;[4]Hónapok!$A$10,[4]Admin!$A$28,
(IF(K47&lt;[4]Hónapok!$A$22,[4]Admin!$B$28,
(IF(K47&lt;[4]Hónapok!$A$34,[4]Admin!$C$28,
(IF(K47&lt;[4]Hónapok!$A$37,[4]Admin!$D$28,"")))))))),"")</f>
        <v>2. mérföldkő</v>
      </c>
      <c r="N47" s="27" t="s">
        <v>329</v>
      </c>
    </row>
    <row r="48" spans="1:14" s="212" customFormat="1" x14ac:dyDescent="0.25">
      <c r="A48" s="43">
        <v>2</v>
      </c>
      <c r="B48" s="42" t="s">
        <v>75</v>
      </c>
      <c r="C48" s="44" t="s">
        <v>97</v>
      </c>
      <c r="D48" s="26" t="s">
        <v>326</v>
      </c>
      <c r="E48" s="26" t="s">
        <v>327</v>
      </c>
      <c r="F48" s="27" t="s">
        <v>157</v>
      </c>
      <c r="G48" s="27" t="s">
        <v>332</v>
      </c>
      <c r="H48" s="24"/>
      <c r="I48" s="28">
        <v>56927</v>
      </c>
      <c r="J48" s="24" t="s">
        <v>7</v>
      </c>
      <c r="K48" s="24" t="s">
        <v>26</v>
      </c>
      <c r="L48" s="24" t="s">
        <v>159</v>
      </c>
      <c r="M48" s="24" t="str">
        <f>IF(K48&gt;0,
(IF(K48&lt;[4]Hónapok!$A$10,[4]Admin!$A$28,
(IF(K48&lt;[4]Hónapok!$A$22,[4]Admin!$B$28,
(IF(K48&lt;[4]Hónapok!$A$34,[4]Admin!$C$28,
(IF(K48&lt;[4]Hónapok!$A$37,[4]Admin!$D$28,"")))))))),"")</f>
        <v>2. mérföldkő</v>
      </c>
      <c r="N48" s="27" t="s">
        <v>329</v>
      </c>
    </row>
    <row r="49" spans="1:14" s="212" customFormat="1" ht="30" x14ac:dyDescent="0.25">
      <c r="A49" s="43">
        <v>2</v>
      </c>
      <c r="B49" s="42" t="s">
        <v>75</v>
      </c>
      <c r="C49" s="44" t="s">
        <v>97</v>
      </c>
      <c r="D49" s="26"/>
      <c r="E49" s="26" t="s">
        <v>269</v>
      </c>
      <c r="F49" s="27" t="s">
        <v>270</v>
      </c>
      <c r="G49" s="27" t="s">
        <v>349</v>
      </c>
      <c r="H49" s="24"/>
      <c r="I49" s="28">
        <v>6479</v>
      </c>
      <c r="J49" s="24" t="s">
        <v>7</v>
      </c>
      <c r="K49" s="24" t="s">
        <v>26</v>
      </c>
      <c r="L49" s="24" t="s">
        <v>159</v>
      </c>
      <c r="M49" s="24" t="str">
        <f>IF(K49&gt;0,
(IF(K49&lt;[4]Hónapok!$A$10,[4]Admin!$A$28,
(IF(K49&lt;[4]Hónapok!$A$22,[4]Admin!$B$28,
(IF(K49&lt;[4]Hónapok!$A$34,[4]Admin!$C$28,
(IF(K49&lt;[4]Hónapok!$A$37,[4]Admin!$D$28,"")))))))),"")</f>
        <v>2. mérföldkő</v>
      </c>
      <c r="N49" s="27"/>
    </row>
    <row r="50" spans="1:14" s="212" customFormat="1" x14ac:dyDescent="0.25">
      <c r="A50" s="43">
        <v>2</v>
      </c>
      <c r="B50" s="42" t="s">
        <v>75</v>
      </c>
      <c r="C50" s="44" t="s">
        <v>96</v>
      </c>
      <c r="D50" s="26" t="s">
        <v>330</v>
      </c>
      <c r="E50" s="26" t="s">
        <v>331</v>
      </c>
      <c r="F50" s="27" t="s">
        <v>157</v>
      </c>
      <c r="G50" s="27" t="s">
        <v>328</v>
      </c>
      <c r="H50" s="24"/>
      <c r="I50" s="28">
        <v>19836</v>
      </c>
      <c r="J50" s="24" t="s">
        <v>7</v>
      </c>
      <c r="K50" s="24" t="s">
        <v>26</v>
      </c>
      <c r="L50" s="24" t="s">
        <v>159</v>
      </c>
      <c r="M50" s="24" t="str">
        <f>IF(K50&gt;0,
(IF(K50&lt;[4]Hónapok!$A$10,[4]Admin!$A$28,
(IF(K50&lt;[4]Hónapok!$A$22,[4]Admin!$B$28,
(IF(K50&lt;[4]Hónapok!$A$34,[4]Admin!$C$28,
(IF(K50&lt;[4]Hónapok!$A$37,[4]Admin!$D$28,"")))))))),"")</f>
        <v>2. mérföldkő</v>
      </c>
      <c r="N50" s="27" t="s">
        <v>333</v>
      </c>
    </row>
    <row r="51" spans="1:14" s="212" customFormat="1" x14ac:dyDescent="0.25">
      <c r="A51" s="43">
        <v>2</v>
      </c>
      <c r="B51" s="42" t="s">
        <v>75</v>
      </c>
      <c r="C51" s="44" t="s">
        <v>97</v>
      </c>
      <c r="D51" s="26" t="s">
        <v>330</v>
      </c>
      <c r="E51" s="26" t="s">
        <v>331</v>
      </c>
      <c r="F51" s="27" t="s">
        <v>157</v>
      </c>
      <c r="G51" s="27" t="s">
        <v>332</v>
      </c>
      <c r="H51" s="24"/>
      <c r="I51" s="28">
        <v>28500</v>
      </c>
      <c r="J51" s="24" t="s">
        <v>7</v>
      </c>
      <c r="K51" s="24" t="s">
        <v>26</v>
      </c>
      <c r="L51" s="24" t="s">
        <v>159</v>
      </c>
      <c r="M51" s="24" t="str">
        <f>IF(K51&gt;0,
(IF(K51&lt;[4]Hónapok!$A$10,[4]Admin!$A$28,
(IF(K51&lt;[4]Hónapok!$A$22,[4]Admin!$B$28,
(IF(K51&lt;[4]Hónapok!$A$34,[4]Admin!$C$28,
(IF(K51&lt;[4]Hónapok!$A$37,[4]Admin!$D$28,"")))))))),"")</f>
        <v>2. mérföldkő</v>
      </c>
      <c r="N51" s="27" t="s">
        <v>333</v>
      </c>
    </row>
    <row r="52" spans="1:14" s="212" customFormat="1" x14ac:dyDescent="0.25">
      <c r="A52" s="43">
        <v>2</v>
      </c>
      <c r="B52" s="42" t="s">
        <v>75</v>
      </c>
      <c r="C52" s="44" t="s">
        <v>96</v>
      </c>
      <c r="D52" s="26" t="s">
        <v>340</v>
      </c>
      <c r="E52" s="26" t="s">
        <v>341</v>
      </c>
      <c r="F52" s="27" t="s">
        <v>157</v>
      </c>
      <c r="G52" s="27" t="s">
        <v>328</v>
      </c>
      <c r="H52" s="24"/>
      <c r="I52" s="28">
        <v>2530</v>
      </c>
      <c r="J52" s="24" t="s">
        <v>7</v>
      </c>
      <c r="K52" s="24" t="s">
        <v>32</v>
      </c>
      <c r="L52" s="24" t="s">
        <v>159</v>
      </c>
      <c r="M52" s="24" t="str">
        <f>IF(K52&gt;0,
(IF(K52&lt;[4]Hónapok!$A$10,[4]Admin!$A$28,
(IF(K52&lt;[4]Hónapok!$A$22,[4]Admin!$B$28,
(IF(K52&lt;[4]Hónapok!$A$34,[4]Admin!$C$28,
(IF(K52&lt;[4]Hónapok!$A$37,[4]Admin!$D$28,"")))))))),"")</f>
        <v>2. mérföldkő</v>
      </c>
      <c r="N52" s="27" t="s">
        <v>342</v>
      </c>
    </row>
    <row r="53" spans="1:14" s="212" customFormat="1" ht="30" x14ac:dyDescent="0.25">
      <c r="A53" s="43">
        <v>2</v>
      </c>
      <c r="B53" s="42" t="s">
        <v>75</v>
      </c>
      <c r="C53" s="44" t="s">
        <v>96</v>
      </c>
      <c r="D53" s="26" t="s">
        <v>343</v>
      </c>
      <c r="E53" s="26" t="s">
        <v>344</v>
      </c>
      <c r="F53" s="27" t="s">
        <v>215</v>
      </c>
      <c r="G53" s="27" t="s">
        <v>328</v>
      </c>
      <c r="H53" s="24"/>
      <c r="I53" s="28">
        <v>13120</v>
      </c>
      <c r="J53" s="24" t="s">
        <v>7</v>
      </c>
      <c r="K53" s="24" t="s">
        <v>32</v>
      </c>
      <c r="L53" s="24" t="s">
        <v>159</v>
      </c>
      <c r="M53" s="24" t="str">
        <f>IF(K53&gt;0,
(IF(K53&lt;[4]Hónapok!$A$10,[4]Admin!$A$28,
(IF(K53&lt;[4]Hónapok!$A$22,[4]Admin!$B$28,
(IF(K53&lt;[4]Hónapok!$A$34,[4]Admin!$C$28,
(IF(K53&lt;[4]Hónapok!$A$37,[4]Admin!$D$28,"")))))))),"")</f>
        <v>2. mérföldkő</v>
      </c>
      <c r="N53" s="27" t="s">
        <v>345</v>
      </c>
    </row>
    <row r="54" spans="1:14" s="212" customFormat="1" ht="30" x14ac:dyDescent="0.25">
      <c r="A54" s="43">
        <v>2</v>
      </c>
      <c r="B54" s="42" t="s">
        <v>75</v>
      </c>
      <c r="C54" s="44" t="s">
        <v>97</v>
      </c>
      <c r="D54" s="26" t="s">
        <v>343</v>
      </c>
      <c r="E54" s="26" t="s">
        <v>344</v>
      </c>
      <c r="F54" s="27" t="s">
        <v>215</v>
      </c>
      <c r="G54" s="27" t="s">
        <v>332</v>
      </c>
      <c r="H54" s="24"/>
      <c r="I54" s="28">
        <v>41678</v>
      </c>
      <c r="J54" s="24" t="s">
        <v>7</v>
      </c>
      <c r="K54" s="24" t="s">
        <v>32</v>
      </c>
      <c r="L54" s="24" t="s">
        <v>159</v>
      </c>
      <c r="M54" s="24" t="str">
        <f>IF(K54&gt;0,
(IF(K54&lt;[4]Hónapok!$A$10,[4]Admin!$A$28,
(IF(K54&lt;[4]Hónapok!$A$22,[4]Admin!$B$28,
(IF(K54&lt;[4]Hónapok!$A$34,[4]Admin!$C$28,
(IF(K54&lt;[4]Hónapok!$A$37,[4]Admin!$D$28,"")))))))),"")</f>
        <v>2. mérföldkő</v>
      </c>
      <c r="N54" s="27" t="s">
        <v>345</v>
      </c>
    </row>
    <row r="55" spans="1:14" s="212" customFormat="1" x14ac:dyDescent="0.25">
      <c r="A55" s="43">
        <v>2</v>
      </c>
      <c r="B55" s="42" t="s">
        <v>75</v>
      </c>
      <c r="C55" s="44" t="s">
        <v>96</v>
      </c>
      <c r="D55" s="26" t="s">
        <v>346</v>
      </c>
      <c r="E55" s="26" t="s">
        <v>347</v>
      </c>
      <c r="F55" s="27" t="s">
        <v>157</v>
      </c>
      <c r="G55" s="27" t="s">
        <v>328</v>
      </c>
      <c r="H55" s="24"/>
      <c r="I55" s="28">
        <v>19836</v>
      </c>
      <c r="J55" s="24" t="s">
        <v>7</v>
      </c>
      <c r="K55" s="24" t="s">
        <v>32</v>
      </c>
      <c r="L55" s="24" t="s">
        <v>159</v>
      </c>
      <c r="M55" s="24" t="str">
        <f>IF(K55&gt;0,
(IF(K55&lt;[4]Hónapok!$A$10,[4]Admin!$A$28,
(IF(K55&lt;[4]Hónapok!$A$22,[4]Admin!$B$28,
(IF(K55&lt;[4]Hónapok!$A$34,[4]Admin!$C$28,
(IF(K55&lt;[4]Hónapok!$A$37,[4]Admin!$D$28,"")))))))),"")</f>
        <v>2. mérföldkő</v>
      </c>
      <c r="N55" s="27" t="s">
        <v>348</v>
      </c>
    </row>
    <row r="56" spans="1:14" s="212" customFormat="1" x14ac:dyDescent="0.25">
      <c r="A56" s="43">
        <v>2</v>
      </c>
      <c r="B56" s="42" t="s">
        <v>75</v>
      </c>
      <c r="C56" s="44" t="s">
        <v>97</v>
      </c>
      <c r="D56" s="26" t="s">
        <v>346</v>
      </c>
      <c r="E56" s="26" t="s">
        <v>347</v>
      </c>
      <c r="F56" s="27" t="s">
        <v>157</v>
      </c>
      <c r="G56" s="27" t="s">
        <v>332</v>
      </c>
      <c r="H56" s="24"/>
      <c r="I56" s="28">
        <v>116113</v>
      </c>
      <c r="J56" s="24" t="s">
        <v>7</v>
      </c>
      <c r="K56" s="24" t="s">
        <v>32</v>
      </c>
      <c r="L56" s="24" t="s">
        <v>159</v>
      </c>
      <c r="M56" s="24" t="str">
        <f>IF(K56&gt;0,
(IF(K56&lt;[4]Hónapok!$A$10,[4]Admin!$A$28,
(IF(K56&lt;[4]Hónapok!$A$22,[4]Admin!$B$28,
(IF(K56&lt;[4]Hónapok!$A$34,[4]Admin!$C$28,
(IF(K56&lt;[4]Hónapok!$A$37,[4]Admin!$D$28,"")))))))),"")</f>
        <v>2. mérföldkő</v>
      </c>
      <c r="N56" s="27" t="s">
        <v>348</v>
      </c>
    </row>
    <row r="57" spans="1:14" s="212" customFormat="1" ht="30" x14ac:dyDescent="0.25">
      <c r="A57" s="43">
        <v>2</v>
      </c>
      <c r="B57" s="42" t="s">
        <v>75</v>
      </c>
      <c r="C57" s="44" t="s">
        <v>96</v>
      </c>
      <c r="D57" s="26" t="s">
        <v>2597</v>
      </c>
      <c r="E57" s="26" t="s">
        <v>2598</v>
      </c>
      <c r="F57" s="27" t="s">
        <v>2599</v>
      </c>
      <c r="G57" s="27" t="s">
        <v>2600</v>
      </c>
      <c r="H57" s="24"/>
      <c r="I57" s="28">
        <v>21312</v>
      </c>
      <c r="J57" s="24" t="s">
        <v>7</v>
      </c>
      <c r="K57" s="24" t="s">
        <v>34</v>
      </c>
      <c r="L57" s="24" t="s">
        <v>159</v>
      </c>
      <c r="M57" s="24" t="str">
        <f>IF(K57&gt;0,
(IF(K57&lt;[4]Hónapok!$A$10,[4]Admin!$A$28,
(IF(K57&lt;[4]Hónapok!$A$22,[4]Admin!$B$28,
(IF(K57&lt;[4]Hónapok!$A$34,[4]Admin!$C$28,
(IF(K57&lt;[4]Hónapok!$A$37,[4]Admin!$D$28,"")))))))),"")</f>
        <v>2. mérföldkő</v>
      </c>
      <c r="N57" s="27" t="s">
        <v>358</v>
      </c>
    </row>
    <row r="58" spans="1:14" s="212" customFormat="1" ht="30" x14ac:dyDescent="0.25">
      <c r="A58" s="43">
        <v>2</v>
      </c>
      <c r="B58" s="42" t="s">
        <v>75</v>
      </c>
      <c r="C58" s="44" t="s">
        <v>96</v>
      </c>
      <c r="D58" s="26" t="s">
        <v>2601</v>
      </c>
      <c r="E58" s="26" t="s">
        <v>2602</v>
      </c>
      <c r="F58" s="27" t="s">
        <v>279</v>
      </c>
      <c r="G58" s="27" t="s">
        <v>2603</v>
      </c>
      <c r="H58" s="24"/>
      <c r="I58" s="28">
        <v>17070</v>
      </c>
      <c r="J58" s="24" t="s">
        <v>7</v>
      </c>
      <c r="K58" s="24" t="s">
        <v>33</v>
      </c>
      <c r="L58" s="24" t="s">
        <v>159</v>
      </c>
      <c r="M58" s="24" t="str">
        <f>IF(K58&gt;0,
(IF(K58&lt;[4]Hónapok!$A$10,[4]Admin!$A$28,
(IF(K58&lt;[4]Hónapok!$A$22,[4]Admin!$B$28,
(IF(K58&lt;[4]Hónapok!$A$34,[4]Admin!$C$28,
(IF(K58&lt;[4]Hónapok!$A$37,[4]Admin!$D$28,"")))))))),"")</f>
        <v>2. mérföldkő</v>
      </c>
      <c r="N58" s="27" t="s">
        <v>358</v>
      </c>
    </row>
    <row r="59" spans="1:14" s="212" customFormat="1" ht="30" x14ac:dyDescent="0.25">
      <c r="A59" s="43">
        <v>2</v>
      </c>
      <c r="B59" s="42" t="s">
        <v>75</v>
      </c>
      <c r="C59" s="44" t="s">
        <v>97</v>
      </c>
      <c r="D59" s="26" t="s">
        <v>2604</v>
      </c>
      <c r="E59" s="26" t="s">
        <v>2605</v>
      </c>
      <c r="F59" s="27" t="s">
        <v>279</v>
      </c>
      <c r="G59" s="27" t="s">
        <v>2606</v>
      </c>
      <c r="H59" s="24"/>
      <c r="I59" s="28">
        <v>142831</v>
      </c>
      <c r="J59" s="24" t="s">
        <v>7</v>
      </c>
      <c r="K59" s="24" t="s">
        <v>33</v>
      </c>
      <c r="L59" s="24" t="s">
        <v>159</v>
      </c>
      <c r="M59" s="24" t="str">
        <f>IF(K59&gt;0,
(IF(K59&lt;[4]Hónapok!$A$10,[4]Admin!$A$28,
(IF(K59&lt;[4]Hónapok!$A$22,[4]Admin!$B$28,
(IF(K59&lt;[4]Hónapok!$A$34,[4]Admin!$C$28,
(IF(K59&lt;[4]Hónapok!$A$37,[4]Admin!$D$28,"")))))))),"")</f>
        <v>2. mérföldkő</v>
      </c>
      <c r="N59" s="27" t="s">
        <v>358</v>
      </c>
    </row>
    <row r="60" spans="1:14" s="212" customFormat="1" ht="30" x14ac:dyDescent="0.25">
      <c r="A60" s="43">
        <v>2</v>
      </c>
      <c r="B60" s="42" t="s">
        <v>75</v>
      </c>
      <c r="C60" s="44" t="s">
        <v>96</v>
      </c>
      <c r="D60" s="26" t="s">
        <v>2607</v>
      </c>
      <c r="E60" s="26" t="s">
        <v>2608</v>
      </c>
      <c r="F60" s="27" t="s">
        <v>279</v>
      </c>
      <c r="G60" s="27" t="s">
        <v>2609</v>
      </c>
      <c r="H60" s="24"/>
      <c r="I60" s="28">
        <v>8863</v>
      </c>
      <c r="J60" s="24" t="s">
        <v>7</v>
      </c>
      <c r="K60" s="24" t="s">
        <v>33</v>
      </c>
      <c r="L60" s="24" t="s">
        <v>159</v>
      </c>
      <c r="M60" s="24" t="str">
        <f>IF(K60&gt;0,
(IF(K60&lt;[4]Hónapok!$A$10,[4]Admin!$A$28,
(IF(K60&lt;[4]Hónapok!$A$22,[4]Admin!$B$28,
(IF(K60&lt;[4]Hónapok!$A$34,[4]Admin!$C$28,
(IF(K60&lt;[4]Hónapok!$A$37,[4]Admin!$D$28,"")))))))),"")</f>
        <v>2. mérföldkő</v>
      </c>
      <c r="N60" s="27" t="s">
        <v>358</v>
      </c>
    </row>
    <row r="61" spans="1:14" s="212" customFormat="1" ht="30" x14ac:dyDescent="0.25">
      <c r="A61" s="43">
        <v>2</v>
      </c>
      <c r="B61" s="42" t="s">
        <v>75</v>
      </c>
      <c r="C61" s="44" t="s">
        <v>97</v>
      </c>
      <c r="D61" s="26" t="s">
        <v>2610</v>
      </c>
      <c r="E61" s="26" t="s">
        <v>2611</v>
      </c>
      <c r="F61" s="27" t="s">
        <v>279</v>
      </c>
      <c r="G61" s="27" t="s">
        <v>2606</v>
      </c>
      <c r="H61" s="24"/>
      <c r="I61" s="28">
        <v>499213</v>
      </c>
      <c r="J61" s="24" t="s">
        <v>7</v>
      </c>
      <c r="K61" s="24" t="s">
        <v>34</v>
      </c>
      <c r="L61" s="24" t="s">
        <v>159</v>
      </c>
      <c r="M61" s="24" t="str">
        <f>IF(K61&gt;0,
(IF(K61&lt;[4]Hónapok!$A$10,[4]Admin!$A$28,
(IF(K61&lt;[4]Hónapok!$A$22,[4]Admin!$B$28,
(IF(K61&lt;[4]Hónapok!$A$34,[4]Admin!$C$28,
(IF(K61&lt;[4]Hónapok!$A$37,[4]Admin!$D$28,"")))))))),"")</f>
        <v>2. mérföldkő</v>
      </c>
      <c r="N61" s="27" t="s">
        <v>358</v>
      </c>
    </row>
    <row r="62" spans="1:14" s="212" customFormat="1" ht="30" x14ac:dyDescent="0.25">
      <c r="A62" s="43">
        <v>2</v>
      </c>
      <c r="B62" s="42" t="s">
        <v>75</v>
      </c>
      <c r="C62" s="44" t="s">
        <v>96</v>
      </c>
      <c r="D62" s="26" t="s">
        <v>2726</v>
      </c>
      <c r="E62" s="26" t="s">
        <v>2727</v>
      </c>
      <c r="F62" s="27" t="s">
        <v>279</v>
      </c>
      <c r="G62" s="27" t="s">
        <v>2728</v>
      </c>
      <c r="H62" s="24"/>
      <c r="I62" s="28">
        <v>84378</v>
      </c>
      <c r="J62" s="24" t="s">
        <v>7</v>
      </c>
      <c r="K62" s="24" t="s">
        <v>34</v>
      </c>
      <c r="L62" s="24" t="s">
        <v>159</v>
      </c>
      <c r="M62" s="24" t="str">
        <f>IF(K62&gt;0,
(IF(K62&lt;[4]Hónapok!$A$10,[4]Admin!$A$28,
(IF(K62&lt;[4]Hónapok!$A$22,[4]Admin!$B$28,
(IF(K62&lt;[4]Hónapok!$A$34,[4]Admin!$C$28,
(IF(K62&lt;[4]Hónapok!$A$37,[4]Admin!$D$28,"")))))))),"")</f>
        <v>2. mérföldkő</v>
      </c>
      <c r="N62" s="27" t="s">
        <v>358</v>
      </c>
    </row>
    <row r="63" spans="1:14" s="212" customFormat="1" ht="30" x14ac:dyDescent="0.25">
      <c r="A63" s="43">
        <v>2</v>
      </c>
      <c r="B63" s="42" t="s">
        <v>75</v>
      </c>
      <c r="C63" s="44" t="s">
        <v>96</v>
      </c>
      <c r="D63" s="26" t="s">
        <v>2735</v>
      </c>
      <c r="E63" s="26" t="s">
        <v>2736</v>
      </c>
      <c r="F63" s="27" t="s">
        <v>279</v>
      </c>
      <c r="G63" s="27" t="s">
        <v>2737</v>
      </c>
      <c r="H63" s="24"/>
      <c r="I63" s="28">
        <v>20635</v>
      </c>
      <c r="J63" s="24" t="s">
        <v>7</v>
      </c>
      <c r="K63" s="24" t="s">
        <v>34</v>
      </c>
      <c r="L63" s="24" t="s">
        <v>159</v>
      </c>
      <c r="M63" s="24" t="str">
        <f>IF(K63&gt;0,
(IF(K63&lt;[4]Hónapok!$A$10,[4]Admin!$A$28,
(IF(K63&lt;[4]Hónapok!$A$22,[4]Admin!$B$28,
(IF(K63&lt;[4]Hónapok!$A$34,[4]Admin!$C$28,
(IF(K63&lt;[4]Hónapok!$A$37,[4]Admin!$D$28,"")))))))),"")</f>
        <v>2. mérföldkő</v>
      </c>
      <c r="N63" s="27" t="s">
        <v>358</v>
      </c>
    </row>
    <row r="64" spans="1:14" s="212" customFormat="1" ht="30" x14ac:dyDescent="0.25">
      <c r="A64" s="43">
        <v>2</v>
      </c>
      <c r="B64" s="42" t="s">
        <v>75</v>
      </c>
      <c r="C64" s="44" t="s">
        <v>96</v>
      </c>
      <c r="D64" s="26" t="s">
        <v>2738</v>
      </c>
      <c r="E64" s="26" t="s">
        <v>2740</v>
      </c>
      <c r="F64" s="27" t="s">
        <v>279</v>
      </c>
      <c r="G64" s="27" t="s">
        <v>2739</v>
      </c>
      <c r="H64" s="24"/>
      <c r="I64" s="28">
        <v>22219</v>
      </c>
      <c r="J64" s="24" t="s">
        <v>7</v>
      </c>
      <c r="K64" s="24" t="s">
        <v>34</v>
      </c>
      <c r="L64" s="24" t="s">
        <v>159</v>
      </c>
      <c r="M64" s="24" t="str">
        <f>IF(K64&gt;0,
(IF(K64&lt;[4]Hónapok!$A$10,[4]Admin!$A$28,
(IF(K64&lt;[4]Hónapok!$A$22,[4]Admin!$B$28,
(IF(K64&lt;[4]Hónapok!$A$34,[4]Admin!$C$28,
(IF(K64&lt;[4]Hónapok!$A$37,[4]Admin!$D$28,"")))))))),"")</f>
        <v>2. mérföldkő</v>
      </c>
      <c r="N64" s="27" t="s">
        <v>358</v>
      </c>
    </row>
    <row r="65" spans="1:14" s="212" customFormat="1" x14ac:dyDescent="0.25">
      <c r="A65" s="43">
        <v>2</v>
      </c>
      <c r="B65" s="42" t="s">
        <v>75</v>
      </c>
      <c r="C65" s="44" t="s">
        <v>96</v>
      </c>
      <c r="D65" s="26" t="s">
        <v>2612</v>
      </c>
      <c r="E65" s="26" t="s">
        <v>2613</v>
      </c>
      <c r="F65" s="27" t="s">
        <v>157</v>
      </c>
      <c r="G65" s="27" t="s">
        <v>328</v>
      </c>
      <c r="H65" s="24"/>
      <c r="I65" s="28">
        <v>58503</v>
      </c>
      <c r="J65" s="24" t="s">
        <v>7</v>
      </c>
      <c r="K65" s="24" t="s">
        <v>33</v>
      </c>
      <c r="L65" s="24" t="s">
        <v>159</v>
      </c>
      <c r="M65" s="24" t="str">
        <f>IF(K65&gt;0,
(IF(K65&lt;[4]Hónapok!$A$10,[4]Admin!$A$28,
(IF(K65&lt;[4]Hónapok!$A$22,[4]Admin!$B$28,
(IF(K65&lt;[4]Hónapok!$A$34,[4]Admin!$C$28,
(IF(K65&lt;[4]Hónapok!$A$37,[4]Admin!$D$28,"")))))))),"")</f>
        <v>2. mérföldkő</v>
      </c>
      <c r="N65" s="27" t="s">
        <v>2614</v>
      </c>
    </row>
    <row r="66" spans="1:14" s="8" customFormat="1" x14ac:dyDescent="0.25">
      <c r="A66" s="43">
        <v>2</v>
      </c>
      <c r="B66" s="42" t="s">
        <v>75</v>
      </c>
      <c r="C66" s="44" t="s">
        <v>96</v>
      </c>
      <c r="D66" s="26" t="s">
        <v>2615</v>
      </c>
      <c r="E66" s="26" t="s">
        <v>2616</v>
      </c>
      <c r="F66" s="27" t="s">
        <v>157</v>
      </c>
      <c r="G66" s="27" t="s">
        <v>328</v>
      </c>
      <c r="H66" s="24"/>
      <c r="I66" s="28">
        <v>20087</v>
      </c>
      <c r="J66" s="24" t="s">
        <v>7</v>
      </c>
      <c r="K66" s="24" t="s">
        <v>33</v>
      </c>
      <c r="L66" s="24" t="s">
        <v>159</v>
      </c>
      <c r="M66" s="24" t="str">
        <f>IF(K66&gt;0,
(IF(K66&lt;[4]Hónapok!$A$10,[4]Admin!$A$28,
(IF(K66&lt;[4]Hónapok!$A$22,[4]Admin!$B$28,
(IF(K66&lt;[4]Hónapok!$A$34,[4]Admin!$C$28,
(IF(K66&lt;[4]Hónapok!$A$37,[4]Admin!$D$28,"")))))))),"")</f>
        <v>2. mérföldkő</v>
      </c>
      <c r="N66" s="27" t="s">
        <v>2617</v>
      </c>
    </row>
    <row r="67" spans="1:14" s="8" customFormat="1" x14ac:dyDescent="0.25">
      <c r="A67" s="43">
        <v>2</v>
      </c>
      <c r="B67" s="42" t="s">
        <v>75</v>
      </c>
      <c r="C67" s="44" t="s">
        <v>96</v>
      </c>
      <c r="D67" s="26" t="s">
        <v>2618</v>
      </c>
      <c r="E67" s="26" t="s">
        <v>2619</v>
      </c>
      <c r="F67" s="27" t="s">
        <v>213</v>
      </c>
      <c r="G67" s="27" t="s">
        <v>328</v>
      </c>
      <c r="H67" s="24"/>
      <c r="I67" s="28">
        <v>23816</v>
      </c>
      <c r="J67" s="24" t="s">
        <v>7</v>
      </c>
      <c r="K67" s="24" t="s">
        <v>33</v>
      </c>
      <c r="L67" s="24" t="s">
        <v>159</v>
      </c>
      <c r="M67" s="24" t="str">
        <f>IF(K67&gt;0,
(IF(K67&lt;[4]Hónapok!$A$10,[4]Admin!$A$28,
(IF(K67&lt;[4]Hónapok!$A$22,[4]Admin!$B$28,
(IF(K67&lt;[4]Hónapok!$A$34,[4]Admin!$C$28,
(IF(K67&lt;[4]Hónapok!$A$37,[4]Admin!$D$28,"")))))))),"")</f>
        <v>2. mérföldkő</v>
      </c>
      <c r="N67" s="27" t="s">
        <v>2620</v>
      </c>
    </row>
    <row r="68" spans="1:14" s="8" customFormat="1" ht="30" x14ac:dyDescent="0.25">
      <c r="A68" s="43">
        <v>2</v>
      </c>
      <c r="B68" s="42" t="s">
        <v>75</v>
      </c>
      <c r="C68" s="44" t="s">
        <v>96</v>
      </c>
      <c r="D68" s="26" t="s">
        <v>2621</v>
      </c>
      <c r="E68" s="26" t="s">
        <v>2622</v>
      </c>
      <c r="F68" s="27" t="s">
        <v>215</v>
      </c>
      <c r="G68" s="27" t="s">
        <v>328</v>
      </c>
      <c r="H68" s="24"/>
      <c r="I68" s="28">
        <v>2680</v>
      </c>
      <c r="J68" s="24" t="s">
        <v>7</v>
      </c>
      <c r="K68" s="24" t="s">
        <v>33</v>
      </c>
      <c r="L68" s="24" t="s">
        <v>159</v>
      </c>
      <c r="M68" s="24" t="str">
        <f>IF(K68&gt;0,
(IF(K68&lt;[4]Hónapok!$A$10,[4]Admin!$A$28,
(IF(K68&lt;[4]Hónapok!$A$22,[4]Admin!$B$28,
(IF(K68&lt;[4]Hónapok!$A$34,[4]Admin!$C$28,
(IF(K68&lt;[4]Hónapok!$A$37,[4]Admin!$D$28,"")))))))),"")</f>
        <v>2. mérföldkő</v>
      </c>
      <c r="N68" s="27" t="s">
        <v>342</v>
      </c>
    </row>
    <row r="69" spans="1:14" s="8" customFormat="1" x14ac:dyDescent="0.25">
      <c r="A69" s="43">
        <v>2</v>
      </c>
      <c r="B69" s="42" t="s">
        <v>75</v>
      </c>
      <c r="C69" s="44" t="s">
        <v>96</v>
      </c>
      <c r="D69" s="26" t="s">
        <v>2623</v>
      </c>
      <c r="E69" s="26" t="s">
        <v>2624</v>
      </c>
      <c r="F69" s="27" t="s">
        <v>213</v>
      </c>
      <c r="G69" s="27" t="s">
        <v>328</v>
      </c>
      <c r="H69" s="24"/>
      <c r="I69" s="28">
        <v>29959</v>
      </c>
      <c r="J69" s="24" t="s">
        <v>7</v>
      </c>
      <c r="K69" s="24" t="s">
        <v>33</v>
      </c>
      <c r="L69" s="24" t="s">
        <v>159</v>
      </c>
      <c r="M69" s="24" t="str">
        <f>IF(K69&gt;0,
(IF(K69&lt;[4]Hónapok!$A$10,[4]Admin!$A$28,
(IF(K69&lt;[4]Hónapok!$A$22,[4]Admin!$B$28,
(IF(K69&lt;[4]Hónapok!$A$34,[4]Admin!$C$28,
(IF(K69&lt;[4]Hónapok!$A$37,[4]Admin!$D$28,"")))))))),"")</f>
        <v>2. mérföldkő</v>
      </c>
      <c r="N69" s="27" t="s">
        <v>2625</v>
      </c>
    </row>
    <row r="70" spans="1:14" s="8" customFormat="1" x14ac:dyDescent="0.25">
      <c r="A70" s="43">
        <v>2</v>
      </c>
      <c r="B70" s="42" t="s">
        <v>75</v>
      </c>
      <c r="C70" s="44" t="s">
        <v>96</v>
      </c>
      <c r="D70" s="26" t="s">
        <v>2626</v>
      </c>
      <c r="E70" s="26" t="s">
        <v>2627</v>
      </c>
      <c r="F70" s="27" t="s">
        <v>157</v>
      </c>
      <c r="G70" s="27" t="s">
        <v>328</v>
      </c>
      <c r="H70" s="24"/>
      <c r="I70" s="28">
        <v>58503</v>
      </c>
      <c r="J70" s="24" t="s">
        <v>7</v>
      </c>
      <c r="K70" s="24" t="s">
        <v>33</v>
      </c>
      <c r="L70" s="24" t="s">
        <v>159</v>
      </c>
      <c r="M70" s="24" t="str">
        <f>IF(K70&gt;0,
(IF(K70&lt;[4]Hónapok!$A$10,[4]Admin!$A$28,
(IF(K70&lt;[4]Hónapok!$A$22,[4]Admin!$B$28,
(IF(K70&lt;[4]Hónapok!$A$34,[4]Admin!$C$28,
(IF(K70&lt;[4]Hónapok!$A$37,[4]Admin!$D$28,"")))))))),"")</f>
        <v>2. mérföldkő</v>
      </c>
      <c r="N70" s="27" t="s">
        <v>2628</v>
      </c>
    </row>
    <row r="71" spans="1:14" s="8" customFormat="1" ht="30" x14ac:dyDescent="0.25">
      <c r="A71" s="43">
        <v>2</v>
      </c>
      <c r="B71" s="42" t="s">
        <v>75</v>
      </c>
      <c r="C71" s="44" t="s">
        <v>112</v>
      </c>
      <c r="D71" s="26" t="s">
        <v>2746</v>
      </c>
      <c r="E71" s="26" t="s">
        <v>2747</v>
      </c>
      <c r="F71" s="27" t="s">
        <v>2724</v>
      </c>
      <c r="G71" s="27" t="s">
        <v>2720</v>
      </c>
      <c r="H71" s="24">
        <v>202302102520</v>
      </c>
      <c r="I71" s="28">
        <v>432928</v>
      </c>
      <c r="J71" s="24" t="s">
        <v>7</v>
      </c>
      <c r="K71" s="24" t="s">
        <v>34</v>
      </c>
      <c r="L71" s="24" t="s">
        <v>152</v>
      </c>
      <c r="M71" s="24" t="str">
        <f>IF(K71&gt;0,
(IF(K71&lt;[4]Hónapok!$A$10,[4]Admin!$A$28,
(IF(K71&lt;[4]Hónapok!$A$22,[4]Admin!$B$28,
(IF(K71&lt;[4]Hónapok!$A$34,[4]Admin!$C$28,
(IF(K71&lt;[4]Hónapok!$A$37,[4]Admin!$D$28,"")))))))),"")</f>
        <v>2. mérföldkő</v>
      </c>
      <c r="N71" s="27"/>
    </row>
    <row r="72" spans="1:14" s="8" customFormat="1" x14ac:dyDescent="0.25">
      <c r="A72" s="43" t="s">
        <v>2800</v>
      </c>
      <c r="B72" s="42" t="s">
        <v>76</v>
      </c>
      <c r="C72" s="44" t="s">
        <v>115</v>
      </c>
      <c r="D72" s="26" t="s">
        <v>2746</v>
      </c>
      <c r="E72" s="26" t="s">
        <v>2747</v>
      </c>
      <c r="F72" s="27" t="s">
        <v>2724</v>
      </c>
      <c r="G72" s="27" t="s">
        <v>2722</v>
      </c>
      <c r="H72" s="24">
        <v>202302102520</v>
      </c>
      <c r="I72" s="28">
        <v>6494</v>
      </c>
      <c r="J72" s="24" t="s">
        <v>7</v>
      </c>
      <c r="K72" s="24" t="s">
        <v>34</v>
      </c>
      <c r="L72" s="24" t="s">
        <v>160</v>
      </c>
      <c r="M72" s="24" t="str">
        <f>IF(K72&gt;0,
(IF(K72&lt;[4]Hónapok!$A$10,[4]Admin!$A$28,
(IF(K72&lt;[4]Hónapok!$A$22,[4]Admin!$B$28,
(IF(K72&lt;[4]Hónapok!$A$34,[4]Admin!$C$28,
(IF(K72&lt;[4]Hónapok!$A$37,[4]Admin!$D$28,"")))))))),"")</f>
        <v>2. mérföldkő</v>
      </c>
      <c r="N72" s="27"/>
    </row>
    <row r="73" spans="1:14" s="8" customFormat="1" ht="30" x14ac:dyDescent="0.25">
      <c r="A73" s="43"/>
      <c r="B73" s="42" t="s">
        <v>75</v>
      </c>
      <c r="C73" s="44" t="s">
        <v>112</v>
      </c>
      <c r="D73" s="26" t="s">
        <v>2873</v>
      </c>
      <c r="E73" s="26" t="s">
        <v>2874</v>
      </c>
      <c r="F73" s="27" t="s">
        <v>319</v>
      </c>
      <c r="G73" s="27" t="s">
        <v>2721</v>
      </c>
      <c r="H73" s="24">
        <v>202302102520</v>
      </c>
      <c r="I73" s="28">
        <v>904163</v>
      </c>
      <c r="J73" s="24" t="s">
        <v>7</v>
      </c>
      <c r="K73" s="24" t="s">
        <v>36</v>
      </c>
      <c r="L73" s="24" t="s">
        <v>152</v>
      </c>
      <c r="M73" s="24" t="str">
        <f>IF(K73&gt;0,
(IF(K73&lt;[4]Hónapok!$A$10,[4]Admin!$A$28,
(IF(K73&lt;[4]Hónapok!$A$22,[4]Admin!$B$28,
(IF(K73&lt;[4]Hónapok!$A$34,[4]Admin!$C$28,
(IF(K73&lt;[4]Hónapok!$A$37,[4]Admin!$D$28,"")))))))),"")</f>
        <v>3. mérföldkő</v>
      </c>
      <c r="N73" s="27"/>
    </row>
    <row r="74" spans="1:14" s="8" customFormat="1" x14ac:dyDescent="0.25">
      <c r="A74" s="43"/>
      <c r="B74" s="42" t="s">
        <v>76</v>
      </c>
      <c r="C74" s="44" t="s">
        <v>115</v>
      </c>
      <c r="D74" s="26" t="s">
        <v>2873</v>
      </c>
      <c r="E74" s="26" t="s">
        <v>2874</v>
      </c>
      <c r="F74" s="27" t="s">
        <v>319</v>
      </c>
      <c r="G74" s="27" t="s">
        <v>2723</v>
      </c>
      <c r="H74" s="24">
        <v>202302102520</v>
      </c>
      <c r="I74" s="28">
        <v>13562</v>
      </c>
      <c r="J74" s="24" t="s">
        <v>7</v>
      </c>
      <c r="K74" s="24" t="s">
        <v>36</v>
      </c>
      <c r="L74" s="24" t="s">
        <v>160</v>
      </c>
      <c r="M74" s="24" t="str">
        <f>IF(K74&gt;0,
(IF(K74&lt;[4]Hónapok!$A$10,[4]Admin!$A$28,
(IF(K74&lt;[4]Hónapok!$A$22,[4]Admin!$B$28,
(IF(K74&lt;[4]Hónapok!$A$34,[4]Admin!$C$28,
(IF(K74&lt;[4]Hónapok!$A$37,[4]Admin!$D$28,"")))))))),"")</f>
        <v>3. mérföldkő</v>
      </c>
      <c r="N74" s="27"/>
    </row>
    <row r="75" spans="1:14" s="8" customFormat="1" ht="30" x14ac:dyDescent="0.25">
      <c r="A75" s="43">
        <v>2</v>
      </c>
      <c r="B75" s="42" t="s">
        <v>75</v>
      </c>
      <c r="C75" s="44" t="s">
        <v>96</v>
      </c>
      <c r="D75" s="26" t="s">
        <v>2730</v>
      </c>
      <c r="E75" s="26" t="s">
        <v>2731</v>
      </c>
      <c r="F75" s="27" t="s">
        <v>157</v>
      </c>
      <c r="G75" s="27" t="s">
        <v>328</v>
      </c>
      <c r="H75" s="24"/>
      <c r="I75" s="28">
        <v>74449</v>
      </c>
      <c r="J75" s="24" t="s">
        <v>7</v>
      </c>
      <c r="K75" s="24" t="s">
        <v>34</v>
      </c>
      <c r="L75" s="24" t="s">
        <v>159</v>
      </c>
      <c r="M75" s="24" t="str">
        <f>IF(K75&gt;0,
(IF(K75&lt;[4]Hónapok!$A$10,[4]Admin!$A$28,
(IF(K75&lt;[4]Hónapok!$A$22,[4]Admin!$B$28,
(IF(K75&lt;[4]Hónapok!$A$34,[4]Admin!$C$28,
(IF(K75&lt;[4]Hónapok!$A$37,[4]Admin!$D$28,"")))))))),"")</f>
        <v>2. mérföldkő</v>
      </c>
      <c r="N75" s="27" t="s">
        <v>2732</v>
      </c>
    </row>
    <row r="76" spans="1:14" s="8" customFormat="1" x14ac:dyDescent="0.25">
      <c r="A76" s="43">
        <v>2</v>
      </c>
      <c r="B76" s="42" t="s">
        <v>75</v>
      </c>
      <c r="C76" s="44" t="s">
        <v>96</v>
      </c>
      <c r="D76" s="26" t="s">
        <v>2743</v>
      </c>
      <c r="E76" s="26" t="s">
        <v>2744</v>
      </c>
      <c r="F76" s="27" t="s">
        <v>154</v>
      </c>
      <c r="G76" s="27" t="s">
        <v>328</v>
      </c>
      <c r="H76" s="24"/>
      <c r="I76" s="28">
        <v>36147</v>
      </c>
      <c r="J76" s="24" t="s">
        <v>7</v>
      </c>
      <c r="K76" s="24" t="s">
        <v>34</v>
      </c>
      <c r="L76" s="24" t="s">
        <v>151</v>
      </c>
      <c r="M76" s="24" t="str">
        <f>IF(K76&gt;0,
(IF(K76&lt;[4]Hónapok!$A$10,[4]Admin!$A$28,
(IF(K76&lt;[4]Hónapok!$A$22,[4]Admin!$B$28,
(IF(K76&lt;[4]Hónapok!$A$34,[4]Admin!$C$28,
(IF(K76&lt;[4]Hónapok!$A$37,[4]Admin!$D$28,"")))))))),"")</f>
        <v>2. mérföldkő</v>
      </c>
      <c r="N76" s="27" t="s">
        <v>2745</v>
      </c>
    </row>
    <row r="77" spans="1:14" s="8" customFormat="1" ht="30" x14ac:dyDescent="0.25">
      <c r="A77" s="43">
        <v>2</v>
      </c>
      <c r="B77" s="42" t="s">
        <v>75</v>
      </c>
      <c r="C77" s="44" t="s">
        <v>96</v>
      </c>
      <c r="D77" s="26" t="s">
        <v>2808</v>
      </c>
      <c r="E77" s="26" t="s">
        <v>2807</v>
      </c>
      <c r="F77" s="27" t="s">
        <v>256</v>
      </c>
      <c r="G77" s="27" t="s">
        <v>328</v>
      </c>
      <c r="H77" s="24"/>
      <c r="I77" s="28">
        <v>36147</v>
      </c>
      <c r="J77" s="24" t="s">
        <v>7</v>
      </c>
      <c r="K77" s="24" t="s">
        <v>34</v>
      </c>
      <c r="L77" s="24" t="s">
        <v>151</v>
      </c>
      <c r="M77" s="24" t="str">
        <f>IF(K77&gt;0,
(IF(K77&lt;[4]Hónapok!$A$10,[4]Admin!$A$28,
(IF(K77&lt;[4]Hónapok!$A$22,[4]Admin!$B$28,
(IF(K77&lt;[4]Hónapok!$A$34,[4]Admin!$C$28,
(IF(K77&lt;[4]Hónapok!$A$37,[4]Admin!$D$28,"")))))))),"")</f>
        <v>2. mérföldkő</v>
      </c>
      <c r="N77" s="27" t="s">
        <v>2745</v>
      </c>
    </row>
    <row r="78" spans="1:14" s="8" customFormat="1" x14ac:dyDescent="0.25">
      <c r="A78" s="43"/>
      <c r="B78" s="42" t="s">
        <v>75</v>
      </c>
      <c r="C78" s="44" t="s">
        <v>100</v>
      </c>
      <c r="D78" s="26" t="s">
        <v>2868</v>
      </c>
      <c r="E78" s="26" t="s">
        <v>2869</v>
      </c>
      <c r="F78" s="27" t="s">
        <v>2748</v>
      </c>
      <c r="G78" s="27" t="s">
        <v>2749</v>
      </c>
      <c r="H78" s="24">
        <v>202303222544</v>
      </c>
      <c r="I78" s="399">
        <v>227152</v>
      </c>
      <c r="J78" s="24" t="s">
        <v>7</v>
      </c>
      <c r="K78" s="24" t="s">
        <v>36</v>
      </c>
      <c r="L78" s="24" t="s">
        <v>152</v>
      </c>
      <c r="M78" s="24" t="str">
        <f>IF(K78&gt;0,
(IF(K78&lt;[4]Hónapok!$A$10,[4]Admin!$A$28,
(IF(K78&lt;[4]Hónapok!$A$22,[4]Admin!$B$28,
(IF(K78&lt;[4]Hónapok!$A$34,[4]Admin!$C$28,
(IF(K78&lt;[4]Hónapok!$A$37,[4]Admin!$D$28,"")))))))),"")</f>
        <v>3. mérföldkő</v>
      </c>
      <c r="N78" s="27"/>
    </row>
    <row r="79" spans="1:14" s="8" customFormat="1" ht="30" x14ac:dyDescent="0.25">
      <c r="A79" s="43"/>
      <c r="B79" s="42" t="s">
        <v>75</v>
      </c>
      <c r="C79" s="44" t="s">
        <v>99</v>
      </c>
      <c r="D79" s="26" t="s">
        <v>2872</v>
      </c>
      <c r="E79" s="26" t="s">
        <v>2871</v>
      </c>
      <c r="F79" s="27" t="s">
        <v>2750</v>
      </c>
      <c r="G79" s="27" t="s">
        <v>2751</v>
      </c>
      <c r="H79" s="24">
        <v>202303302556</v>
      </c>
      <c r="I79" s="28">
        <v>170291</v>
      </c>
      <c r="J79" s="24" t="s">
        <v>7</v>
      </c>
      <c r="K79" s="24" t="s">
        <v>35</v>
      </c>
      <c r="L79" s="24" t="s">
        <v>159</v>
      </c>
      <c r="M79" s="24" t="str">
        <f>IF(K79&gt;0,
(IF(K79&lt;[4]Hónapok!$A$10,[4]Admin!$A$28,
(IF(K79&lt;[4]Hónapok!$A$22,[4]Admin!$B$28,
(IF(K79&lt;[4]Hónapok!$A$34,[4]Admin!$C$28,
(IF(K79&lt;[4]Hónapok!$A$37,[4]Admin!$D$28,"")))))))),"")</f>
        <v>3. mérföldkő</v>
      </c>
      <c r="N79" s="27" t="s">
        <v>2752</v>
      </c>
    </row>
    <row r="80" spans="1:14" s="8" customFormat="1" x14ac:dyDescent="0.25">
      <c r="A80" s="43"/>
      <c r="B80" s="42" t="s">
        <v>76</v>
      </c>
      <c r="C80" s="44" t="s">
        <v>118</v>
      </c>
      <c r="D80" s="26" t="s">
        <v>2875</v>
      </c>
      <c r="E80" s="26" t="s">
        <v>2876</v>
      </c>
      <c r="F80" s="27" t="s">
        <v>2857</v>
      </c>
      <c r="G80" s="27" t="s">
        <v>2858</v>
      </c>
      <c r="H80" s="24">
        <v>202304122529</v>
      </c>
      <c r="I80" s="28">
        <v>327021</v>
      </c>
      <c r="J80" s="24" t="s">
        <v>7</v>
      </c>
      <c r="K80" s="24" t="s">
        <v>36</v>
      </c>
      <c r="L80" s="24" t="s">
        <v>160</v>
      </c>
      <c r="M80" s="24" t="str">
        <f>IF(K80&gt;0,
(IF(K80&lt;[4]Hónapok!$A$10,[4]Admin!$A$28,
(IF(K80&lt;[4]Hónapok!$A$22,[4]Admin!$B$28,
(IF(K80&lt;[4]Hónapok!$A$34,[4]Admin!$C$28,
(IF(K80&lt;[4]Hónapok!$A$37,[4]Admin!$D$28,"")))))))),"")</f>
        <v>3. mérföldkő</v>
      </c>
      <c r="N80" s="27"/>
    </row>
    <row r="81" spans="1:14" s="8" customFormat="1" ht="30" x14ac:dyDescent="0.25">
      <c r="A81" s="43"/>
      <c r="B81" s="42" t="s">
        <v>75</v>
      </c>
      <c r="C81" s="44" t="s">
        <v>96</v>
      </c>
      <c r="D81" s="26" t="s">
        <v>2861</v>
      </c>
      <c r="E81" s="26" t="s">
        <v>2862</v>
      </c>
      <c r="F81" s="27" t="s">
        <v>157</v>
      </c>
      <c r="G81" s="27" t="s">
        <v>328</v>
      </c>
      <c r="H81" s="24"/>
      <c r="I81" s="399">
        <v>51208</v>
      </c>
      <c r="J81" s="24" t="s">
        <v>7</v>
      </c>
      <c r="K81" s="24" t="s">
        <v>35</v>
      </c>
      <c r="L81" s="24" t="s">
        <v>159</v>
      </c>
      <c r="M81" s="24" t="str">
        <f>IF(K81&gt;0,
(IF(K81&lt;[4]Hónapok!$A$10,[4]Admin!$A$28,
(IF(K81&lt;[4]Hónapok!$A$22,[4]Admin!$B$28,
(IF(K81&lt;[4]Hónapok!$A$34,[4]Admin!$C$28,
(IF(K81&lt;[4]Hónapok!$A$37,[4]Admin!$D$28,"")))))))),"")</f>
        <v>3. mérföldkő</v>
      </c>
      <c r="N81" s="27" t="s">
        <v>2863</v>
      </c>
    </row>
    <row r="82" spans="1:14" s="8" customFormat="1" x14ac:dyDescent="0.25">
      <c r="A82" s="43"/>
      <c r="B82" s="42" t="s">
        <v>76</v>
      </c>
      <c r="C82" s="44" t="s">
        <v>118</v>
      </c>
      <c r="D82" s="26" t="s">
        <v>2881</v>
      </c>
      <c r="E82" s="26" t="s">
        <v>2882</v>
      </c>
      <c r="F82" s="27" t="s">
        <v>2857</v>
      </c>
      <c r="G82" s="27" t="s">
        <v>2858</v>
      </c>
      <c r="H82" s="24">
        <v>202304192544</v>
      </c>
      <c r="I82" s="28">
        <v>162714</v>
      </c>
      <c r="J82" s="24" t="s">
        <v>7</v>
      </c>
      <c r="K82" s="24" t="s">
        <v>36</v>
      </c>
      <c r="L82" s="24" t="s">
        <v>160</v>
      </c>
      <c r="M82" s="24" t="str">
        <f>IF(K82&gt;0,
(IF(K82&lt;[4]Hónapok!$A$10,[4]Admin!$A$28,
(IF(K82&lt;[4]Hónapok!$A$22,[4]Admin!$B$28,
(IF(K82&lt;[4]Hónapok!$A$34,[4]Admin!$C$28,
(IF(K82&lt;[4]Hónapok!$A$37,[4]Admin!$D$28,"")))))))),"")</f>
        <v>3. mérföldkő</v>
      </c>
      <c r="N82" s="27"/>
    </row>
    <row r="83" spans="1:14" s="8" customFormat="1" x14ac:dyDescent="0.25">
      <c r="A83" s="43"/>
      <c r="B83" s="42" t="s">
        <v>76</v>
      </c>
      <c r="C83" s="44" t="s">
        <v>118</v>
      </c>
      <c r="D83" s="26" t="s">
        <v>223</v>
      </c>
      <c r="E83" s="26" t="s">
        <v>2864</v>
      </c>
      <c r="F83" s="27" t="s">
        <v>2865</v>
      </c>
      <c r="G83" s="27" t="s">
        <v>2866</v>
      </c>
      <c r="H83" s="24">
        <v>202304192567</v>
      </c>
      <c r="I83" s="28">
        <v>723646</v>
      </c>
      <c r="J83" s="24" t="s">
        <v>141</v>
      </c>
      <c r="K83" s="24"/>
      <c r="L83" s="24" t="s">
        <v>160</v>
      </c>
      <c r="M83" s="24"/>
      <c r="N83" s="27"/>
    </row>
    <row r="84" spans="1:14" s="8" customFormat="1" x14ac:dyDescent="0.25">
      <c r="A84" s="43"/>
      <c r="B84" s="42" t="s">
        <v>75</v>
      </c>
      <c r="C84" s="44" t="s">
        <v>96</v>
      </c>
      <c r="D84" s="26" t="s">
        <v>2877</v>
      </c>
      <c r="E84" s="26" t="s">
        <v>2878</v>
      </c>
      <c r="F84" s="27" t="s">
        <v>157</v>
      </c>
      <c r="G84" s="27" t="s">
        <v>2879</v>
      </c>
      <c r="H84" s="24"/>
      <c r="I84" s="399">
        <v>29262</v>
      </c>
      <c r="J84" s="24" t="s">
        <v>7</v>
      </c>
      <c r="K84" s="24" t="s">
        <v>36</v>
      </c>
      <c r="L84" s="24" t="s">
        <v>159</v>
      </c>
      <c r="M84" s="24" t="str">
        <f>IF(K84&gt;0,
(IF(K84&lt;[4]Hónapok!$A$10,[4]Admin!$A$28,
(IF(K84&lt;[4]Hónapok!$A$22,[4]Admin!$B$28,
(IF(K84&lt;[4]Hónapok!$A$34,[4]Admin!$C$28,
(IF(K84&lt;[4]Hónapok!$A$37,[4]Admin!$D$28,"")))))))),"")</f>
        <v>3. mérföldkő</v>
      </c>
      <c r="N84" s="27" t="s">
        <v>2880</v>
      </c>
    </row>
    <row r="85" spans="1:14" s="8" customFormat="1" x14ac:dyDescent="0.25">
      <c r="A85" s="401" t="s">
        <v>2891</v>
      </c>
      <c r="B85" s="42" t="s">
        <v>75</v>
      </c>
      <c r="C85" s="44" t="s">
        <v>98</v>
      </c>
      <c r="D85" s="26" t="s">
        <v>2884</v>
      </c>
      <c r="E85" s="26"/>
      <c r="F85" s="27" t="s">
        <v>157</v>
      </c>
      <c r="G85" s="27" t="s">
        <v>2885</v>
      </c>
      <c r="H85" s="24"/>
      <c r="I85" s="28">
        <v>74000</v>
      </c>
      <c r="J85" s="24" t="s">
        <v>141</v>
      </c>
      <c r="K85" s="24"/>
      <c r="L85" s="24" t="s">
        <v>159</v>
      </c>
      <c r="M85" s="24"/>
      <c r="N85" s="27" t="s">
        <v>2886</v>
      </c>
    </row>
    <row r="86" spans="1:14" s="8" customFormat="1" x14ac:dyDescent="0.25">
      <c r="A86" s="401" t="s">
        <v>2891</v>
      </c>
      <c r="B86" s="42" t="s">
        <v>75</v>
      </c>
      <c r="C86" s="44" t="s">
        <v>98</v>
      </c>
      <c r="D86" s="26" t="s">
        <v>2884</v>
      </c>
      <c r="E86" s="26"/>
      <c r="F86" s="27" t="s">
        <v>157</v>
      </c>
      <c r="G86" s="27" t="s">
        <v>2887</v>
      </c>
      <c r="H86" s="24"/>
      <c r="I86" s="28">
        <v>6734</v>
      </c>
      <c r="J86" s="24" t="s">
        <v>141</v>
      </c>
      <c r="K86" s="24"/>
      <c r="L86" s="24" t="s">
        <v>159</v>
      </c>
      <c r="M86" s="24"/>
      <c r="N86" s="27" t="s">
        <v>2886</v>
      </c>
    </row>
    <row r="87" spans="1:14" s="8" customFormat="1" x14ac:dyDescent="0.25">
      <c r="A87" s="401" t="s">
        <v>2891</v>
      </c>
      <c r="B87" s="42" t="s">
        <v>75</v>
      </c>
      <c r="C87" s="44" t="s">
        <v>97</v>
      </c>
      <c r="D87" s="26" t="s">
        <v>2884</v>
      </c>
      <c r="E87" s="26"/>
      <c r="F87" s="27" t="s">
        <v>157</v>
      </c>
      <c r="G87" s="27" t="s">
        <v>2888</v>
      </c>
      <c r="H87" s="24"/>
      <c r="I87" s="28">
        <v>70000</v>
      </c>
      <c r="J87" s="24" t="s">
        <v>141</v>
      </c>
      <c r="K87" s="24"/>
      <c r="L87" s="24" t="s">
        <v>159</v>
      </c>
      <c r="M87" s="24"/>
      <c r="N87" s="27" t="s">
        <v>2886</v>
      </c>
    </row>
    <row r="88" spans="1:14" s="8" customFormat="1" x14ac:dyDescent="0.25">
      <c r="A88" s="401" t="s">
        <v>2891</v>
      </c>
      <c r="B88" s="42" t="s">
        <v>75</v>
      </c>
      <c r="C88" s="44" t="s">
        <v>96</v>
      </c>
      <c r="D88" s="26" t="s">
        <v>2884</v>
      </c>
      <c r="E88" s="26"/>
      <c r="F88" s="27" t="s">
        <v>157</v>
      </c>
      <c r="G88" s="27" t="s">
        <v>2889</v>
      </c>
      <c r="H88" s="24"/>
      <c r="I88" s="28">
        <v>70000</v>
      </c>
      <c r="J88" s="24" t="s">
        <v>141</v>
      </c>
      <c r="K88" s="24"/>
      <c r="L88" s="24" t="s">
        <v>159</v>
      </c>
      <c r="M88" s="24"/>
      <c r="N88" s="27" t="s">
        <v>2886</v>
      </c>
    </row>
    <row r="89" spans="1:14" s="8" customFormat="1" x14ac:dyDescent="0.25">
      <c r="A89" s="401" t="s">
        <v>2891</v>
      </c>
      <c r="B89" s="42" t="s">
        <v>75</v>
      </c>
      <c r="C89" s="44" t="s">
        <v>96</v>
      </c>
      <c r="D89" s="26" t="s">
        <v>2884</v>
      </c>
      <c r="E89" s="26"/>
      <c r="F89" s="27" t="s">
        <v>157</v>
      </c>
      <c r="G89" s="27" t="s">
        <v>2890</v>
      </c>
      <c r="H89" s="24"/>
      <c r="I89" s="28">
        <v>3000</v>
      </c>
      <c r="J89" s="24" t="s">
        <v>141</v>
      </c>
      <c r="K89" s="24"/>
      <c r="L89" s="24" t="s">
        <v>159</v>
      </c>
      <c r="M89" s="24"/>
      <c r="N89" s="27" t="s">
        <v>2886</v>
      </c>
    </row>
    <row r="90" spans="1:14" s="8" customFormat="1" x14ac:dyDescent="0.25">
      <c r="A90" s="401" t="s">
        <v>2891</v>
      </c>
      <c r="B90" s="42" t="s">
        <v>75</v>
      </c>
      <c r="C90" s="44" t="s">
        <v>98</v>
      </c>
      <c r="D90" s="26" t="s">
        <v>2884</v>
      </c>
      <c r="E90" s="26"/>
      <c r="F90" s="27" t="s">
        <v>213</v>
      </c>
      <c r="G90" s="27" t="s">
        <v>2885</v>
      </c>
      <c r="H90" s="24"/>
      <c r="I90" s="28">
        <v>74000</v>
      </c>
      <c r="J90" s="24" t="s">
        <v>141</v>
      </c>
      <c r="K90" s="24"/>
      <c r="L90" s="24" t="s">
        <v>159</v>
      </c>
      <c r="M90" s="24"/>
      <c r="N90" s="27" t="s">
        <v>2886</v>
      </c>
    </row>
    <row r="91" spans="1:14" s="8" customFormat="1" x14ac:dyDescent="0.25">
      <c r="A91" s="401" t="s">
        <v>2891</v>
      </c>
      <c r="B91" s="42" t="s">
        <v>75</v>
      </c>
      <c r="C91" s="44" t="s">
        <v>98</v>
      </c>
      <c r="D91" s="26" t="s">
        <v>2884</v>
      </c>
      <c r="E91" s="26"/>
      <c r="F91" s="27" t="s">
        <v>213</v>
      </c>
      <c r="G91" s="27" t="s">
        <v>2887</v>
      </c>
      <c r="H91" s="24"/>
      <c r="I91" s="28">
        <v>6734</v>
      </c>
      <c r="J91" s="24" t="s">
        <v>141</v>
      </c>
      <c r="K91" s="24"/>
      <c r="L91" s="24" t="s">
        <v>159</v>
      </c>
      <c r="M91" s="24"/>
      <c r="N91" s="27" t="s">
        <v>2886</v>
      </c>
    </row>
    <row r="92" spans="1:14" s="8" customFormat="1" x14ac:dyDescent="0.25">
      <c r="A92" s="401" t="s">
        <v>2891</v>
      </c>
      <c r="B92" s="42" t="s">
        <v>75</v>
      </c>
      <c r="C92" s="44" t="s">
        <v>97</v>
      </c>
      <c r="D92" s="26" t="s">
        <v>2884</v>
      </c>
      <c r="E92" s="26"/>
      <c r="F92" s="27" t="s">
        <v>213</v>
      </c>
      <c r="G92" s="27" t="s">
        <v>2888</v>
      </c>
      <c r="H92" s="24"/>
      <c r="I92" s="28">
        <v>70000</v>
      </c>
      <c r="J92" s="24" t="s">
        <v>141</v>
      </c>
      <c r="K92" s="24"/>
      <c r="L92" s="24" t="s">
        <v>159</v>
      </c>
      <c r="M92" s="24"/>
      <c r="N92" s="27" t="s">
        <v>2886</v>
      </c>
    </row>
    <row r="93" spans="1:14" s="8" customFormat="1" x14ac:dyDescent="0.25">
      <c r="A93" s="401" t="s">
        <v>2891</v>
      </c>
      <c r="B93" s="42" t="s">
        <v>75</v>
      </c>
      <c r="C93" s="44" t="s">
        <v>96</v>
      </c>
      <c r="D93" s="26" t="s">
        <v>2884</v>
      </c>
      <c r="E93" s="26"/>
      <c r="F93" s="27" t="s">
        <v>213</v>
      </c>
      <c r="G93" s="27" t="s">
        <v>2889</v>
      </c>
      <c r="H93" s="24"/>
      <c r="I93" s="28">
        <v>70000</v>
      </c>
      <c r="J93" s="24" t="s">
        <v>141</v>
      </c>
      <c r="K93" s="24"/>
      <c r="L93" s="24" t="s">
        <v>159</v>
      </c>
      <c r="M93" s="24"/>
      <c r="N93" s="27" t="s">
        <v>2886</v>
      </c>
    </row>
    <row r="94" spans="1:14" s="8" customFormat="1" x14ac:dyDescent="0.25">
      <c r="A94" s="401" t="s">
        <v>2891</v>
      </c>
      <c r="B94" s="42" t="s">
        <v>75</v>
      </c>
      <c r="C94" s="44" t="s">
        <v>96</v>
      </c>
      <c r="D94" s="26" t="s">
        <v>2884</v>
      </c>
      <c r="E94" s="26"/>
      <c r="F94" s="27" t="s">
        <v>213</v>
      </c>
      <c r="G94" s="27" t="s">
        <v>2890</v>
      </c>
      <c r="H94" s="24"/>
      <c r="I94" s="28">
        <v>3000</v>
      </c>
      <c r="J94" s="24" t="s">
        <v>141</v>
      </c>
      <c r="K94" s="24"/>
      <c r="L94" s="24" t="s">
        <v>159</v>
      </c>
      <c r="M94" s="24"/>
      <c r="N94" s="27" t="s">
        <v>2886</v>
      </c>
    </row>
    <row r="95" spans="1:14" s="8" customFormat="1" x14ac:dyDescent="0.25">
      <c r="A95" s="401" t="s">
        <v>2891</v>
      </c>
      <c r="B95" s="42" t="s">
        <v>75</v>
      </c>
      <c r="C95" s="44" t="s">
        <v>98</v>
      </c>
      <c r="D95" s="26" t="s">
        <v>2884</v>
      </c>
      <c r="E95" s="26"/>
      <c r="F95" s="27" t="s">
        <v>212</v>
      </c>
      <c r="G95" s="27" t="s">
        <v>2885</v>
      </c>
      <c r="H95" s="24"/>
      <c r="I95" s="28">
        <v>74000</v>
      </c>
      <c r="J95" s="24" t="s">
        <v>141</v>
      </c>
      <c r="K95" s="24"/>
      <c r="L95" s="24" t="s">
        <v>159</v>
      </c>
      <c r="M95" s="24"/>
      <c r="N95" s="27" t="s">
        <v>2886</v>
      </c>
    </row>
    <row r="96" spans="1:14" s="8" customFormat="1" x14ac:dyDescent="0.25">
      <c r="A96" s="401" t="s">
        <v>2891</v>
      </c>
      <c r="B96" s="42" t="s">
        <v>75</v>
      </c>
      <c r="C96" s="44" t="s">
        <v>98</v>
      </c>
      <c r="D96" s="26" t="s">
        <v>2884</v>
      </c>
      <c r="E96" s="26"/>
      <c r="F96" s="27" t="s">
        <v>212</v>
      </c>
      <c r="G96" s="27" t="s">
        <v>2887</v>
      </c>
      <c r="H96" s="24"/>
      <c r="I96" s="28">
        <v>6734</v>
      </c>
      <c r="J96" s="24" t="s">
        <v>141</v>
      </c>
      <c r="K96" s="24"/>
      <c r="L96" s="24" t="s">
        <v>159</v>
      </c>
      <c r="M96" s="24"/>
      <c r="N96" s="27" t="s">
        <v>2886</v>
      </c>
    </row>
    <row r="97" spans="1:14" s="8" customFormat="1" x14ac:dyDescent="0.25">
      <c r="A97" s="401" t="s">
        <v>2891</v>
      </c>
      <c r="B97" s="42" t="s">
        <v>75</v>
      </c>
      <c r="C97" s="44" t="s">
        <v>97</v>
      </c>
      <c r="D97" s="26" t="s">
        <v>2884</v>
      </c>
      <c r="E97" s="26"/>
      <c r="F97" s="27" t="s">
        <v>212</v>
      </c>
      <c r="G97" s="27" t="s">
        <v>2888</v>
      </c>
      <c r="H97" s="24"/>
      <c r="I97" s="28">
        <v>70000</v>
      </c>
      <c r="J97" s="24" t="s">
        <v>141</v>
      </c>
      <c r="K97" s="24"/>
      <c r="L97" s="24" t="s">
        <v>159</v>
      </c>
      <c r="M97" s="24"/>
      <c r="N97" s="27" t="s">
        <v>2886</v>
      </c>
    </row>
    <row r="98" spans="1:14" s="8" customFormat="1" x14ac:dyDescent="0.25">
      <c r="A98" s="401" t="s">
        <v>2891</v>
      </c>
      <c r="B98" s="42" t="s">
        <v>75</v>
      </c>
      <c r="C98" s="44" t="s">
        <v>96</v>
      </c>
      <c r="D98" s="26" t="s">
        <v>2884</v>
      </c>
      <c r="E98" s="26"/>
      <c r="F98" s="27" t="s">
        <v>212</v>
      </c>
      <c r="G98" s="27" t="s">
        <v>2889</v>
      </c>
      <c r="H98" s="24"/>
      <c r="I98" s="28">
        <v>70000</v>
      </c>
      <c r="J98" s="24" t="s">
        <v>141</v>
      </c>
      <c r="K98" s="24"/>
      <c r="L98" s="24" t="s">
        <v>159</v>
      </c>
      <c r="M98" s="24"/>
      <c r="N98" s="27" t="s">
        <v>2886</v>
      </c>
    </row>
    <row r="99" spans="1:14" s="8" customFormat="1" x14ac:dyDescent="0.25">
      <c r="A99" s="401" t="s">
        <v>2891</v>
      </c>
      <c r="B99" s="42" t="s">
        <v>75</v>
      </c>
      <c r="C99" s="44" t="s">
        <v>96</v>
      </c>
      <c r="D99" s="26" t="s">
        <v>2884</v>
      </c>
      <c r="E99" s="26"/>
      <c r="F99" s="27" t="s">
        <v>212</v>
      </c>
      <c r="G99" s="27" t="s">
        <v>2890</v>
      </c>
      <c r="H99" s="24"/>
      <c r="I99" s="28">
        <v>3000</v>
      </c>
      <c r="J99" s="24" t="s">
        <v>141</v>
      </c>
      <c r="K99" s="24"/>
      <c r="L99" s="24" t="s">
        <v>159</v>
      </c>
      <c r="M99" s="24"/>
      <c r="N99" s="27" t="s">
        <v>2886</v>
      </c>
    </row>
    <row r="100" spans="1:14" s="8" customFormat="1" x14ac:dyDescent="0.25">
      <c r="A100" s="43"/>
      <c r="B100" s="42" t="s">
        <v>75</v>
      </c>
      <c r="C100" s="44" t="s">
        <v>96</v>
      </c>
      <c r="D100" s="26" t="s">
        <v>2892</v>
      </c>
      <c r="E100" s="26" t="s">
        <v>2893</v>
      </c>
      <c r="F100" s="27" t="s">
        <v>157</v>
      </c>
      <c r="G100" s="27" t="s">
        <v>328</v>
      </c>
      <c r="H100" s="24"/>
      <c r="I100" s="28">
        <v>23804</v>
      </c>
      <c r="J100" s="24" t="s">
        <v>141</v>
      </c>
      <c r="K100" s="24" t="s">
        <v>36</v>
      </c>
      <c r="L100" s="24" t="s">
        <v>159</v>
      </c>
      <c r="M100" s="24" t="str">
        <f>IF(K100&gt;0,
(IF(K100&lt;[4]Hónapok!$A$10,[4]Admin!$A$28,
(IF(K100&lt;[4]Hónapok!$A$22,[4]Admin!$B$28,
(IF(K100&lt;[4]Hónapok!$A$34,[4]Admin!$C$28,
(IF(K100&lt;[4]Hónapok!$A$37,[4]Admin!$D$28,"")))))))),"")</f>
        <v>3. mérföldkő</v>
      </c>
      <c r="N100" s="27" t="s">
        <v>2894</v>
      </c>
    </row>
    <row r="101" spans="1:14" s="8" customFormat="1" ht="45" x14ac:dyDescent="0.25">
      <c r="A101" s="43"/>
      <c r="B101" s="42" t="s">
        <v>75</v>
      </c>
      <c r="C101" s="44" t="s">
        <v>96</v>
      </c>
      <c r="D101" s="26" t="s">
        <v>2895</v>
      </c>
      <c r="E101" s="26" t="s">
        <v>2896</v>
      </c>
      <c r="F101" s="27" t="s">
        <v>157</v>
      </c>
      <c r="G101" s="27" t="s">
        <v>328</v>
      </c>
      <c r="H101" s="24"/>
      <c r="I101" s="28">
        <v>113762</v>
      </c>
      <c r="J101" s="24" t="s">
        <v>7</v>
      </c>
      <c r="K101" s="24" t="s">
        <v>36</v>
      </c>
      <c r="L101" s="24" t="s">
        <v>159</v>
      </c>
      <c r="M101" s="24" t="str">
        <f>IF(K101&gt;0,
(IF(K101&lt;[4]Hónapok!$A$10,[4]Admin!$A$28,
(IF(K101&lt;[4]Hónapok!$A$22,[4]Admin!$B$28,
(IF(K101&lt;[4]Hónapok!$A$34,[4]Admin!$C$28,
(IF(K101&lt;[4]Hónapok!$A$37,[4]Admin!$D$28,"")))))))),"")</f>
        <v>3. mérföldkő</v>
      </c>
      <c r="N101" s="27" t="s">
        <v>2897</v>
      </c>
    </row>
    <row r="102" spans="1:14" s="8" customFormat="1" x14ac:dyDescent="0.25">
      <c r="A102" s="43"/>
      <c r="B102" s="42"/>
      <c r="C102" s="44"/>
      <c r="D102" s="26"/>
      <c r="E102" s="26"/>
      <c r="F102" s="27"/>
      <c r="G102" s="27"/>
      <c r="H102" s="24"/>
      <c r="I102" s="28"/>
      <c r="J102" s="24"/>
      <c r="K102" s="24"/>
      <c r="L102" s="24"/>
      <c r="M102" s="24"/>
      <c r="N102" s="27"/>
    </row>
    <row r="103" spans="1:14" s="8" customFormat="1" x14ac:dyDescent="0.25">
      <c r="A103" s="43"/>
      <c r="B103" s="42"/>
      <c r="C103" s="44"/>
      <c r="D103" s="26"/>
      <c r="E103" s="26"/>
      <c r="F103" s="27"/>
      <c r="G103" s="27"/>
      <c r="H103" s="24"/>
      <c r="I103" s="28"/>
      <c r="J103" s="24"/>
      <c r="K103" s="24"/>
      <c r="L103" s="24"/>
      <c r="M103" s="24"/>
      <c r="N103" s="27"/>
    </row>
    <row r="104" spans="1:14" s="8" customFormat="1" x14ac:dyDescent="0.25">
      <c r="A104" s="43"/>
      <c r="B104" s="42"/>
      <c r="C104" s="44"/>
      <c r="D104" s="26"/>
      <c r="E104" s="26"/>
      <c r="F104" s="27"/>
      <c r="G104" s="27"/>
      <c r="H104" s="24"/>
      <c r="I104" s="28"/>
      <c r="J104" s="24"/>
      <c r="K104" s="24"/>
      <c r="L104" s="24"/>
      <c r="M104" s="24"/>
      <c r="N104" s="27"/>
    </row>
    <row r="105" spans="1:14" s="8" customFormat="1" x14ac:dyDescent="0.25">
      <c r="A105" s="43"/>
      <c r="B105" s="42"/>
      <c r="C105" s="44"/>
      <c r="D105" s="26"/>
      <c r="E105" s="26"/>
      <c r="F105" s="27"/>
      <c r="G105" s="27"/>
      <c r="H105" s="24"/>
      <c r="I105" s="28"/>
      <c r="J105" s="24"/>
      <c r="K105" s="24"/>
      <c r="L105" s="24"/>
      <c r="M105" s="24"/>
      <c r="N105" s="27"/>
    </row>
    <row r="106" spans="1:14" s="8" customFormat="1" x14ac:dyDescent="0.25">
      <c r="A106" s="43"/>
      <c r="B106" s="42"/>
      <c r="C106" s="44"/>
      <c r="D106" s="26"/>
      <c r="E106" s="26"/>
      <c r="F106" s="27"/>
      <c r="G106" s="27"/>
      <c r="H106" s="24"/>
      <c r="I106" s="28"/>
      <c r="J106" s="24"/>
      <c r="K106" s="24"/>
      <c r="L106" s="24"/>
      <c r="M106" s="24" t="str">
        <f>IF(K106&gt;0,
(IF(K106&lt;Hónapok!$A$10,Admin!$A$28,
(IF(K106&lt;Hónapok!$A$22,Admin!$B$28,
(IF(K106&lt;Hónapok!$A$34,Admin!$C$28,
(IF(K106&lt;Hónapok!$A$37,Admin!$D$28,"")))))))),"")</f>
        <v/>
      </c>
      <c r="N106" s="27"/>
    </row>
    <row r="107" spans="1:14" s="8" customFormat="1" x14ac:dyDescent="0.25">
      <c r="A107" s="43"/>
      <c r="B107" s="42"/>
      <c r="C107" s="44"/>
      <c r="D107" s="26"/>
      <c r="E107" s="26"/>
      <c r="F107" s="27"/>
      <c r="G107" s="27"/>
      <c r="H107" s="24"/>
      <c r="I107" s="28"/>
      <c r="J107" s="24"/>
      <c r="K107" s="24"/>
      <c r="L107" s="24"/>
      <c r="M107" s="24" t="str">
        <f>IF(K107&gt;0,
(IF(K107&lt;Hónapok!$A$10,Admin!$A$28,
(IF(K107&lt;Hónapok!$A$22,Admin!$B$28,
(IF(K107&lt;Hónapok!$A$34,Admin!$C$28,
(IF(K107&lt;Hónapok!$A$37,Admin!$D$28,"")))))))),"")</f>
        <v/>
      </c>
      <c r="N107" s="25"/>
    </row>
    <row r="108" spans="1:14" s="8" customFormat="1" ht="15.75" thickBot="1" x14ac:dyDescent="0.3">
      <c r="A108" s="75"/>
      <c r="B108" s="75"/>
      <c r="C108" s="75"/>
      <c r="D108" s="76"/>
      <c r="E108" s="76"/>
      <c r="F108" s="77"/>
      <c r="G108" s="77"/>
      <c r="H108" s="78"/>
      <c r="I108" s="79"/>
      <c r="J108" s="78"/>
      <c r="K108" s="78"/>
      <c r="L108" s="78"/>
      <c r="M108" s="78"/>
      <c r="N108" s="80"/>
    </row>
    <row r="109" spans="1:14" ht="16.5" thickBot="1" x14ac:dyDescent="0.3">
      <c r="A109" s="424"/>
      <c r="B109" s="425"/>
      <c r="C109" s="425"/>
      <c r="D109" s="425"/>
      <c r="E109" s="425"/>
      <c r="F109" s="425"/>
      <c r="G109" s="425"/>
      <c r="H109" s="425"/>
      <c r="I109" s="210">
        <f>SUM(I3:I107)</f>
        <v>19258242</v>
      </c>
      <c r="J109" s="426"/>
      <c r="K109" s="426"/>
      <c r="L109" s="426"/>
      <c r="M109" s="426"/>
      <c r="N109" s="427"/>
    </row>
  </sheetData>
  <autoFilter ref="A2:N79"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FFBB7BD8-DE3D-40D6-8B73-B96268F6B52F}"/>
    </customSheetView>
  </customSheetViews>
  <mergeCells count="2">
    <mergeCell ref="A109:H109"/>
    <mergeCell ref="J109:N109"/>
  </mergeCells>
  <dataValidations count="1">
    <dataValidation type="list" allowBlank="1" showInputMessage="1" showErrorMessage="1" sqref="M108" xr:uid="{B2E72DE1-D35A-4A3A-A01D-478C41C77CED}">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9">
        <x14:dataValidation type="list" allowBlank="1" showInputMessage="1" showErrorMessage="1" xr:uid="{F100207D-A353-407A-BA48-921F134D65D2}">
          <x14:formula1>
            <xm:f>Admin!$A$2:$A$6</xm:f>
          </x14:formula1>
          <xm:sqref>L3:L108</xm:sqref>
        </x14:dataValidation>
        <x14:dataValidation type="list" allowBlank="1" showInputMessage="1" showErrorMessage="1" xr:uid="{0C0648D4-B794-4204-B858-D50BAB069D4C}">
          <x14:formula1>
            <xm:f>Hónapok!$A$1:$A$36</xm:f>
          </x14:formula1>
          <xm:sqref>K3:K108</xm:sqref>
        </x14:dataValidation>
        <x14:dataValidation type="list" allowBlank="1" showInputMessage="1" showErrorMessage="1" xr:uid="{C2B645A4-E680-475A-AE08-9DB7081932D0}">
          <x14:formula1>
            <xm:f>IF(B165=Admin!$A$9,Admin!$C$4:$C$23,IF(B165=Admin!$A$10,Admin!$D$2:$D$9,""))</xm:f>
          </x14:formula1>
          <xm:sqref>C108</xm:sqref>
        </x14:dataValidation>
        <x14:dataValidation type="list" allowBlank="1" showInputMessage="1" showErrorMessage="1" xr:uid="{DE4F8781-BCC1-4179-B0FD-AB429C67824E}">
          <x14:formula1>
            <xm:f>IF(B3=Admin!$A$9,Admin!$C$4:$C$23,IF(B3=Admin!$A$10,Admin!$D$2:$D$9,""))</xm:f>
          </x14:formula1>
          <xm:sqref>C3 C5 C23:C25 C11 C14:C20 C8 C28:C107</xm:sqref>
        </x14:dataValidation>
        <x14:dataValidation type="list" allowBlank="1" showInputMessage="1" showErrorMessage="1" xr:uid="{81267661-CCCA-4F5F-A46B-9133D5ABF90E}">
          <x14:formula1>
            <xm:f>Admin!$A$9:$A$10</xm:f>
          </x14:formula1>
          <xm:sqref>B3:B107</xm:sqref>
        </x14:dataValidation>
        <x14:dataValidation type="list" allowBlank="1" showInputMessage="1" showErrorMessage="1" xr:uid="{DA6F52CF-6629-4BBE-82F0-AF953DDCAB1C}">
          <x14:formula1>
            <xm:f>Admin!$A$18:$A$19</xm:f>
          </x14:formula1>
          <xm:sqref>J3:J108</xm:sqref>
        </x14:dataValidation>
        <x14:dataValidation type="list" allowBlank="1" showInputMessage="1" showErrorMessage="1" xr:uid="{694285FF-D4A1-4CB7-96C6-D125941624ED}">
          <x14:formula1>
            <xm:f>IF(B80=Admin!$A$9,Admin!$C$4:$C$23,IF(B80=Admin!$A$10,Admin!$D$2:$D$9,""))</xm:f>
          </x14:formula1>
          <xm:sqref>C21:C22</xm:sqref>
        </x14:dataValidation>
        <x14:dataValidation type="list" allowBlank="1" showInputMessage="1" showErrorMessage="1" xr:uid="{A52D1B8E-F256-4265-8BC5-BD3DCC30234E}">
          <x14:formula1>
            <xm:f>IF(B65=Admin!$A$9,Admin!$C$4:$C$23,IF(B65=Admin!$A$10,Admin!$D$2:$D$9,""))</xm:f>
          </x14:formula1>
          <xm:sqref>C6:C7 C9:C10 C12:C13 C4</xm:sqref>
        </x14:dataValidation>
        <x14:dataValidation type="list" allowBlank="1" showInputMessage="1" showErrorMessage="1" xr:uid="{4E7E64CD-EF66-4E01-ACDA-7C7939F9082B}">
          <x14:formula1>
            <xm:f>IF(B107=Admin!$A$9,Admin!$C$4:$C$23,IF(B107=Admin!$A$10,Admin!$D$2:$D$9,""))</xm:f>
          </x14:formula1>
          <xm:sqref>C26:C27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2" sqref="A12:A15"/>
    </sheetView>
  </sheetViews>
  <sheetFormatPr defaultRowHeight="15" x14ac:dyDescent="0.25"/>
  <cols>
    <col min="1" max="1" width="19.85546875" style="38" customWidth="1"/>
  </cols>
  <sheetData>
    <row r="1" spans="1:1" x14ac:dyDescent="0.25">
      <c r="A1" s="39" t="s">
        <v>21</v>
      </c>
    </row>
    <row r="2" spans="1:1" x14ac:dyDescent="0.25">
      <c r="A2" s="39" t="s">
        <v>22</v>
      </c>
    </row>
    <row r="3" spans="1:1" x14ac:dyDescent="0.25">
      <c r="A3" s="39" t="s">
        <v>23</v>
      </c>
    </row>
    <row r="4" spans="1:1" x14ac:dyDescent="0.25">
      <c r="A4" s="39" t="s">
        <v>24</v>
      </c>
    </row>
    <row r="5" spans="1:1" x14ac:dyDescent="0.25">
      <c r="A5" s="39" t="s">
        <v>25</v>
      </c>
    </row>
    <row r="6" spans="1:1" x14ac:dyDescent="0.25">
      <c r="A6" s="39" t="s">
        <v>26</v>
      </c>
    </row>
    <row r="7" spans="1:1" x14ac:dyDescent="0.25">
      <c r="A7" s="39" t="s">
        <v>32</v>
      </c>
    </row>
    <row r="8" spans="1:1" x14ac:dyDescent="0.25">
      <c r="A8" s="39" t="s">
        <v>33</v>
      </c>
    </row>
    <row r="9" spans="1:1" x14ac:dyDescent="0.25">
      <c r="A9" s="39" t="s">
        <v>34</v>
      </c>
    </row>
    <row r="10" spans="1:1" x14ac:dyDescent="0.25">
      <c r="A10" s="39" t="s">
        <v>35</v>
      </c>
    </row>
    <row r="11" spans="1:1" x14ac:dyDescent="0.25">
      <c r="A11" s="39" t="s">
        <v>36</v>
      </c>
    </row>
    <row r="12" spans="1:1" x14ac:dyDescent="0.25">
      <c r="A12" s="39" t="s">
        <v>37</v>
      </c>
    </row>
    <row r="13" spans="1:1" x14ac:dyDescent="0.25">
      <c r="A13" s="39" t="s">
        <v>38</v>
      </c>
    </row>
    <row r="14" spans="1:1" x14ac:dyDescent="0.25">
      <c r="A14" s="39" t="s">
        <v>39</v>
      </c>
    </row>
    <row r="15" spans="1:1" x14ac:dyDescent="0.25">
      <c r="A15" s="39" t="s">
        <v>40</v>
      </c>
    </row>
    <row r="16" spans="1:1" x14ac:dyDescent="0.25">
      <c r="A16" s="39" t="s">
        <v>41</v>
      </c>
    </row>
    <row r="17" spans="1:1" x14ac:dyDescent="0.25">
      <c r="A17" s="39" t="s">
        <v>42</v>
      </c>
    </row>
    <row r="18" spans="1:1" x14ac:dyDescent="0.25">
      <c r="A18" s="39" t="s">
        <v>172</v>
      </c>
    </row>
    <row r="19" spans="1:1" x14ac:dyDescent="0.25">
      <c r="A19" s="39" t="s">
        <v>173</v>
      </c>
    </row>
    <row r="20" spans="1:1" x14ac:dyDescent="0.25">
      <c r="A20" s="39" t="s">
        <v>174</v>
      </c>
    </row>
    <row r="21" spans="1:1" x14ac:dyDescent="0.25">
      <c r="A21" s="39" t="s">
        <v>175</v>
      </c>
    </row>
    <row r="22" spans="1:1" x14ac:dyDescent="0.25">
      <c r="A22" s="39" t="s">
        <v>176</v>
      </c>
    </row>
    <row r="23" spans="1:1" x14ac:dyDescent="0.25">
      <c r="A23" s="39" t="s">
        <v>177</v>
      </c>
    </row>
    <row r="24" spans="1:1" x14ac:dyDescent="0.25">
      <c r="A24" s="39" t="s">
        <v>178</v>
      </c>
    </row>
    <row r="25" spans="1:1" x14ac:dyDescent="0.25">
      <c r="A25" s="39" t="s">
        <v>179</v>
      </c>
    </row>
    <row r="26" spans="1:1" x14ac:dyDescent="0.25">
      <c r="A26" s="39" t="s">
        <v>180</v>
      </c>
    </row>
    <row r="27" spans="1:1" x14ac:dyDescent="0.25">
      <c r="A27" s="39" t="s">
        <v>181</v>
      </c>
    </row>
    <row r="28" spans="1:1" x14ac:dyDescent="0.25">
      <c r="A28" s="39" t="s">
        <v>182</v>
      </c>
    </row>
    <row r="29" spans="1:1" x14ac:dyDescent="0.25">
      <c r="A29" s="39" t="s">
        <v>183</v>
      </c>
    </row>
    <row r="30" spans="1:1" x14ac:dyDescent="0.25">
      <c r="A30" s="39" t="s">
        <v>184</v>
      </c>
    </row>
    <row r="31" spans="1:1" x14ac:dyDescent="0.25">
      <c r="A31" s="192" t="s">
        <v>185</v>
      </c>
    </row>
    <row r="32" spans="1:1" x14ac:dyDescent="0.25">
      <c r="A32" s="192" t="s">
        <v>186</v>
      </c>
    </row>
    <row r="33" spans="1:1" x14ac:dyDescent="0.25">
      <c r="A33" s="192" t="s">
        <v>187</v>
      </c>
    </row>
    <row r="34" spans="1:1" x14ac:dyDescent="0.25">
      <c r="A34" s="192" t="s">
        <v>188</v>
      </c>
    </row>
    <row r="35" spans="1:1" x14ac:dyDescent="0.25">
      <c r="A35" s="192" t="s">
        <v>189</v>
      </c>
    </row>
    <row r="36" spans="1:1" x14ac:dyDescent="0.25">
      <c r="A36" s="192" t="s">
        <v>190</v>
      </c>
    </row>
    <row r="37" spans="1:1" x14ac:dyDescent="0.25">
      <c r="A37" s="192"/>
    </row>
  </sheetData>
  <customSheetViews>
    <customSheetView guid="{B3053EE5-F487-4331-B4B6-28A1F2EF1617}">
      <selection activeCell="A7" sqref="A7:A13"/>
      <pageMargins left="0.7" right="0.7" top="0.75" bottom="0.75" header="0.3" footer="0.3"/>
    </customSheetView>
  </customSheetViews>
  <phoneticPr fontId="4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8" customFormat="1" ht="18.75" customHeight="1" thickBot="1" x14ac:dyDescent="0.3">
      <c r="A1" s="47" t="s">
        <v>65</v>
      </c>
      <c r="B1" s="52" t="s">
        <v>66</v>
      </c>
      <c r="C1" s="56" t="s">
        <v>95</v>
      </c>
      <c r="D1" s="47" t="s">
        <v>114</v>
      </c>
    </row>
    <row r="2" spans="1:4" s="8" customFormat="1" ht="18.75" customHeight="1" x14ac:dyDescent="0.25">
      <c r="A2" s="48" t="s">
        <v>151</v>
      </c>
      <c r="B2" s="48" t="s">
        <v>52</v>
      </c>
      <c r="C2" s="31" t="s">
        <v>122</v>
      </c>
      <c r="D2" s="57" t="s">
        <v>115</v>
      </c>
    </row>
    <row r="3" spans="1:4" s="8" customFormat="1" ht="30" x14ac:dyDescent="0.25">
      <c r="A3" s="31" t="s">
        <v>152</v>
      </c>
      <c r="B3" s="31" t="s">
        <v>79</v>
      </c>
      <c r="C3" s="81" t="s">
        <v>123</v>
      </c>
      <c r="D3" s="58" t="s">
        <v>116</v>
      </c>
    </row>
    <row r="4" spans="1:4" s="8" customFormat="1" ht="18.75" customHeight="1" x14ac:dyDescent="0.25">
      <c r="A4" s="31" t="s">
        <v>153</v>
      </c>
      <c r="B4" s="31" t="s">
        <v>80</v>
      </c>
      <c r="C4" s="31" t="s">
        <v>96</v>
      </c>
      <c r="D4" s="58" t="s">
        <v>117</v>
      </c>
    </row>
    <row r="5" spans="1:4" s="8" customFormat="1" ht="18.75" customHeight="1" x14ac:dyDescent="0.25">
      <c r="A5" s="31" t="s">
        <v>159</v>
      </c>
      <c r="B5" s="31" t="s">
        <v>81</v>
      </c>
      <c r="C5" s="31" t="s">
        <v>97</v>
      </c>
      <c r="D5" s="58" t="s">
        <v>251</v>
      </c>
    </row>
    <row r="6" spans="1:4" s="8" customFormat="1" ht="18.75" customHeight="1" thickBot="1" x14ac:dyDescent="0.3">
      <c r="A6" s="32" t="s">
        <v>160</v>
      </c>
      <c r="B6" s="31" t="s">
        <v>53</v>
      </c>
      <c r="C6" s="31" t="s">
        <v>98</v>
      </c>
      <c r="D6" s="58" t="s">
        <v>118</v>
      </c>
    </row>
    <row r="7" spans="1:4" s="8" customFormat="1" ht="18.75" customHeight="1" thickBot="1" x14ac:dyDescent="0.3">
      <c r="B7" s="53" t="s">
        <v>82</v>
      </c>
      <c r="C7" s="31" t="s">
        <v>99</v>
      </c>
      <c r="D7" s="58" t="s">
        <v>119</v>
      </c>
    </row>
    <row r="8" spans="1:4" s="8" customFormat="1" ht="35.25" customHeight="1" thickBot="1" x14ac:dyDescent="0.3">
      <c r="A8" s="49" t="s">
        <v>73</v>
      </c>
      <c r="B8" s="53" t="s">
        <v>54</v>
      </c>
      <c r="C8" s="31" t="s">
        <v>100</v>
      </c>
      <c r="D8" s="58" t="s">
        <v>2733</v>
      </c>
    </row>
    <row r="9" spans="1:4" s="8" customFormat="1" ht="45.75" thickBot="1" x14ac:dyDescent="0.3">
      <c r="A9" s="33" t="s">
        <v>75</v>
      </c>
      <c r="B9" s="53" t="s">
        <v>83</v>
      </c>
      <c r="C9" s="60" t="s">
        <v>131</v>
      </c>
      <c r="D9" s="59" t="s">
        <v>142</v>
      </c>
    </row>
    <row r="10" spans="1:4" s="8" customFormat="1" ht="45.75" thickBot="1" x14ac:dyDescent="0.3">
      <c r="A10" s="32" t="s">
        <v>76</v>
      </c>
      <c r="B10" s="53" t="s">
        <v>55</v>
      </c>
      <c r="C10" s="60" t="s">
        <v>132</v>
      </c>
    </row>
    <row r="11" spans="1:4" ht="15.75" thickBot="1" x14ac:dyDescent="0.3">
      <c r="B11" s="54" t="s">
        <v>84</v>
      </c>
      <c r="C11" s="50" t="s">
        <v>101</v>
      </c>
    </row>
    <row r="12" spans="1:4" ht="15.75" thickBot="1" x14ac:dyDescent="0.3">
      <c r="A12" s="49" t="s">
        <v>68</v>
      </c>
      <c r="B12" s="54" t="s">
        <v>85</v>
      </c>
      <c r="C12" s="50" t="s">
        <v>102</v>
      </c>
    </row>
    <row r="13" spans="1:4" x14ac:dyDescent="0.25">
      <c r="A13" s="33" t="s">
        <v>56</v>
      </c>
      <c r="B13" s="54" t="s">
        <v>86</v>
      </c>
      <c r="C13" s="50" t="s">
        <v>103</v>
      </c>
    </row>
    <row r="14" spans="1:4" ht="15.75" thickBot="1" x14ac:dyDescent="0.3">
      <c r="A14" s="31" t="s">
        <v>69</v>
      </c>
      <c r="B14" s="55" t="s">
        <v>87</v>
      </c>
      <c r="C14" s="50" t="s">
        <v>104</v>
      </c>
    </row>
    <row r="15" spans="1:4" ht="15.75" thickBot="1" x14ac:dyDescent="0.3">
      <c r="A15" s="30" t="s">
        <v>70</v>
      </c>
      <c r="C15" s="50" t="s">
        <v>105</v>
      </c>
    </row>
    <row r="16" spans="1:4" x14ac:dyDescent="0.25">
      <c r="C16" s="50" t="s">
        <v>106</v>
      </c>
    </row>
    <row r="17" spans="1:4" ht="15.75" thickBot="1" x14ac:dyDescent="0.3">
      <c r="B17" t="s">
        <v>2569</v>
      </c>
      <c r="C17" s="50" t="s">
        <v>107</v>
      </c>
    </row>
    <row r="18" spans="1:4" ht="15.75" thickBot="1" x14ac:dyDescent="0.3">
      <c r="A18" s="74" t="s">
        <v>7</v>
      </c>
      <c r="B18" t="s">
        <v>2570</v>
      </c>
      <c r="C18" s="50" t="s">
        <v>108</v>
      </c>
    </row>
    <row r="19" spans="1:4" ht="15.75" thickBot="1" x14ac:dyDescent="0.3">
      <c r="A19" s="73" t="s">
        <v>141</v>
      </c>
      <c r="C19" s="50" t="s">
        <v>109</v>
      </c>
    </row>
    <row r="20" spans="1:4" x14ac:dyDescent="0.25">
      <c r="C20" s="50" t="s">
        <v>110</v>
      </c>
    </row>
    <row r="21" spans="1:4" x14ac:dyDescent="0.25">
      <c r="C21" s="50" t="s">
        <v>111</v>
      </c>
    </row>
    <row r="22" spans="1:4" x14ac:dyDescent="0.25">
      <c r="C22" s="50" t="s">
        <v>112</v>
      </c>
    </row>
    <row r="23" spans="1:4" ht="15.75" thickBot="1" x14ac:dyDescent="0.3">
      <c r="C23" s="51" t="s">
        <v>113</v>
      </c>
    </row>
    <row r="26" spans="1:4" ht="15.75" thickBot="1" x14ac:dyDescent="0.3"/>
    <row r="27" spans="1:4" ht="15.75" thickBot="1" x14ac:dyDescent="0.3">
      <c r="A27" s="428" t="s">
        <v>143</v>
      </c>
      <c r="B27" s="429"/>
      <c r="C27" s="429"/>
      <c r="D27" s="430"/>
    </row>
    <row r="28" spans="1:4" ht="15.75" thickBot="1" x14ac:dyDescent="0.3">
      <c r="A28" s="83" t="s">
        <v>144</v>
      </c>
      <c r="B28" s="84" t="s">
        <v>145</v>
      </c>
      <c r="C28" s="84" t="s">
        <v>146</v>
      </c>
      <c r="D28" s="85" t="s">
        <v>147</v>
      </c>
    </row>
    <row r="29" spans="1:4" x14ac:dyDescent="0.25">
      <c r="A29" s="87" t="s">
        <v>21</v>
      </c>
      <c r="B29" s="88" t="s">
        <v>35</v>
      </c>
      <c r="C29" s="88" t="s">
        <v>176</v>
      </c>
      <c r="D29" s="89" t="s">
        <v>188</v>
      </c>
    </row>
    <row r="30" spans="1:4" x14ac:dyDescent="0.25">
      <c r="A30" s="90" t="s">
        <v>22</v>
      </c>
      <c r="B30" s="91" t="s">
        <v>36</v>
      </c>
      <c r="C30" s="91" t="s">
        <v>177</v>
      </c>
      <c r="D30" s="92" t="s">
        <v>189</v>
      </c>
    </row>
    <row r="31" spans="1:4" x14ac:dyDescent="0.25">
      <c r="A31" s="90" t="s">
        <v>23</v>
      </c>
      <c r="B31" s="91" t="s">
        <v>37</v>
      </c>
      <c r="C31" s="91" t="s">
        <v>178</v>
      </c>
      <c r="D31" s="92" t="s">
        <v>190</v>
      </c>
    </row>
    <row r="32" spans="1:4" x14ac:dyDescent="0.25">
      <c r="A32" s="90" t="s">
        <v>24</v>
      </c>
      <c r="B32" s="91" t="s">
        <v>38</v>
      </c>
      <c r="C32" s="91" t="s">
        <v>179</v>
      </c>
      <c r="D32" s="92"/>
    </row>
    <row r="33" spans="1:4" x14ac:dyDescent="0.25">
      <c r="A33" s="90" t="s">
        <v>25</v>
      </c>
      <c r="B33" s="91" t="s">
        <v>39</v>
      </c>
      <c r="C33" s="91" t="s">
        <v>180</v>
      </c>
      <c r="D33" s="92"/>
    </row>
    <row r="34" spans="1:4" x14ac:dyDescent="0.25">
      <c r="A34" s="90" t="s">
        <v>26</v>
      </c>
      <c r="B34" s="91" t="s">
        <v>40</v>
      </c>
      <c r="C34" s="91" t="s">
        <v>181</v>
      </c>
      <c r="D34" s="92"/>
    </row>
    <row r="35" spans="1:4" x14ac:dyDescent="0.25">
      <c r="A35" s="90" t="s">
        <v>32</v>
      </c>
      <c r="B35" s="91" t="s">
        <v>41</v>
      </c>
      <c r="C35" s="91" t="s">
        <v>182</v>
      </c>
      <c r="D35" s="92"/>
    </row>
    <row r="36" spans="1:4" x14ac:dyDescent="0.25">
      <c r="A36" s="90" t="s">
        <v>33</v>
      </c>
      <c r="B36" s="91" t="s">
        <v>42</v>
      </c>
      <c r="C36" s="91" t="s">
        <v>183</v>
      </c>
      <c r="D36" s="92"/>
    </row>
    <row r="37" spans="1:4" x14ac:dyDescent="0.25">
      <c r="A37" s="90" t="s">
        <v>34</v>
      </c>
      <c r="B37" s="91" t="s">
        <v>172</v>
      </c>
      <c r="C37" s="91" t="s">
        <v>184</v>
      </c>
      <c r="D37" s="92"/>
    </row>
    <row r="38" spans="1:4" x14ac:dyDescent="0.25">
      <c r="A38" s="93"/>
      <c r="B38" s="91" t="s">
        <v>173</v>
      </c>
      <c r="C38" s="91" t="s">
        <v>185</v>
      </c>
      <c r="D38" s="92"/>
    </row>
    <row r="39" spans="1:4" x14ac:dyDescent="0.25">
      <c r="A39" s="93"/>
      <c r="B39" s="91" t="s">
        <v>174</v>
      </c>
      <c r="C39" s="91" t="s">
        <v>186</v>
      </c>
      <c r="D39" s="92"/>
    </row>
    <row r="40" spans="1:4" ht="15.75" thickBot="1" x14ac:dyDescent="0.3">
      <c r="A40" s="94"/>
      <c r="B40" s="95" t="s">
        <v>175</v>
      </c>
      <c r="C40" s="95" t="s">
        <v>187</v>
      </c>
      <c r="D40" s="96"/>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67"/>
  <sheetViews>
    <sheetView workbookViewId="0">
      <selection activeCell="A25" activeCellId="1" sqref="A22:XFD23 A25:XFD25"/>
    </sheetView>
  </sheetViews>
  <sheetFormatPr defaultRowHeight="15" x14ac:dyDescent="0.25"/>
  <cols>
    <col min="1" max="5" width="19.7109375" customWidth="1"/>
  </cols>
  <sheetData>
    <row r="1" spans="1:5" x14ac:dyDescent="0.25">
      <c r="A1" s="326" t="s">
        <v>2631</v>
      </c>
      <c r="B1" s="326" t="s">
        <v>2632</v>
      </c>
      <c r="C1" s="326" t="s">
        <v>2633</v>
      </c>
      <c r="D1" s="326" t="s">
        <v>15</v>
      </c>
      <c r="E1" s="326" t="s">
        <v>2629</v>
      </c>
    </row>
    <row r="2" spans="1:5" x14ac:dyDescent="0.25">
      <c r="A2" s="332" t="s">
        <v>882</v>
      </c>
      <c r="B2" s="327" t="s">
        <v>2634</v>
      </c>
      <c r="C2" s="328" t="s">
        <v>170</v>
      </c>
      <c r="D2" s="329">
        <v>1373700</v>
      </c>
      <c r="E2" s="329">
        <v>178581</v>
      </c>
    </row>
    <row r="3" spans="1:5" x14ac:dyDescent="0.25">
      <c r="A3" s="332" t="s">
        <v>217</v>
      </c>
      <c r="B3" s="327" t="s">
        <v>2635</v>
      </c>
      <c r="C3" s="328" t="s">
        <v>166</v>
      </c>
      <c r="D3" s="329">
        <v>600000</v>
      </c>
      <c r="E3" s="329">
        <v>78000</v>
      </c>
    </row>
    <row r="4" spans="1:5" x14ac:dyDescent="0.25">
      <c r="A4" s="332" t="s">
        <v>1023</v>
      </c>
      <c r="B4" s="327" t="s">
        <v>2636</v>
      </c>
      <c r="C4" s="328" t="s">
        <v>203</v>
      </c>
      <c r="D4" s="329">
        <v>1309500</v>
      </c>
      <c r="E4" s="329">
        <v>306423</v>
      </c>
    </row>
    <row r="5" spans="1:5" x14ac:dyDescent="0.25">
      <c r="A5" s="332" t="s">
        <v>1031</v>
      </c>
      <c r="B5" s="327" t="s">
        <v>2637</v>
      </c>
      <c r="C5" s="328" t="s">
        <v>170</v>
      </c>
      <c r="D5" s="329">
        <v>840000</v>
      </c>
      <c r="E5" s="329">
        <v>175760</v>
      </c>
    </row>
    <row r="6" spans="1:5" x14ac:dyDescent="0.25">
      <c r="A6" s="332" t="s">
        <v>1041</v>
      </c>
      <c r="B6" s="327" t="s">
        <v>2638</v>
      </c>
      <c r="C6" s="328" t="s">
        <v>211</v>
      </c>
      <c r="D6" s="329">
        <v>1355000</v>
      </c>
      <c r="E6" s="329">
        <v>317070</v>
      </c>
    </row>
    <row r="7" spans="1:5" x14ac:dyDescent="0.25">
      <c r="A7" s="332" t="s">
        <v>1118</v>
      </c>
      <c r="B7" s="327" t="s">
        <v>2639</v>
      </c>
      <c r="C7" s="328" t="s">
        <v>170</v>
      </c>
      <c r="D7" s="329">
        <v>460000</v>
      </c>
      <c r="E7" s="329">
        <v>59800</v>
      </c>
    </row>
    <row r="8" spans="1:5" x14ac:dyDescent="0.25">
      <c r="A8" s="332" t="s">
        <v>1133</v>
      </c>
      <c r="B8" s="327" t="s">
        <v>2640</v>
      </c>
      <c r="C8" s="328" t="s">
        <v>214</v>
      </c>
      <c r="D8" s="329">
        <v>1030000</v>
      </c>
      <c r="E8" s="329">
        <v>187460</v>
      </c>
    </row>
    <row r="9" spans="1:5" x14ac:dyDescent="0.25">
      <c r="A9" s="332" t="s">
        <v>1429</v>
      </c>
      <c r="B9" s="327" t="s">
        <v>2641</v>
      </c>
      <c r="C9" s="328" t="s">
        <v>211</v>
      </c>
      <c r="D9" s="329">
        <v>1050000</v>
      </c>
      <c r="E9" s="329">
        <v>245700</v>
      </c>
    </row>
    <row r="10" spans="1:5" x14ac:dyDescent="0.25">
      <c r="A10" s="332" t="s">
        <v>215</v>
      </c>
      <c r="B10" s="327" t="s">
        <v>2642</v>
      </c>
      <c r="C10" s="328" t="s">
        <v>211</v>
      </c>
      <c r="D10" s="329">
        <v>1070000</v>
      </c>
      <c r="E10" s="329">
        <v>250380</v>
      </c>
    </row>
    <row r="11" spans="1:5" x14ac:dyDescent="0.25">
      <c r="A11" s="332" t="s">
        <v>220</v>
      </c>
      <c r="B11" s="327" t="s">
        <v>2643</v>
      </c>
      <c r="C11" s="328" t="s">
        <v>200</v>
      </c>
      <c r="D11" s="329">
        <v>540000</v>
      </c>
      <c r="E11" s="329">
        <v>122356</v>
      </c>
    </row>
    <row r="12" spans="1:5" x14ac:dyDescent="0.25">
      <c r="A12" s="332" t="s">
        <v>212</v>
      </c>
      <c r="B12" s="327" t="s">
        <v>2644</v>
      </c>
      <c r="C12" s="328" t="s">
        <v>166</v>
      </c>
      <c r="D12" s="329">
        <v>535000</v>
      </c>
      <c r="E12" s="329">
        <v>125190</v>
      </c>
    </row>
    <row r="13" spans="1:5" x14ac:dyDescent="0.25">
      <c r="A13" s="332" t="s">
        <v>245</v>
      </c>
      <c r="B13" s="327" t="s">
        <v>2645</v>
      </c>
      <c r="C13" s="328" t="s">
        <v>246</v>
      </c>
      <c r="D13" s="329">
        <v>524500</v>
      </c>
      <c r="E13" s="329">
        <v>68185</v>
      </c>
    </row>
    <row r="14" spans="1:5" x14ac:dyDescent="0.25">
      <c r="A14" s="332" t="s">
        <v>169</v>
      </c>
      <c r="B14" s="327" t="s">
        <v>2646</v>
      </c>
      <c r="C14" s="328" t="s">
        <v>170</v>
      </c>
      <c r="D14" s="329">
        <v>500000</v>
      </c>
      <c r="E14" s="329">
        <v>60840</v>
      </c>
    </row>
    <row r="15" spans="1:5" x14ac:dyDescent="0.25">
      <c r="A15" s="332" t="s">
        <v>191</v>
      </c>
      <c r="B15" s="327" t="s">
        <v>2647</v>
      </c>
      <c r="C15" s="328" t="s">
        <v>166</v>
      </c>
      <c r="D15" s="329">
        <v>400000</v>
      </c>
      <c r="E15" s="329">
        <v>21840</v>
      </c>
    </row>
    <row r="16" spans="1:5" x14ac:dyDescent="0.25">
      <c r="A16" s="332" t="s">
        <v>197</v>
      </c>
      <c r="B16" s="327" t="s">
        <v>2648</v>
      </c>
      <c r="C16" s="328" t="s">
        <v>170</v>
      </c>
      <c r="D16" s="329">
        <v>500000</v>
      </c>
      <c r="E16" s="329">
        <v>65000</v>
      </c>
    </row>
    <row r="17" spans="1:5" x14ac:dyDescent="0.25">
      <c r="A17" s="332" t="s">
        <v>248</v>
      </c>
      <c r="B17" s="327" t="s">
        <v>2649</v>
      </c>
      <c r="C17" s="328" t="s">
        <v>249</v>
      </c>
      <c r="D17" s="329">
        <v>767000</v>
      </c>
      <c r="E17" s="329">
        <v>153790</v>
      </c>
    </row>
    <row r="18" spans="1:5" x14ac:dyDescent="0.25">
      <c r="A18" s="332" t="s">
        <v>216</v>
      </c>
      <c r="B18" s="327" t="s">
        <v>2650</v>
      </c>
      <c r="C18" s="328" t="s">
        <v>166</v>
      </c>
      <c r="D18" s="329">
        <v>400000</v>
      </c>
      <c r="E18" s="329">
        <v>52000</v>
      </c>
    </row>
    <row r="19" spans="1:5" x14ac:dyDescent="0.25">
      <c r="A19" s="332" t="s">
        <v>250</v>
      </c>
      <c r="B19" s="327" t="s">
        <v>2651</v>
      </c>
      <c r="C19" s="328" t="s">
        <v>246</v>
      </c>
      <c r="D19" s="329">
        <v>200000</v>
      </c>
      <c r="E19" s="329">
        <v>26000</v>
      </c>
    </row>
    <row r="20" spans="1:5" x14ac:dyDescent="0.25">
      <c r="A20" s="332" t="s">
        <v>198</v>
      </c>
      <c r="B20" s="327" t="s">
        <v>2652</v>
      </c>
      <c r="C20" s="328" t="s">
        <v>2734</v>
      </c>
      <c r="D20" s="329">
        <v>600000</v>
      </c>
      <c r="E20" s="329">
        <v>121680</v>
      </c>
    </row>
    <row r="21" spans="1:5" x14ac:dyDescent="0.25">
      <c r="A21" s="332" t="s">
        <v>199</v>
      </c>
      <c r="B21" s="327" t="s">
        <v>2653</v>
      </c>
      <c r="C21" s="328" t="s">
        <v>200</v>
      </c>
      <c r="D21" s="329">
        <v>390000</v>
      </c>
      <c r="E21" s="329">
        <v>20540</v>
      </c>
    </row>
    <row r="22" spans="1:5" x14ac:dyDescent="0.25">
      <c r="A22" s="327" t="s">
        <v>201</v>
      </c>
      <c r="B22" s="327" t="s">
        <v>2654</v>
      </c>
      <c r="C22" s="328" t="s">
        <v>2734</v>
      </c>
      <c r="D22" s="329">
        <v>392701</v>
      </c>
      <c r="E22" s="329">
        <v>50063</v>
      </c>
    </row>
    <row r="23" spans="1:5" x14ac:dyDescent="0.25">
      <c r="A23" s="332" t="s">
        <v>339</v>
      </c>
      <c r="B23" s="327" t="s">
        <v>2655</v>
      </c>
      <c r="C23" s="328" t="s">
        <v>166</v>
      </c>
      <c r="D23" s="329">
        <v>498000</v>
      </c>
      <c r="E23" s="329"/>
    </row>
    <row r="24" spans="1:5" x14ac:dyDescent="0.25">
      <c r="A24" s="332" t="s">
        <v>221</v>
      </c>
      <c r="B24" s="327" t="s">
        <v>2656</v>
      </c>
      <c r="C24" s="328" t="s">
        <v>203</v>
      </c>
      <c r="D24" s="329">
        <v>430000</v>
      </c>
      <c r="E24" s="329">
        <v>68380</v>
      </c>
    </row>
    <row r="25" spans="1:5" x14ac:dyDescent="0.25">
      <c r="A25" s="332" t="s">
        <v>2029</v>
      </c>
      <c r="B25" s="327" t="s">
        <v>2657</v>
      </c>
      <c r="C25" s="328" t="s">
        <v>211</v>
      </c>
      <c r="D25" s="329">
        <v>450000</v>
      </c>
      <c r="E25" s="329">
        <v>58500</v>
      </c>
    </row>
    <row r="26" spans="1:5" x14ac:dyDescent="0.25">
      <c r="A26" s="332" t="s">
        <v>292</v>
      </c>
      <c r="B26" s="327" t="s">
        <v>2658</v>
      </c>
      <c r="C26" s="328" t="s">
        <v>293</v>
      </c>
      <c r="D26" s="329">
        <v>579499</v>
      </c>
      <c r="E26" s="329">
        <v>129862</v>
      </c>
    </row>
    <row r="27" spans="1:5" x14ac:dyDescent="0.25">
      <c r="A27" s="332" t="s">
        <v>296</v>
      </c>
      <c r="B27" s="327" t="s">
        <v>2659</v>
      </c>
      <c r="C27" s="328" t="s">
        <v>2734</v>
      </c>
      <c r="D27" s="329">
        <v>448500</v>
      </c>
      <c r="E27" s="329"/>
    </row>
    <row r="28" spans="1:5" x14ac:dyDescent="0.25">
      <c r="A28" s="332" t="s">
        <v>1849</v>
      </c>
      <c r="B28" s="327" t="s">
        <v>2660</v>
      </c>
      <c r="C28" s="328" t="s">
        <v>2734</v>
      </c>
      <c r="D28" s="329">
        <v>379500</v>
      </c>
      <c r="E28" s="329">
        <v>44915</v>
      </c>
    </row>
    <row r="29" spans="1:5" x14ac:dyDescent="0.25">
      <c r="A29" s="332" t="s">
        <v>924</v>
      </c>
      <c r="B29" s="327" t="s">
        <v>2661</v>
      </c>
      <c r="C29" s="328" t="s">
        <v>168</v>
      </c>
      <c r="D29" s="329">
        <v>688000</v>
      </c>
      <c r="E29" s="329">
        <v>89440</v>
      </c>
    </row>
    <row r="30" spans="1:5" x14ac:dyDescent="0.25">
      <c r="A30" s="332" t="s">
        <v>354</v>
      </c>
      <c r="B30" s="327" t="s">
        <v>2662</v>
      </c>
      <c r="C30" s="328" t="s">
        <v>168</v>
      </c>
      <c r="D30" s="329">
        <v>1590000</v>
      </c>
      <c r="E30" s="329">
        <v>315900</v>
      </c>
    </row>
    <row r="31" spans="1:5" x14ac:dyDescent="0.25">
      <c r="A31" s="332" t="s">
        <v>966</v>
      </c>
      <c r="B31" s="327" t="s">
        <v>2852</v>
      </c>
      <c r="C31" s="328" t="s">
        <v>2666</v>
      </c>
      <c r="D31" s="329">
        <v>1082600</v>
      </c>
      <c r="E31" s="329">
        <v>156728</v>
      </c>
    </row>
    <row r="32" spans="1:5" x14ac:dyDescent="0.25">
      <c r="A32" s="332" t="s">
        <v>975</v>
      </c>
      <c r="B32" s="327" t="s">
        <v>2853</v>
      </c>
      <c r="C32" s="328" t="s">
        <v>2666</v>
      </c>
      <c r="D32" s="329">
        <v>832100</v>
      </c>
      <c r="E32" s="329">
        <v>148993</v>
      </c>
    </row>
    <row r="33" spans="1:5" x14ac:dyDescent="0.25">
      <c r="A33" s="332" t="s">
        <v>1371</v>
      </c>
      <c r="B33" s="327" t="s">
        <v>2854</v>
      </c>
      <c r="C33" s="328" t="s">
        <v>2666</v>
      </c>
      <c r="D33" s="329">
        <v>532100</v>
      </c>
      <c r="E33" s="329">
        <v>95319</v>
      </c>
    </row>
    <row r="34" spans="1:5" x14ac:dyDescent="0.25">
      <c r="A34" s="332" t="s">
        <v>1610</v>
      </c>
      <c r="B34" s="327" t="s">
        <v>2855</v>
      </c>
      <c r="C34" s="328" t="s">
        <v>203</v>
      </c>
      <c r="D34" s="329">
        <v>600000</v>
      </c>
      <c r="E34" s="329">
        <v>78000</v>
      </c>
    </row>
    <row r="35" spans="1:5" x14ac:dyDescent="0.25">
      <c r="A35" s="332"/>
      <c r="B35" s="327"/>
      <c r="C35" s="328"/>
      <c r="D35" s="329"/>
      <c r="E35" s="329"/>
    </row>
    <row r="36" spans="1:5" x14ac:dyDescent="0.25">
      <c r="A36" s="332"/>
      <c r="B36" s="327"/>
      <c r="C36" s="328"/>
      <c r="D36" s="329"/>
      <c r="E36" s="329"/>
    </row>
    <row r="37" spans="1:5" x14ac:dyDescent="0.25">
      <c r="A37" s="332"/>
      <c r="B37" s="327"/>
      <c r="C37" s="328"/>
      <c r="D37" s="329"/>
      <c r="E37" s="329"/>
    </row>
    <row r="38" spans="1:5" x14ac:dyDescent="0.25">
      <c r="A38" s="332"/>
      <c r="B38" s="327"/>
      <c r="C38" s="328"/>
      <c r="D38" s="329"/>
      <c r="E38" s="329"/>
    </row>
    <row r="39" spans="1:5" x14ac:dyDescent="0.25">
      <c r="A39" s="332"/>
      <c r="B39" s="327"/>
      <c r="C39" s="328"/>
      <c r="D39" s="329"/>
      <c r="E39" s="329"/>
    </row>
    <row r="40" spans="1:5" x14ac:dyDescent="0.25">
      <c r="A40" s="330"/>
      <c r="B40" s="331"/>
      <c r="C40" s="328"/>
      <c r="D40" s="329"/>
      <c r="E40" s="329"/>
    </row>
    <row r="41" spans="1:5" x14ac:dyDescent="0.25">
      <c r="A41" s="327"/>
      <c r="B41" s="327"/>
      <c r="C41" s="328"/>
      <c r="D41" s="329"/>
      <c r="E41" s="329"/>
    </row>
    <row r="42" spans="1:5" x14ac:dyDescent="0.25">
      <c r="A42" s="330"/>
      <c r="B42" s="331"/>
      <c r="C42" s="328"/>
      <c r="D42" s="329"/>
      <c r="E42" s="329"/>
    </row>
    <row r="43" spans="1:5" x14ac:dyDescent="0.25">
      <c r="A43" s="327"/>
      <c r="B43" s="327"/>
      <c r="C43" s="328"/>
      <c r="D43" s="329"/>
      <c r="E43" s="329"/>
    </row>
    <row r="44" spans="1:5" x14ac:dyDescent="0.25">
      <c r="A44" s="330"/>
      <c r="B44" s="331"/>
      <c r="C44" s="328"/>
      <c r="D44" s="329"/>
      <c r="E44" s="329"/>
    </row>
    <row r="45" spans="1:5" x14ac:dyDescent="0.25">
      <c r="A45" s="327"/>
      <c r="B45" s="327"/>
      <c r="C45" s="328"/>
      <c r="D45" s="329"/>
      <c r="E45" s="329"/>
    </row>
    <row r="46" spans="1:5" x14ac:dyDescent="0.25">
      <c r="A46" s="330"/>
      <c r="B46" s="331"/>
      <c r="C46" s="328"/>
      <c r="D46" s="329"/>
      <c r="E46" s="329"/>
    </row>
    <row r="47" spans="1:5" x14ac:dyDescent="0.25">
      <c r="A47" s="327"/>
      <c r="B47" s="327"/>
      <c r="C47" s="328"/>
      <c r="D47" s="329"/>
      <c r="E47" s="329"/>
    </row>
    <row r="48" spans="1:5" x14ac:dyDescent="0.25">
      <c r="A48" s="331"/>
      <c r="B48" s="331"/>
      <c r="C48" s="328"/>
      <c r="D48" s="329"/>
      <c r="E48" s="329"/>
    </row>
    <row r="49" spans="1:5" x14ac:dyDescent="0.25">
      <c r="A49" s="330"/>
      <c r="B49" s="331"/>
      <c r="C49" s="328"/>
      <c r="D49" s="329"/>
      <c r="E49" s="329"/>
    </row>
    <row r="50" spans="1:5" x14ac:dyDescent="0.25">
      <c r="A50" s="327"/>
      <c r="B50" s="327"/>
      <c r="C50" s="328"/>
      <c r="D50" s="329"/>
      <c r="E50" s="329"/>
    </row>
    <row r="51" spans="1:5" x14ac:dyDescent="0.25">
      <c r="A51" s="330"/>
      <c r="B51" s="331"/>
      <c r="C51" s="328"/>
      <c r="D51" s="329"/>
      <c r="E51" s="329"/>
    </row>
    <row r="52" spans="1:5" x14ac:dyDescent="0.25">
      <c r="A52" s="327"/>
      <c r="B52" s="327"/>
      <c r="C52" s="328"/>
      <c r="D52" s="329"/>
      <c r="E52" s="329"/>
    </row>
    <row r="53" spans="1:5" x14ac:dyDescent="0.25">
      <c r="A53" s="331"/>
      <c r="B53" s="331"/>
      <c r="C53" s="328"/>
      <c r="D53" s="329"/>
      <c r="E53" s="329"/>
    </row>
    <row r="54" spans="1:5" x14ac:dyDescent="0.25">
      <c r="A54" s="330"/>
      <c r="B54" s="331"/>
      <c r="C54" s="328"/>
      <c r="D54" s="329"/>
      <c r="E54" s="329"/>
    </row>
    <row r="55" spans="1:5" x14ac:dyDescent="0.25">
      <c r="A55" s="327"/>
      <c r="B55" s="327"/>
      <c r="C55" s="328"/>
      <c r="D55" s="329"/>
      <c r="E55" s="329"/>
    </row>
    <row r="56" spans="1:5" x14ac:dyDescent="0.25">
      <c r="A56" s="330"/>
      <c r="B56" s="331"/>
      <c r="C56" s="328"/>
      <c r="D56" s="329"/>
      <c r="E56" s="329"/>
    </row>
    <row r="57" spans="1:5" x14ac:dyDescent="0.25">
      <c r="A57" s="327"/>
      <c r="B57" s="327"/>
      <c r="C57" s="328"/>
      <c r="D57" s="329"/>
      <c r="E57" s="329"/>
    </row>
    <row r="58" spans="1:5" x14ac:dyDescent="0.25">
      <c r="A58" s="330"/>
      <c r="B58" s="331"/>
      <c r="C58" s="328"/>
      <c r="D58" s="329"/>
      <c r="E58" s="329"/>
    </row>
    <row r="59" spans="1:5" x14ac:dyDescent="0.25">
      <c r="A59" s="327"/>
      <c r="B59" s="327"/>
      <c r="C59" s="328"/>
      <c r="D59" s="329"/>
      <c r="E59" s="329"/>
    </row>
    <row r="60" spans="1:5" x14ac:dyDescent="0.25">
      <c r="A60" s="330"/>
      <c r="B60" s="331"/>
      <c r="C60" s="328"/>
      <c r="D60" s="329"/>
      <c r="E60" s="329"/>
    </row>
    <row r="61" spans="1:5" x14ac:dyDescent="0.25">
      <c r="A61" s="327"/>
      <c r="B61" s="327"/>
      <c r="C61" s="328"/>
      <c r="D61" s="329"/>
      <c r="E61" s="329"/>
    </row>
    <row r="62" spans="1:5" x14ac:dyDescent="0.25">
      <c r="A62" s="331"/>
      <c r="B62" s="331"/>
      <c r="C62" s="328"/>
      <c r="D62" s="329"/>
      <c r="E62" s="329"/>
    </row>
    <row r="63" spans="1:5" x14ac:dyDescent="0.25">
      <c r="A63" s="330"/>
      <c r="B63" s="331"/>
      <c r="C63" s="328"/>
      <c r="D63" s="329"/>
      <c r="E63" s="329"/>
    </row>
    <row r="64" spans="1:5" x14ac:dyDescent="0.25">
      <c r="A64" s="332"/>
      <c r="B64" s="327"/>
      <c r="C64" s="328"/>
      <c r="D64" s="329"/>
      <c r="E64" s="329"/>
    </row>
    <row r="65" spans="1:5" x14ac:dyDescent="0.25">
      <c r="A65" s="327"/>
      <c r="B65" s="327"/>
      <c r="C65" s="328"/>
      <c r="D65" s="329"/>
      <c r="E65" s="329"/>
    </row>
    <row r="66" spans="1:5" x14ac:dyDescent="0.25">
      <c r="A66" s="331"/>
      <c r="B66" s="331"/>
      <c r="C66" s="328"/>
      <c r="D66" s="329"/>
      <c r="E66" s="329"/>
    </row>
    <row r="67" spans="1:5" x14ac:dyDescent="0.25">
      <c r="A67" s="330"/>
      <c r="B67" s="331"/>
      <c r="C67" s="328"/>
      <c r="D67" s="329"/>
      <c r="E67" s="3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topLeftCell="A17" workbookViewId="0">
      <selection activeCell="D28" sqref="D28"/>
    </sheetView>
  </sheetViews>
  <sheetFormatPr defaultRowHeight="15" x14ac:dyDescent="0.25"/>
  <cols>
    <col min="1" max="1" width="134.42578125" style="61" customWidth="1"/>
  </cols>
  <sheetData>
    <row r="1" spans="1:1" x14ac:dyDescent="0.25">
      <c r="A1" s="61" t="s">
        <v>2669</v>
      </c>
    </row>
    <row r="2" spans="1:1" x14ac:dyDescent="0.25">
      <c r="A2" s="61" t="s">
        <v>2670</v>
      </c>
    </row>
    <row r="3" spans="1:1" x14ac:dyDescent="0.25">
      <c r="A3" s="355" t="s">
        <v>2671</v>
      </c>
    </row>
    <row r="4" spans="1:1" x14ac:dyDescent="0.25">
      <c r="A4" s="61" t="s">
        <v>2672</v>
      </c>
    </row>
    <row r="5" spans="1:1" x14ac:dyDescent="0.25">
      <c r="A5" s="61" t="s">
        <v>2673</v>
      </c>
    </row>
    <row r="6" spans="1:1" x14ac:dyDescent="0.25">
      <c r="A6" s="61" t="s">
        <v>2674</v>
      </c>
    </row>
    <row r="7" spans="1:1" x14ac:dyDescent="0.25">
      <c r="A7" s="355" t="s">
        <v>2675</v>
      </c>
    </row>
    <row r="8" spans="1:1" x14ac:dyDescent="0.25">
      <c r="A8" s="61" t="s">
        <v>2676</v>
      </c>
    </row>
    <row r="9" spans="1:1" ht="30" x14ac:dyDescent="0.25">
      <c r="A9" s="61" t="s">
        <v>2677</v>
      </c>
    </row>
    <row r="10" spans="1:1" ht="30" x14ac:dyDescent="0.25">
      <c r="A10" s="355" t="s">
        <v>2678</v>
      </c>
    </row>
    <row r="11" spans="1:1" x14ac:dyDescent="0.25">
      <c r="A11" s="61" t="s">
        <v>2679</v>
      </c>
    </row>
    <row r="12" spans="1:1" x14ac:dyDescent="0.25">
      <c r="A12" s="355" t="s">
        <v>2680</v>
      </c>
    </row>
    <row r="13" spans="1:1" x14ac:dyDescent="0.25">
      <c r="A13" s="61" t="s">
        <v>2681</v>
      </c>
    </row>
    <row r="14" spans="1:1" x14ac:dyDescent="0.25">
      <c r="A14" s="61" t="s">
        <v>2682</v>
      </c>
    </row>
    <row r="15" spans="1:1" x14ac:dyDescent="0.25">
      <c r="A15" s="61" t="s">
        <v>2683</v>
      </c>
    </row>
    <row r="16" spans="1:1" x14ac:dyDescent="0.25">
      <c r="A16" s="61" t="s">
        <v>2684</v>
      </c>
    </row>
    <row r="17" spans="1:1" x14ac:dyDescent="0.25">
      <c r="A17" s="61" t="s">
        <v>2685</v>
      </c>
    </row>
    <row r="18" spans="1:1" ht="30" x14ac:dyDescent="0.25">
      <c r="A18" s="61" t="s">
        <v>2686</v>
      </c>
    </row>
    <row r="19" spans="1:1" x14ac:dyDescent="0.25">
      <c r="A19" s="61" t="s">
        <v>2687</v>
      </c>
    </row>
    <row r="20" spans="1:1" x14ac:dyDescent="0.25">
      <c r="A20" s="61" t="s">
        <v>2688</v>
      </c>
    </row>
    <row r="21" spans="1:1" x14ac:dyDescent="0.25">
      <c r="A21" s="61" t="s">
        <v>2689</v>
      </c>
    </row>
    <row r="22" spans="1:1" x14ac:dyDescent="0.25">
      <c r="A22" s="355" t="s">
        <v>2690</v>
      </c>
    </row>
    <row r="23" spans="1:1" x14ac:dyDescent="0.25">
      <c r="A23" s="61" t="s">
        <v>2691</v>
      </c>
    </row>
    <row r="24" spans="1:1" x14ac:dyDescent="0.25">
      <c r="A24" s="61" t="s">
        <v>2692</v>
      </c>
    </row>
    <row r="25" spans="1:1" x14ac:dyDescent="0.25">
      <c r="A25" s="355" t="s">
        <v>2693</v>
      </c>
    </row>
    <row r="26" spans="1:1" x14ac:dyDescent="0.25">
      <c r="A26" s="61" t="s">
        <v>2694</v>
      </c>
    </row>
    <row r="27" spans="1:1" x14ac:dyDescent="0.25">
      <c r="A27" s="61" t="s">
        <v>2695</v>
      </c>
    </row>
    <row r="28" spans="1:1" x14ac:dyDescent="0.25">
      <c r="A28" s="61" t="s">
        <v>2696</v>
      </c>
    </row>
    <row r="29" spans="1:1" x14ac:dyDescent="0.25">
      <c r="A29" s="61" t="s">
        <v>2697</v>
      </c>
    </row>
    <row r="30" spans="1:1" ht="30" x14ac:dyDescent="0.25">
      <c r="A30" s="355" t="s">
        <v>2698</v>
      </c>
    </row>
    <row r="31" spans="1:1" x14ac:dyDescent="0.25">
      <c r="A31" s="355" t="s">
        <v>2699</v>
      </c>
    </row>
    <row r="32" spans="1:1" x14ac:dyDescent="0.25">
      <c r="A32" s="355" t="s">
        <v>2700</v>
      </c>
    </row>
    <row r="33" spans="1:1" x14ac:dyDescent="0.25">
      <c r="A33" s="355" t="s">
        <v>2701</v>
      </c>
    </row>
    <row r="34" spans="1:1" ht="30" x14ac:dyDescent="0.25">
      <c r="A34" s="355" t="s">
        <v>2702</v>
      </c>
    </row>
    <row r="35" spans="1:1" x14ac:dyDescent="0.25">
      <c r="A35" s="61" t="s">
        <v>2703</v>
      </c>
    </row>
    <row r="36" spans="1:1" x14ac:dyDescent="0.25">
      <c r="A36" s="61" t="s">
        <v>2704</v>
      </c>
    </row>
    <row r="37" spans="1:1" ht="30" x14ac:dyDescent="0.25">
      <c r="A37" s="61" t="s">
        <v>2705</v>
      </c>
    </row>
    <row r="38" spans="1:1" x14ac:dyDescent="0.25">
      <c r="A38" s="355" t="s">
        <v>2706</v>
      </c>
    </row>
    <row r="39" spans="1:1" x14ac:dyDescent="0.25">
      <c r="A39" s="355" t="s">
        <v>2707</v>
      </c>
    </row>
    <row r="40" spans="1:1" x14ac:dyDescent="0.25">
      <c r="A40" s="61" t="s">
        <v>2708</v>
      </c>
    </row>
    <row r="41" spans="1:1" x14ac:dyDescent="0.25">
      <c r="A41" s="61" t="s">
        <v>2709</v>
      </c>
    </row>
    <row r="42" spans="1:1" x14ac:dyDescent="0.25">
      <c r="A42" s="61" t="s">
        <v>2710</v>
      </c>
    </row>
    <row r="43" spans="1:1" ht="30" x14ac:dyDescent="0.25">
      <c r="A43" s="61" t="s">
        <v>2711</v>
      </c>
    </row>
    <row r="44" spans="1:1" x14ac:dyDescent="0.25">
      <c r="A44" s="61" t="s">
        <v>2712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16" customWidth="1"/>
    <col min="2" max="2" width="93.140625" style="216" bestFit="1" customWidth="1"/>
    <col min="3" max="3" width="14" style="216" customWidth="1"/>
    <col min="4" max="6" width="10.85546875" style="216" customWidth="1"/>
    <col min="7" max="16384" width="9.140625" style="216"/>
  </cols>
  <sheetData>
    <row r="1" spans="1:6" ht="15.75" thickBot="1" x14ac:dyDescent="0.3">
      <c r="A1" s="213" t="s">
        <v>359</v>
      </c>
      <c r="B1" s="214" t="s">
        <v>360</v>
      </c>
      <c r="C1" s="213" t="s">
        <v>361</v>
      </c>
      <c r="D1" s="215" t="s">
        <v>362</v>
      </c>
      <c r="E1" s="215" t="s">
        <v>363</v>
      </c>
      <c r="F1" s="214" t="s">
        <v>364</v>
      </c>
    </row>
    <row r="2" spans="1:6" ht="15.75" thickBot="1" x14ac:dyDescent="0.3">
      <c r="A2" s="217" t="s">
        <v>365</v>
      </c>
      <c r="B2" s="217" t="s">
        <v>366</v>
      </c>
      <c r="C2" s="218" t="s">
        <v>367</v>
      </c>
      <c r="D2" s="218" t="s">
        <v>368</v>
      </c>
      <c r="E2" s="218" t="s">
        <v>369</v>
      </c>
      <c r="F2" s="218" t="s">
        <v>370</v>
      </c>
    </row>
    <row r="3" spans="1:6" ht="15.75" thickBot="1" x14ac:dyDescent="0.3">
      <c r="A3" s="219"/>
      <c r="B3" s="219"/>
      <c r="C3" s="220">
        <v>2021</v>
      </c>
      <c r="D3" s="221"/>
      <c r="E3" s="221"/>
      <c r="F3" s="221"/>
    </row>
    <row r="4" spans="1:6" x14ac:dyDescent="0.25">
      <c r="A4" s="222">
        <v>110</v>
      </c>
      <c r="B4" s="223" t="s">
        <v>371</v>
      </c>
      <c r="C4" s="224">
        <v>610334</v>
      </c>
      <c r="D4" s="224">
        <v>703824</v>
      </c>
      <c r="E4" s="224">
        <v>821442</v>
      </c>
      <c r="F4" s="224">
        <v>994178</v>
      </c>
    </row>
    <row r="5" spans="1:6" x14ac:dyDescent="0.25">
      <c r="A5" s="225">
        <v>210</v>
      </c>
      <c r="B5" s="226" t="s">
        <v>372</v>
      </c>
      <c r="C5" s="227">
        <v>453256</v>
      </c>
      <c r="D5" s="227">
        <v>501006</v>
      </c>
      <c r="E5" s="227">
        <v>543013</v>
      </c>
      <c r="F5" s="227">
        <v>555638</v>
      </c>
    </row>
    <row r="6" spans="1:6" x14ac:dyDescent="0.25">
      <c r="A6" s="222">
        <v>310</v>
      </c>
      <c r="B6" s="223" t="s">
        <v>373</v>
      </c>
      <c r="C6" s="224">
        <v>378183</v>
      </c>
      <c r="D6" s="224">
        <v>418453</v>
      </c>
      <c r="E6" s="224">
        <v>424822</v>
      </c>
      <c r="F6" s="224">
        <v>431805</v>
      </c>
    </row>
    <row r="7" spans="1:6" x14ac:dyDescent="0.25">
      <c r="A7" s="225">
        <v>1110</v>
      </c>
      <c r="B7" s="226" t="s">
        <v>374</v>
      </c>
      <c r="C7" s="228" t="s">
        <v>375</v>
      </c>
      <c r="D7" s="227">
        <v>1393815</v>
      </c>
      <c r="E7" s="227">
        <v>1480872</v>
      </c>
      <c r="F7" s="227">
        <v>1678539</v>
      </c>
    </row>
    <row r="8" spans="1:6" x14ac:dyDescent="0.25">
      <c r="A8" s="222">
        <v>1121</v>
      </c>
      <c r="B8" s="223" t="s">
        <v>376</v>
      </c>
      <c r="C8" s="224">
        <v>959016</v>
      </c>
      <c r="D8" s="224">
        <v>1047039</v>
      </c>
      <c r="E8" s="224">
        <v>1102504</v>
      </c>
      <c r="F8" s="224">
        <v>1209867</v>
      </c>
    </row>
    <row r="9" spans="1:6" x14ac:dyDescent="0.25">
      <c r="A9" s="225">
        <v>1122</v>
      </c>
      <c r="B9" s="226" t="s">
        <v>377</v>
      </c>
      <c r="C9" s="228" t="s">
        <v>375</v>
      </c>
      <c r="D9" s="227">
        <v>541264</v>
      </c>
      <c r="E9" s="227">
        <v>546732</v>
      </c>
      <c r="F9" s="227">
        <v>539206</v>
      </c>
    </row>
    <row r="10" spans="1:6" x14ac:dyDescent="0.25">
      <c r="A10" s="222">
        <v>1123</v>
      </c>
      <c r="B10" s="223" t="s">
        <v>378</v>
      </c>
      <c r="C10" s="224">
        <v>572185</v>
      </c>
      <c r="D10" s="224">
        <v>658231</v>
      </c>
      <c r="E10" s="224">
        <v>729859</v>
      </c>
      <c r="F10" s="224">
        <v>769962</v>
      </c>
    </row>
    <row r="11" spans="1:6" x14ac:dyDescent="0.25">
      <c r="A11" s="225">
        <v>1131</v>
      </c>
      <c r="B11" s="226" t="s">
        <v>379</v>
      </c>
      <c r="C11" s="228" t="s">
        <v>375</v>
      </c>
      <c r="D11" s="229" t="s">
        <v>375</v>
      </c>
      <c r="E11" s="227">
        <v>1000673</v>
      </c>
      <c r="F11" s="227">
        <v>943659</v>
      </c>
    </row>
    <row r="12" spans="1:6" x14ac:dyDescent="0.25">
      <c r="A12" s="222">
        <v>1210</v>
      </c>
      <c r="B12" s="223" t="s">
        <v>380</v>
      </c>
      <c r="C12" s="224">
        <v>376208</v>
      </c>
      <c r="D12" s="224">
        <v>646023</v>
      </c>
      <c r="E12" s="224">
        <v>869149</v>
      </c>
      <c r="F12" s="224">
        <v>980645</v>
      </c>
    </row>
    <row r="13" spans="1:6" x14ac:dyDescent="0.25">
      <c r="A13" s="225">
        <v>1311</v>
      </c>
      <c r="B13" s="226" t="s">
        <v>381</v>
      </c>
      <c r="C13" s="227">
        <v>432910</v>
      </c>
      <c r="D13" s="227">
        <v>577232</v>
      </c>
      <c r="E13" s="227">
        <v>607879</v>
      </c>
      <c r="F13" s="227">
        <v>612492</v>
      </c>
    </row>
    <row r="14" spans="1:6" x14ac:dyDescent="0.25">
      <c r="A14" s="222">
        <v>1312</v>
      </c>
      <c r="B14" s="223" t="s">
        <v>382</v>
      </c>
      <c r="C14" s="224">
        <v>625030</v>
      </c>
      <c r="D14" s="224">
        <v>894140</v>
      </c>
      <c r="E14" s="224">
        <v>1052374</v>
      </c>
      <c r="F14" s="224">
        <v>934971</v>
      </c>
    </row>
    <row r="15" spans="1:6" x14ac:dyDescent="0.25">
      <c r="A15" s="225">
        <v>1313</v>
      </c>
      <c r="B15" s="226" t="s">
        <v>383</v>
      </c>
      <c r="C15" s="227">
        <v>472344</v>
      </c>
      <c r="D15" s="227">
        <v>617401</v>
      </c>
      <c r="E15" s="227">
        <v>606062</v>
      </c>
      <c r="F15" s="227">
        <v>598924</v>
      </c>
    </row>
    <row r="16" spans="1:6" x14ac:dyDescent="0.25">
      <c r="A16" s="222">
        <v>1321</v>
      </c>
      <c r="B16" s="223" t="s">
        <v>384</v>
      </c>
      <c r="C16" s="224">
        <v>507988</v>
      </c>
      <c r="D16" s="224">
        <v>731302</v>
      </c>
      <c r="E16" s="224">
        <v>883398</v>
      </c>
      <c r="F16" s="224">
        <v>752766</v>
      </c>
    </row>
    <row r="17" spans="1:6" x14ac:dyDescent="0.25">
      <c r="A17" s="225">
        <v>1322</v>
      </c>
      <c r="B17" s="226" t="s">
        <v>385</v>
      </c>
      <c r="C17" s="227">
        <v>820173</v>
      </c>
      <c r="D17" s="227">
        <v>1184533</v>
      </c>
      <c r="E17" s="227">
        <v>1317498</v>
      </c>
      <c r="F17" s="227">
        <v>1187144</v>
      </c>
    </row>
    <row r="18" spans="1:6" x14ac:dyDescent="0.25">
      <c r="A18" s="222">
        <v>1323</v>
      </c>
      <c r="B18" s="223" t="s">
        <v>386</v>
      </c>
      <c r="C18" s="224">
        <v>738523</v>
      </c>
      <c r="D18" s="224">
        <v>1209893</v>
      </c>
      <c r="E18" s="224">
        <v>1409095</v>
      </c>
      <c r="F18" s="224">
        <v>1228579</v>
      </c>
    </row>
    <row r="19" spans="1:6" x14ac:dyDescent="0.25">
      <c r="A19" s="225">
        <v>1324</v>
      </c>
      <c r="B19" s="226" t="s">
        <v>387</v>
      </c>
      <c r="C19" s="227">
        <v>374186</v>
      </c>
      <c r="D19" s="227">
        <v>427771</v>
      </c>
      <c r="E19" s="227">
        <v>476855</v>
      </c>
      <c r="F19" s="227">
        <v>531218</v>
      </c>
    </row>
    <row r="20" spans="1:6" x14ac:dyDescent="0.25">
      <c r="A20" s="222">
        <v>1325</v>
      </c>
      <c r="B20" s="223" t="s">
        <v>388</v>
      </c>
      <c r="C20" s="224">
        <v>352869</v>
      </c>
      <c r="D20" s="224">
        <v>411169</v>
      </c>
      <c r="E20" s="224">
        <v>474969</v>
      </c>
      <c r="F20" s="224">
        <v>532660</v>
      </c>
    </row>
    <row r="21" spans="1:6" x14ac:dyDescent="0.25">
      <c r="A21" s="225">
        <v>1326</v>
      </c>
      <c r="B21" s="226" t="s">
        <v>389</v>
      </c>
      <c r="C21" s="228" t="s">
        <v>375</v>
      </c>
      <c r="D21" s="227">
        <v>432389</v>
      </c>
      <c r="E21" s="227">
        <v>471295</v>
      </c>
      <c r="F21" s="227">
        <v>495489</v>
      </c>
    </row>
    <row r="22" spans="1:6" x14ac:dyDescent="0.25">
      <c r="A22" s="222">
        <v>1327</v>
      </c>
      <c r="B22" s="223" t="s">
        <v>390</v>
      </c>
      <c r="C22" s="230" t="s">
        <v>375</v>
      </c>
      <c r="D22" s="224">
        <v>807423</v>
      </c>
      <c r="E22" s="224">
        <v>1026307</v>
      </c>
      <c r="F22" s="224">
        <v>1606725</v>
      </c>
    </row>
    <row r="23" spans="1:6" x14ac:dyDescent="0.25">
      <c r="A23" s="225">
        <v>1328</v>
      </c>
      <c r="B23" s="226" t="s">
        <v>391</v>
      </c>
      <c r="C23" s="227">
        <v>386063</v>
      </c>
      <c r="D23" s="227">
        <v>526517</v>
      </c>
      <c r="E23" s="227">
        <v>620993</v>
      </c>
      <c r="F23" s="227">
        <v>682288</v>
      </c>
    </row>
    <row r="24" spans="1:6" x14ac:dyDescent="0.25">
      <c r="A24" s="222">
        <v>1329</v>
      </c>
      <c r="B24" s="223" t="s">
        <v>392</v>
      </c>
      <c r="C24" s="224">
        <v>471485</v>
      </c>
      <c r="D24" s="224">
        <v>752210</v>
      </c>
      <c r="E24" s="224">
        <v>779029</v>
      </c>
      <c r="F24" s="224">
        <v>690125</v>
      </c>
    </row>
    <row r="25" spans="1:6" x14ac:dyDescent="0.25">
      <c r="A25" s="225">
        <v>1331</v>
      </c>
      <c r="B25" s="226" t="s">
        <v>393</v>
      </c>
      <c r="C25" s="227">
        <v>430275</v>
      </c>
      <c r="D25" s="227">
        <v>565927</v>
      </c>
      <c r="E25" s="227">
        <v>646327</v>
      </c>
      <c r="F25" s="227">
        <v>572805</v>
      </c>
    </row>
    <row r="26" spans="1:6" x14ac:dyDescent="0.25">
      <c r="A26" s="222">
        <v>1332</v>
      </c>
      <c r="B26" s="223" t="s">
        <v>394</v>
      </c>
      <c r="C26" s="224">
        <v>404207</v>
      </c>
      <c r="D26" s="224">
        <v>398818</v>
      </c>
      <c r="E26" s="224">
        <v>382203</v>
      </c>
      <c r="F26" s="224">
        <v>375283</v>
      </c>
    </row>
    <row r="27" spans="1:6" x14ac:dyDescent="0.25">
      <c r="A27" s="225">
        <v>1333</v>
      </c>
      <c r="B27" s="226" t="s">
        <v>395</v>
      </c>
      <c r="C27" s="227">
        <v>444774</v>
      </c>
      <c r="D27" s="227">
        <v>575608</v>
      </c>
      <c r="E27" s="227">
        <v>635702</v>
      </c>
      <c r="F27" s="227">
        <v>619069</v>
      </c>
    </row>
    <row r="28" spans="1:6" x14ac:dyDescent="0.25">
      <c r="A28" s="222">
        <v>1334</v>
      </c>
      <c r="B28" s="223" t="s">
        <v>396</v>
      </c>
      <c r="C28" s="224">
        <v>509119</v>
      </c>
      <c r="D28" s="224">
        <v>1023599</v>
      </c>
      <c r="E28" s="224">
        <v>1128688</v>
      </c>
      <c r="F28" s="224">
        <v>1021029</v>
      </c>
    </row>
    <row r="29" spans="1:6" x14ac:dyDescent="0.25">
      <c r="A29" s="225">
        <v>1335</v>
      </c>
      <c r="B29" s="226" t="s">
        <v>397</v>
      </c>
      <c r="C29" s="228" t="s">
        <v>375</v>
      </c>
      <c r="D29" s="227">
        <v>558024</v>
      </c>
      <c r="E29" s="227">
        <v>575937</v>
      </c>
      <c r="F29" s="227">
        <v>610700</v>
      </c>
    </row>
    <row r="30" spans="1:6" x14ac:dyDescent="0.25">
      <c r="A30" s="222">
        <v>1336</v>
      </c>
      <c r="B30" s="223" t="s">
        <v>398</v>
      </c>
      <c r="C30" s="230" t="s">
        <v>375</v>
      </c>
      <c r="D30" s="224">
        <v>546197</v>
      </c>
      <c r="E30" s="224">
        <v>605757</v>
      </c>
      <c r="F30" s="224">
        <v>644374</v>
      </c>
    </row>
    <row r="31" spans="1:6" x14ac:dyDescent="0.25">
      <c r="A31" s="225">
        <v>1339</v>
      </c>
      <c r="B31" s="226" t="s">
        <v>399</v>
      </c>
      <c r="C31" s="227">
        <v>485900</v>
      </c>
      <c r="D31" s="227">
        <v>521738</v>
      </c>
      <c r="E31" s="227">
        <v>527452</v>
      </c>
      <c r="F31" s="227">
        <v>517806</v>
      </c>
    </row>
    <row r="32" spans="1:6" x14ac:dyDescent="0.25">
      <c r="A32" s="222">
        <v>1411</v>
      </c>
      <c r="B32" s="223" t="s">
        <v>400</v>
      </c>
      <c r="C32" s="224">
        <v>705510</v>
      </c>
      <c r="D32" s="224">
        <v>1155905</v>
      </c>
      <c r="E32" s="224">
        <v>1235953</v>
      </c>
      <c r="F32" s="224">
        <v>1029920</v>
      </c>
    </row>
    <row r="33" spans="1:6" x14ac:dyDescent="0.25">
      <c r="A33" s="225">
        <v>1412</v>
      </c>
      <c r="B33" s="226" t="s">
        <v>401</v>
      </c>
      <c r="C33" s="227">
        <v>673035</v>
      </c>
      <c r="D33" s="227">
        <v>1102089</v>
      </c>
      <c r="E33" s="227">
        <v>1364388</v>
      </c>
      <c r="F33" s="227">
        <v>1210216</v>
      </c>
    </row>
    <row r="34" spans="1:6" x14ac:dyDescent="0.25">
      <c r="A34" s="222">
        <v>1413</v>
      </c>
      <c r="B34" s="223" t="s">
        <v>402</v>
      </c>
      <c r="C34" s="224">
        <v>585345</v>
      </c>
      <c r="D34" s="224">
        <v>985893</v>
      </c>
      <c r="E34" s="224">
        <v>1275992</v>
      </c>
      <c r="F34" s="224">
        <v>1296322</v>
      </c>
    </row>
    <row r="35" spans="1:6" x14ac:dyDescent="0.25">
      <c r="A35" s="225">
        <v>1414</v>
      </c>
      <c r="B35" s="226" t="s">
        <v>403</v>
      </c>
      <c r="C35" s="227">
        <v>808119</v>
      </c>
      <c r="D35" s="227">
        <v>1324854</v>
      </c>
      <c r="E35" s="227">
        <v>1388058</v>
      </c>
      <c r="F35" s="227">
        <v>1144521</v>
      </c>
    </row>
    <row r="36" spans="1:6" x14ac:dyDescent="0.25">
      <c r="A36" s="222">
        <v>1415</v>
      </c>
      <c r="B36" s="223" t="s">
        <v>404</v>
      </c>
      <c r="C36" s="224">
        <v>593444</v>
      </c>
      <c r="D36" s="224">
        <v>967682</v>
      </c>
      <c r="E36" s="224">
        <v>1181219</v>
      </c>
      <c r="F36" s="224">
        <v>1215584</v>
      </c>
    </row>
    <row r="37" spans="1:6" x14ac:dyDescent="0.25">
      <c r="A37" s="225">
        <v>1416</v>
      </c>
      <c r="B37" s="226" t="s">
        <v>405</v>
      </c>
      <c r="C37" s="227">
        <v>645761</v>
      </c>
      <c r="D37" s="227">
        <v>907032</v>
      </c>
      <c r="E37" s="227">
        <v>1037969</v>
      </c>
      <c r="F37" s="227">
        <v>1100354</v>
      </c>
    </row>
    <row r="38" spans="1:6" x14ac:dyDescent="0.25">
      <c r="A38" s="222">
        <v>1419</v>
      </c>
      <c r="B38" s="223" t="s">
        <v>406</v>
      </c>
      <c r="C38" s="224">
        <v>626428</v>
      </c>
      <c r="D38" s="224">
        <v>971881</v>
      </c>
      <c r="E38" s="224">
        <v>1112685</v>
      </c>
      <c r="F38" s="224">
        <v>985727</v>
      </c>
    </row>
    <row r="39" spans="1:6" x14ac:dyDescent="0.25">
      <c r="A39" s="225">
        <v>2111</v>
      </c>
      <c r="B39" s="226" t="s">
        <v>407</v>
      </c>
      <c r="C39" s="227">
        <v>517397</v>
      </c>
      <c r="D39" s="227">
        <v>747143</v>
      </c>
      <c r="E39" s="227">
        <v>606946</v>
      </c>
      <c r="F39" s="227">
        <v>717831</v>
      </c>
    </row>
    <row r="40" spans="1:6" x14ac:dyDescent="0.25">
      <c r="A40" s="222">
        <v>2112</v>
      </c>
      <c r="B40" s="223" t="s">
        <v>408</v>
      </c>
      <c r="C40" s="224">
        <v>531009</v>
      </c>
      <c r="D40" s="224">
        <v>710179</v>
      </c>
      <c r="E40" s="224">
        <v>804309</v>
      </c>
      <c r="F40" s="224">
        <v>833907</v>
      </c>
    </row>
    <row r="41" spans="1:6" x14ac:dyDescent="0.25">
      <c r="A41" s="225">
        <v>2113</v>
      </c>
      <c r="B41" s="226" t="s">
        <v>409</v>
      </c>
      <c r="C41" s="227">
        <v>448683</v>
      </c>
      <c r="D41" s="227">
        <v>560602</v>
      </c>
      <c r="E41" s="227">
        <v>619252</v>
      </c>
      <c r="F41" s="227">
        <v>671464</v>
      </c>
    </row>
    <row r="42" spans="1:6" x14ac:dyDescent="0.25">
      <c r="A42" s="222">
        <v>2114</v>
      </c>
      <c r="B42" s="223" t="s">
        <v>410</v>
      </c>
      <c r="C42" s="224">
        <v>456015</v>
      </c>
      <c r="D42" s="224">
        <v>563070</v>
      </c>
      <c r="E42" s="224">
        <v>628577</v>
      </c>
      <c r="F42" s="224">
        <v>587074</v>
      </c>
    </row>
    <row r="43" spans="1:6" x14ac:dyDescent="0.25">
      <c r="A43" s="225">
        <v>2115</v>
      </c>
      <c r="B43" s="226" t="s">
        <v>411</v>
      </c>
      <c r="C43" s="227">
        <v>481646</v>
      </c>
      <c r="D43" s="227">
        <v>609647</v>
      </c>
      <c r="E43" s="227">
        <v>676396</v>
      </c>
      <c r="F43" s="227">
        <v>672323</v>
      </c>
    </row>
    <row r="44" spans="1:6" x14ac:dyDescent="0.25">
      <c r="A44" s="222">
        <v>2116</v>
      </c>
      <c r="B44" s="223" t="s">
        <v>412</v>
      </c>
      <c r="C44" s="224">
        <v>548756</v>
      </c>
      <c r="D44" s="224">
        <v>726702</v>
      </c>
      <c r="E44" s="224">
        <v>814492</v>
      </c>
      <c r="F44" s="224">
        <v>751057</v>
      </c>
    </row>
    <row r="45" spans="1:6" x14ac:dyDescent="0.25">
      <c r="A45" s="225">
        <v>2117</v>
      </c>
      <c r="B45" s="226" t="s">
        <v>413</v>
      </c>
      <c r="C45" s="227">
        <v>538686</v>
      </c>
      <c r="D45" s="227">
        <v>696588</v>
      </c>
      <c r="E45" s="227">
        <v>824591</v>
      </c>
      <c r="F45" s="227">
        <v>826737</v>
      </c>
    </row>
    <row r="46" spans="1:6" x14ac:dyDescent="0.25">
      <c r="A46" s="222">
        <v>2118</v>
      </c>
      <c r="B46" s="223" t="s">
        <v>414</v>
      </c>
      <c r="C46" s="224">
        <v>607699</v>
      </c>
      <c r="D46" s="224">
        <v>780252</v>
      </c>
      <c r="E46" s="224">
        <v>863893</v>
      </c>
      <c r="F46" s="224">
        <v>806103</v>
      </c>
    </row>
    <row r="47" spans="1:6" x14ac:dyDescent="0.25">
      <c r="A47" s="225">
        <v>2121</v>
      </c>
      <c r="B47" s="226" t="s">
        <v>415</v>
      </c>
      <c r="C47" s="227">
        <v>655956</v>
      </c>
      <c r="D47" s="227">
        <v>833475</v>
      </c>
      <c r="E47" s="227">
        <v>905593</v>
      </c>
      <c r="F47" s="227">
        <v>839387</v>
      </c>
    </row>
    <row r="48" spans="1:6" x14ac:dyDescent="0.25">
      <c r="A48" s="222">
        <v>2122</v>
      </c>
      <c r="B48" s="223" t="s">
        <v>416</v>
      </c>
      <c r="C48" s="224">
        <v>661840</v>
      </c>
      <c r="D48" s="224">
        <v>861128</v>
      </c>
      <c r="E48" s="224">
        <v>901460</v>
      </c>
      <c r="F48" s="224">
        <v>815654</v>
      </c>
    </row>
    <row r="49" spans="1:6" x14ac:dyDescent="0.25">
      <c r="A49" s="225">
        <v>2123</v>
      </c>
      <c r="B49" s="226" t="s">
        <v>417</v>
      </c>
      <c r="C49" s="227">
        <v>672750</v>
      </c>
      <c r="D49" s="227">
        <v>1139228</v>
      </c>
      <c r="E49" s="227">
        <v>975935</v>
      </c>
      <c r="F49" s="227">
        <v>851181</v>
      </c>
    </row>
    <row r="50" spans="1:6" x14ac:dyDescent="0.25">
      <c r="A50" s="222">
        <v>2131</v>
      </c>
      <c r="B50" s="223" t="s">
        <v>418</v>
      </c>
      <c r="C50" s="224">
        <v>412014</v>
      </c>
      <c r="D50" s="224">
        <v>534154</v>
      </c>
      <c r="E50" s="224">
        <v>618653</v>
      </c>
      <c r="F50" s="224">
        <v>642466</v>
      </c>
    </row>
    <row r="51" spans="1:6" x14ac:dyDescent="0.25">
      <c r="A51" s="225">
        <v>2132</v>
      </c>
      <c r="B51" s="226" t="s">
        <v>419</v>
      </c>
      <c r="C51" s="227">
        <v>455858</v>
      </c>
      <c r="D51" s="227">
        <v>580650</v>
      </c>
      <c r="E51" s="227">
        <v>664687</v>
      </c>
      <c r="F51" s="227">
        <v>647457</v>
      </c>
    </row>
    <row r="52" spans="1:6" x14ac:dyDescent="0.25">
      <c r="A52" s="222">
        <v>2133</v>
      </c>
      <c r="B52" s="223" t="s">
        <v>420</v>
      </c>
      <c r="C52" s="224">
        <v>363633</v>
      </c>
      <c r="D52" s="224">
        <v>463973</v>
      </c>
      <c r="E52" s="224">
        <v>536146</v>
      </c>
      <c r="F52" s="224">
        <v>535547</v>
      </c>
    </row>
    <row r="53" spans="1:6" x14ac:dyDescent="0.25">
      <c r="A53" s="225">
        <v>2134</v>
      </c>
      <c r="B53" s="226" t="s">
        <v>421</v>
      </c>
      <c r="C53" s="227">
        <v>492725</v>
      </c>
      <c r="D53" s="227">
        <v>649468</v>
      </c>
      <c r="E53" s="227">
        <v>694787</v>
      </c>
      <c r="F53" s="227">
        <v>719544</v>
      </c>
    </row>
    <row r="54" spans="1:6" x14ac:dyDescent="0.25">
      <c r="A54" s="222">
        <v>2135</v>
      </c>
      <c r="B54" s="223" t="s">
        <v>422</v>
      </c>
      <c r="C54" s="224">
        <v>458190</v>
      </c>
      <c r="D54" s="224">
        <v>507354</v>
      </c>
      <c r="E54" s="224">
        <v>552984</v>
      </c>
      <c r="F54" s="224">
        <v>512616</v>
      </c>
    </row>
    <row r="55" spans="1:6" x14ac:dyDescent="0.25">
      <c r="A55" s="225">
        <v>2136</v>
      </c>
      <c r="B55" s="226" t="s">
        <v>423</v>
      </c>
      <c r="C55" s="227">
        <v>412066</v>
      </c>
      <c r="D55" s="227">
        <v>580750</v>
      </c>
      <c r="E55" s="227">
        <v>604341</v>
      </c>
      <c r="F55" s="227">
        <v>498324</v>
      </c>
    </row>
    <row r="56" spans="1:6" x14ac:dyDescent="0.25">
      <c r="A56" s="222">
        <v>2137</v>
      </c>
      <c r="B56" s="223" t="s">
        <v>424</v>
      </c>
      <c r="C56" s="224">
        <v>602925</v>
      </c>
      <c r="D56" s="224">
        <v>773737</v>
      </c>
      <c r="E56" s="224">
        <v>843003</v>
      </c>
      <c r="F56" s="224">
        <v>820284</v>
      </c>
    </row>
    <row r="57" spans="1:6" x14ac:dyDescent="0.25">
      <c r="A57" s="225">
        <v>2139</v>
      </c>
      <c r="B57" s="226" t="s">
        <v>425</v>
      </c>
      <c r="C57" s="227">
        <v>639238</v>
      </c>
      <c r="D57" s="227">
        <v>845378</v>
      </c>
      <c r="E57" s="227">
        <v>916594</v>
      </c>
      <c r="F57" s="227">
        <v>842437</v>
      </c>
    </row>
    <row r="58" spans="1:6" x14ac:dyDescent="0.25">
      <c r="A58" s="222">
        <v>2141</v>
      </c>
      <c r="B58" s="223" t="s">
        <v>426</v>
      </c>
      <c r="C58" s="224">
        <v>667631</v>
      </c>
      <c r="D58" s="224">
        <v>875305</v>
      </c>
      <c r="E58" s="224">
        <v>967494</v>
      </c>
      <c r="F58" s="224">
        <v>909369</v>
      </c>
    </row>
    <row r="59" spans="1:6" x14ac:dyDescent="0.25">
      <c r="A59" s="225">
        <v>2142</v>
      </c>
      <c r="B59" s="226" t="s">
        <v>427</v>
      </c>
      <c r="C59" s="227">
        <v>703061</v>
      </c>
      <c r="D59" s="227">
        <v>938832</v>
      </c>
      <c r="E59" s="227">
        <v>1013093</v>
      </c>
      <c r="F59" s="227">
        <v>929299</v>
      </c>
    </row>
    <row r="60" spans="1:6" x14ac:dyDescent="0.25">
      <c r="A60" s="222">
        <v>2143</v>
      </c>
      <c r="B60" s="223" t="s">
        <v>428</v>
      </c>
      <c r="C60" s="224">
        <v>502498</v>
      </c>
      <c r="D60" s="224">
        <v>744557</v>
      </c>
      <c r="E60" s="224">
        <v>927604</v>
      </c>
      <c r="F60" s="224">
        <v>882301</v>
      </c>
    </row>
    <row r="61" spans="1:6" x14ac:dyDescent="0.25">
      <c r="A61" s="225">
        <v>2144</v>
      </c>
      <c r="B61" s="226" t="s">
        <v>429</v>
      </c>
      <c r="C61" s="227">
        <v>565740</v>
      </c>
      <c r="D61" s="227">
        <v>756207</v>
      </c>
      <c r="E61" s="227">
        <v>772416</v>
      </c>
      <c r="F61" s="227">
        <v>703432</v>
      </c>
    </row>
    <row r="62" spans="1:6" x14ac:dyDescent="0.25">
      <c r="A62" s="222">
        <v>2149</v>
      </c>
      <c r="B62" s="223" t="s">
        <v>430</v>
      </c>
      <c r="C62" s="224">
        <v>641529</v>
      </c>
      <c r="D62" s="224">
        <v>895515</v>
      </c>
      <c r="E62" s="224">
        <v>1025021</v>
      </c>
      <c r="F62" s="224">
        <v>957070</v>
      </c>
    </row>
    <row r="63" spans="1:6" x14ac:dyDescent="0.25">
      <c r="A63" s="225">
        <v>2151</v>
      </c>
      <c r="B63" s="226" t="s">
        <v>431</v>
      </c>
      <c r="C63" s="227">
        <v>626776</v>
      </c>
      <c r="D63" s="227">
        <v>796993</v>
      </c>
      <c r="E63" s="227">
        <v>801724</v>
      </c>
      <c r="F63" s="227">
        <v>745859</v>
      </c>
    </row>
    <row r="64" spans="1:6" x14ac:dyDescent="0.25">
      <c r="A64" s="222">
        <v>2152</v>
      </c>
      <c r="B64" s="223" t="s">
        <v>432</v>
      </c>
      <c r="C64" s="224">
        <v>462761</v>
      </c>
      <c r="D64" s="224">
        <v>632993</v>
      </c>
      <c r="E64" s="224">
        <v>692847</v>
      </c>
      <c r="F64" s="224">
        <v>676096</v>
      </c>
    </row>
    <row r="65" spans="1:6" x14ac:dyDescent="0.25">
      <c r="A65" s="225">
        <v>2153</v>
      </c>
      <c r="B65" s="226" t="s">
        <v>433</v>
      </c>
      <c r="C65" s="227">
        <v>568951</v>
      </c>
      <c r="D65" s="227">
        <v>757034</v>
      </c>
      <c r="E65" s="227">
        <v>786335</v>
      </c>
      <c r="F65" s="227">
        <v>710587</v>
      </c>
    </row>
    <row r="66" spans="1:6" x14ac:dyDescent="0.25">
      <c r="A66" s="222">
        <v>2159</v>
      </c>
      <c r="B66" s="223" t="s">
        <v>434</v>
      </c>
      <c r="C66" s="224">
        <v>601812</v>
      </c>
      <c r="D66" s="224">
        <v>787592</v>
      </c>
      <c r="E66" s="224">
        <v>854617</v>
      </c>
      <c r="F66" s="224">
        <v>803973</v>
      </c>
    </row>
    <row r="67" spans="1:6" x14ac:dyDescent="0.25">
      <c r="A67" s="225">
        <v>2161</v>
      </c>
      <c r="B67" s="226" t="s">
        <v>435</v>
      </c>
      <c r="C67" s="227">
        <v>606386</v>
      </c>
      <c r="D67" s="227">
        <v>729135</v>
      </c>
      <c r="E67" s="227">
        <v>927571</v>
      </c>
      <c r="F67" s="227">
        <v>933825</v>
      </c>
    </row>
    <row r="68" spans="1:6" x14ac:dyDescent="0.25">
      <c r="A68" s="222">
        <v>2163</v>
      </c>
      <c r="B68" s="223" t="s">
        <v>436</v>
      </c>
      <c r="C68" s="231" t="s">
        <v>375</v>
      </c>
      <c r="D68" s="224">
        <v>560580</v>
      </c>
      <c r="E68" s="230" t="s">
        <v>375</v>
      </c>
      <c r="F68" s="230" t="s">
        <v>375</v>
      </c>
    </row>
    <row r="69" spans="1:6" x14ac:dyDescent="0.25">
      <c r="A69" s="225">
        <v>2164</v>
      </c>
      <c r="B69" s="226" t="s">
        <v>437</v>
      </c>
      <c r="C69" s="227">
        <v>509764</v>
      </c>
      <c r="D69" s="227">
        <v>658268</v>
      </c>
      <c r="E69" s="227">
        <v>787278</v>
      </c>
      <c r="F69" s="227">
        <v>896683</v>
      </c>
    </row>
    <row r="70" spans="1:6" x14ac:dyDescent="0.25">
      <c r="A70" s="222">
        <v>2165</v>
      </c>
      <c r="B70" s="223" t="s">
        <v>438</v>
      </c>
      <c r="C70" s="224">
        <v>457996</v>
      </c>
      <c r="D70" s="224">
        <v>607857</v>
      </c>
      <c r="E70" s="224">
        <v>824510</v>
      </c>
      <c r="F70" s="224">
        <v>944179</v>
      </c>
    </row>
    <row r="71" spans="1:6" x14ac:dyDescent="0.25">
      <c r="A71" s="225">
        <v>2166</v>
      </c>
      <c r="B71" s="226" t="s">
        <v>439</v>
      </c>
      <c r="C71" s="227">
        <v>641530</v>
      </c>
      <c r="D71" s="227">
        <v>883954</v>
      </c>
      <c r="E71" s="227">
        <v>981384</v>
      </c>
      <c r="F71" s="227">
        <v>997549</v>
      </c>
    </row>
    <row r="72" spans="1:6" x14ac:dyDescent="0.25">
      <c r="A72" s="222">
        <v>2167</v>
      </c>
      <c r="B72" s="223" t="s">
        <v>440</v>
      </c>
      <c r="C72" s="224">
        <v>471057</v>
      </c>
      <c r="D72" s="224">
        <v>578385</v>
      </c>
      <c r="E72" s="224">
        <v>749359</v>
      </c>
      <c r="F72" s="224">
        <v>944032</v>
      </c>
    </row>
    <row r="73" spans="1:6" x14ac:dyDescent="0.25">
      <c r="A73" s="225">
        <v>2168</v>
      </c>
      <c r="B73" s="226" t="s">
        <v>441</v>
      </c>
      <c r="C73" s="227">
        <v>457217</v>
      </c>
      <c r="D73" s="227">
        <v>547111</v>
      </c>
      <c r="E73" s="227">
        <v>645600</v>
      </c>
      <c r="F73" s="227">
        <v>786507</v>
      </c>
    </row>
    <row r="74" spans="1:6" x14ac:dyDescent="0.25">
      <c r="A74" s="222">
        <v>2169</v>
      </c>
      <c r="B74" s="223" t="s">
        <v>442</v>
      </c>
      <c r="C74" s="224">
        <v>505959</v>
      </c>
      <c r="D74" s="224">
        <v>641245</v>
      </c>
      <c r="E74" s="224">
        <v>758214</v>
      </c>
      <c r="F74" s="224">
        <v>865200</v>
      </c>
    </row>
    <row r="75" spans="1:6" x14ac:dyDescent="0.25">
      <c r="A75" s="225">
        <v>2211</v>
      </c>
      <c r="B75" s="226" t="s">
        <v>443</v>
      </c>
      <c r="C75" s="227">
        <v>830930</v>
      </c>
      <c r="D75" s="227">
        <v>1103071</v>
      </c>
      <c r="E75" s="227">
        <v>1081458</v>
      </c>
      <c r="F75" s="227">
        <v>1276788</v>
      </c>
    </row>
    <row r="76" spans="1:6" x14ac:dyDescent="0.25">
      <c r="A76" s="222">
        <v>2212</v>
      </c>
      <c r="B76" s="223" t="s">
        <v>444</v>
      </c>
      <c r="C76" s="224">
        <v>925852</v>
      </c>
      <c r="D76" s="224">
        <v>1378655</v>
      </c>
      <c r="E76" s="224">
        <v>1588607</v>
      </c>
      <c r="F76" s="224">
        <v>1919069</v>
      </c>
    </row>
    <row r="77" spans="1:6" x14ac:dyDescent="0.25">
      <c r="A77" s="225">
        <v>2213</v>
      </c>
      <c r="B77" s="226" t="s">
        <v>445</v>
      </c>
      <c r="C77" s="227">
        <v>476446</v>
      </c>
      <c r="D77" s="227">
        <v>577834</v>
      </c>
      <c r="E77" s="227">
        <v>676357</v>
      </c>
      <c r="F77" s="227">
        <v>1022076</v>
      </c>
    </row>
    <row r="78" spans="1:6" x14ac:dyDescent="0.25">
      <c r="A78" s="222">
        <v>2214</v>
      </c>
      <c r="B78" s="223" t="s">
        <v>446</v>
      </c>
      <c r="C78" s="224">
        <v>558568</v>
      </c>
      <c r="D78" s="224">
        <v>633911</v>
      </c>
      <c r="E78" s="224">
        <v>664966</v>
      </c>
      <c r="F78" s="224">
        <v>771337</v>
      </c>
    </row>
    <row r="79" spans="1:6" x14ac:dyDescent="0.25">
      <c r="A79" s="225">
        <v>2221</v>
      </c>
      <c r="B79" s="226" t="s">
        <v>447</v>
      </c>
      <c r="C79" s="227">
        <v>443564</v>
      </c>
      <c r="D79" s="227">
        <v>524257</v>
      </c>
      <c r="E79" s="227">
        <v>552353</v>
      </c>
      <c r="F79" s="227">
        <v>596503</v>
      </c>
    </row>
    <row r="80" spans="1:6" x14ac:dyDescent="0.25">
      <c r="A80" s="222">
        <v>2222</v>
      </c>
      <c r="B80" s="223" t="s">
        <v>448</v>
      </c>
      <c r="C80" s="224">
        <v>413024</v>
      </c>
      <c r="D80" s="224">
        <v>461881</v>
      </c>
      <c r="E80" s="224">
        <v>412789</v>
      </c>
      <c r="F80" s="224">
        <v>476412</v>
      </c>
    </row>
    <row r="81" spans="1:10" x14ac:dyDescent="0.25">
      <c r="A81" s="225">
        <v>2223</v>
      </c>
      <c r="B81" s="226" t="s">
        <v>449</v>
      </c>
      <c r="C81" s="227">
        <v>369411</v>
      </c>
      <c r="D81" s="227">
        <v>391876</v>
      </c>
      <c r="E81" s="227">
        <v>420232</v>
      </c>
      <c r="F81" s="227">
        <v>473516</v>
      </c>
    </row>
    <row r="82" spans="1:10" x14ac:dyDescent="0.25">
      <c r="A82" s="222">
        <v>2224</v>
      </c>
      <c r="B82" s="223" t="s">
        <v>450</v>
      </c>
      <c r="C82" s="224">
        <v>369338</v>
      </c>
      <c r="D82" s="224">
        <v>400114</v>
      </c>
      <c r="E82" s="224">
        <v>451210</v>
      </c>
      <c r="F82" s="224">
        <v>541502</v>
      </c>
    </row>
    <row r="83" spans="1:10" x14ac:dyDescent="0.25">
      <c r="A83" s="225">
        <v>2225</v>
      </c>
      <c r="B83" s="226" t="s">
        <v>451</v>
      </c>
      <c r="C83" s="227">
        <v>445298</v>
      </c>
      <c r="D83" s="227">
        <v>473485</v>
      </c>
      <c r="E83" s="227">
        <v>524290</v>
      </c>
      <c r="F83" s="227">
        <v>616405</v>
      </c>
    </row>
    <row r="84" spans="1:10" x14ac:dyDescent="0.25">
      <c r="A84" s="222">
        <v>2226</v>
      </c>
      <c r="B84" s="223" t="s">
        <v>452</v>
      </c>
      <c r="C84" s="224">
        <v>570652</v>
      </c>
      <c r="D84" s="224">
        <v>659366</v>
      </c>
      <c r="E84" s="224">
        <v>724295</v>
      </c>
      <c r="F84" s="224">
        <v>818817</v>
      </c>
    </row>
    <row r="85" spans="1:10" x14ac:dyDescent="0.25">
      <c r="A85" s="225">
        <v>2227</v>
      </c>
      <c r="B85" s="226" t="s">
        <v>453</v>
      </c>
      <c r="C85" s="228" t="s">
        <v>375</v>
      </c>
      <c r="D85" s="228" t="s">
        <v>375</v>
      </c>
      <c r="E85" s="228" t="s">
        <v>375</v>
      </c>
      <c r="F85" s="227">
        <v>595362</v>
      </c>
    </row>
    <row r="86" spans="1:10" x14ac:dyDescent="0.25">
      <c r="A86" s="222">
        <v>2228</v>
      </c>
      <c r="B86" s="223" t="s">
        <v>454</v>
      </c>
      <c r="C86" s="230" t="s">
        <v>375</v>
      </c>
      <c r="D86" s="230" t="s">
        <v>375</v>
      </c>
      <c r="E86" s="224">
        <v>1004954</v>
      </c>
      <c r="F86" s="230" t="s">
        <v>375</v>
      </c>
    </row>
    <row r="87" spans="1:10" x14ac:dyDescent="0.25">
      <c r="A87" s="225">
        <v>2229</v>
      </c>
      <c r="B87" s="226" t="s">
        <v>455</v>
      </c>
      <c r="C87" s="227">
        <v>532838</v>
      </c>
      <c r="D87" s="227">
        <v>776076</v>
      </c>
      <c r="E87" s="227">
        <v>894363</v>
      </c>
      <c r="F87" s="227">
        <v>927208</v>
      </c>
    </row>
    <row r="88" spans="1:10" x14ac:dyDescent="0.25">
      <c r="A88" s="222">
        <v>2231</v>
      </c>
      <c r="B88" s="223" t="s">
        <v>456</v>
      </c>
      <c r="C88" s="224">
        <v>537310</v>
      </c>
      <c r="D88" s="224">
        <v>559949</v>
      </c>
      <c r="E88" s="224">
        <v>640576</v>
      </c>
      <c r="F88" s="224">
        <v>712052</v>
      </c>
    </row>
    <row r="89" spans="1:10" x14ac:dyDescent="0.25">
      <c r="A89" s="225">
        <v>2232</v>
      </c>
      <c r="B89" s="226" t="s">
        <v>457</v>
      </c>
      <c r="C89" s="227">
        <v>515356</v>
      </c>
      <c r="D89" s="227">
        <v>476686</v>
      </c>
      <c r="E89" s="227">
        <v>505246</v>
      </c>
      <c r="F89" s="227">
        <v>576881</v>
      </c>
    </row>
    <row r="90" spans="1:10" x14ac:dyDescent="0.25">
      <c r="A90" s="222">
        <v>2241</v>
      </c>
      <c r="B90" s="223" t="s">
        <v>458</v>
      </c>
      <c r="C90" s="224">
        <v>373942</v>
      </c>
      <c r="D90" s="224">
        <v>430404</v>
      </c>
      <c r="E90" s="224">
        <v>493730</v>
      </c>
      <c r="F90" s="224">
        <v>513041</v>
      </c>
    </row>
    <row r="91" spans="1:10" x14ac:dyDescent="0.25">
      <c r="A91" s="225">
        <v>2242</v>
      </c>
      <c r="B91" s="226" t="s">
        <v>459</v>
      </c>
      <c r="C91" s="227">
        <v>389316</v>
      </c>
      <c r="D91" s="227">
        <v>504052</v>
      </c>
      <c r="E91" s="227">
        <v>658737</v>
      </c>
      <c r="F91" s="227">
        <v>581831</v>
      </c>
    </row>
    <row r="92" spans="1:10" x14ac:dyDescent="0.25">
      <c r="A92" s="222">
        <v>2311</v>
      </c>
      <c r="B92" s="223" t="s">
        <v>460</v>
      </c>
      <c r="C92" s="230" t="s">
        <v>375</v>
      </c>
      <c r="D92" s="230" t="s">
        <v>375</v>
      </c>
      <c r="E92" s="224">
        <v>445850</v>
      </c>
      <c r="F92" s="230" t="s">
        <v>375</v>
      </c>
    </row>
    <row r="93" spans="1:10" x14ac:dyDescent="0.25">
      <c r="A93" s="225">
        <v>2312</v>
      </c>
      <c r="B93" s="226" t="s">
        <v>461</v>
      </c>
      <c r="C93" s="227">
        <v>322254</v>
      </c>
      <c r="D93" s="227">
        <v>338904</v>
      </c>
      <c r="E93" s="227">
        <v>376461</v>
      </c>
      <c r="F93" s="227">
        <v>415291</v>
      </c>
    </row>
    <row r="94" spans="1:10" x14ac:dyDescent="0.25">
      <c r="A94" s="222">
        <v>2410</v>
      </c>
      <c r="B94" s="223" t="s">
        <v>462</v>
      </c>
      <c r="C94" s="224">
        <v>402243</v>
      </c>
      <c r="D94" s="224">
        <v>571548</v>
      </c>
      <c r="E94" s="224">
        <v>629398</v>
      </c>
      <c r="F94" s="224">
        <v>676379</v>
      </c>
      <c r="J94" s="216" t="s">
        <v>463</v>
      </c>
    </row>
    <row r="95" spans="1:10" x14ac:dyDescent="0.25">
      <c r="A95" s="225">
        <v>2421</v>
      </c>
      <c r="B95" s="226" t="s">
        <v>464</v>
      </c>
      <c r="C95" s="227">
        <v>314813</v>
      </c>
      <c r="D95" s="227">
        <v>387328</v>
      </c>
      <c r="E95" s="227">
        <v>437198</v>
      </c>
      <c r="F95" s="227">
        <v>503108</v>
      </c>
    </row>
    <row r="96" spans="1:10" x14ac:dyDescent="0.25">
      <c r="A96" s="222">
        <v>2422</v>
      </c>
      <c r="B96" s="223" t="s">
        <v>465</v>
      </c>
      <c r="C96" s="224">
        <v>350606</v>
      </c>
      <c r="D96" s="224">
        <v>397818</v>
      </c>
      <c r="E96" s="224">
        <v>435583</v>
      </c>
      <c r="F96" s="224">
        <v>470649</v>
      </c>
    </row>
    <row r="97" spans="1:6" x14ac:dyDescent="0.25">
      <c r="A97" s="225">
        <v>2431</v>
      </c>
      <c r="B97" s="226" t="s">
        <v>466</v>
      </c>
      <c r="C97" s="227">
        <v>273107</v>
      </c>
      <c r="D97" s="227">
        <v>322959</v>
      </c>
      <c r="E97" s="227">
        <v>372618</v>
      </c>
      <c r="F97" s="227">
        <v>438068</v>
      </c>
    </row>
    <row r="98" spans="1:6" x14ac:dyDescent="0.25">
      <c r="A98" s="222">
        <v>2432</v>
      </c>
      <c r="B98" s="223" t="s">
        <v>467</v>
      </c>
      <c r="C98" s="224">
        <v>283715</v>
      </c>
      <c r="D98" s="224">
        <v>300029</v>
      </c>
      <c r="E98" s="224">
        <v>349788</v>
      </c>
      <c r="F98" s="224">
        <v>416729</v>
      </c>
    </row>
    <row r="99" spans="1:6" x14ac:dyDescent="0.25">
      <c r="A99" s="225">
        <v>2441</v>
      </c>
      <c r="B99" s="226" t="s">
        <v>468</v>
      </c>
      <c r="C99" s="227">
        <v>278198</v>
      </c>
      <c r="D99" s="227">
        <v>314772</v>
      </c>
      <c r="E99" s="227">
        <v>371495</v>
      </c>
      <c r="F99" s="227">
        <v>443038</v>
      </c>
    </row>
    <row r="100" spans="1:6" x14ac:dyDescent="0.25">
      <c r="A100" s="222">
        <v>2442</v>
      </c>
      <c r="B100" s="223" t="s">
        <v>469</v>
      </c>
      <c r="C100" s="224">
        <v>280965</v>
      </c>
      <c r="D100" s="224">
        <v>330433</v>
      </c>
      <c r="E100" s="224">
        <v>379636</v>
      </c>
      <c r="F100" s="224">
        <v>450510</v>
      </c>
    </row>
    <row r="101" spans="1:6" x14ac:dyDescent="0.25">
      <c r="A101" s="225">
        <v>2491</v>
      </c>
      <c r="B101" s="226" t="s">
        <v>470</v>
      </c>
      <c r="C101" s="228" t="s">
        <v>375</v>
      </c>
      <c r="D101" s="227">
        <v>472901</v>
      </c>
      <c r="E101" s="227">
        <v>400326</v>
      </c>
      <c r="F101" s="227">
        <v>476827</v>
      </c>
    </row>
    <row r="102" spans="1:6" x14ac:dyDescent="0.25">
      <c r="A102" s="222">
        <v>2492</v>
      </c>
      <c r="B102" s="223" t="s">
        <v>471</v>
      </c>
      <c r="C102" s="230" t="s">
        <v>375</v>
      </c>
      <c r="D102" s="230" t="s">
        <v>375</v>
      </c>
      <c r="E102" s="224">
        <v>398469</v>
      </c>
      <c r="F102" s="231" t="s">
        <v>375</v>
      </c>
    </row>
    <row r="103" spans="1:6" x14ac:dyDescent="0.25">
      <c r="A103" s="225">
        <v>2493</v>
      </c>
      <c r="B103" s="226" t="s">
        <v>472</v>
      </c>
      <c r="C103" s="227">
        <v>259331</v>
      </c>
      <c r="D103" s="227">
        <v>313253</v>
      </c>
      <c r="E103" s="227">
        <v>357303</v>
      </c>
      <c r="F103" s="227">
        <v>405334</v>
      </c>
    </row>
    <row r="104" spans="1:6" x14ac:dyDescent="0.25">
      <c r="A104" s="222">
        <v>2494</v>
      </c>
      <c r="B104" s="223" t="s">
        <v>473</v>
      </c>
      <c r="C104" s="224">
        <v>261065</v>
      </c>
      <c r="D104" s="224">
        <v>306055</v>
      </c>
      <c r="E104" s="224">
        <v>369221</v>
      </c>
      <c r="F104" s="224">
        <v>374643</v>
      </c>
    </row>
    <row r="105" spans="1:6" x14ac:dyDescent="0.25">
      <c r="A105" s="225">
        <v>2495</v>
      </c>
      <c r="B105" s="226" t="s">
        <v>474</v>
      </c>
      <c r="C105" s="228" t="s">
        <v>375</v>
      </c>
      <c r="D105" s="228" t="s">
        <v>375</v>
      </c>
      <c r="E105" s="228" t="s">
        <v>375</v>
      </c>
      <c r="F105" s="228" t="s">
        <v>375</v>
      </c>
    </row>
    <row r="106" spans="1:6" x14ac:dyDescent="0.25">
      <c r="A106" s="222">
        <v>2499</v>
      </c>
      <c r="B106" s="223" t="s">
        <v>475</v>
      </c>
      <c r="C106" s="224">
        <v>353414</v>
      </c>
      <c r="D106" s="224">
        <v>400949</v>
      </c>
      <c r="E106" s="224">
        <v>414250</v>
      </c>
      <c r="F106" s="224">
        <v>455980</v>
      </c>
    </row>
    <row r="107" spans="1:6" x14ac:dyDescent="0.25">
      <c r="A107" s="225">
        <v>2511</v>
      </c>
      <c r="B107" s="226" t="s">
        <v>476</v>
      </c>
      <c r="C107" s="227">
        <v>640230</v>
      </c>
      <c r="D107" s="227">
        <v>884667</v>
      </c>
      <c r="E107" s="227">
        <v>929608</v>
      </c>
      <c r="F107" s="227">
        <v>853588</v>
      </c>
    </row>
    <row r="108" spans="1:6" x14ac:dyDescent="0.25">
      <c r="A108" s="222">
        <v>2512</v>
      </c>
      <c r="B108" s="223" t="s">
        <v>477</v>
      </c>
      <c r="C108" s="224">
        <v>584744</v>
      </c>
      <c r="D108" s="224">
        <v>970611</v>
      </c>
      <c r="E108" s="224">
        <v>1107707</v>
      </c>
      <c r="F108" s="224">
        <v>890524</v>
      </c>
    </row>
    <row r="109" spans="1:6" x14ac:dyDescent="0.25">
      <c r="A109" s="225">
        <v>2513</v>
      </c>
      <c r="B109" s="226" t="s">
        <v>478</v>
      </c>
      <c r="C109" s="227">
        <v>602547</v>
      </c>
      <c r="D109" s="227">
        <v>862534</v>
      </c>
      <c r="E109" s="227">
        <v>820428</v>
      </c>
      <c r="F109" s="227">
        <v>782347</v>
      </c>
    </row>
    <row r="110" spans="1:6" x14ac:dyDescent="0.25">
      <c r="A110" s="222">
        <v>2514</v>
      </c>
      <c r="B110" s="223" t="s">
        <v>479</v>
      </c>
      <c r="C110" s="224">
        <v>586157</v>
      </c>
      <c r="D110" s="224">
        <v>802513</v>
      </c>
      <c r="E110" s="224">
        <v>842679</v>
      </c>
      <c r="F110" s="224">
        <v>745113</v>
      </c>
    </row>
    <row r="111" spans="1:6" x14ac:dyDescent="0.25">
      <c r="A111" s="225">
        <v>2521</v>
      </c>
      <c r="B111" s="226" t="s">
        <v>480</v>
      </c>
      <c r="C111" s="227">
        <v>635138</v>
      </c>
      <c r="D111" s="227">
        <v>850027</v>
      </c>
      <c r="E111" s="227">
        <v>917911</v>
      </c>
      <c r="F111" s="227">
        <v>802104</v>
      </c>
    </row>
    <row r="112" spans="1:6" x14ac:dyDescent="0.25">
      <c r="A112" s="222">
        <v>2522</v>
      </c>
      <c r="B112" s="223" t="s">
        <v>481</v>
      </c>
      <c r="C112" s="224">
        <v>682153</v>
      </c>
      <c r="D112" s="224">
        <v>890954</v>
      </c>
      <c r="E112" s="224">
        <v>932515</v>
      </c>
      <c r="F112" s="224">
        <v>870952</v>
      </c>
    </row>
    <row r="113" spans="1:6" x14ac:dyDescent="0.25">
      <c r="A113" s="225">
        <v>2523</v>
      </c>
      <c r="B113" s="226" t="s">
        <v>482</v>
      </c>
      <c r="C113" s="227">
        <v>567011</v>
      </c>
      <c r="D113" s="227">
        <v>727905</v>
      </c>
      <c r="E113" s="227">
        <v>780333</v>
      </c>
      <c r="F113" s="227">
        <v>710403</v>
      </c>
    </row>
    <row r="114" spans="1:6" x14ac:dyDescent="0.25">
      <c r="A114" s="222">
        <v>2524</v>
      </c>
      <c r="B114" s="223" t="s">
        <v>483</v>
      </c>
      <c r="C114" s="224">
        <v>524169</v>
      </c>
      <c r="D114" s="224">
        <v>662273</v>
      </c>
      <c r="E114" s="224">
        <v>697007</v>
      </c>
      <c r="F114" s="224">
        <v>696153</v>
      </c>
    </row>
    <row r="115" spans="1:6" x14ac:dyDescent="0.25">
      <c r="A115" s="225">
        <v>2531</v>
      </c>
      <c r="B115" s="226" t="s">
        <v>484</v>
      </c>
      <c r="C115" s="227">
        <v>515530</v>
      </c>
      <c r="D115" s="227">
        <v>740348</v>
      </c>
      <c r="E115" s="227">
        <v>896303</v>
      </c>
      <c r="F115" s="227">
        <v>909235</v>
      </c>
    </row>
    <row r="116" spans="1:6" x14ac:dyDescent="0.25">
      <c r="A116" s="222">
        <v>2532</v>
      </c>
      <c r="B116" s="223" t="s">
        <v>485</v>
      </c>
      <c r="C116" s="224">
        <v>460141</v>
      </c>
      <c r="D116" s="224">
        <v>654237</v>
      </c>
      <c r="E116" s="224">
        <v>745122</v>
      </c>
      <c r="F116" s="224">
        <v>777830</v>
      </c>
    </row>
    <row r="117" spans="1:6" x14ac:dyDescent="0.25">
      <c r="A117" s="225">
        <v>2533</v>
      </c>
      <c r="B117" s="226" t="s">
        <v>486</v>
      </c>
      <c r="C117" s="227">
        <v>542050</v>
      </c>
      <c r="D117" s="227">
        <v>740169</v>
      </c>
      <c r="E117" s="227">
        <v>809204</v>
      </c>
      <c r="F117" s="227">
        <v>777697</v>
      </c>
    </row>
    <row r="118" spans="1:6" x14ac:dyDescent="0.25">
      <c r="A118" s="222">
        <v>2534</v>
      </c>
      <c r="B118" s="223" t="s">
        <v>487</v>
      </c>
      <c r="C118" s="224">
        <v>613401</v>
      </c>
      <c r="D118" s="224">
        <v>1015487</v>
      </c>
      <c r="E118" s="224">
        <v>1218439</v>
      </c>
      <c r="F118" s="224">
        <v>1195483</v>
      </c>
    </row>
    <row r="119" spans="1:6" x14ac:dyDescent="0.25">
      <c r="A119" s="225">
        <v>2611</v>
      </c>
      <c r="B119" s="226" t="s">
        <v>488</v>
      </c>
      <c r="C119" s="227">
        <v>531789</v>
      </c>
      <c r="D119" s="227">
        <v>772384</v>
      </c>
      <c r="E119" s="227">
        <v>897433</v>
      </c>
      <c r="F119" s="227">
        <v>834992</v>
      </c>
    </row>
    <row r="120" spans="1:6" x14ac:dyDescent="0.25">
      <c r="A120" s="222">
        <v>2612</v>
      </c>
      <c r="B120" s="223" t="s">
        <v>489</v>
      </c>
      <c r="C120" s="224">
        <v>361870</v>
      </c>
      <c r="D120" s="224">
        <v>823320</v>
      </c>
      <c r="E120" s="224">
        <v>1120843</v>
      </c>
      <c r="F120" s="224">
        <v>1404812</v>
      </c>
    </row>
    <row r="121" spans="1:6" x14ac:dyDescent="0.25">
      <c r="A121" s="225">
        <v>2613</v>
      </c>
      <c r="B121" s="226" t="s">
        <v>490</v>
      </c>
      <c r="C121" s="228" t="s">
        <v>375</v>
      </c>
      <c r="D121" s="227">
        <v>992405</v>
      </c>
      <c r="E121" s="227">
        <v>1159664</v>
      </c>
      <c r="F121" s="227">
        <v>1396400</v>
      </c>
    </row>
    <row r="122" spans="1:6" x14ac:dyDescent="0.25">
      <c r="A122" s="222">
        <v>2614</v>
      </c>
      <c r="B122" s="223" t="s">
        <v>491</v>
      </c>
      <c r="C122" s="230" t="s">
        <v>375</v>
      </c>
      <c r="D122" s="224">
        <v>533660</v>
      </c>
      <c r="E122" s="224">
        <v>507329</v>
      </c>
      <c r="F122" s="224">
        <v>651935</v>
      </c>
    </row>
    <row r="123" spans="1:6" x14ac:dyDescent="0.25">
      <c r="A123" s="225">
        <v>2615</v>
      </c>
      <c r="B123" s="226" t="s">
        <v>492</v>
      </c>
      <c r="C123" s="227">
        <v>375012</v>
      </c>
      <c r="D123" s="227">
        <v>439734</v>
      </c>
      <c r="E123" s="227">
        <v>375588</v>
      </c>
      <c r="F123" s="229" t="s">
        <v>375</v>
      </c>
    </row>
    <row r="124" spans="1:6" x14ac:dyDescent="0.25">
      <c r="A124" s="222">
        <v>2619</v>
      </c>
      <c r="B124" s="223" t="s">
        <v>493</v>
      </c>
      <c r="C124" s="224">
        <v>443187</v>
      </c>
      <c r="D124" s="224">
        <v>620273</v>
      </c>
      <c r="E124" s="224">
        <v>709430</v>
      </c>
      <c r="F124" s="224">
        <v>773335</v>
      </c>
    </row>
    <row r="125" spans="1:6" x14ac:dyDescent="0.25">
      <c r="A125" s="225">
        <v>2621</v>
      </c>
      <c r="B125" s="226" t="s">
        <v>494</v>
      </c>
      <c r="C125" s="229" t="s">
        <v>375</v>
      </c>
      <c r="D125" s="229" t="s">
        <v>375</v>
      </c>
      <c r="E125" s="229" t="s">
        <v>375</v>
      </c>
      <c r="F125" s="229" t="s">
        <v>375</v>
      </c>
    </row>
    <row r="126" spans="1:6" x14ac:dyDescent="0.25">
      <c r="A126" s="222">
        <v>2622</v>
      </c>
      <c r="B126" s="223" t="s">
        <v>495</v>
      </c>
      <c r="C126" s="224">
        <v>395079</v>
      </c>
      <c r="D126" s="224">
        <v>440232</v>
      </c>
      <c r="E126" s="224">
        <v>548478</v>
      </c>
      <c r="F126" s="224">
        <v>542008</v>
      </c>
    </row>
    <row r="127" spans="1:6" x14ac:dyDescent="0.25">
      <c r="A127" s="225">
        <v>2623</v>
      </c>
      <c r="B127" s="226" t="s">
        <v>496</v>
      </c>
      <c r="C127" s="229" t="s">
        <v>375</v>
      </c>
      <c r="D127" s="229" t="s">
        <v>375</v>
      </c>
      <c r="E127" s="229" t="s">
        <v>375</v>
      </c>
      <c r="F127" s="229" t="s">
        <v>375</v>
      </c>
    </row>
    <row r="128" spans="1:6" x14ac:dyDescent="0.25">
      <c r="A128" s="222">
        <v>2624</v>
      </c>
      <c r="B128" s="223" t="s">
        <v>497</v>
      </c>
      <c r="C128" s="224">
        <v>644401</v>
      </c>
      <c r="D128" s="224">
        <v>931620</v>
      </c>
      <c r="E128" s="224">
        <v>1046617</v>
      </c>
      <c r="F128" s="224">
        <v>948148</v>
      </c>
    </row>
    <row r="129" spans="1:6" x14ac:dyDescent="0.25">
      <c r="A129" s="225">
        <v>2625</v>
      </c>
      <c r="B129" s="226" t="s">
        <v>498</v>
      </c>
      <c r="C129" s="227">
        <v>502072</v>
      </c>
      <c r="D129" s="227">
        <v>649417</v>
      </c>
      <c r="E129" s="227">
        <v>602513</v>
      </c>
      <c r="F129" s="227">
        <v>595934</v>
      </c>
    </row>
    <row r="130" spans="1:6" x14ac:dyDescent="0.25">
      <c r="A130" s="222">
        <v>2626</v>
      </c>
      <c r="B130" s="223" t="s">
        <v>499</v>
      </c>
      <c r="C130" s="230" t="s">
        <v>375</v>
      </c>
      <c r="D130" s="230" t="s">
        <v>375</v>
      </c>
      <c r="E130" s="224">
        <v>564884</v>
      </c>
      <c r="F130" s="230" t="s">
        <v>375</v>
      </c>
    </row>
    <row r="131" spans="1:6" x14ac:dyDescent="0.25">
      <c r="A131" s="225">
        <v>2627</v>
      </c>
      <c r="B131" s="226" t="s">
        <v>500</v>
      </c>
      <c r="C131" s="227">
        <v>584705</v>
      </c>
      <c r="D131" s="227">
        <v>562437</v>
      </c>
      <c r="E131" s="227">
        <v>551812</v>
      </c>
      <c r="F131" s="227">
        <v>527979</v>
      </c>
    </row>
    <row r="132" spans="1:6" x14ac:dyDescent="0.25">
      <c r="A132" s="222">
        <v>2628</v>
      </c>
      <c r="B132" s="223" t="s">
        <v>501</v>
      </c>
      <c r="C132" s="224">
        <v>395226</v>
      </c>
      <c r="D132" s="224">
        <v>512128</v>
      </c>
      <c r="E132" s="224">
        <v>544969</v>
      </c>
      <c r="F132" s="224">
        <v>737380</v>
      </c>
    </row>
    <row r="133" spans="1:6" x14ac:dyDescent="0.25">
      <c r="A133" s="225">
        <v>2629</v>
      </c>
      <c r="B133" s="226" t="s">
        <v>502</v>
      </c>
      <c r="C133" s="227">
        <v>444842</v>
      </c>
      <c r="D133" s="227">
        <v>553743</v>
      </c>
      <c r="E133" s="227">
        <v>611891</v>
      </c>
      <c r="F133" s="227">
        <v>699020</v>
      </c>
    </row>
    <row r="134" spans="1:6" x14ac:dyDescent="0.25">
      <c r="A134" s="222">
        <v>2711</v>
      </c>
      <c r="B134" s="223" t="s">
        <v>503</v>
      </c>
      <c r="C134" s="224">
        <v>289825</v>
      </c>
      <c r="D134" s="224">
        <v>316720</v>
      </c>
      <c r="E134" s="224">
        <v>330022</v>
      </c>
      <c r="F134" s="224">
        <v>359573</v>
      </c>
    </row>
    <row r="135" spans="1:6" x14ac:dyDescent="0.25">
      <c r="A135" s="225">
        <v>2712</v>
      </c>
      <c r="B135" s="226" t="s">
        <v>504</v>
      </c>
      <c r="C135" s="227">
        <v>349768</v>
      </c>
      <c r="D135" s="227">
        <v>388051</v>
      </c>
      <c r="E135" s="227">
        <v>429535</v>
      </c>
      <c r="F135" s="227">
        <v>459960</v>
      </c>
    </row>
    <row r="136" spans="1:6" x14ac:dyDescent="0.25">
      <c r="A136" s="222">
        <v>2713</v>
      </c>
      <c r="B136" s="223" t="s">
        <v>505</v>
      </c>
      <c r="C136" s="224">
        <v>329877</v>
      </c>
      <c r="D136" s="224">
        <v>368678</v>
      </c>
      <c r="E136" s="224">
        <v>387783</v>
      </c>
      <c r="F136" s="224">
        <v>416681</v>
      </c>
    </row>
    <row r="137" spans="1:6" x14ac:dyDescent="0.25">
      <c r="A137" s="225">
        <v>2714</v>
      </c>
      <c r="B137" s="226" t="s">
        <v>506</v>
      </c>
      <c r="C137" s="227">
        <v>335681</v>
      </c>
      <c r="D137" s="227">
        <v>376642</v>
      </c>
      <c r="E137" s="227">
        <v>410660</v>
      </c>
      <c r="F137" s="227">
        <v>398896</v>
      </c>
    </row>
    <row r="138" spans="1:6" x14ac:dyDescent="0.25">
      <c r="A138" s="222">
        <v>2715</v>
      </c>
      <c r="B138" s="223" t="s">
        <v>507</v>
      </c>
      <c r="C138" s="224">
        <v>377980</v>
      </c>
      <c r="D138" s="224">
        <v>477367</v>
      </c>
      <c r="E138" s="224">
        <v>564876</v>
      </c>
      <c r="F138" s="224">
        <v>579142</v>
      </c>
    </row>
    <row r="139" spans="1:6" x14ac:dyDescent="0.25">
      <c r="A139" s="225">
        <v>2716</v>
      </c>
      <c r="B139" s="226" t="s">
        <v>508</v>
      </c>
      <c r="C139" s="227">
        <v>411996</v>
      </c>
      <c r="D139" s="227">
        <v>546150</v>
      </c>
      <c r="E139" s="227">
        <v>614764</v>
      </c>
      <c r="F139" s="227">
        <v>604495</v>
      </c>
    </row>
    <row r="140" spans="1:6" x14ac:dyDescent="0.25">
      <c r="A140" s="222">
        <v>2717</v>
      </c>
      <c r="B140" s="223" t="s">
        <v>509</v>
      </c>
      <c r="C140" s="224">
        <v>431230</v>
      </c>
      <c r="D140" s="224">
        <v>583958</v>
      </c>
      <c r="E140" s="224">
        <v>763458</v>
      </c>
      <c r="F140" s="224">
        <v>722754</v>
      </c>
    </row>
    <row r="141" spans="1:6" x14ac:dyDescent="0.25">
      <c r="A141" s="225">
        <v>2719</v>
      </c>
      <c r="B141" s="226" t="s">
        <v>510</v>
      </c>
      <c r="C141" s="227">
        <v>397990</v>
      </c>
      <c r="D141" s="227">
        <v>481426</v>
      </c>
      <c r="E141" s="227">
        <v>529534</v>
      </c>
      <c r="F141" s="227">
        <v>561464</v>
      </c>
    </row>
    <row r="142" spans="1:6" x14ac:dyDescent="0.25">
      <c r="A142" s="222">
        <v>2721</v>
      </c>
      <c r="B142" s="223" t="s">
        <v>511</v>
      </c>
      <c r="C142" s="224">
        <v>423948</v>
      </c>
      <c r="D142" s="224">
        <v>560586</v>
      </c>
      <c r="E142" s="224">
        <v>663961</v>
      </c>
      <c r="F142" s="230" t="s">
        <v>375</v>
      </c>
    </row>
    <row r="143" spans="1:6" x14ac:dyDescent="0.25">
      <c r="A143" s="225">
        <v>2723</v>
      </c>
      <c r="B143" s="226" t="s">
        <v>512</v>
      </c>
      <c r="C143" s="227">
        <v>476149</v>
      </c>
      <c r="D143" s="227">
        <v>500596</v>
      </c>
      <c r="E143" s="227">
        <v>599344</v>
      </c>
      <c r="F143" s="228" t="s">
        <v>375</v>
      </c>
    </row>
    <row r="144" spans="1:6" x14ac:dyDescent="0.25">
      <c r="A144" s="222">
        <v>2724</v>
      </c>
      <c r="B144" s="223" t="s">
        <v>513</v>
      </c>
      <c r="C144" s="224">
        <v>378123</v>
      </c>
      <c r="D144" s="224">
        <v>440789</v>
      </c>
      <c r="E144" s="224">
        <v>516714</v>
      </c>
      <c r="F144" s="224">
        <v>545274</v>
      </c>
    </row>
    <row r="145" spans="1:6" x14ac:dyDescent="0.25">
      <c r="A145" s="225">
        <v>2725</v>
      </c>
      <c r="B145" s="226" t="s">
        <v>514</v>
      </c>
      <c r="C145" s="227">
        <v>392802</v>
      </c>
      <c r="D145" s="227">
        <v>512113</v>
      </c>
      <c r="E145" s="227">
        <v>598151</v>
      </c>
      <c r="F145" s="227">
        <v>540554</v>
      </c>
    </row>
    <row r="146" spans="1:6" x14ac:dyDescent="0.25">
      <c r="A146" s="222">
        <v>2726</v>
      </c>
      <c r="B146" s="223" t="s">
        <v>515</v>
      </c>
      <c r="C146" s="224">
        <v>351012</v>
      </c>
      <c r="D146" s="224">
        <v>391189</v>
      </c>
      <c r="E146" s="224">
        <v>441676</v>
      </c>
      <c r="F146" s="224">
        <v>476830</v>
      </c>
    </row>
    <row r="147" spans="1:6" x14ac:dyDescent="0.25">
      <c r="A147" s="225">
        <v>2727</v>
      </c>
      <c r="B147" s="226" t="s">
        <v>516</v>
      </c>
      <c r="C147" s="227">
        <v>413069</v>
      </c>
      <c r="D147" s="227">
        <v>459621</v>
      </c>
      <c r="E147" s="227">
        <v>526087</v>
      </c>
      <c r="F147" s="228" t="s">
        <v>375</v>
      </c>
    </row>
    <row r="148" spans="1:6" x14ac:dyDescent="0.25">
      <c r="A148" s="222">
        <v>2729</v>
      </c>
      <c r="B148" s="223" t="s">
        <v>517</v>
      </c>
      <c r="C148" s="230" t="s">
        <v>375</v>
      </c>
      <c r="D148" s="224">
        <v>450250</v>
      </c>
      <c r="E148" s="224">
        <v>628417</v>
      </c>
      <c r="F148" s="224">
        <v>588305</v>
      </c>
    </row>
    <row r="149" spans="1:6" x14ac:dyDescent="0.25">
      <c r="A149" s="225">
        <v>2910</v>
      </c>
      <c r="B149" s="226" t="s">
        <v>518</v>
      </c>
      <c r="C149" s="227">
        <v>521195</v>
      </c>
      <c r="D149" s="227">
        <v>652117</v>
      </c>
      <c r="E149" s="227">
        <v>657296</v>
      </c>
      <c r="F149" s="227">
        <v>639081</v>
      </c>
    </row>
    <row r="150" spans="1:6" x14ac:dyDescent="0.25">
      <c r="A150" s="222">
        <v>3111</v>
      </c>
      <c r="B150" s="223" t="s">
        <v>519</v>
      </c>
      <c r="C150" s="230" t="s">
        <v>375</v>
      </c>
      <c r="D150" s="231" t="s">
        <v>375</v>
      </c>
      <c r="E150" s="224">
        <v>464801</v>
      </c>
      <c r="F150" s="224">
        <v>432524</v>
      </c>
    </row>
    <row r="151" spans="1:6" x14ac:dyDescent="0.25">
      <c r="A151" s="225">
        <v>3112</v>
      </c>
      <c r="B151" s="226" t="s">
        <v>520</v>
      </c>
      <c r="C151" s="229" t="s">
        <v>375</v>
      </c>
      <c r="D151" s="227">
        <v>499361</v>
      </c>
      <c r="E151" s="227">
        <v>578884</v>
      </c>
      <c r="F151" s="227">
        <v>595565</v>
      </c>
    </row>
    <row r="152" spans="1:6" x14ac:dyDescent="0.25">
      <c r="A152" s="222">
        <v>3113</v>
      </c>
      <c r="B152" s="223" t="s">
        <v>521</v>
      </c>
      <c r="C152" s="224">
        <v>403465</v>
      </c>
      <c r="D152" s="224">
        <v>447206</v>
      </c>
      <c r="E152" s="224">
        <v>456693</v>
      </c>
      <c r="F152" s="224">
        <v>421070</v>
      </c>
    </row>
    <row r="153" spans="1:6" x14ac:dyDescent="0.25">
      <c r="A153" s="225">
        <v>3114</v>
      </c>
      <c r="B153" s="226" t="s">
        <v>522</v>
      </c>
      <c r="C153" s="227">
        <v>316941</v>
      </c>
      <c r="D153" s="227">
        <v>363469</v>
      </c>
      <c r="E153" s="227">
        <v>389132</v>
      </c>
      <c r="F153" s="227">
        <v>415132</v>
      </c>
    </row>
    <row r="154" spans="1:6" x14ac:dyDescent="0.25">
      <c r="A154" s="222">
        <v>3115</v>
      </c>
      <c r="B154" s="223" t="s">
        <v>523</v>
      </c>
      <c r="C154" s="224">
        <v>408787</v>
      </c>
      <c r="D154" s="224">
        <v>459783</v>
      </c>
      <c r="E154" s="224">
        <v>465524</v>
      </c>
      <c r="F154" s="224">
        <v>473340</v>
      </c>
    </row>
    <row r="155" spans="1:6" x14ac:dyDescent="0.25">
      <c r="A155" s="225">
        <v>3116</v>
      </c>
      <c r="B155" s="226" t="s">
        <v>524</v>
      </c>
      <c r="C155" s="227">
        <v>454896</v>
      </c>
      <c r="D155" s="227">
        <v>550154</v>
      </c>
      <c r="E155" s="227">
        <v>567862</v>
      </c>
      <c r="F155" s="227">
        <v>522164</v>
      </c>
    </row>
    <row r="156" spans="1:6" x14ac:dyDescent="0.25">
      <c r="A156" s="222">
        <v>3117</v>
      </c>
      <c r="B156" s="223" t="s">
        <v>525</v>
      </c>
      <c r="C156" s="224">
        <v>363045</v>
      </c>
      <c r="D156" s="224">
        <v>469234</v>
      </c>
      <c r="E156" s="224">
        <v>503613</v>
      </c>
      <c r="F156" s="224">
        <v>505775</v>
      </c>
    </row>
    <row r="157" spans="1:6" x14ac:dyDescent="0.25">
      <c r="A157" s="225">
        <v>3121</v>
      </c>
      <c r="B157" s="226" t="s">
        <v>526</v>
      </c>
      <c r="C157" s="227">
        <v>471807</v>
      </c>
      <c r="D157" s="227">
        <v>585579</v>
      </c>
      <c r="E157" s="227">
        <v>621138</v>
      </c>
      <c r="F157" s="227">
        <v>645447</v>
      </c>
    </row>
    <row r="158" spans="1:6" x14ac:dyDescent="0.25">
      <c r="A158" s="222">
        <v>3122</v>
      </c>
      <c r="B158" s="223" t="s">
        <v>527</v>
      </c>
      <c r="C158" s="224">
        <v>443355</v>
      </c>
      <c r="D158" s="224">
        <v>505342</v>
      </c>
      <c r="E158" s="224">
        <v>554430</v>
      </c>
      <c r="F158" s="224">
        <v>548430</v>
      </c>
    </row>
    <row r="159" spans="1:6" x14ac:dyDescent="0.25">
      <c r="A159" s="225">
        <v>3131</v>
      </c>
      <c r="B159" s="226" t="s">
        <v>528</v>
      </c>
      <c r="C159" s="227">
        <v>363306</v>
      </c>
      <c r="D159" s="227">
        <v>421281</v>
      </c>
      <c r="E159" s="227">
        <v>463004</v>
      </c>
      <c r="F159" s="227">
        <v>445779</v>
      </c>
    </row>
    <row r="160" spans="1:6" x14ac:dyDescent="0.25">
      <c r="A160" s="222">
        <v>3132</v>
      </c>
      <c r="B160" s="223" t="s">
        <v>529</v>
      </c>
      <c r="C160" s="224">
        <v>340869</v>
      </c>
      <c r="D160" s="224">
        <v>393853</v>
      </c>
      <c r="E160" s="224">
        <v>432697</v>
      </c>
      <c r="F160" s="224">
        <v>442826</v>
      </c>
    </row>
    <row r="161" spans="1:6" x14ac:dyDescent="0.25">
      <c r="A161" s="225">
        <v>3133</v>
      </c>
      <c r="B161" s="226" t="s">
        <v>530</v>
      </c>
      <c r="C161" s="227">
        <v>374348</v>
      </c>
      <c r="D161" s="227">
        <v>443576</v>
      </c>
      <c r="E161" s="227">
        <v>432602</v>
      </c>
      <c r="F161" s="227">
        <v>392421</v>
      </c>
    </row>
    <row r="162" spans="1:6" x14ac:dyDescent="0.25">
      <c r="A162" s="222">
        <v>3134</v>
      </c>
      <c r="B162" s="223" t="s">
        <v>531</v>
      </c>
      <c r="C162" s="224">
        <v>361327</v>
      </c>
      <c r="D162" s="224">
        <v>408982</v>
      </c>
      <c r="E162" s="224">
        <v>457456</v>
      </c>
      <c r="F162" s="224">
        <v>427908</v>
      </c>
    </row>
    <row r="163" spans="1:6" x14ac:dyDescent="0.25">
      <c r="A163" s="225">
        <v>3135</v>
      </c>
      <c r="B163" s="226" t="s">
        <v>532</v>
      </c>
      <c r="C163" s="227">
        <v>412268</v>
      </c>
      <c r="D163" s="227">
        <v>458336</v>
      </c>
      <c r="E163" s="227">
        <v>468305</v>
      </c>
      <c r="F163" s="227">
        <v>446475</v>
      </c>
    </row>
    <row r="164" spans="1:6" x14ac:dyDescent="0.25">
      <c r="A164" s="222">
        <v>3136</v>
      </c>
      <c r="B164" s="223" t="s">
        <v>533</v>
      </c>
      <c r="C164" s="224">
        <v>391194</v>
      </c>
      <c r="D164" s="224">
        <v>466190</v>
      </c>
      <c r="E164" s="224">
        <v>479189</v>
      </c>
      <c r="F164" s="224">
        <v>438818</v>
      </c>
    </row>
    <row r="165" spans="1:6" x14ac:dyDescent="0.25">
      <c r="A165" s="225">
        <v>3139</v>
      </c>
      <c r="B165" s="226" t="s">
        <v>534</v>
      </c>
      <c r="C165" s="227">
        <v>454606</v>
      </c>
      <c r="D165" s="227">
        <v>537986</v>
      </c>
      <c r="E165" s="227">
        <v>551541</v>
      </c>
      <c r="F165" s="227">
        <v>496193</v>
      </c>
    </row>
    <row r="166" spans="1:6" x14ac:dyDescent="0.25">
      <c r="A166" s="222">
        <v>3141</v>
      </c>
      <c r="B166" s="223" t="s">
        <v>535</v>
      </c>
      <c r="C166" s="224">
        <v>463225</v>
      </c>
      <c r="D166" s="224">
        <v>625556</v>
      </c>
      <c r="E166" s="224">
        <v>661930</v>
      </c>
      <c r="F166" s="224">
        <v>615114</v>
      </c>
    </row>
    <row r="167" spans="1:6" x14ac:dyDescent="0.25">
      <c r="A167" s="225">
        <v>3142</v>
      </c>
      <c r="B167" s="226" t="s">
        <v>536</v>
      </c>
      <c r="C167" s="227">
        <v>483339</v>
      </c>
      <c r="D167" s="227">
        <v>623462</v>
      </c>
      <c r="E167" s="227">
        <v>677444</v>
      </c>
      <c r="F167" s="227">
        <v>575697</v>
      </c>
    </row>
    <row r="168" spans="1:6" x14ac:dyDescent="0.25">
      <c r="A168" s="222">
        <v>3143</v>
      </c>
      <c r="B168" s="223" t="s">
        <v>537</v>
      </c>
      <c r="C168" s="224">
        <v>464769</v>
      </c>
      <c r="D168" s="224">
        <v>594438</v>
      </c>
      <c r="E168" s="224">
        <v>650486</v>
      </c>
      <c r="F168" s="224">
        <v>574801</v>
      </c>
    </row>
    <row r="169" spans="1:6" x14ac:dyDescent="0.25">
      <c r="A169" s="225">
        <v>3144</v>
      </c>
      <c r="B169" s="226" t="s">
        <v>538</v>
      </c>
      <c r="C169" s="227">
        <v>421654</v>
      </c>
      <c r="D169" s="227">
        <v>493495</v>
      </c>
      <c r="E169" s="227">
        <v>579626</v>
      </c>
      <c r="F169" s="227">
        <v>467361</v>
      </c>
    </row>
    <row r="170" spans="1:6" x14ac:dyDescent="0.25">
      <c r="A170" s="222">
        <v>3145</v>
      </c>
      <c r="B170" s="223" t="s">
        <v>539</v>
      </c>
      <c r="C170" s="224">
        <v>435267</v>
      </c>
      <c r="D170" s="224">
        <v>502149</v>
      </c>
      <c r="E170" s="224">
        <v>503143</v>
      </c>
      <c r="F170" s="224">
        <v>455703</v>
      </c>
    </row>
    <row r="171" spans="1:6" x14ac:dyDescent="0.25">
      <c r="A171" s="225">
        <v>3146</v>
      </c>
      <c r="B171" s="226" t="s">
        <v>540</v>
      </c>
      <c r="C171" s="227">
        <v>437142</v>
      </c>
      <c r="D171" s="227">
        <v>520813</v>
      </c>
      <c r="E171" s="227">
        <v>571583</v>
      </c>
      <c r="F171" s="227">
        <v>563052</v>
      </c>
    </row>
    <row r="172" spans="1:6" x14ac:dyDescent="0.25">
      <c r="A172" s="222">
        <v>3151</v>
      </c>
      <c r="B172" s="223" t="s">
        <v>541</v>
      </c>
      <c r="C172" s="230" t="s">
        <v>375</v>
      </c>
      <c r="D172" s="224">
        <v>771949</v>
      </c>
      <c r="E172" s="224">
        <v>705522</v>
      </c>
      <c r="F172" s="224">
        <v>660918</v>
      </c>
    </row>
    <row r="173" spans="1:6" x14ac:dyDescent="0.25">
      <c r="A173" s="225">
        <v>3152</v>
      </c>
      <c r="B173" s="226" t="s">
        <v>542</v>
      </c>
      <c r="C173" s="228" t="s">
        <v>375</v>
      </c>
      <c r="D173" s="227">
        <v>424871</v>
      </c>
      <c r="E173" s="227">
        <v>460286</v>
      </c>
      <c r="F173" s="227">
        <v>414136</v>
      </c>
    </row>
    <row r="174" spans="1:6" x14ac:dyDescent="0.25">
      <c r="A174" s="222">
        <v>3153</v>
      </c>
      <c r="B174" s="223" t="s">
        <v>543</v>
      </c>
      <c r="C174" s="224">
        <v>566362</v>
      </c>
      <c r="D174" s="224">
        <v>561804</v>
      </c>
      <c r="E174" s="224">
        <v>552192</v>
      </c>
      <c r="F174" s="224">
        <v>485867</v>
      </c>
    </row>
    <row r="175" spans="1:6" x14ac:dyDescent="0.25">
      <c r="A175" s="225">
        <v>3155</v>
      </c>
      <c r="B175" s="226" t="s">
        <v>544</v>
      </c>
      <c r="C175" s="227">
        <v>416594</v>
      </c>
      <c r="D175" s="227">
        <v>499329</v>
      </c>
      <c r="E175" s="227">
        <v>525429</v>
      </c>
      <c r="F175" s="227">
        <v>474189</v>
      </c>
    </row>
    <row r="176" spans="1:6" x14ac:dyDescent="0.25">
      <c r="A176" s="222">
        <v>3159</v>
      </c>
      <c r="B176" s="223" t="s">
        <v>545</v>
      </c>
      <c r="C176" s="224">
        <v>454697</v>
      </c>
      <c r="D176" s="224">
        <v>474375</v>
      </c>
      <c r="E176" s="224">
        <v>471066</v>
      </c>
      <c r="F176" s="224">
        <v>451135</v>
      </c>
    </row>
    <row r="177" spans="1:6" x14ac:dyDescent="0.25">
      <c r="A177" s="225">
        <v>3161</v>
      </c>
      <c r="B177" s="226" t="s">
        <v>546</v>
      </c>
      <c r="C177" s="227">
        <v>460425</v>
      </c>
      <c r="D177" s="227">
        <v>558957</v>
      </c>
      <c r="E177" s="227">
        <v>549629</v>
      </c>
      <c r="F177" s="227">
        <v>497250</v>
      </c>
    </row>
    <row r="178" spans="1:6" x14ac:dyDescent="0.25">
      <c r="A178" s="222">
        <v>3162</v>
      </c>
      <c r="B178" s="223" t="s">
        <v>547</v>
      </c>
      <c r="C178" s="224">
        <v>532241</v>
      </c>
      <c r="D178" s="224">
        <v>638930</v>
      </c>
      <c r="E178" s="224">
        <v>587815</v>
      </c>
      <c r="F178" s="224">
        <v>556723</v>
      </c>
    </row>
    <row r="179" spans="1:6" x14ac:dyDescent="0.25">
      <c r="A179" s="225">
        <v>3163</v>
      </c>
      <c r="B179" s="226" t="s">
        <v>548</v>
      </c>
      <c r="C179" s="227">
        <v>427663</v>
      </c>
      <c r="D179" s="227">
        <v>541970</v>
      </c>
      <c r="E179" s="227">
        <v>591822</v>
      </c>
      <c r="F179" s="227">
        <v>549861</v>
      </c>
    </row>
    <row r="180" spans="1:6" x14ac:dyDescent="0.25">
      <c r="A180" s="222">
        <v>3171</v>
      </c>
      <c r="B180" s="223" t="s">
        <v>549</v>
      </c>
      <c r="C180" s="230" t="s">
        <v>375</v>
      </c>
      <c r="D180" s="230" t="s">
        <v>375</v>
      </c>
      <c r="E180" s="230" t="s">
        <v>375</v>
      </c>
      <c r="F180" s="224">
        <v>460665</v>
      </c>
    </row>
    <row r="181" spans="1:6" x14ac:dyDescent="0.25">
      <c r="A181" s="225">
        <v>3172</v>
      </c>
      <c r="B181" s="226" t="s">
        <v>550</v>
      </c>
      <c r="C181" s="229" t="s">
        <v>375</v>
      </c>
      <c r="D181" s="227">
        <v>691698</v>
      </c>
      <c r="E181" s="227">
        <v>1062660</v>
      </c>
      <c r="F181" s="227">
        <v>1216011</v>
      </c>
    </row>
    <row r="182" spans="1:6" x14ac:dyDescent="0.25">
      <c r="A182" s="222">
        <v>3173</v>
      </c>
      <c r="B182" s="223" t="s">
        <v>551</v>
      </c>
      <c r="C182" s="224">
        <v>839517</v>
      </c>
      <c r="D182" s="224">
        <v>1803967</v>
      </c>
      <c r="E182" s="224">
        <v>2107173</v>
      </c>
      <c r="F182" s="224">
        <v>2769239</v>
      </c>
    </row>
    <row r="183" spans="1:6" x14ac:dyDescent="0.25">
      <c r="A183" s="225">
        <v>3190</v>
      </c>
      <c r="B183" s="226" t="s">
        <v>552</v>
      </c>
      <c r="C183" s="227">
        <v>446064</v>
      </c>
      <c r="D183" s="227">
        <v>523041</v>
      </c>
      <c r="E183" s="227">
        <v>528488</v>
      </c>
      <c r="F183" s="227">
        <v>476317</v>
      </c>
    </row>
    <row r="184" spans="1:6" x14ac:dyDescent="0.25">
      <c r="A184" s="222">
        <v>3211</v>
      </c>
      <c r="B184" s="223" t="s">
        <v>553</v>
      </c>
      <c r="C184" s="230" t="s">
        <v>375</v>
      </c>
      <c r="D184" s="230" t="s">
        <v>375</v>
      </c>
      <c r="E184" s="224">
        <v>610153</v>
      </c>
      <c r="F184" s="224">
        <v>738499</v>
      </c>
    </row>
    <row r="185" spans="1:6" x14ac:dyDescent="0.25">
      <c r="A185" s="225">
        <v>3212</v>
      </c>
      <c r="B185" s="226" t="s">
        <v>554</v>
      </c>
      <c r="C185" s="227">
        <v>517664</v>
      </c>
      <c r="D185" s="227">
        <v>581918</v>
      </c>
      <c r="E185" s="227">
        <v>595223</v>
      </c>
      <c r="F185" s="227">
        <v>555910</v>
      </c>
    </row>
    <row r="186" spans="1:6" x14ac:dyDescent="0.25">
      <c r="A186" s="222">
        <v>3213</v>
      </c>
      <c r="B186" s="223" t="s">
        <v>555</v>
      </c>
      <c r="C186" s="224">
        <v>479539</v>
      </c>
      <c r="D186" s="224">
        <v>583711</v>
      </c>
      <c r="E186" s="224">
        <v>578613</v>
      </c>
      <c r="F186" s="224">
        <v>556813</v>
      </c>
    </row>
    <row r="187" spans="1:6" x14ac:dyDescent="0.25">
      <c r="A187" s="225">
        <v>3221</v>
      </c>
      <c r="B187" s="226" t="s">
        <v>556</v>
      </c>
      <c r="C187" s="227">
        <v>420773</v>
      </c>
      <c r="D187" s="227">
        <v>518067</v>
      </c>
      <c r="E187" s="227">
        <v>549286</v>
      </c>
      <c r="F187" s="227">
        <v>540597</v>
      </c>
    </row>
    <row r="188" spans="1:6" x14ac:dyDescent="0.25">
      <c r="A188" s="222">
        <v>3222</v>
      </c>
      <c r="B188" s="223" t="s">
        <v>557</v>
      </c>
      <c r="C188" s="224">
        <v>341258</v>
      </c>
      <c r="D188" s="224">
        <v>395907</v>
      </c>
      <c r="E188" s="224">
        <v>382016</v>
      </c>
      <c r="F188" s="224">
        <v>392893</v>
      </c>
    </row>
    <row r="189" spans="1:6" x14ac:dyDescent="0.25">
      <c r="A189" s="225">
        <v>3311</v>
      </c>
      <c r="B189" s="226" t="s">
        <v>558</v>
      </c>
      <c r="C189" s="227">
        <v>436675</v>
      </c>
      <c r="D189" s="227">
        <v>458754</v>
      </c>
      <c r="E189" s="227">
        <v>497476</v>
      </c>
      <c r="F189" s="227">
        <v>520268</v>
      </c>
    </row>
    <row r="190" spans="1:6" x14ac:dyDescent="0.25">
      <c r="A190" s="222">
        <v>3312</v>
      </c>
      <c r="B190" s="223" t="s">
        <v>559</v>
      </c>
      <c r="C190" s="230" t="s">
        <v>375</v>
      </c>
      <c r="D190" s="230" t="s">
        <v>375</v>
      </c>
      <c r="E190" s="224">
        <v>490727</v>
      </c>
      <c r="F190" s="224">
        <v>520429</v>
      </c>
    </row>
    <row r="191" spans="1:6" x14ac:dyDescent="0.25">
      <c r="A191" s="225">
        <v>3321</v>
      </c>
      <c r="B191" s="226" t="s">
        <v>560</v>
      </c>
      <c r="C191" s="227">
        <v>387070</v>
      </c>
      <c r="D191" s="227">
        <v>417163</v>
      </c>
      <c r="E191" s="227">
        <v>482259</v>
      </c>
      <c r="F191" s="227">
        <v>522828</v>
      </c>
    </row>
    <row r="192" spans="1:6" x14ac:dyDescent="0.25">
      <c r="A192" s="222">
        <v>3322</v>
      </c>
      <c r="B192" s="223" t="s">
        <v>561</v>
      </c>
      <c r="C192" s="224">
        <v>318414</v>
      </c>
      <c r="D192" s="224">
        <v>328466</v>
      </c>
      <c r="E192" s="224">
        <v>354007</v>
      </c>
      <c r="F192" s="224">
        <v>393405</v>
      </c>
    </row>
    <row r="193" spans="1:10" x14ac:dyDescent="0.25">
      <c r="A193" s="225">
        <v>3323</v>
      </c>
      <c r="B193" s="226" t="s">
        <v>562</v>
      </c>
      <c r="C193" s="227">
        <v>500805</v>
      </c>
      <c r="D193" s="227">
        <v>548972</v>
      </c>
      <c r="E193" s="227">
        <v>542304</v>
      </c>
      <c r="F193" s="227">
        <v>603895</v>
      </c>
    </row>
    <row r="194" spans="1:10" x14ac:dyDescent="0.25">
      <c r="A194" s="222">
        <v>3324</v>
      </c>
      <c r="B194" s="223" t="s">
        <v>563</v>
      </c>
      <c r="C194" s="224">
        <v>425671</v>
      </c>
      <c r="D194" s="224">
        <v>471723</v>
      </c>
      <c r="E194" s="224">
        <v>513228</v>
      </c>
      <c r="F194" s="224">
        <v>564747</v>
      </c>
    </row>
    <row r="195" spans="1:10" x14ac:dyDescent="0.25">
      <c r="A195" s="225">
        <v>3325</v>
      </c>
      <c r="B195" s="226" t="s">
        <v>564</v>
      </c>
      <c r="C195" s="227">
        <v>270368</v>
      </c>
      <c r="D195" s="227">
        <v>284377</v>
      </c>
      <c r="E195" s="227">
        <v>324718</v>
      </c>
      <c r="F195" s="227">
        <v>368361</v>
      </c>
    </row>
    <row r="196" spans="1:10" x14ac:dyDescent="0.25">
      <c r="A196" s="222">
        <v>3326</v>
      </c>
      <c r="B196" s="223" t="s">
        <v>565</v>
      </c>
      <c r="C196" s="224">
        <v>320993</v>
      </c>
      <c r="D196" s="224">
        <v>354892</v>
      </c>
      <c r="E196" s="224">
        <v>370094</v>
      </c>
      <c r="F196" s="224">
        <v>384804</v>
      </c>
    </row>
    <row r="197" spans="1:10" x14ac:dyDescent="0.25">
      <c r="A197" s="225">
        <v>3331</v>
      </c>
      <c r="B197" s="226" t="s">
        <v>566</v>
      </c>
      <c r="C197" s="228" t="s">
        <v>375</v>
      </c>
      <c r="D197" s="228" t="s">
        <v>375</v>
      </c>
      <c r="E197" s="227">
        <v>488899</v>
      </c>
      <c r="F197" s="227">
        <v>478744</v>
      </c>
    </row>
    <row r="198" spans="1:10" x14ac:dyDescent="0.25">
      <c r="A198" s="222">
        <v>3332</v>
      </c>
      <c r="B198" s="223" t="s">
        <v>567</v>
      </c>
      <c r="C198" s="224">
        <v>292932</v>
      </c>
      <c r="D198" s="224">
        <v>292851</v>
      </c>
      <c r="E198" s="224">
        <v>314312</v>
      </c>
      <c r="F198" s="224">
        <v>362860</v>
      </c>
    </row>
    <row r="199" spans="1:10" x14ac:dyDescent="0.25">
      <c r="A199" s="225">
        <v>3333</v>
      </c>
      <c r="B199" s="226" t="s">
        <v>568</v>
      </c>
      <c r="C199" s="227">
        <v>238393</v>
      </c>
      <c r="D199" s="227">
        <v>256098</v>
      </c>
      <c r="E199" s="227">
        <v>257339</v>
      </c>
      <c r="F199" s="227">
        <v>270302</v>
      </c>
    </row>
    <row r="200" spans="1:10" x14ac:dyDescent="0.25">
      <c r="A200" s="222">
        <v>3334</v>
      </c>
      <c r="B200" s="223" t="s">
        <v>569</v>
      </c>
      <c r="C200" s="231" t="s">
        <v>375</v>
      </c>
      <c r="D200" s="224">
        <v>343783</v>
      </c>
      <c r="E200" s="224">
        <v>298240</v>
      </c>
      <c r="F200" s="224">
        <v>332824</v>
      </c>
    </row>
    <row r="201" spans="1:10" x14ac:dyDescent="0.25">
      <c r="A201" s="225">
        <v>3335</v>
      </c>
      <c r="B201" s="226" t="s">
        <v>570</v>
      </c>
      <c r="C201" s="227">
        <v>243871</v>
      </c>
      <c r="D201" s="227">
        <v>263458</v>
      </c>
      <c r="E201" s="227">
        <v>280262</v>
      </c>
      <c r="F201" s="227">
        <v>258781</v>
      </c>
    </row>
    <row r="202" spans="1:10" x14ac:dyDescent="0.25">
      <c r="A202" s="222">
        <v>3339</v>
      </c>
      <c r="B202" s="223" t="s">
        <v>571</v>
      </c>
      <c r="C202" s="224">
        <v>401795</v>
      </c>
      <c r="D202" s="224">
        <v>544707</v>
      </c>
      <c r="E202" s="224">
        <v>529397</v>
      </c>
      <c r="F202" s="224">
        <v>534469</v>
      </c>
    </row>
    <row r="203" spans="1:10" x14ac:dyDescent="0.25">
      <c r="A203" s="225">
        <v>3341</v>
      </c>
      <c r="B203" s="226" t="s">
        <v>572</v>
      </c>
      <c r="C203" s="227">
        <v>266967</v>
      </c>
      <c r="D203" s="227">
        <v>304272</v>
      </c>
      <c r="E203" s="227">
        <v>325227</v>
      </c>
      <c r="F203" s="227">
        <v>375343</v>
      </c>
    </row>
    <row r="204" spans="1:10" x14ac:dyDescent="0.25">
      <c r="A204" s="222">
        <v>3342</v>
      </c>
      <c r="B204" s="223" t="s">
        <v>573</v>
      </c>
      <c r="C204" s="230" t="s">
        <v>375</v>
      </c>
      <c r="D204" s="230" t="s">
        <v>375</v>
      </c>
      <c r="E204" s="230" t="s">
        <v>375</v>
      </c>
      <c r="F204" s="224">
        <v>263206</v>
      </c>
    </row>
    <row r="205" spans="1:10" x14ac:dyDescent="0.25">
      <c r="A205" s="225">
        <v>3410</v>
      </c>
      <c r="B205" s="226" t="s">
        <v>574</v>
      </c>
      <c r="C205" s="227">
        <v>255094</v>
      </c>
      <c r="D205" s="227">
        <v>257811</v>
      </c>
      <c r="E205" s="227">
        <v>263936</v>
      </c>
      <c r="F205" s="227">
        <v>282107</v>
      </c>
      <c r="J205" s="216" t="s">
        <v>575</v>
      </c>
    </row>
    <row r="206" spans="1:10" x14ac:dyDescent="0.25">
      <c r="A206" s="222">
        <v>3511</v>
      </c>
      <c r="B206" s="223" t="s">
        <v>576</v>
      </c>
      <c r="C206" s="224">
        <v>271430</v>
      </c>
      <c r="D206" s="224">
        <v>284676</v>
      </c>
      <c r="E206" s="224">
        <v>301008</v>
      </c>
      <c r="F206" s="224">
        <v>303550</v>
      </c>
    </row>
    <row r="207" spans="1:10" x14ac:dyDescent="0.25">
      <c r="A207" s="225">
        <v>3513</v>
      </c>
      <c r="B207" s="226" t="s">
        <v>577</v>
      </c>
      <c r="C207" s="227">
        <v>293168</v>
      </c>
      <c r="D207" s="227">
        <v>290481</v>
      </c>
      <c r="E207" s="227">
        <v>303380</v>
      </c>
      <c r="F207" s="227">
        <v>318560</v>
      </c>
    </row>
    <row r="208" spans="1:10" x14ac:dyDescent="0.25">
      <c r="A208" s="222">
        <v>3514</v>
      </c>
      <c r="B208" s="223" t="s">
        <v>578</v>
      </c>
      <c r="C208" s="230" t="s">
        <v>375</v>
      </c>
      <c r="D208" s="230" t="s">
        <v>375</v>
      </c>
      <c r="E208" s="230" t="s">
        <v>375</v>
      </c>
      <c r="F208" s="230" t="s">
        <v>375</v>
      </c>
    </row>
    <row r="209" spans="1:10" x14ac:dyDescent="0.25">
      <c r="A209" s="225">
        <v>3515</v>
      </c>
      <c r="B209" s="226" t="s">
        <v>579</v>
      </c>
      <c r="C209" s="227">
        <v>283913</v>
      </c>
      <c r="D209" s="227">
        <v>290178</v>
      </c>
      <c r="E209" s="227">
        <v>302664</v>
      </c>
      <c r="F209" s="227">
        <v>316325</v>
      </c>
    </row>
    <row r="210" spans="1:10" x14ac:dyDescent="0.25">
      <c r="A210" s="222">
        <v>3520</v>
      </c>
      <c r="B210" s="223" t="s">
        <v>580</v>
      </c>
      <c r="C210" s="224">
        <v>398720</v>
      </c>
      <c r="D210" s="224">
        <v>414964</v>
      </c>
      <c r="E210" s="224">
        <v>439550</v>
      </c>
      <c r="F210" s="224">
        <v>451978</v>
      </c>
    </row>
    <row r="211" spans="1:10" x14ac:dyDescent="0.25">
      <c r="A211" s="225">
        <v>3611</v>
      </c>
      <c r="B211" s="226" t="s">
        <v>581</v>
      </c>
      <c r="C211" s="227">
        <v>408664</v>
      </c>
      <c r="D211" s="227">
        <v>477191</v>
      </c>
      <c r="E211" s="227">
        <v>455910</v>
      </c>
      <c r="F211" s="227">
        <v>430202</v>
      </c>
      <c r="J211" s="216" t="s">
        <v>582</v>
      </c>
    </row>
    <row r="212" spans="1:10" x14ac:dyDescent="0.25">
      <c r="A212" s="222">
        <v>3612</v>
      </c>
      <c r="B212" s="223" t="s">
        <v>583</v>
      </c>
      <c r="C212" s="224">
        <v>418146</v>
      </c>
      <c r="D212" s="224">
        <v>538766</v>
      </c>
      <c r="E212" s="224">
        <v>575487</v>
      </c>
      <c r="F212" s="224">
        <v>530399</v>
      </c>
    </row>
    <row r="213" spans="1:10" x14ac:dyDescent="0.25">
      <c r="A213" s="225">
        <v>3613</v>
      </c>
      <c r="B213" s="226" t="s">
        <v>584</v>
      </c>
      <c r="C213" s="227">
        <v>719212</v>
      </c>
      <c r="D213" s="227">
        <v>1233852</v>
      </c>
      <c r="E213" s="227">
        <v>1454450</v>
      </c>
      <c r="F213" s="227">
        <v>1133731</v>
      </c>
    </row>
    <row r="214" spans="1:10" x14ac:dyDescent="0.25">
      <c r="A214" s="222">
        <v>3614</v>
      </c>
      <c r="B214" s="223" t="s">
        <v>585</v>
      </c>
      <c r="C214" s="224">
        <v>459392</v>
      </c>
      <c r="D214" s="224">
        <v>548571</v>
      </c>
      <c r="E214" s="224">
        <v>508356</v>
      </c>
      <c r="F214" s="224">
        <v>466334</v>
      </c>
    </row>
    <row r="215" spans="1:10" x14ac:dyDescent="0.25">
      <c r="A215" s="225">
        <v>3615</v>
      </c>
      <c r="B215" s="226" t="s">
        <v>586</v>
      </c>
      <c r="C215" s="227">
        <v>461731</v>
      </c>
      <c r="D215" s="227">
        <v>546941</v>
      </c>
      <c r="E215" s="227">
        <v>489187</v>
      </c>
      <c r="F215" s="227">
        <v>437940</v>
      </c>
    </row>
    <row r="216" spans="1:10" x14ac:dyDescent="0.25">
      <c r="A216" s="222">
        <v>3616</v>
      </c>
      <c r="B216" s="223" t="s">
        <v>587</v>
      </c>
      <c r="C216" s="224">
        <v>366159</v>
      </c>
      <c r="D216" s="224">
        <v>421500</v>
      </c>
      <c r="E216" s="224">
        <v>439420</v>
      </c>
      <c r="F216" s="224">
        <v>419992</v>
      </c>
    </row>
    <row r="217" spans="1:10" x14ac:dyDescent="0.25">
      <c r="A217" s="225">
        <v>3621</v>
      </c>
      <c r="B217" s="226" t="s">
        <v>588</v>
      </c>
      <c r="C217" s="227">
        <v>409470</v>
      </c>
      <c r="D217" s="227">
        <v>504113</v>
      </c>
      <c r="E217" s="227">
        <v>551784</v>
      </c>
      <c r="F217" s="227">
        <v>604059</v>
      </c>
    </row>
    <row r="218" spans="1:10" x14ac:dyDescent="0.25">
      <c r="A218" s="222">
        <v>3622</v>
      </c>
      <c r="B218" s="223" t="s">
        <v>589</v>
      </c>
      <c r="C218" s="224">
        <v>417135</v>
      </c>
      <c r="D218" s="224">
        <v>491526</v>
      </c>
      <c r="E218" s="224">
        <v>496400</v>
      </c>
      <c r="F218" s="224">
        <v>476264</v>
      </c>
    </row>
    <row r="219" spans="1:10" x14ac:dyDescent="0.25">
      <c r="A219" s="225">
        <v>3623</v>
      </c>
      <c r="B219" s="226" t="s">
        <v>590</v>
      </c>
      <c r="C219" s="227">
        <v>461922</v>
      </c>
      <c r="D219" s="227">
        <v>557598</v>
      </c>
      <c r="E219" s="227">
        <v>540890</v>
      </c>
      <c r="F219" s="227">
        <v>436825</v>
      </c>
    </row>
    <row r="220" spans="1:10" x14ac:dyDescent="0.25">
      <c r="A220" s="222">
        <v>3624</v>
      </c>
      <c r="B220" s="223" t="s">
        <v>591</v>
      </c>
      <c r="C220" s="224">
        <v>472321</v>
      </c>
      <c r="D220" s="224">
        <v>592079</v>
      </c>
      <c r="E220" s="224">
        <v>645782</v>
      </c>
      <c r="F220" s="224">
        <v>615373</v>
      </c>
    </row>
    <row r="221" spans="1:10" x14ac:dyDescent="0.25">
      <c r="A221" s="225">
        <v>3631</v>
      </c>
      <c r="B221" s="226" t="s">
        <v>592</v>
      </c>
      <c r="C221" s="227">
        <v>352209</v>
      </c>
      <c r="D221" s="227">
        <v>430562</v>
      </c>
      <c r="E221" s="227">
        <v>424342</v>
      </c>
      <c r="F221" s="227">
        <v>410317</v>
      </c>
    </row>
    <row r="222" spans="1:10" x14ac:dyDescent="0.25">
      <c r="A222" s="222">
        <v>3632</v>
      </c>
      <c r="B222" s="223" t="s">
        <v>593</v>
      </c>
      <c r="C222" s="224">
        <v>430150</v>
      </c>
      <c r="D222" s="224">
        <v>541876</v>
      </c>
      <c r="E222" s="224">
        <v>572602</v>
      </c>
      <c r="F222" s="224">
        <v>514986</v>
      </c>
    </row>
    <row r="223" spans="1:10" x14ac:dyDescent="0.25">
      <c r="A223" s="225">
        <v>3633</v>
      </c>
      <c r="B223" s="226" t="s">
        <v>594</v>
      </c>
      <c r="C223" s="227">
        <v>526665</v>
      </c>
      <c r="D223" s="227">
        <v>603694</v>
      </c>
      <c r="E223" s="227">
        <v>586685</v>
      </c>
      <c r="F223" s="227">
        <v>482599</v>
      </c>
    </row>
    <row r="224" spans="1:10" x14ac:dyDescent="0.25">
      <c r="A224" s="222">
        <v>3639</v>
      </c>
      <c r="B224" s="223" t="s">
        <v>595</v>
      </c>
      <c r="C224" s="224">
        <v>433539</v>
      </c>
      <c r="D224" s="224">
        <v>540245</v>
      </c>
      <c r="E224" s="224">
        <v>522709</v>
      </c>
      <c r="F224" s="224">
        <v>464505</v>
      </c>
    </row>
    <row r="225" spans="1:6" x14ac:dyDescent="0.25">
      <c r="A225" s="225">
        <v>3641</v>
      </c>
      <c r="B225" s="226" t="s">
        <v>596</v>
      </c>
      <c r="C225" s="227">
        <v>414976</v>
      </c>
      <c r="D225" s="227">
        <v>467983</v>
      </c>
      <c r="E225" s="227">
        <v>494739</v>
      </c>
      <c r="F225" s="227">
        <v>480158</v>
      </c>
    </row>
    <row r="226" spans="1:6" x14ac:dyDescent="0.25">
      <c r="A226" s="222">
        <v>3642</v>
      </c>
      <c r="B226" s="223" t="s">
        <v>597</v>
      </c>
      <c r="C226" s="224">
        <v>392039</v>
      </c>
      <c r="D226" s="224">
        <v>492108</v>
      </c>
      <c r="E226" s="224">
        <v>495633</v>
      </c>
      <c r="F226" s="224">
        <v>444861</v>
      </c>
    </row>
    <row r="227" spans="1:6" x14ac:dyDescent="0.25">
      <c r="A227" s="225">
        <v>3649</v>
      </c>
      <c r="B227" s="226" t="s">
        <v>598</v>
      </c>
      <c r="C227" s="227">
        <v>366608</v>
      </c>
      <c r="D227" s="227">
        <v>410553</v>
      </c>
      <c r="E227" s="227">
        <v>421123</v>
      </c>
      <c r="F227" s="227">
        <v>427478</v>
      </c>
    </row>
    <row r="228" spans="1:6" x14ac:dyDescent="0.25">
      <c r="A228" s="222">
        <v>3651</v>
      </c>
      <c r="B228" s="223" t="s">
        <v>599</v>
      </c>
      <c r="C228" s="224">
        <v>429319</v>
      </c>
      <c r="D228" s="224">
        <v>503572</v>
      </c>
      <c r="E228" s="224">
        <v>599589</v>
      </c>
      <c r="F228" s="224">
        <v>669646</v>
      </c>
    </row>
    <row r="229" spans="1:6" x14ac:dyDescent="0.25">
      <c r="A229" s="225">
        <v>3652</v>
      </c>
      <c r="B229" s="226" t="s">
        <v>600</v>
      </c>
      <c r="C229" s="227">
        <v>423755</v>
      </c>
      <c r="D229" s="227">
        <v>511411</v>
      </c>
      <c r="E229" s="227">
        <v>559884</v>
      </c>
      <c r="F229" s="227">
        <v>595738</v>
      </c>
    </row>
    <row r="230" spans="1:6" x14ac:dyDescent="0.25">
      <c r="A230" s="222">
        <v>3653</v>
      </c>
      <c r="B230" s="223" t="s">
        <v>601</v>
      </c>
      <c r="C230" s="230" t="s">
        <v>375</v>
      </c>
      <c r="D230" s="224">
        <v>336928</v>
      </c>
      <c r="E230" s="224">
        <v>388442</v>
      </c>
      <c r="F230" s="224">
        <v>409044</v>
      </c>
    </row>
    <row r="231" spans="1:6" x14ac:dyDescent="0.25">
      <c r="A231" s="225">
        <v>3654</v>
      </c>
      <c r="B231" s="226" t="s">
        <v>602</v>
      </c>
      <c r="C231" s="229" t="s">
        <v>375</v>
      </c>
      <c r="D231" s="227">
        <v>380615</v>
      </c>
      <c r="E231" s="227">
        <v>422993</v>
      </c>
      <c r="F231" s="227">
        <v>517934</v>
      </c>
    </row>
    <row r="232" spans="1:6" x14ac:dyDescent="0.25">
      <c r="A232" s="222">
        <v>3655</v>
      </c>
      <c r="B232" s="223" t="s">
        <v>603</v>
      </c>
      <c r="C232" s="230" t="s">
        <v>375</v>
      </c>
      <c r="D232" s="224">
        <v>648651</v>
      </c>
      <c r="E232" s="224">
        <v>714067</v>
      </c>
      <c r="F232" s="224">
        <v>803622</v>
      </c>
    </row>
    <row r="233" spans="1:6" x14ac:dyDescent="0.25">
      <c r="A233" s="225">
        <v>3656</v>
      </c>
      <c r="B233" s="226" t="s">
        <v>604</v>
      </c>
      <c r="C233" s="228" t="s">
        <v>375</v>
      </c>
      <c r="D233" s="227">
        <v>510974</v>
      </c>
      <c r="E233" s="227">
        <v>559273</v>
      </c>
      <c r="F233" s="227">
        <v>600648</v>
      </c>
    </row>
    <row r="234" spans="1:6" x14ac:dyDescent="0.25">
      <c r="A234" s="222">
        <v>3659</v>
      </c>
      <c r="B234" s="223" t="s">
        <v>605</v>
      </c>
      <c r="C234" s="224">
        <v>332880</v>
      </c>
      <c r="D234" s="224">
        <v>407308</v>
      </c>
      <c r="E234" s="224">
        <v>485239</v>
      </c>
      <c r="F234" s="224">
        <v>571980</v>
      </c>
    </row>
    <row r="235" spans="1:6" x14ac:dyDescent="0.25">
      <c r="A235" s="225">
        <v>3711</v>
      </c>
      <c r="B235" s="226" t="s">
        <v>606</v>
      </c>
      <c r="C235" s="228" t="s">
        <v>375</v>
      </c>
      <c r="D235" s="228" t="s">
        <v>375</v>
      </c>
      <c r="E235" s="228" t="s">
        <v>375</v>
      </c>
      <c r="F235" s="228" t="s">
        <v>375</v>
      </c>
    </row>
    <row r="236" spans="1:6" x14ac:dyDescent="0.25">
      <c r="A236" s="222">
        <v>3712</v>
      </c>
      <c r="B236" s="223" t="s">
        <v>607</v>
      </c>
      <c r="C236" s="230" t="s">
        <v>375</v>
      </c>
      <c r="D236" s="230" t="s">
        <v>375</v>
      </c>
      <c r="E236" s="224">
        <v>476397</v>
      </c>
      <c r="F236" s="224">
        <v>447936</v>
      </c>
    </row>
    <row r="237" spans="1:6" x14ac:dyDescent="0.25">
      <c r="A237" s="225">
        <v>3713</v>
      </c>
      <c r="B237" s="226" t="s">
        <v>608</v>
      </c>
      <c r="C237" s="227">
        <v>341707</v>
      </c>
      <c r="D237" s="227">
        <v>447270</v>
      </c>
      <c r="E237" s="227">
        <v>412474</v>
      </c>
      <c r="F237" s="227">
        <v>380566</v>
      </c>
    </row>
    <row r="238" spans="1:6" x14ac:dyDescent="0.25">
      <c r="A238" s="222">
        <v>3714</v>
      </c>
      <c r="B238" s="223" t="s">
        <v>609</v>
      </c>
      <c r="C238" s="224">
        <v>325138</v>
      </c>
      <c r="D238" s="224">
        <v>369715</v>
      </c>
      <c r="E238" s="224">
        <v>390204</v>
      </c>
      <c r="F238" s="224">
        <v>409860</v>
      </c>
    </row>
    <row r="239" spans="1:6" x14ac:dyDescent="0.25">
      <c r="A239" s="225">
        <v>3715</v>
      </c>
      <c r="B239" s="226" t="s">
        <v>610</v>
      </c>
      <c r="C239" s="227">
        <v>381855</v>
      </c>
      <c r="D239" s="227">
        <v>468367</v>
      </c>
      <c r="E239" s="227">
        <v>515101</v>
      </c>
      <c r="F239" s="227">
        <v>518288</v>
      </c>
    </row>
    <row r="240" spans="1:6" x14ac:dyDescent="0.25">
      <c r="A240" s="222">
        <v>3716</v>
      </c>
      <c r="B240" s="223" t="s">
        <v>611</v>
      </c>
      <c r="C240" s="224">
        <v>292602</v>
      </c>
      <c r="D240" s="224">
        <v>328061</v>
      </c>
      <c r="E240" s="224">
        <v>317916</v>
      </c>
      <c r="F240" s="224">
        <v>308524</v>
      </c>
    </row>
    <row r="241" spans="1:10" x14ac:dyDescent="0.25">
      <c r="A241" s="225">
        <v>3717</v>
      </c>
      <c r="B241" s="226" t="s">
        <v>612</v>
      </c>
      <c r="C241" s="227">
        <v>305700</v>
      </c>
      <c r="D241" s="227">
        <v>307925</v>
      </c>
      <c r="E241" s="227">
        <v>317076</v>
      </c>
      <c r="F241" s="227">
        <v>324869</v>
      </c>
    </row>
    <row r="242" spans="1:10" x14ac:dyDescent="0.25">
      <c r="A242" s="222">
        <v>3719</v>
      </c>
      <c r="B242" s="223" t="s">
        <v>613</v>
      </c>
      <c r="C242" s="224">
        <v>361091</v>
      </c>
      <c r="D242" s="224">
        <v>416476</v>
      </c>
      <c r="E242" s="224">
        <v>414399</v>
      </c>
      <c r="F242" s="224">
        <v>393416</v>
      </c>
    </row>
    <row r="243" spans="1:10" x14ac:dyDescent="0.25">
      <c r="A243" s="225">
        <v>3721</v>
      </c>
      <c r="B243" s="226" t="s">
        <v>614</v>
      </c>
      <c r="C243" s="227">
        <v>1382995</v>
      </c>
      <c r="D243" s="227">
        <v>2134664</v>
      </c>
      <c r="E243" s="227">
        <v>891923</v>
      </c>
      <c r="F243" s="228" t="s">
        <v>375</v>
      </c>
    </row>
    <row r="244" spans="1:10" x14ac:dyDescent="0.25">
      <c r="A244" s="222">
        <v>3722</v>
      </c>
      <c r="B244" s="223" t="s">
        <v>615</v>
      </c>
      <c r="C244" s="224">
        <v>253288</v>
      </c>
      <c r="D244" s="224">
        <v>300751</v>
      </c>
      <c r="E244" s="231" t="s">
        <v>375</v>
      </c>
      <c r="F244" s="230" t="s">
        <v>375</v>
      </c>
    </row>
    <row r="245" spans="1:10" x14ac:dyDescent="0.25">
      <c r="A245" s="225">
        <v>3910</v>
      </c>
      <c r="B245" s="226" t="s">
        <v>616</v>
      </c>
      <c r="C245" s="227">
        <v>359927</v>
      </c>
      <c r="D245" s="227">
        <v>408171</v>
      </c>
      <c r="E245" s="227">
        <v>408626</v>
      </c>
      <c r="F245" s="227">
        <v>399150</v>
      </c>
      <c r="J245" s="216" t="s">
        <v>617</v>
      </c>
    </row>
    <row r="246" spans="1:10" x14ac:dyDescent="0.25">
      <c r="A246" s="222">
        <v>4111</v>
      </c>
      <c r="B246" s="223" t="s">
        <v>618</v>
      </c>
      <c r="C246" s="224">
        <v>341303</v>
      </c>
      <c r="D246" s="224">
        <v>377608</v>
      </c>
      <c r="E246" s="224">
        <v>394062</v>
      </c>
      <c r="F246" s="224">
        <v>390542</v>
      </c>
    </row>
    <row r="247" spans="1:10" x14ac:dyDescent="0.25">
      <c r="A247" s="225">
        <v>4112</v>
      </c>
      <c r="B247" s="226" t="s">
        <v>619</v>
      </c>
      <c r="C247" s="227">
        <v>299256</v>
      </c>
      <c r="D247" s="227">
        <v>320058</v>
      </c>
      <c r="E247" s="227">
        <v>316640</v>
      </c>
      <c r="F247" s="227">
        <v>317025</v>
      </c>
      <c r="J247" s="216" t="s">
        <v>620</v>
      </c>
    </row>
    <row r="248" spans="1:10" x14ac:dyDescent="0.25">
      <c r="A248" s="222">
        <v>4113</v>
      </c>
      <c r="B248" s="223" t="s">
        <v>621</v>
      </c>
      <c r="C248" s="224">
        <v>283785</v>
      </c>
      <c r="D248" s="224">
        <v>325980</v>
      </c>
      <c r="E248" s="224">
        <v>376969</v>
      </c>
      <c r="F248" s="224">
        <v>431377</v>
      </c>
    </row>
    <row r="249" spans="1:10" x14ac:dyDescent="0.25">
      <c r="A249" s="225">
        <v>4114</v>
      </c>
      <c r="B249" s="226" t="s">
        <v>622</v>
      </c>
      <c r="C249" s="227">
        <v>348169</v>
      </c>
      <c r="D249" s="227">
        <v>380670</v>
      </c>
      <c r="E249" s="227">
        <v>343953</v>
      </c>
      <c r="F249" s="227">
        <v>324198</v>
      </c>
    </row>
    <row r="250" spans="1:10" x14ac:dyDescent="0.25">
      <c r="A250" s="222">
        <v>4121</v>
      </c>
      <c r="B250" s="223" t="s">
        <v>623</v>
      </c>
      <c r="C250" s="224">
        <v>448929</v>
      </c>
      <c r="D250" s="224">
        <v>554679</v>
      </c>
      <c r="E250" s="224">
        <v>498985</v>
      </c>
      <c r="F250" s="224">
        <v>423530</v>
      </c>
    </row>
    <row r="251" spans="1:10" x14ac:dyDescent="0.25">
      <c r="A251" s="225">
        <v>4122</v>
      </c>
      <c r="B251" s="226" t="s">
        <v>624</v>
      </c>
      <c r="C251" s="227">
        <v>392604</v>
      </c>
      <c r="D251" s="227">
        <v>459981</v>
      </c>
      <c r="E251" s="227">
        <v>460230</v>
      </c>
      <c r="F251" s="227">
        <v>436607</v>
      </c>
    </row>
    <row r="252" spans="1:10" x14ac:dyDescent="0.25">
      <c r="A252" s="222">
        <v>4123</v>
      </c>
      <c r="B252" s="223" t="s">
        <v>625</v>
      </c>
      <c r="C252" s="224">
        <v>359937</v>
      </c>
      <c r="D252" s="224">
        <v>387753</v>
      </c>
      <c r="E252" s="224">
        <v>378588</v>
      </c>
      <c r="F252" s="224">
        <v>365003</v>
      </c>
    </row>
    <row r="253" spans="1:10" x14ac:dyDescent="0.25">
      <c r="A253" s="225">
        <v>4129</v>
      </c>
      <c r="B253" s="226" t="s">
        <v>626</v>
      </c>
      <c r="C253" s="227">
        <v>475723</v>
      </c>
      <c r="D253" s="227">
        <v>569821</v>
      </c>
      <c r="E253" s="227">
        <v>541902</v>
      </c>
      <c r="F253" s="227">
        <v>409417</v>
      </c>
    </row>
    <row r="254" spans="1:10" x14ac:dyDescent="0.25">
      <c r="A254" s="222">
        <v>4131</v>
      </c>
      <c r="B254" s="223" t="s">
        <v>627</v>
      </c>
      <c r="C254" s="224">
        <v>351758</v>
      </c>
      <c r="D254" s="224">
        <v>390734</v>
      </c>
      <c r="E254" s="224">
        <v>387688</v>
      </c>
      <c r="F254" s="224">
        <v>366319</v>
      </c>
    </row>
    <row r="255" spans="1:10" x14ac:dyDescent="0.25">
      <c r="A255" s="225">
        <v>4132</v>
      </c>
      <c r="B255" s="226" t="s">
        <v>628</v>
      </c>
      <c r="C255" s="227">
        <v>414298</v>
      </c>
      <c r="D255" s="227">
        <v>484632</v>
      </c>
      <c r="E255" s="227">
        <v>470787</v>
      </c>
      <c r="F255" s="227">
        <v>427172</v>
      </c>
    </row>
    <row r="256" spans="1:10" x14ac:dyDescent="0.25">
      <c r="A256" s="222">
        <v>4133</v>
      </c>
      <c r="B256" s="223" t="s">
        <v>629</v>
      </c>
      <c r="C256" s="224">
        <v>332852</v>
      </c>
      <c r="D256" s="224">
        <v>328814</v>
      </c>
      <c r="E256" s="224">
        <v>313455</v>
      </c>
      <c r="F256" s="224">
        <v>305892</v>
      </c>
    </row>
    <row r="257" spans="1:6" x14ac:dyDescent="0.25">
      <c r="A257" s="225">
        <v>4134</v>
      </c>
      <c r="B257" s="226" t="s">
        <v>630</v>
      </c>
      <c r="C257" s="227">
        <v>469926</v>
      </c>
      <c r="D257" s="227">
        <v>541984</v>
      </c>
      <c r="E257" s="227">
        <v>507332</v>
      </c>
      <c r="F257" s="227">
        <v>458581</v>
      </c>
    </row>
    <row r="258" spans="1:6" x14ac:dyDescent="0.25">
      <c r="A258" s="222">
        <v>4136</v>
      </c>
      <c r="B258" s="223" t="s">
        <v>631</v>
      </c>
      <c r="C258" s="224">
        <v>278241</v>
      </c>
      <c r="D258" s="224">
        <v>306200</v>
      </c>
      <c r="E258" s="224">
        <v>318212</v>
      </c>
      <c r="F258" s="224">
        <v>316586</v>
      </c>
    </row>
    <row r="259" spans="1:6" x14ac:dyDescent="0.25">
      <c r="A259" s="225">
        <v>4190</v>
      </c>
      <c r="B259" s="226" t="s">
        <v>632</v>
      </c>
      <c r="C259" s="227">
        <v>355505</v>
      </c>
      <c r="D259" s="227">
        <v>420092</v>
      </c>
      <c r="E259" s="227">
        <v>396613</v>
      </c>
      <c r="F259" s="227">
        <v>370407</v>
      </c>
    </row>
    <row r="260" spans="1:6" x14ac:dyDescent="0.25">
      <c r="A260" s="222">
        <v>4211</v>
      </c>
      <c r="B260" s="223" t="s">
        <v>633</v>
      </c>
      <c r="C260" s="224">
        <v>375100</v>
      </c>
      <c r="D260" s="224">
        <v>355708</v>
      </c>
      <c r="E260" s="224">
        <v>336907</v>
      </c>
      <c r="F260" s="224">
        <v>326013</v>
      </c>
    </row>
    <row r="261" spans="1:6" x14ac:dyDescent="0.25">
      <c r="A261" s="225">
        <v>4212</v>
      </c>
      <c r="B261" s="226" t="s">
        <v>634</v>
      </c>
      <c r="C261" s="227">
        <v>318996</v>
      </c>
      <c r="D261" s="227">
        <v>408439</v>
      </c>
      <c r="E261" s="227">
        <v>503553</v>
      </c>
      <c r="F261" s="227">
        <v>491040</v>
      </c>
    </row>
    <row r="262" spans="1:6" x14ac:dyDescent="0.25">
      <c r="A262" s="222">
        <v>4221</v>
      </c>
      <c r="B262" s="223" t="s">
        <v>635</v>
      </c>
      <c r="C262" s="224">
        <v>310600</v>
      </c>
      <c r="D262" s="224">
        <v>378940</v>
      </c>
      <c r="E262" s="224">
        <v>356959</v>
      </c>
      <c r="F262" s="224">
        <v>373020</v>
      </c>
    </row>
    <row r="263" spans="1:6" x14ac:dyDescent="0.25">
      <c r="A263" s="225">
        <v>4222</v>
      </c>
      <c r="B263" s="226" t="s">
        <v>636</v>
      </c>
      <c r="C263" s="227">
        <v>298192</v>
      </c>
      <c r="D263" s="227">
        <v>318756</v>
      </c>
      <c r="E263" s="227">
        <v>312260</v>
      </c>
      <c r="F263" s="227">
        <v>291791</v>
      </c>
    </row>
    <row r="264" spans="1:6" x14ac:dyDescent="0.25">
      <c r="A264" s="222">
        <v>4223</v>
      </c>
      <c r="B264" s="223" t="s">
        <v>637</v>
      </c>
      <c r="C264" s="224">
        <v>296352</v>
      </c>
      <c r="D264" s="224">
        <v>317851</v>
      </c>
      <c r="E264" s="224">
        <v>320082</v>
      </c>
      <c r="F264" s="224">
        <v>324799</v>
      </c>
    </row>
    <row r="265" spans="1:6" x14ac:dyDescent="0.25">
      <c r="A265" s="225">
        <v>4224</v>
      </c>
      <c r="B265" s="226" t="s">
        <v>638</v>
      </c>
      <c r="C265" s="227">
        <v>351454</v>
      </c>
      <c r="D265" s="227">
        <v>409195</v>
      </c>
      <c r="E265" s="227">
        <v>392827</v>
      </c>
      <c r="F265" s="227">
        <v>370166</v>
      </c>
    </row>
    <row r="266" spans="1:6" x14ac:dyDescent="0.25">
      <c r="A266" s="222">
        <v>4225</v>
      </c>
      <c r="B266" s="223" t="s">
        <v>639</v>
      </c>
      <c r="C266" s="224">
        <v>392281</v>
      </c>
      <c r="D266" s="224">
        <v>442110</v>
      </c>
      <c r="E266" s="224">
        <v>432083</v>
      </c>
      <c r="F266" s="224">
        <v>394760</v>
      </c>
    </row>
    <row r="267" spans="1:6" x14ac:dyDescent="0.25">
      <c r="A267" s="225">
        <v>4226</v>
      </c>
      <c r="B267" s="226" t="s">
        <v>640</v>
      </c>
      <c r="C267" s="228" t="s">
        <v>375</v>
      </c>
      <c r="D267" s="228" t="s">
        <v>375</v>
      </c>
      <c r="E267" s="228" t="s">
        <v>375</v>
      </c>
      <c r="F267" s="227">
        <v>234272</v>
      </c>
    </row>
    <row r="268" spans="1:6" x14ac:dyDescent="0.25">
      <c r="A268" s="222">
        <v>4229</v>
      </c>
      <c r="B268" s="223" t="s">
        <v>641</v>
      </c>
      <c r="C268" s="224">
        <v>410285</v>
      </c>
      <c r="D268" s="224">
        <v>482660</v>
      </c>
      <c r="E268" s="224">
        <v>445503</v>
      </c>
      <c r="F268" s="224">
        <v>379582</v>
      </c>
    </row>
    <row r="269" spans="1:6" x14ac:dyDescent="0.25">
      <c r="A269" s="225">
        <v>5111</v>
      </c>
      <c r="B269" s="226" t="s">
        <v>642</v>
      </c>
      <c r="C269" s="227">
        <v>349720</v>
      </c>
      <c r="D269" s="227">
        <v>445498</v>
      </c>
      <c r="E269" s="227">
        <v>438522</v>
      </c>
      <c r="F269" s="227">
        <v>389715</v>
      </c>
    </row>
    <row r="270" spans="1:6" x14ac:dyDescent="0.25">
      <c r="A270" s="222">
        <v>5112</v>
      </c>
      <c r="B270" s="223" t="s">
        <v>643</v>
      </c>
      <c r="C270" s="224">
        <v>358833</v>
      </c>
      <c r="D270" s="224">
        <v>386242</v>
      </c>
      <c r="E270" s="224">
        <v>386929</v>
      </c>
      <c r="F270" s="224">
        <v>364528</v>
      </c>
    </row>
    <row r="271" spans="1:6" x14ac:dyDescent="0.25">
      <c r="A271" s="225">
        <v>5113</v>
      </c>
      <c r="B271" s="226" t="s">
        <v>644</v>
      </c>
      <c r="C271" s="227">
        <v>287728</v>
      </c>
      <c r="D271" s="227">
        <v>297590</v>
      </c>
      <c r="E271" s="227">
        <v>282738</v>
      </c>
      <c r="F271" s="227">
        <v>270447</v>
      </c>
    </row>
    <row r="272" spans="1:6" x14ac:dyDescent="0.25">
      <c r="A272" s="222">
        <v>5114</v>
      </c>
      <c r="B272" s="223" t="s">
        <v>645</v>
      </c>
      <c r="C272" s="224">
        <v>356019</v>
      </c>
      <c r="D272" s="224">
        <v>412683</v>
      </c>
      <c r="E272" s="224">
        <v>382916</v>
      </c>
      <c r="F272" s="224">
        <v>331521</v>
      </c>
    </row>
    <row r="273" spans="1:6" x14ac:dyDescent="0.25">
      <c r="A273" s="225">
        <v>5115</v>
      </c>
      <c r="B273" s="226" t="s">
        <v>646</v>
      </c>
      <c r="C273" s="227">
        <v>213534</v>
      </c>
      <c r="D273" s="227">
        <v>245515</v>
      </c>
      <c r="E273" s="227">
        <v>228653</v>
      </c>
      <c r="F273" s="227">
        <v>218539</v>
      </c>
    </row>
    <row r="274" spans="1:6" x14ac:dyDescent="0.25">
      <c r="A274" s="222">
        <v>5116</v>
      </c>
      <c r="B274" s="223" t="s">
        <v>647</v>
      </c>
      <c r="C274" s="224">
        <v>220992</v>
      </c>
      <c r="D274" s="230" t="s">
        <v>375</v>
      </c>
      <c r="E274" s="224">
        <v>236213</v>
      </c>
      <c r="F274" s="224">
        <v>234735</v>
      </c>
    </row>
    <row r="275" spans="1:6" x14ac:dyDescent="0.25">
      <c r="A275" s="225">
        <v>5117</v>
      </c>
      <c r="B275" s="226" t="s">
        <v>648</v>
      </c>
      <c r="C275" s="227">
        <v>297459</v>
      </c>
      <c r="D275" s="227">
        <v>303473</v>
      </c>
      <c r="E275" s="227">
        <v>301744</v>
      </c>
      <c r="F275" s="227">
        <v>305785</v>
      </c>
    </row>
    <row r="276" spans="1:6" x14ac:dyDescent="0.25">
      <c r="A276" s="222">
        <v>5121</v>
      </c>
      <c r="B276" s="223" t="s">
        <v>649</v>
      </c>
      <c r="C276" s="224">
        <v>273140</v>
      </c>
      <c r="D276" s="224">
        <v>278314</v>
      </c>
      <c r="E276" s="224">
        <v>279250</v>
      </c>
      <c r="F276" s="224">
        <v>277880</v>
      </c>
    </row>
    <row r="277" spans="1:6" x14ac:dyDescent="0.25">
      <c r="A277" s="225">
        <v>5122</v>
      </c>
      <c r="B277" s="226" t="s">
        <v>650</v>
      </c>
      <c r="C277" s="227">
        <v>387733</v>
      </c>
      <c r="D277" s="227">
        <v>411970</v>
      </c>
      <c r="E277" s="228" t="s">
        <v>375</v>
      </c>
      <c r="F277" s="228" t="s">
        <v>375</v>
      </c>
    </row>
    <row r="278" spans="1:6" x14ac:dyDescent="0.25">
      <c r="A278" s="222">
        <v>5123</v>
      </c>
      <c r="B278" s="223" t="s">
        <v>651</v>
      </c>
      <c r="C278" s="224">
        <v>327578</v>
      </c>
      <c r="D278" s="224">
        <v>340212</v>
      </c>
      <c r="E278" s="224">
        <v>332339</v>
      </c>
      <c r="F278" s="224">
        <v>295714</v>
      </c>
    </row>
    <row r="279" spans="1:6" x14ac:dyDescent="0.25">
      <c r="A279" s="225">
        <v>5129</v>
      </c>
      <c r="B279" s="226" t="s">
        <v>652</v>
      </c>
      <c r="C279" s="227">
        <v>310397</v>
      </c>
      <c r="D279" s="227">
        <v>342728</v>
      </c>
      <c r="E279" s="227">
        <v>345853</v>
      </c>
      <c r="F279" s="227">
        <v>329105</v>
      </c>
    </row>
    <row r="280" spans="1:6" x14ac:dyDescent="0.25">
      <c r="A280" s="222">
        <v>5131</v>
      </c>
      <c r="B280" s="223" t="s">
        <v>653</v>
      </c>
      <c r="C280" s="224">
        <v>250130</v>
      </c>
      <c r="D280" s="224">
        <v>267056</v>
      </c>
      <c r="E280" s="224">
        <v>281930</v>
      </c>
      <c r="F280" s="224">
        <v>272174</v>
      </c>
    </row>
    <row r="281" spans="1:6" x14ac:dyDescent="0.25">
      <c r="A281" s="225">
        <v>5132</v>
      </c>
      <c r="B281" s="226" t="s">
        <v>654</v>
      </c>
      <c r="C281" s="227">
        <v>246002</v>
      </c>
      <c r="D281" s="227">
        <v>252130</v>
      </c>
      <c r="E281" s="227">
        <v>257859</v>
      </c>
      <c r="F281" s="227">
        <v>263877</v>
      </c>
    </row>
    <row r="282" spans="1:6" x14ac:dyDescent="0.25">
      <c r="A282" s="222">
        <v>5133</v>
      </c>
      <c r="B282" s="223" t="s">
        <v>655</v>
      </c>
      <c r="C282" s="224">
        <v>232567</v>
      </c>
      <c r="D282" s="224">
        <v>234466</v>
      </c>
      <c r="E282" s="224">
        <v>233266</v>
      </c>
      <c r="F282" s="224">
        <v>233006</v>
      </c>
    </row>
    <row r="283" spans="1:6" x14ac:dyDescent="0.25">
      <c r="A283" s="225">
        <v>5134</v>
      </c>
      <c r="B283" s="226" t="s">
        <v>656</v>
      </c>
      <c r="C283" s="227">
        <v>251709</v>
      </c>
      <c r="D283" s="227">
        <v>262807</v>
      </c>
      <c r="E283" s="227">
        <v>273967</v>
      </c>
      <c r="F283" s="227">
        <v>276175</v>
      </c>
    </row>
    <row r="284" spans="1:6" x14ac:dyDescent="0.25">
      <c r="A284" s="222">
        <v>5135</v>
      </c>
      <c r="B284" s="223" t="s">
        <v>657</v>
      </c>
      <c r="C284" s="224">
        <v>243109</v>
      </c>
      <c r="D284" s="224">
        <v>258316</v>
      </c>
      <c r="E284" s="224">
        <v>262266</v>
      </c>
      <c r="F284" s="224">
        <v>262174</v>
      </c>
    </row>
    <row r="285" spans="1:6" x14ac:dyDescent="0.25">
      <c r="A285" s="225">
        <v>5211</v>
      </c>
      <c r="B285" s="226" t="s">
        <v>658</v>
      </c>
      <c r="C285" s="227">
        <v>240475</v>
      </c>
      <c r="D285" s="227">
        <v>264187</v>
      </c>
      <c r="E285" s="227">
        <v>268646</v>
      </c>
      <c r="F285" s="227">
        <v>288551</v>
      </c>
    </row>
    <row r="286" spans="1:6" x14ac:dyDescent="0.25">
      <c r="A286" s="222">
        <v>5212</v>
      </c>
      <c r="B286" s="223" t="s">
        <v>659</v>
      </c>
      <c r="C286" s="224">
        <v>222862</v>
      </c>
      <c r="D286" s="224">
        <v>246783</v>
      </c>
      <c r="E286" s="224">
        <v>262168</v>
      </c>
      <c r="F286" s="224">
        <v>271473</v>
      </c>
    </row>
    <row r="287" spans="1:6" x14ac:dyDescent="0.25">
      <c r="A287" s="225">
        <v>5213</v>
      </c>
      <c r="B287" s="226" t="s">
        <v>660</v>
      </c>
      <c r="C287" s="229" t="s">
        <v>375</v>
      </c>
      <c r="D287" s="227">
        <v>256761</v>
      </c>
      <c r="E287" s="227">
        <v>231970</v>
      </c>
      <c r="F287" s="229" t="s">
        <v>375</v>
      </c>
    </row>
    <row r="288" spans="1:6" x14ac:dyDescent="0.25">
      <c r="A288" s="222">
        <v>5219</v>
      </c>
      <c r="B288" s="223" t="s">
        <v>661</v>
      </c>
      <c r="C288" s="224">
        <v>288373</v>
      </c>
      <c r="D288" s="224">
        <v>304789</v>
      </c>
      <c r="E288" s="224">
        <v>309679</v>
      </c>
      <c r="F288" s="224">
        <v>296016</v>
      </c>
    </row>
    <row r="289" spans="1:6" x14ac:dyDescent="0.25">
      <c r="A289" s="225">
        <v>5221</v>
      </c>
      <c r="B289" s="226" t="s">
        <v>662</v>
      </c>
      <c r="C289" s="227">
        <v>248049</v>
      </c>
      <c r="D289" s="227">
        <v>247774</v>
      </c>
      <c r="E289" s="227">
        <v>255183</v>
      </c>
      <c r="F289" s="227">
        <v>264995</v>
      </c>
    </row>
    <row r="290" spans="1:6" x14ac:dyDescent="0.25">
      <c r="A290" s="222">
        <v>5222</v>
      </c>
      <c r="B290" s="223" t="s">
        <v>663</v>
      </c>
      <c r="C290" s="224">
        <v>353288</v>
      </c>
      <c r="D290" s="224">
        <v>387502</v>
      </c>
      <c r="E290" s="224">
        <v>400398</v>
      </c>
      <c r="F290" s="224">
        <v>394712</v>
      </c>
    </row>
    <row r="291" spans="1:6" x14ac:dyDescent="0.25">
      <c r="A291" s="225">
        <v>5223</v>
      </c>
      <c r="B291" s="226" t="s">
        <v>664</v>
      </c>
      <c r="C291" s="227">
        <v>223374</v>
      </c>
      <c r="D291" s="227">
        <v>236251</v>
      </c>
      <c r="E291" s="227">
        <v>247171</v>
      </c>
      <c r="F291" s="227">
        <v>256651</v>
      </c>
    </row>
    <row r="292" spans="1:6" x14ac:dyDescent="0.25">
      <c r="A292" s="222">
        <v>5229</v>
      </c>
      <c r="B292" s="223" t="s">
        <v>665</v>
      </c>
      <c r="C292" s="224">
        <v>258202</v>
      </c>
      <c r="D292" s="224">
        <v>263711</v>
      </c>
      <c r="E292" s="224">
        <v>295693</v>
      </c>
      <c r="F292" s="224">
        <v>290363</v>
      </c>
    </row>
    <row r="293" spans="1:6" x14ac:dyDescent="0.25">
      <c r="A293" s="225">
        <v>5231</v>
      </c>
      <c r="B293" s="226" t="s">
        <v>666</v>
      </c>
      <c r="C293" s="227">
        <v>395115</v>
      </c>
      <c r="D293" s="227">
        <v>422485</v>
      </c>
      <c r="E293" s="227">
        <v>443745</v>
      </c>
      <c r="F293" s="227">
        <v>451606</v>
      </c>
    </row>
    <row r="294" spans="1:6" x14ac:dyDescent="0.25">
      <c r="A294" s="222">
        <v>5232</v>
      </c>
      <c r="B294" s="223" t="s">
        <v>667</v>
      </c>
      <c r="C294" s="224">
        <v>336943</v>
      </c>
      <c r="D294" s="224">
        <v>375790</v>
      </c>
      <c r="E294" s="230" t="s">
        <v>375</v>
      </c>
      <c r="F294" s="230" t="s">
        <v>375</v>
      </c>
    </row>
    <row r="295" spans="1:6" x14ac:dyDescent="0.25">
      <c r="A295" s="225">
        <v>5233</v>
      </c>
      <c r="B295" s="226" t="s">
        <v>668</v>
      </c>
      <c r="C295" s="228" t="s">
        <v>375</v>
      </c>
      <c r="D295" s="227">
        <v>309144</v>
      </c>
      <c r="E295" s="228" t="s">
        <v>375</v>
      </c>
      <c r="F295" s="228" t="s">
        <v>375</v>
      </c>
    </row>
    <row r="296" spans="1:6" x14ac:dyDescent="0.25">
      <c r="A296" s="222">
        <v>5241</v>
      </c>
      <c r="B296" s="223" t="s">
        <v>669</v>
      </c>
      <c r="C296" s="224">
        <v>322849</v>
      </c>
      <c r="D296" s="224">
        <v>318482</v>
      </c>
      <c r="E296" s="224">
        <v>328044</v>
      </c>
      <c r="F296" s="224">
        <v>330656</v>
      </c>
    </row>
    <row r="297" spans="1:6" x14ac:dyDescent="0.25">
      <c r="A297" s="225">
        <v>5242</v>
      </c>
      <c r="B297" s="226" t="s">
        <v>670</v>
      </c>
      <c r="C297" s="228" t="s">
        <v>375</v>
      </c>
      <c r="D297" s="228" t="s">
        <v>375</v>
      </c>
      <c r="E297" s="228" t="s">
        <v>375</v>
      </c>
      <c r="F297" s="228" t="s">
        <v>375</v>
      </c>
    </row>
    <row r="298" spans="1:6" x14ac:dyDescent="0.25">
      <c r="A298" s="222">
        <v>5243</v>
      </c>
      <c r="B298" s="223" t="s">
        <v>671</v>
      </c>
      <c r="C298" s="224">
        <v>288971</v>
      </c>
      <c r="D298" s="224">
        <v>309192</v>
      </c>
      <c r="E298" s="224">
        <v>317836</v>
      </c>
      <c r="F298" s="224">
        <v>297483</v>
      </c>
    </row>
    <row r="299" spans="1:6" x14ac:dyDescent="0.25">
      <c r="A299" s="225">
        <v>5251</v>
      </c>
      <c r="B299" s="226" t="s">
        <v>672</v>
      </c>
      <c r="C299" s="227">
        <v>390693</v>
      </c>
      <c r="D299" s="227">
        <v>508179</v>
      </c>
      <c r="E299" s="227">
        <v>607670</v>
      </c>
      <c r="F299" s="227">
        <v>726993</v>
      </c>
    </row>
    <row r="300" spans="1:6" x14ac:dyDescent="0.25">
      <c r="A300" s="222">
        <v>5252</v>
      </c>
      <c r="B300" s="223" t="s">
        <v>673</v>
      </c>
      <c r="C300" s="224">
        <v>414802</v>
      </c>
      <c r="D300" s="224">
        <v>443888</v>
      </c>
      <c r="E300" s="224">
        <v>478773</v>
      </c>
      <c r="F300" s="224">
        <v>559476</v>
      </c>
    </row>
    <row r="301" spans="1:6" x14ac:dyDescent="0.25">
      <c r="A301" s="225">
        <v>5253</v>
      </c>
      <c r="B301" s="226" t="s">
        <v>674</v>
      </c>
      <c r="C301" s="227">
        <v>418370</v>
      </c>
      <c r="D301" s="227">
        <v>462182</v>
      </c>
      <c r="E301" s="227">
        <v>505553</v>
      </c>
      <c r="F301" s="227">
        <v>510152</v>
      </c>
    </row>
    <row r="302" spans="1:6" x14ac:dyDescent="0.25">
      <c r="A302" s="222">
        <v>5254</v>
      </c>
      <c r="B302" s="223" t="s">
        <v>675</v>
      </c>
      <c r="C302" s="224">
        <v>307328</v>
      </c>
      <c r="D302" s="224">
        <v>317569</v>
      </c>
      <c r="E302" s="224">
        <v>322776</v>
      </c>
      <c r="F302" s="224">
        <v>299379</v>
      </c>
    </row>
    <row r="303" spans="1:6" x14ac:dyDescent="0.25">
      <c r="A303" s="225">
        <v>5255</v>
      </c>
      <c r="B303" s="226" t="s">
        <v>676</v>
      </c>
      <c r="C303" s="228" t="s">
        <v>375</v>
      </c>
      <c r="D303" s="228" t="s">
        <v>375</v>
      </c>
      <c r="E303" s="227">
        <v>429383</v>
      </c>
      <c r="F303" s="227">
        <v>359756</v>
      </c>
    </row>
    <row r="304" spans="1:6" x14ac:dyDescent="0.25">
      <c r="A304" s="222">
        <v>5256</v>
      </c>
      <c r="B304" s="223" t="s">
        <v>677</v>
      </c>
      <c r="C304" s="224">
        <v>343501</v>
      </c>
      <c r="D304" s="224">
        <v>375935</v>
      </c>
      <c r="E304" s="224">
        <v>389551</v>
      </c>
      <c r="F304" s="224">
        <v>376273</v>
      </c>
    </row>
    <row r="305" spans="1:6" x14ac:dyDescent="0.25">
      <c r="A305" s="225">
        <v>5259</v>
      </c>
      <c r="B305" s="226" t="s">
        <v>678</v>
      </c>
      <c r="C305" s="227">
        <v>378652</v>
      </c>
      <c r="D305" s="227">
        <v>386888</v>
      </c>
      <c r="E305" s="227">
        <v>392977</v>
      </c>
      <c r="F305" s="227">
        <v>358375</v>
      </c>
    </row>
    <row r="306" spans="1:6" x14ac:dyDescent="0.25">
      <c r="A306" s="222">
        <v>5291</v>
      </c>
      <c r="B306" s="223" t="s">
        <v>679</v>
      </c>
      <c r="C306" s="230" t="s">
        <v>375</v>
      </c>
      <c r="D306" s="230" t="s">
        <v>375</v>
      </c>
      <c r="E306" s="230" t="s">
        <v>375</v>
      </c>
      <c r="F306" s="224">
        <v>345996</v>
      </c>
    </row>
    <row r="307" spans="1:6" x14ac:dyDescent="0.25">
      <c r="A307" s="225">
        <v>5292</v>
      </c>
      <c r="B307" s="226" t="s">
        <v>680</v>
      </c>
      <c r="C307" s="227">
        <v>294303</v>
      </c>
      <c r="D307" s="227">
        <v>342550</v>
      </c>
      <c r="E307" s="228" t="s">
        <v>375</v>
      </c>
      <c r="F307" s="228" t="s">
        <v>375</v>
      </c>
    </row>
    <row r="308" spans="1:6" x14ac:dyDescent="0.25">
      <c r="A308" s="222">
        <v>5293</v>
      </c>
      <c r="B308" s="223" t="s">
        <v>681</v>
      </c>
      <c r="C308" s="224">
        <v>269096</v>
      </c>
      <c r="D308" s="224">
        <v>292356</v>
      </c>
      <c r="E308" s="224">
        <v>288893</v>
      </c>
      <c r="F308" s="224">
        <v>280488</v>
      </c>
    </row>
    <row r="309" spans="1:6" x14ac:dyDescent="0.25">
      <c r="A309" s="225">
        <v>5299</v>
      </c>
      <c r="B309" s="226" t="s">
        <v>682</v>
      </c>
      <c r="C309" s="227">
        <v>295286</v>
      </c>
      <c r="D309" s="227">
        <v>326354</v>
      </c>
      <c r="E309" s="227">
        <v>329163</v>
      </c>
      <c r="F309" s="227">
        <v>318540</v>
      </c>
    </row>
    <row r="310" spans="1:6" x14ac:dyDescent="0.25">
      <c r="A310" s="222">
        <v>6111</v>
      </c>
      <c r="B310" s="223" t="s">
        <v>683</v>
      </c>
      <c r="C310" s="224">
        <v>290693</v>
      </c>
      <c r="D310" s="224">
        <v>254850</v>
      </c>
      <c r="E310" s="224">
        <v>267658</v>
      </c>
      <c r="F310" s="224">
        <v>237056</v>
      </c>
    </row>
    <row r="311" spans="1:6" x14ac:dyDescent="0.25">
      <c r="A311" s="225">
        <v>6113</v>
      </c>
      <c r="B311" s="226" t="s">
        <v>684</v>
      </c>
      <c r="C311" s="227">
        <v>262628</v>
      </c>
      <c r="D311" s="227">
        <v>213551</v>
      </c>
      <c r="E311" s="227">
        <v>194321</v>
      </c>
      <c r="F311" s="227">
        <v>190833</v>
      </c>
    </row>
    <row r="312" spans="1:6" x14ac:dyDescent="0.25">
      <c r="A312" s="222">
        <v>6114</v>
      </c>
      <c r="B312" s="223" t="s">
        <v>685</v>
      </c>
      <c r="C312" s="224">
        <v>293553</v>
      </c>
      <c r="D312" s="224">
        <v>275593</v>
      </c>
      <c r="E312" s="224">
        <v>270214</v>
      </c>
      <c r="F312" s="224">
        <v>257742</v>
      </c>
    </row>
    <row r="313" spans="1:6" x14ac:dyDescent="0.25">
      <c r="A313" s="225">
        <v>6115</v>
      </c>
      <c r="B313" s="226" t="s">
        <v>686</v>
      </c>
      <c r="C313" s="227">
        <v>230945</v>
      </c>
      <c r="D313" s="227">
        <v>243421</v>
      </c>
      <c r="E313" s="227">
        <v>251112</v>
      </c>
      <c r="F313" s="227">
        <v>243708</v>
      </c>
    </row>
    <row r="314" spans="1:6" x14ac:dyDescent="0.25">
      <c r="A314" s="222">
        <v>6116</v>
      </c>
      <c r="B314" s="223" t="s">
        <v>687</v>
      </c>
      <c r="C314" s="230" t="s">
        <v>375</v>
      </c>
      <c r="D314" s="230" t="s">
        <v>375</v>
      </c>
      <c r="E314" s="230" t="s">
        <v>375</v>
      </c>
      <c r="F314" s="230" t="s">
        <v>375</v>
      </c>
    </row>
    <row r="315" spans="1:6" x14ac:dyDescent="0.25">
      <c r="A315" s="225">
        <v>6119</v>
      </c>
      <c r="B315" s="226" t="s">
        <v>688</v>
      </c>
      <c r="C315" s="227">
        <v>272947</v>
      </c>
      <c r="D315" s="227">
        <v>261611</v>
      </c>
      <c r="E315" s="227">
        <v>255879</v>
      </c>
      <c r="F315" s="227">
        <v>258938</v>
      </c>
    </row>
    <row r="316" spans="1:6" x14ac:dyDescent="0.25">
      <c r="A316" s="222">
        <v>6121</v>
      </c>
      <c r="B316" s="223" t="s">
        <v>689</v>
      </c>
      <c r="C316" s="224">
        <v>317142</v>
      </c>
      <c r="D316" s="224">
        <v>329393</v>
      </c>
      <c r="E316" s="224">
        <v>329036</v>
      </c>
      <c r="F316" s="224">
        <v>317888</v>
      </c>
    </row>
    <row r="317" spans="1:6" x14ac:dyDescent="0.25">
      <c r="A317" s="225">
        <v>6122</v>
      </c>
      <c r="B317" s="226" t="s">
        <v>690</v>
      </c>
      <c r="C317" s="227">
        <v>296321</v>
      </c>
      <c r="D317" s="227">
        <v>308350</v>
      </c>
      <c r="E317" s="227">
        <v>305392</v>
      </c>
      <c r="F317" s="227">
        <v>296902</v>
      </c>
    </row>
    <row r="318" spans="1:6" x14ac:dyDescent="0.25">
      <c r="A318" s="222">
        <v>6124</v>
      </c>
      <c r="B318" s="223" t="s">
        <v>691</v>
      </c>
      <c r="C318" s="224">
        <v>293451</v>
      </c>
      <c r="D318" s="224">
        <v>323050</v>
      </c>
      <c r="E318" s="224">
        <v>320512</v>
      </c>
      <c r="F318" s="224">
        <v>316017</v>
      </c>
    </row>
    <row r="319" spans="1:6" x14ac:dyDescent="0.25">
      <c r="A319" s="225">
        <v>6130</v>
      </c>
      <c r="B319" s="226" t="s">
        <v>692</v>
      </c>
      <c r="C319" s="227">
        <v>204395</v>
      </c>
      <c r="D319" s="227">
        <v>224623</v>
      </c>
      <c r="E319" s="227">
        <v>231859</v>
      </c>
      <c r="F319" s="227">
        <v>256527</v>
      </c>
    </row>
    <row r="320" spans="1:6" x14ac:dyDescent="0.25">
      <c r="A320" s="222">
        <v>6211</v>
      </c>
      <c r="B320" s="223" t="s">
        <v>693</v>
      </c>
      <c r="C320" s="224">
        <v>209771</v>
      </c>
      <c r="D320" s="224">
        <v>185363</v>
      </c>
      <c r="E320" s="224">
        <v>174152</v>
      </c>
      <c r="F320" s="224">
        <v>171179</v>
      </c>
    </row>
    <row r="321" spans="1:6" x14ac:dyDescent="0.25">
      <c r="A321" s="225">
        <v>6212</v>
      </c>
      <c r="B321" s="226" t="s">
        <v>694</v>
      </c>
      <c r="C321" s="227">
        <v>268827</v>
      </c>
      <c r="D321" s="227">
        <v>254249</v>
      </c>
      <c r="E321" s="227">
        <v>256394</v>
      </c>
      <c r="F321" s="227">
        <v>250432</v>
      </c>
    </row>
    <row r="322" spans="1:6" x14ac:dyDescent="0.25">
      <c r="A322" s="222">
        <v>6220</v>
      </c>
      <c r="B322" s="223" t="s">
        <v>695</v>
      </c>
      <c r="C322" s="230" t="s">
        <v>375</v>
      </c>
      <c r="D322" s="224">
        <v>336827</v>
      </c>
      <c r="E322" s="224">
        <v>324449</v>
      </c>
      <c r="F322" s="224">
        <v>313185</v>
      </c>
    </row>
    <row r="323" spans="1:6" x14ac:dyDescent="0.25">
      <c r="A323" s="225">
        <v>6230</v>
      </c>
      <c r="B323" s="226" t="s">
        <v>696</v>
      </c>
      <c r="C323" s="227">
        <v>263549</v>
      </c>
      <c r="D323" s="227">
        <v>327031</v>
      </c>
      <c r="E323" s="227">
        <v>323234</v>
      </c>
      <c r="F323" s="227">
        <v>293414</v>
      </c>
    </row>
    <row r="324" spans="1:6" x14ac:dyDescent="0.25">
      <c r="A324" s="222">
        <v>7111</v>
      </c>
      <c r="B324" s="223" t="s">
        <v>697</v>
      </c>
      <c r="C324" s="224">
        <v>294258</v>
      </c>
      <c r="D324" s="224">
        <v>309179</v>
      </c>
      <c r="E324" s="224">
        <v>311775</v>
      </c>
      <c r="F324" s="224">
        <v>298385</v>
      </c>
    </row>
    <row r="325" spans="1:6" x14ac:dyDescent="0.25">
      <c r="A325" s="225">
        <v>7112</v>
      </c>
      <c r="B325" s="226" t="s">
        <v>698</v>
      </c>
      <c r="C325" s="227">
        <v>275237</v>
      </c>
      <c r="D325" s="227">
        <v>296042</v>
      </c>
      <c r="E325" s="227">
        <v>291692</v>
      </c>
      <c r="F325" s="227">
        <v>288006</v>
      </c>
    </row>
    <row r="326" spans="1:6" x14ac:dyDescent="0.25">
      <c r="A326" s="222">
        <v>7113</v>
      </c>
      <c r="B326" s="223" t="s">
        <v>699</v>
      </c>
      <c r="C326" s="224">
        <v>365573</v>
      </c>
      <c r="D326" s="224">
        <v>401870</v>
      </c>
      <c r="E326" s="224">
        <v>370675</v>
      </c>
      <c r="F326" s="224">
        <v>370098</v>
      </c>
    </row>
    <row r="327" spans="1:6" x14ac:dyDescent="0.25">
      <c r="A327" s="225">
        <v>7114</v>
      </c>
      <c r="B327" s="226" t="s">
        <v>700</v>
      </c>
      <c r="C327" s="227">
        <v>276461</v>
      </c>
      <c r="D327" s="227">
        <v>298058</v>
      </c>
      <c r="E327" s="227">
        <v>297135</v>
      </c>
      <c r="F327" s="227">
        <v>283484</v>
      </c>
    </row>
    <row r="328" spans="1:6" x14ac:dyDescent="0.25">
      <c r="A328" s="222">
        <v>7115</v>
      </c>
      <c r="B328" s="223" t="s">
        <v>701</v>
      </c>
      <c r="C328" s="224">
        <v>325412</v>
      </c>
      <c r="D328" s="224">
        <v>343429</v>
      </c>
      <c r="E328" s="224">
        <v>367268</v>
      </c>
      <c r="F328" s="224">
        <v>336293</v>
      </c>
    </row>
    <row r="329" spans="1:6" x14ac:dyDescent="0.25">
      <c r="A329" s="225">
        <v>7211</v>
      </c>
      <c r="B329" s="226" t="s">
        <v>702</v>
      </c>
      <c r="C329" s="227">
        <v>255118</v>
      </c>
      <c r="D329" s="227">
        <v>261362</v>
      </c>
      <c r="E329" s="227">
        <v>268358</v>
      </c>
      <c r="F329" s="227">
        <v>250376</v>
      </c>
    </row>
    <row r="330" spans="1:6" x14ac:dyDescent="0.25">
      <c r="A330" s="222">
        <v>7212</v>
      </c>
      <c r="B330" s="223" t="s">
        <v>703</v>
      </c>
      <c r="C330" s="224">
        <v>246545</v>
      </c>
      <c r="D330" s="224">
        <v>241019</v>
      </c>
      <c r="E330" s="224">
        <v>256641</v>
      </c>
      <c r="F330" s="224">
        <v>249320</v>
      </c>
    </row>
    <row r="331" spans="1:6" x14ac:dyDescent="0.25">
      <c r="A331" s="225">
        <v>7213</v>
      </c>
      <c r="B331" s="226" t="s">
        <v>704</v>
      </c>
      <c r="C331" s="228" t="s">
        <v>375</v>
      </c>
      <c r="D331" s="228" t="s">
        <v>375</v>
      </c>
      <c r="E331" s="228" t="s">
        <v>375</v>
      </c>
      <c r="F331" s="227">
        <v>265511</v>
      </c>
    </row>
    <row r="332" spans="1:6" x14ac:dyDescent="0.25">
      <c r="A332" s="222">
        <v>7216</v>
      </c>
      <c r="B332" s="223" t="s">
        <v>705</v>
      </c>
      <c r="C332" s="224">
        <v>283968</v>
      </c>
      <c r="D332" s="224">
        <v>291452</v>
      </c>
      <c r="E332" s="224">
        <v>300962</v>
      </c>
      <c r="F332" s="224">
        <v>298484</v>
      </c>
    </row>
    <row r="333" spans="1:6" x14ac:dyDescent="0.25">
      <c r="A333" s="225">
        <v>7217</v>
      </c>
      <c r="B333" s="226" t="s">
        <v>706</v>
      </c>
      <c r="C333" s="227">
        <v>217485</v>
      </c>
      <c r="D333" s="227">
        <v>227545</v>
      </c>
      <c r="E333" s="227">
        <v>254531</v>
      </c>
      <c r="F333" s="227">
        <v>244518</v>
      </c>
    </row>
    <row r="334" spans="1:6" x14ac:dyDescent="0.25">
      <c r="A334" s="222">
        <v>7221</v>
      </c>
      <c r="B334" s="223" t="s">
        <v>707</v>
      </c>
      <c r="C334" s="224">
        <v>298899</v>
      </c>
      <c r="D334" s="224">
        <v>302204</v>
      </c>
      <c r="E334" s="224">
        <v>285536</v>
      </c>
      <c r="F334" s="224">
        <v>291008</v>
      </c>
    </row>
    <row r="335" spans="1:6" x14ac:dyDescent="0.25">
      <c r="A335" s="225">
        <v>7222</v>
      </c>
      <c r="B335" s="226" t="s">
        <v>708</v>
      </c>
      <c r="C335" s="228" t="s">
        <v>375</v>
      </c>
      <c r="D335" s="228" t="s">
        <v>375</v>
      </c>
      <c r="E335" s="228" t="s">
        <v>375</v>
      </c>
      <c r="F335" s="227">
        <v>309178</v>
      </c>
    </row>
    <row r="336" spans="1:6" x14ac:dyDescent="0.25">
      <c r="A336" s="222">
        <v>7223</v>
      </c>
      <c r="B336" s="223" t="s">
        <v>709</v>
      </c>
      <c r="C336" s="224">
        <v>256573</v>
      </c>
      <c r="D336" s="224">
        <v>267616</v>
      </c>
      <c r="E336" s="224">
        <v>273524</v>
      </c>
      <c r="F336" s="224">
        <v>273604</v>
      </c>
    </row>
    <row r="337" spans="1:6" x14ac:dyDescent="0.25">
      <c r="A337" s="225">
        <v>7224</v>
      </c>
      <c r="B337" s="226" t="s">
        <v>710</v>
      </c>
      <c r="C337" s="227">
        <v>333758</v>
      </c>
      <c r="D337" s="227">
        <v>340052</v>
      </c>
      <c r="E337" s="227">
        <v>333649</v>
      </c>
      <c r="F337" s="227">
        <v>304941</v>
      </c>
    </row>
    <row r="338" spans="1:6" x14ac:dyDescent="0.25">
      <c r="A338" s="222">
        <v>7225</v>
      </c>
      <c r="B338" s="223" t="s">
        <v>711</v>
      </c>
      <c r="C338" s="230" t="s">
        <v>375</v>
      </c>
      <c r="D338" s="230" t="s">
        <v>375</v>
      </c>
      <c r="E338" s="230" t="s">
        <v>375</v>
      </c>
      <c r="F338" s="230" t="s">
        <v>375</v>
      </c>
    </row>
    <row r="339" spans="1:6" x14ac:dyDescent="0.25">
      <c r="A339" s="225">
        <v>7231</v>
      </c>
      <c r="B339" s="226" t="s">
        <v>712</v>
      </c>
      <c r="C339" s="227">
        <v>316873</v>
      </c>
      <c r="D339" s="227">
        <v>357893</v>
      </c>
      <c r="E339" s="227">
        <v>348408</v>
      </c>
      <c r="F339" s="227">
        <v>349294</v>
      </c>
    </row>
    <row r="340" spans="1:6" x14ac:dyDescent="0.25">
      <c r="A340" s="222">
        <v>7232</v>
      </c>
      <c r="B340" s="223" t="s">
        <v>713</v>
      </c>
      <c r="C340" s="224">
        <v>385115</v>
      </c>
      <c r="D340" s="224">
        <v>427598</v>
      </c>
      <c r="E340" s="224">
        <v>444084</v>
      </c>
      <c r="F340" s="224">
        <v>407456</v>
      </c>
    </row>
    <row r="341" spans="1:6" x14ac:dyDescent="0.25">
      <c r="A341" s="225">
        <v>7233</v>
      </c>
      <c r="B341" s="226" t="s">
        <v>714</v>
      </c>
      <c r="C341" s="227">
        <v>266668</v>
      </c>
      <c r="D341" s="227">
        <v>309666</v>
      </c>
      <c r="E341" s="227">
        <v>312957</v>
      </c>
      <c r="F341" s="227">
        <v>304569</v>
      </c>
    </row>
    <row r="342" spans="1:6" x14ac:dyDescent="0.25">
      <c r="A342" s="222">
        <v>7310</v>
      </c>
      <c r="B342" s="223" t="s">
        <v>715</v>
      </c>
      <c r="C342" s="230" t="s">
        <v>375</v>
      </c>
      <c r="D342" s="230" t="s">
        <v>375</v>
      </c>
      <c r="E342" s="224">
        <v>377761</v>
      </c>
      <c r="F342" s="224">
        <v>344408</v>
      </c>
    </row>
    <row r="343" spans="1:6" x14ac:dyDescent="0.25">
      <c r="A343" s="225">
        <v>7321</v>
      </c>
      <c r="B343" s="226" t="s">
        <v>716</v>
      </c>
      <c r="C343" s="227">
        <v>341692</v>
      </c>
      <c r="D343" s="227">
        <v>375108</v>
      </c>
      <c r="E343" s="227">
        <v>386468</v>
      </c>
      <c r="F343" s="227">
        <v>365137</v>
      </c>
    </row>
    <row r="344" spans="1:6" x14ac:dyDescent="0.25">
      <c r="A344" s="222">
        <v>7322</v>
      </c>
      <c r="B344" s="223" t="s">
        <v>717</v>
      </c>
      <c r="C344" s="224">
        <v>510314</v>
      </c>
      <c r="D344" s="224">
        <v>603443</v>
      </c>
      <c r="E344" s="224">
        <v>598735</v>
      </c>
      <c r="F344" s="224">
        <v>519794</v>
      </c>
    </row>
    <row r="345" spans="1:6" x14ac:dyDescent="0.25">
      <c r="A345" s="225">
        <v>7323</v>
      </c>
      <c r="B345" s="226" t="s">
        <v>718</v>
      </c>
      <c r="C345" s="227">
        <v>421961</v>
      </c>
      <c r="D345" s="227">
        <v>508489</v>
      </c>
      <c r="E345" s="227">
        <v>542582</v>
      </c>
      <c r="F345" s="227">
        <v>447820</v>
      </c>
    </row>
    <row r="346" spans="1:6" x14ac:dyDescent="0.25">
      <c r="A346" s="222">
        <v>7324</v>
      </c>
      <c r="B346" s="223" t="s">
        <v>719</v>
      </c>
      <c r="C346" s="224">
        <v>354687</v>
      </c>
      <c r="D346" s="224">
        <v>409822</v>
      </c>
      <c r="E346" s="224">
        <v>383606</v>
      </c>
      <c r="F346" s="224">
        <v>360179</v>
      </c>
    </row>
    <row r="347" spans="1:6" x14ac:dyDescent="0.25">
      <c r="A347" s="225">
        <v>7325</v>
      </c>
      <c r="B347" s="226" t="s">
        <v>720</v>
      </c>
      <c r="C347" s="227">
        <v>344027</v>
      </c>
      <c r="D347" s="227">
        <v>386365</v>
      </c>
      <c r="E347" s="227">
        <v>398582</v>
      </c>
      <c r="F347" s="227">
        <v>382254</v>
      </c>
    </row>
    <row r="348" spans="1:6" x14ac:dyDescent="0.25">
      <c r="A348" s="222">
        <v>7326</v>
      </c>
      <c r="B348" s="223" t="s">
        <v>721</v>
      </c>
      <c r="C348" s="224">
        <v>360877</v>
      </c>
      <c r="D348" s="224">
        <v>444437</v>
      </c>
      <c r="E348" s="224">
        <v>456572</v>
      </c>
      <c r="F348" s="224">
        <v>454812</v>
      </c>
    </row>
    <row r="349" spans="1:6" x14ac:dyDescent="0.25">
      <c r="A349" s="225">
        <v>7327</v>
      </c>
      <c r="B349" s="226" t="s">
        <v>722</v>
      </c>
      <c r="C349" s="227">
        <v>364871</v>
      </c>
      <c r="D349" s="227">
        <v>389246</v>
      </c>
      <c r="E349" s="227">
        <v>380242</v>
      </c>
      <c r="F349" s="227">
        <v>364438</v>
      </c>
    </row>
    <row r="350" spans="1:6" x14ac:dyDescent="0.25">
      <c r="A350" s="222">
        <v>7328</v>
      </c>
      <c r="B350" s="223" t="s">
        <v>723</v>
      </c>
      <c r="C350" s="224">
        <v>320168</v>
      </c>
      <c r="D350" s="224">
        <v>368944</v>
      </c>
      <c r="E350" s="224">
        <v>371901</v>
      </c>
      <c r="F350" s="224">
        <v>353860</v>
      </c>
    </row>
    <row r="351" spans="1:6" x14ac:dyDescent="0.25">
      <c r="A351" s="225">
        <v>7331</v>
      </c>
      <c r="B351" s="226" t="s">
        <v>724</v>
      </c>
      <c r="C351" s="227">
        <v>330449</v>
      </c>
      <c r="D351" s="227">
        <v>383590</v>
      </c>
      <c r="E351" s="227">
        <v>380262</v>
      </c>
      <c r="F351" s="227">
        <v>383699</v>
      </c>
    </row>
    <row r="352" spans="1:6" x14ac:dyDescent="0.25">
      <c r="A352" s="222">
        <v>7332</v>
      </c>
      <c r="B352" s="223" t="s">
        <v>725</v>
      </c>
      <c r="C352" s="224">
        <v>457580</v>
      </c>
      <c r="D352" s="224">
        <v>680232</v>
      </c>
      <c r="E352" s="224">
        <v>766256</v>
      </c>
      <c r="F352" s="224">
        <v>636319</v>
      </c>
    </row>
    <row r="353" spans="1:6" x14ac:dyDescent="0.25">
      <c r="A353" s="225">
        <v>7333</v>
      </c>
      <c r="B353" s="226" t="s">
        <v>726</v>
      </c>
      <c r="C353" s="227">
        <v>411879</v>
      </c>
      <c r="D353" s="227">
        <v>460400</v>
      </c>
      <c r="E353" s="227">
        <v>459835</v>
      </c>
      <c r="F353" s="227">
        <v>391769</v>
      </c>
    </row>
    <row r="354" spans="1:6" x14ac:dyDescent="0.25">
      <c r="A354" s="222">
        <v>7334</v>
      </c>
      <c r="B354" s="223" t="s">
        <v>727</v>
      </c>
      <c r="C354" s="224">
        <v>474061</v>
      </c>
      <c r="D354" s="224">
        <v>515590</v>
      </c>
      <c r="E354" s="224">
        <v>483664</v>
      </c>
      <c r="F354" s="224">
        <v>434779</v>
      </c>
    </row>
    <row r="355" spans="1:6" x14ac:dyDescent="0.25">
      <c r="A355" s="225">
        <v>7335</v>
      </c>
      <c r="B355" s="226" t="s">
        <v>728</v>
      </c>
      <c r="C355" s="228" t="s">
        <v>375</v>
      </c>
      <c r="D355" s="229" t="s">
        <v>375</v>
      </c>
      <c r="E355" s="228" t="s">
        <v>375</v>
      </c>
      <c r="F355" s="228" t="s">
        <v>375</v>
      </c>
    </row>
    <row r="356" spans="1:6" x14ac:dyDescent="0.25">
      <c r="A356" s="222">
        <v>7341</v>
      </c>
      <c r="B356" s="223" t="s">
        <v>729</v>
      </c>
      <c r="C356" s="224">
        <v>427920</v>
      </c>
      <c r="D356" s="224">
        <v>486927</v>
      </c>
      <c r="E356" s="224">
        <v>469877</v>
      </c>
      <c r="F356" s="224">
        <v>440264</v>
      </c>
    </row>
    <row r="357" spans="1:6" x14ac:dyDescent="0.25">
      <c r="A357" s="225">
        <v>7342</v>
      </c>
      <c r="B357" s="226" t="s">
        <v>730</v>
      </c>
      <c r="C357" s="227">
        <v>359570</v>
      </c>
      <c r="D357" s="227">
        <v>401847</v>
      </c>
      <c r="E357" s="227">
        <v>417208</v>
      </c>
      <c r="F357" s="227">
        <v>398700</v>
      </c>
    </row>
    <row r="358" spans="1:6" x14ac:dyDescent="0.25">
      <c r="A358" s="222">
        <v>7343</v>
      </c>
      <c r="B358" s="223" t="s">
        <v>731</v>
      </c>
      <c r="C358" s="224">
        <v>405898</v>
      </c>
      <c r="D358" s="224">
        <v>468584</v>
      </c>
      <c r="E358" s="224">
        <v>493656</v>
      </c>
      <c r="F358" s="224">
        <v>488765</v>
      </c>
    </row>
    <row r="359" spans="1:6" x14ac:dyDescent="0.25">
      <c r="A359" s="225">
        <v>7411</v>
      </c>
      <c r="B359" s="226" t="s">
        <v>732</v>
      </c>
      <c r="C359" s="228" t="s">
        <v>375</v>
      </c>
      <c r="D359" s="228" t="s">
        <v>375</v>
      </c>
      <c r="E359" s="228" t="s">
        <v>375</v>
      </c>
      <c r="F359" s="228" t="s">
        <v>375</v>
      </c>
    </row>
    <row r="360" spans="1:6" x14ac:dyDescent="0.25">
      <c r="A360" s="222">
        <v>7412</v>
      </c>
      <c r="B360" s="223" t="s">
        <v>733</v>
      </c>
      <c r="C360" s="230" t="s">
        <v>375</v>
      </c>
      <c r="D360" s="230" t="s">
        <v>375</v>
      </c>
      <c r="E360" s="224">
        <v>256026</v>
      </c>
      <c r="F360" s="224">
        <v>242960</v>
      </c>
    </row>
    <row r="361" spans="1:6" x14ac:dyDescent="0.25">
      <c r="A361" s="225">
        <v>7413</v>
      </c>
      <c r="B361" s="226" t="s">
        <v>734</v>
      </c>
      <c r="C361" s="227">
        <v>248803</v>
      </c>
      <c r="D361" s="227">
        <v>271564</v>
      </c>
      <c r="E361" s="227">
        <v>292520</v>
      </c>
      <c r="F361" s="227">
        <v>316472</v>
      </c>
    </row>
    <row r="362" spans="1:6" x14ac:dyDescent="0.25">
      <c r="A362" s="222">
        <v>7414</v>
      </c>
      <c r="B362" s="223" t="s">
        <v>735</v>
      </c>
      <c r="C362" s="224">
        <v>400821</v>
      </c>
      <c r="D362" s="224">
        <v>447698</v>
      </c>
      <c r="E362" s="224">
        <v>461241</v>
      </c>
      <c r="F362" s="224">
        <v>413731</v>
      </c>
    </row>
    <row r="363" spans="1:6" x14ac:dyDescent="0.25">
      <c r="A363" s="225">
        <v>7415</v>
      </c>
      <c r="B363" s="226" t="s">
        <v>736</v>
      </c>
      <c r="C363" s="228" t="s">
        <v>375</v>
      </c>
      <c r="D363" s="228" t="s">
        <v>375</v>
      </c>
      <c r="E363" s="228" t="s">
        <v>375</v>
      </c>
      <c r="F363" s="228" t="s">
        <v>375</v>
      </c>
    </row>
    <row r="364" spans="1:6" x14ac:dyDescent="0.25">
      <c r="A364" s="222">
        <v>7416</v>
      </c>
      <c r="B364" s="223" t="s">
        <v>737</v>
      </c>
      <c r="C364" s="230" t="s">
        <v>375</v>
      </c>
      <c r="D364" s="230" t="s">
        <v>375</v>
      </c>
      <c r="E364" s="230" t="s">
        <v>375</v>
      </c>
      <c r="F364" s="230" t="s">
        <v>375</v>
      </c>
    </row>
    <row r="365" spans="1:6" x14ac:dyDescent="0.25">
      <c r="A365" s="225">
        <v>7417</v>
      </c>
      <c r="B365" s="226" t="s">
        <v>738</v>
      </c>
      <c r="C365" s="228" t="s">
        <v>375</v>
      </c>
      <c r="D365" s="228" t="s">
        <v>375</v>
      </c>
      <c r="E365" s="227">
        <v>136433</v>
      </c>
      <c r="F365" s="227">
        <v>120607</v>
      </c>
    </row>
    <row r="366" spans="1:6" x14ac:dyDescent="0.25">
      <c r="A366" s="222">
        <v>7418</v>
      </c>
      <c r="B366" s="223" t="s">
        <v>739</v>
      </c>
      <c r="C366" s="230" t="s">
        <v>375</v>
      </c>
      <c r="D366" s="230" t="s">
        <v>375</v>
      </c>
      <c r="E366" s="230" t="s">
        <v>375</v>
      </c>
      <c r="F366" s="224">
        <v>157877</v>
      </c>
    </row>
    <row r="367" spans="1:6" x14ac:dyDescent="0.25">
      <c r="A367" s="225">
        <v>7419</v>
      </c>
      <c r="B367" s="226" t="s">
        <v>740</v>
      </c>
      <c r="C367" s="227">
        <v>210569</v>
      </c>
      <c r="D367" s="227">
        <v>223940</v>
      </c>
      <c r="E367" s="227">
        <v>241430</v>
      </c>
      <c r="F367" s="227">
        <v>230533</v>
      </c>
    </row>
    <row r="368" spans="1:6" x14ac:dyDescent="0.25">
      <c r="A368" s="222">
        <v>7420</v>
      </c>
      <c r="B368" s="223" t="s">
        <v>741</v>
      </c>
      <c r="C368" s="224">
        <v>357601</v>
      </c>
      <c r="D368" s="224">
        <v>421173</v>
      </c>
      <c r="E368" s="224">
        <v>415001</v>
      </c>
      <c r="F368" s="224">
        <v>388589</v>
      </c>
    </row>
    <row r="369" spans="1:6" x14ac:dyDescent="0.25">
      <c r="A369" s="225">
        <v>7511</v>
      </c>
      <c r="B369" s="226" t="s">
        <v>742</v>
      </c>
      <c r="C369" s="227">
        <v>257294</v>
      </c>
      <c r="D369" s="227">
        <v>261731</v>
      </c>
      <c r="E369" s="227">
        <v>271711</v>
      </c>
      <c r="F369" s="227">
        <v>269734</v>
      </c>
    </row>
    <row r="370" spans="1:6" x14ac:dyDescent="0.25">
      <c r="A370" s="222">
        <v>7512</v>
      </c>
      <c r="B370" s="223" t="s">
        <v>743</v>
      </c>
      <c r="C370" s="224">
        <v>288214</v>
      </c>
      <c r="D370" s="224">
        <v>287651</v>
      </c>
      <c r="E370" s="224">
        <v>284082</v>
      </c>
      <c r="F370" s="224">
        <v>286412</v>
      </c>
    </row>
    <row r="371" spans="1:6" x14ac:dyDescent="0.25">
      <c r="A371" s="225">
        <v>7513</v>
      </c>
      <c r="B371" s="226" t="s">
        <v>744</v>
      </c>
      <c r="C371" s="227">
        <v>261977</v>
      </c>
      <c r="D371" s="227">
        <v>278482</v>
      </c>
      <c r="E371" s="227">
        <v>290755</v>
      </c>
      <c r="F371" s="227">
        <v>288562</v>
      </c>
    </row>
    <row r="372" spans="1:6" x14ac:dyDescent="0.25">
      <c r="A372" s="222">
        <v>7514</v>
      </c>
      <c r="B372" s="223" t="s">
        <v>745</v>
      </c>
      <c r="C372" s="224">
        <v>253118</v>
      </c>
      <c r="D372" s="224">
        <v>263746</v>
      </c>
      <c r="E372" s="224">
        <v>273301</v>
      </c>
      <c r="F372" s="224">
        <v>286707</v>
      </c>
    </row>
    <row r="373" spans="1:6" x14ac:dyDescent="0.25">
      <c r="A373" s="225">
        <v>7515</v>
      </c>
      <c r="B373" s="226" t="s">
        <v>746</v>
      </c>
      <c r="C373" s="227">
        <v>314289</v>
      </c>
      <c r="D373" s="227">
        <v>368828</v>
      </c>
      <c r="E373" s="227">
        <v>354273</v>
      </c>
      <c r="F373" s="227">
        <v>357330</v>
      </c>
    </row>
    <row r="374" spans="1:6" x14ac:dyDescent="0.25">
      <c r="A374" s="222">
        <v>7519</v>
      </c>
      <c r="B374" s="223" t="s">
        <v>747</v>
      </c>
      <c r="C374" s="224">
        <v>335651</v>
      </c>
      <c r="D374" s="224">
        <v>356959</v>
      </c>
      <c r="E374" s="224">
        <v>310905</v>
      </c>
      <c r="F374" s="224">
        <v>322603</v>
      </c>
    </row>
    <row r="375" spans="1:6" x14ac:dyDescent="0.25">
      <c r="A375" s="225">
        <v>7521</v>
      </c>
      <c r="B375" s="226" t="s">
        <v>748</v>
      </c>
      <c r="C375" s="227">
        <v>301841</v>
      </c>
      <c r="D375" s="227">
        <v>344187</v>
      </c>
      <c r="E375" s="227">
        <v>363331</v>
      </c>
      <c r="F375" s="227">
        <v>368752</v>
      </c>
    </row>
    <row r="376" spans="1:6" x14ac:dyDescent="0.25">
      <c r="A376" s="222">
        <v>7522</v>
      </c>
      <c r="B376" s="223" t="s">
        <v>749</v>
      </c>
      <c r="C376" s="224">
        <v>309567</v>
      </c>
      <c r="D376" s="224">
        <v>365048</v>
      </c>
      <c r="E376" s="224">
        <v>379618</v>
      </c>
      <c r="F376" s="224">
        <v>391636</v>
      </c>
    </row>
    <row r="377" spans="1:6" x14ac:dyDescent="0.25">
      <c r="A377" s="225">
        <v>7523</v>
      </c>
      <c r="B377" s="226" t="s">
        <v>750</v>
      </c>
      <c r="C377" s="227">
        <v>400894</v>
      </c>
      <c r="D377" s="227">
        <v>453345</v>
      </c>
      <c r="E377" s="227">
        <v>486242</v>
      </c>
      <c r="F377" s="227">
        <v>433005</v>
      </c>
    </row>
    <row r="378" spans="1:6" x14ac:dyDescent="0.25">
      <c r="A378" s="222">
        <v>7524</v>
      </c>
      <c r="B378" s="223" t="s">
        <v>751</v>
      </c>
      <c r="C378" s="224">
        <v>342228</v>
      </c>
      <c r="D378" s="224">
        <v>378802</v>
      </c>
      <c r="E378" s="224">
        <v>397245</v>
      </c>
      <c r="F378" s="224">
        <v>392736</v>
      </c>
    </row>
    <row r="379" spans="1:6" x14ac:dyDescent="0.25">
      <c r="A379" s="225">
        <v>7529</v>
      </c>
      <c r="B379" s="226" t="s">
        <v>752</v>
      </c>
      <c r="C379" s="227">
        <v>318029</v>
      </c>
      <c r="D379" s="227">
        <v>335958</v>
      </c>
      <c r="E379" s="227">
        <v>335540</v>
      </c>
      <c r="F379" s="227">
        <v>320318</v>
      </c>
    </row>
    <row r="380" spans="1:6" x14ac:dyDescent="0.25">
      <c r="A380" s="222">
        <v>7531</v>
      </c>
      <c r="B380" s="223" t="s">
        <v>753</v>
      </c>
      <c r="C380" s="224">
        <v>287017</v>
      </c>
      <c r="D380" s="224">
        <v>314270</v>
      </c>
      <c r="E380" s="224">
        <v>324269</v>
      </c>
      <c r="F380" s="224">
        <v>323693</v>
      </c>
    </row>
    <row r="381" spans="1:6" x14ac:dyDescent="0.25">
      <c r="A381" s="225">
        <v>7532</v>
      </c>
      <c r="B381" s="226" t="s">
        <v>754</v>
      </c>
      <c r="C381" s="228" t="s">
        <v>375</v>
      </c>
      <c r="D381" s="227">
        <v>253855</v>
      </c>
      <c r="E381" s="227">
        <v>264379</v>
      </c>
      <c r="F381" s="227">
        <v>249128</v>
      </c>
    </row>
    <row r="382" spans="1:6" x14ac:dyDescent="0.25">
      <c r="A382" s="222">
        <v>7533</v>
      </c>
      <c r="B382" s="223" t="s">
        <v>755</v>
      </c>
      <c r="C382" s="224">
        <v>294030</v>
      </c>
      <c r="D382" s="224">
        <v>294879</v>
      </c>
      <c r="E382" s="224">
        <v>312415</v>
      </c>
      <c r="F382" s="224">
        <v>317589</v>
      </c>
    </row>
    <row r="383" spans="1:6" x14ac:dyDescent="0.25">
      <c r="A383" s="225">
        <v>7534</v>
      </c>
      <c r="B383" s="226" t="s">
        <v>756</v>
      </c>
      <c r="C383" s="227">
        <v>264739</v>
      </c>
      <c r="D383" s="227">
        <v>275991</v>
      </c>
      <c r="E383" s="227">
        <v>267059</v>
      </c>
      <c r="F383" s="227">
        <v>277288</v>
      </c>
    </row>
    <row r="384" spans="1:6" x14ac:dyDescent="0.25">
      <c r="A384" s="222">
        <v>7535</v>
      </c>
      <c r="B384" s="223" t="s">
        <v>757</v>
      </c>
      <c r="C384" s="224">
        <v>265024</v>
      </c>
      <c r="D384" s="224">
        <v>277078</v>
      </c>
      <c r="E384" s="224">
        <v>290432</v>
      </c>
      <c r="F384" s="224">
        <v>280550</v>
      </c>
    </row>
    <row r="385" spans="1:6" x14ac:dyDescent="0.25">
      <c r="A385" s="225">
        <v>7536</v>
      </c>
      <c r="B385" s="226" t="s">
        <v>758</v>
      </c>
      <c r="C385" s="228" t="s">
        <v>375</v>
      </c>
      <c r="D385" s="227">
        <v>257985</v>
      </c>
      <c r="E385" s="227">
        <v>276793</v>
      </c>
      <c r="F385" s="227">
        <v>283993</v>
      </c>
    </row>
    <row r="386" spans="1:6" x14ac:dyDescent="0.25">
      <c r="A386" s="222">
        <v>7538</v>
      </c>
      <c r="B386" s="223" t="s">
        <v>759</v>
      </c>
      <c r="C386" s="230" t="s">
        <v>375</v>
      </c>
      <c r="D386" s="224">
        <v>306531</v>
      </c>
      <c r="E386" s="224">
        <v>283858</v>
      </c>
      <c r="F386" s="224">
        <v>262639</v>
      </c>
    </row>
    <row r="387" spans="1:6" x14ac:dyDescent="0.25">
      <c r="A387" s="225">
        <v>7539</v>
      </c>
      <c r="B387" s="226" t="s">
        <v>760</v>
      </c>
      <c r="C387" s="227">
        <v>283382</v>
      </c>
      <c r="D387" s="227">
        <v>298773</v>
      </c>
      <c r="E387" s="227">
        <v>304224</v>
      </c>
      <c r="F387" s="227">
        <v>283980</v>
      </c>
    </row>
    <row r="388" spans="1:6" x14ac:dyDescent="0.25">
      <c r="A388" s="222">
        <v>7911</v>
      </c>
      <c r="B388" s="223" t="s">
        <v>761</v>
      </c>
      <c r="C388" s="230" t="s">
        <v>375</v>
      </c>
      <c r="D388" s="230" t="s">
        <v>375</v>
      </c>
      <c r="E388" s="230" t="s">
        <v>375</v>
      </c>
      <c r="F388" s="230" t="s">
        <v>375</v>
      </c>
    </row>
    <row r="389" spans="1:6" x14ac:dyDescent="0.25">
      <c r="A389" s="225">
        <v>7914</v>
      </c>
      <c r="B389" s="226" t="s">
        <v>762</v>
      </c>
      <c r="C389" s="228" t="s">
        <v>375</v>
      </c>
      <c r="D389" s="227">
        <v>361350</v>
      </c>
      <c r="E389" s="227">
        <v>316919</v>
      </c>
      <c r="F389" s="227">
        <v>310318</v>
      </c>
    </row>
    <row r="390" spans="1:6" x14ac:dyDescent="0.25">
      <c r="A390" s="222">
        <v>7915</v>
      </c>
      <c r="B390" s="223" t="s">
        <v>763</v>
      </c>
      <c r="C390" s="224">
        <v>298862</v>
      </c>
      <c r="D390" s="224">
        <v>316337</v>
      </c>
      <c r="E390" s="224">
        <v>316548</v>
      </c>
      <c r="F390" s="224">
        <v>316997</v>
      </c>
    </row>
    <row r="391" spans="1:6" x14ac:dyDescent="0.25">
      <c r="A391" s="225">
        <v>7919</v>
      </c>
      <c r="B391" s="226" t="s">
        <v>764</v>
      </c>
      <c r="C391" s="227">
        <v>361545</v>
      </c>
      <c r="D391" s="227">
        <v>401245</v>
      </c>
      <c r="E391" s="227">
        <v>408930</v>
      </c>
      <c r="F391" s="227">
        <v>398669</v>
      </c>
    </row>
    <row r="392" spans="1:6" x14ac:dyDescent="0.25">
      <c r="A392" s="222">
        <v>8111</v>
      </c>
      <c r="B392" s="223" t="s">
        <v>765</v>
      </c>
      <c r="C392" s="224">
        <v>388878</v>
      </c>
      <c r="D392" s="224">
        <v>420366</v>
      </c>
      <c r="E392" s="224">
        <v>407699</v>
      </c>
      <c r="F392" s="224">
        <v>387022</v>
      </c>
    </row>
    <row r="393" spans="1:6" x14ac:dyDescent="0.25">
      <c r="A393" s="225">
        <v>8112</v>
      </c>
      <c r="B393" s="226" t="s">
        <v>766</v>
      </c>
      <c r="C393" s="227">
        <v>336441</v>
      </c>
      <c r="D393" s="227">
        <v>377966</v>
      </c>
      <c r="E393" s="227">
        <v>381610</v>
      </c>
      <c r="F393" s="227">
        <v>410806</v>
      </c>
    </row>
    <row r="394" spans="1:6" x14ac:dyDescent="0.25">
      <c r="A394" s="222">
        <v>8121</v>
      </c>
      <c r="B394" s="223" t="s">
        <v>767</v>
      </c>
      <c r="C394" s="224">
        <v>292451</v>
      </c>
      <c r="D394" s="224">
        <v>302142</v>
      </c>
      <c r="E394" s="224">
        <v>302401</v>
      </c>
      <c r="F394" s="224">
        <v>294328</v>
      </c>
    </row>
    <row r="395" spans="1:6" x14ac:dyDescent="0.25">
      <c r="A395" s="225">
        <v>8122</v>
      </c>
      <c r="B395" s="226" t="s">
        <v>768</v>
      </c>
      <c r="C395" s="227">
        <v>225552</v>
      </c>
      <c r="D395" s="227">
        <v>239214</v>
      </c>
      <c r="E395" s="227">
        <v>237517</v>
      </c>
      <c r="F395" s="227">
        <v>229969</v>
      </c>
    </row>
    <row r="396" spans="1:6" x14ac:dyDescent="0.25">
      <c r="A396" s="222">
        <v>8123</v>
      </c>
      <c r="B396" s="223" t="s">
        <v>769</v>
      </c>
      <c r="C396" s="224">
        <v>330262</v>
      </c>
      <c r="D396" s="224">
        <v>332273</v>
      </c>
      <c r="E396" s="224">
        <v>303832</v>
      </c>
      <c r="F396" s="224">
        <v>294253</v>
      </c>
    </row>
    <row r="397" spans="1:6" x14ac:dyDescent="0.25">
      <c r="A397" s="225">
        <v>8124</v>
      </c>
      <c r="B397" s="226" t="s">
        <v>770</v>
      </c>
      <c r="C397" s="227">
        <v>217130</v>
      </c>
      <c r="D397" s="227">
        <v>234138</v>
      </c>
      <c r="E397" s="227">
        <v>238495</v>
      </c>
      <c r="F397" s="227">
        <v>228670</v>
      </c>
    </row>
    <row r="398" spans="1:6" x14ac:dyDescent="0.25">
      <c r="A398" s="222">
        <v>8125</v>
      </c>
      <c r="B398" s="223" t="s">
        <v>771</v>
      </c>
      <c r="C398" s="224">
        <v>305171</v>
      </c>
      <c r="D398" s="224">
        <v>318973</v>
      </c>
      <c r="E398" s="224">
        <v>318112</v>
      </c>
      <c r="F398" s="224">
        <v>291119</v>
      </c>
    </row>
    <row r="399" spans="1:6" x14ac:dyDescent="0.25">
      <c r="A399" s="225">
        <v>8126</v>
      </c>
      <c r="B399" s="226" t="s">
        <v>772</v>
      </c>
      <c r="C399" s="227">
        <v>388300</v>
      </c>
      <c r="D399" s="227">
        <v>452308</v>
      </c>
      <c r="E399" s="227">
        <v>434526</v>
      </c>
      <c r="F399" s="227">
        <v>412309</v>
      </c>
    </row>
    <row r="400" spans="1:6" x14ac:dyDescent="0.25">
      <c r="A400" s="222">
        <v>8131</v>
      </c>
      <c r="B400" s="223" t="s">
        <v>773</v>
      </c>
      <c r="C400" s="224">
        <v>460812</v>
      </c>
      <c r="D400" s="224">
        <v>557843</v>
      </c>
      <c r="E400" s="224">
        <v>646597</v>
      </c>
      <c r="F400" s="224">
        <v>626649</v>
      </c>
    </row>
    <row r="401" spans="1:6" x14ac:dyDescent="0.25">
      <c r="A401" s="225">
        <v>8132</v>
      </c>
      <c r="B401" s="226" t="s">
        <v>774</v>
      </c>
      <c r="C401" s="227">
        <v>472489</v>
      </c>
      <c r="D401" s="227">
        <v>528313</v>
      </c>
      <c r="E401" s="227">
        <v>549670</v>
      </c>
      <c r="F401" s="227">
        <v>553294</v>
      </c>
    </row>
    <row r="402" spans="1:6" x14ac:dyDescent="0.25">
      <c r="A402" s="222">
        <v>8133</v>
      </c>
      <c r="B402" s="223" t="s">
        <v>775</v>
      </c>
      <c r="C402" s="224">
        <v>464163</v>
      </c>
      <c r="D402" s="224">
        <v>512596</v>
      </c>
      <c r="E402" s="224">
        <v>528870</v>
      </c>
      <c r="F402" s="224">
        <v>556979</v>
      </c>
    </row>
    <row r="403" spans="1:6" x14ac:dyDescent="0.25">
      <c r="A403" s="225">
        <v>8134</v>
      </c>
      <c r="B403" s="226" t="s">
        <v>776</v>
      </c>
      <c r="C403" s="227">
        <v>492443</v>
      </c>
      <c r="D403" s="227">
        <v>530886</v>
      </c>
      <c r="E403" s="227">
        <v>533849</v>
      </c>
      <c r="F403" s="227">
        <v>451613</v>
      </c>
    </row>
    <row r="404" spans="1:6" x14ac:dyDescent="0.25">
      <c r="A404" s="222">
        <v>8135</v>
      </c>
      <c r="B404" s="223" t="s">
        <v>777</v>
      </c>
      <c r="C404" s="224">
        <v>351092</v>
      </c>
      <c r="D404" s="224">
        <v>377896</v>
      </c>
      <c r="E404" s="224">
        <v>372911</v>
      </c>
      <c r="F404" s="224">
        <v>345065</v>
      </c>
    </row>
    <row r="405" spans="1:6" x14ac:dyDescent="0.25">
      <c r="A405" s="225">
        <v>8136</v>
      </c>
      <c r="B405" s="226" t="s">
        <v>778</v>
      </c>
      <c r="C405" s="227">
        <v>437198</v>
      </c>
      <c r="D405" s="227">
        <v>461428</v>
      </c>
      <c r="E405" s="227">
        <v>451835</v>
      </c>
      <c r="F405" s="227">
        <v>407842</v>
      </c>
    </row>
    <row r="406" spans="1:6" x14ac:dyDescent="0.25">
      <c r="A406" s="222">
        <v>8137</v>
      </c>
      <c r="B406" s="223" t="s">
        <v>779</v>
      </c>
      <c r="C406" s="230" t="s">
        <v>375</v>
      </c>
      <c r="D406" s="230" t="s">
        <v>375</v>
      </c>
      <c r="E406" s="230" t="s">
        <v>375</v>
      </c>
      <c r="F406" s="230" t="s">
        <v>375</v>
      </c>
    </row>
    <row r="407" spans="1:6" x14ac:dyDescent="0.25">
      <c r="A407" s="225">
        <v>8141</v>
      </c>
      <c r="B407" s="226" t="s">
        <v>780</v>
      </c>
      <c r="C407" s="227">
        <v>349104</v>
      </c>
      <c r="D407" s="227">
        <v>389586</v>
      </c>
      <c r="E407" s="227">
        <v>360275</v>
      </c>
      <c r="F407" s="227">
        <v>352755</v>
      </c>
    </row>
    <row r="408" spans="1:6" x14ac:dyDescent="0.25">
      <c r="A408" s="222">
        <v>8142</v>
      </c>
      <c r="B408" s="223" t="s">
        <v>781</v>
      </c>
      <c r="C408" s="224">
        <v>345357</v>
      </c>
      <c r="D408" s="224">
        <v>399130</v>
      </c>
      <c r="E408" s="224">
        <v>387961</v>
      </c>
      <c r="F408" s="224">
        <v>373730</v>
      </c>
    </row>
    <row r="409" spans="1:6" x14ac:dyDescent="0.25">
      <c r="A409" s="225">
        <v>8143</v>
      </c>
      <c r="B409" s="226" t="s">
        <v>782</v>
      </c>
      <c r="C409" s="227">
        <v>471680</v>
      </c>
      <c r="D409" s="227">
        <v>475119</v>
      </c>
      <c r="E409" s="227">
        <v>470336</v>
      </c>
      <c r="F409" s="227">
        <v>440947</v>
      </c>
    </row>
    <row r="410" spans="1:6" x14ac:dyDescent="0.25">
      <c r="A410" s="222">
        <v>8144</v>
      </c>
      <c r="B410" s="223" t="s">
        <v>783</v>
      </c>
      <c r="C410" s="230" t="s">
        <v>375</v>
      </c>
      <c r="D410" s="230" t="s">
        <v>375</v>
      </c>
      <c r="E410" s="224">
        <v>451369</v>
      </c>
      <c r="F410" s="231" t="s">
        <v>375</v>
      </c>
    </row>
    <row r="411" spans="1:6" x14ac:dyDescent="0.25">
      <c r="A411" s="225">
        <v>8151</v>
      </c>
      <c r="B411" s="226" t="s">
        <v>784</v>
      </c>
      <c r="C411" s="227">
        <v>378155</v>
      </c>
      <c r="D411" s="227">
        <v>432591</v>
      </c>
      <c r="E411" s="227">
        <v>451779</v>
      </c>
      <c r="F411" s="227">
        <v>435793</v>
      </c>
    </row>
    <row r="412" spans="1:6" x14ac:dyDescent="0.25">
      <c r="A412" s="222">
        <v>8152</v>
      </c>
      <c r="B412" s="223" t="s">
        <v>785</v>
      </c>
      <c r="C412" s="224">
        <v>373362</v>
      </c>
      <c r="D412" s="224">
        <v>405285</v>
      </c>
      <c r="E412" s="224">
        <v>401488</v>
      </c>
      <c r="F412" s="224">
        <v>368778</v>
      </c>
    </row>
    <row r="413" spans="1:6" x14ac:dyDescent="0.25">
      <c r="A413" s="225">
        <v>8190</v>
      </c>
      <c r="B413" s="226" t="s">
        <v>786</v>
      </c>
      <c r="C413" s="227">
        <v>376879</v>
      </c>
      <c r="D413" s="227">
        <v>416760</v>
      </c>
      <c r="E413" s="227">
        <v>411357</v>
      </c>
      <c r="F413" s="227">
        <v>384175</v>
      </c>
    </row>
    <row r="414" spans="1:6" x14ac:dyDescent="0.25">
      <c r="A414" s="222">
        <v>8211</v>
      </c>
      <c r="B414" s="223" t="s">
        <v>787</v>
      </c>
      <c r="C414" s="224">
        <v>335126</v>
      </c>
      <c r="D414" s="224">
        <v>364464</v>
      </c>
      <c r="E414" s="224">
        <v>369494</v>
      </c>
      <c r="F414" s="224">
        <v>355546</v>
      </c>
    </row>
    <row r="415" spans="1:6" x14ac:dyDescent="0.25">
      <c r="A415" s="225">
        <v>8212</v>
      </c>
      <c r="B415" s="226" t="s">
        <v>788</v>
      </c>
      <c r="C415" s="227">
        <v>320238</v>
      </c>
      <c r="D415" s="227">
        <v>336614</v>
      </c>
      <c r="E415" s="227">
        <v>330575</v>
      </c>
      <c r="F415" s="227">
        <v>320799</v>
      </c>
    </row>
    <row r="416" spans="1:6" x14ac:dyDescent="0.25">
      <c r="A416" s="222">
        <v>8219</v>
      </c>
      <c r="B416" s="223" t="s">
        <v>789</v>
      </c>
      <c r="C416" s="224">
        <v>393110</v>
      </c>
      <c r="D416" s="224">
        <v>409812</v>
      </c>
      <c r="E416" s="224">
        <v>399419</v>
      </c>
      <c r="F416" s="224">
        <v>368599</v>
      </c>
    </row>
    <row r="417" spans="1:6" x14ac:dyDescent="0.25">
      <c r="A417" s="225">
        <v>8311</v>
      </c>
      <c r="B417" s="226" t="s">
        <v>790</v>
      </c>
      <c r="C417" s="227">
        <v>435278</v>
      </c>
      <c r="D417" s="227">
        <v>482183</v>
      </c>
      <c r="E417" s="227">
        <v>499695</v>
      </c>
      <c r="F417" s="227">
        <v>521049</v>
      </c>
    </row>
    <row r="418" spans="1:6" x14ac:dyDescent="0.25">
      <c r="A418" s="222">
        <v>8312</v>
      </c>
      <c r="B418" s="223" t="s">
        <v>791</v>
      </c>
      <c r="C418" s="224">
        <v>467034</v>
      </c>
      <c r="D418" s="224">
        <v>539957</v>
      </c>
      <c r="E418" s="224">
        <v>558776</v>
      </c>
      <c r="F418" s="224">
        <v>563319</v>
      </c>
    </row>
    <row r="419" spans="1:6" x14ac:dyDescent="0.25">
      <c r="A419" s="225">
        <v>8321</v>
      </c>
      <c r="B419" s="226" t="s">
        <v>792</v>
      </c>
      <c r="C419" s="227">
        <v>464555</v>
      </c>
      <c r="D419" s="227">
        <v>528018</v>
      </c>
      <c r="E419" s="227">
        <v>569971</v>
      </c>
      <c r="F419" s="227">
        <v>559672</v>
      </c>
    </row>
    <row r="420" spans="1:6" x14ac:dyDescent="0.25">
      <c r="A420" s="222">
        <v>8322</v>
      </c>
      <c r="B420" s="223" t="s">
        <v>793</v>
      </c>
      <c r="C420" s="224">
        <v>351211</v>
      </c>
      <c r="D420" s="224">
        <v>371929</v>
      </c>
      <c r="E420" s="224">
        <v>383511</v>
      </c>
      <c r="F420" s="224">
        <v>374572</v>
      </c>
    </row>
    <row r="421" spans="1:6" x14ac:dyDescent="0.25">
      <c r="A421" s="225">
        <v>8323</v>
      </c>
      <c r="B421" s="226" t="s">
        <v>794</v>
      </c>
      <c r="C421" s="227">
        <v>386244</v>
      </c>
      <c r="D421" s="227">
        <v>405151</v>
      </c>
      <c r="E421" s="227">
        <v>414113</v>
      </c>
      <c r="F421" s="227">
        <v>360140</v>
      </c>
    </row>
    <row r="422" spans="1:6" x14ac:dyDescent="0.25">
      <c r="A422" s="222">
        <v>8324</v>
      </c>
      <c r="B422" s="223" t="s">
        <v>795</v>
      </c>
      <c r="C422" s="230" t="s">
        <v>375</v>
      </c>
      <c r="D422" s="230" t="s">
        <v>375</v>
      </c>
      <c r="E422" s="224">
        <v>773126</v>
      </c>
      <c r="F422" s="224">
        <v>744885</v>
      </c>
    </row>
    <row r="423" spans="1:6" x14ac:dyDescent="0.25">
      <c r="A423" s="225">
        <v>8325</v>
      </c>
      <c r="B423" s="226" t="s">
        <v>796</v>
      </c>
      <c r="C423" s="227">
        <v>366682</v>
      </c>
      <c r="D423" s="227">
        <v>398926</v>
      </c>
      <c r="E423" s="227">
        <v>392795</v>
      </c>
      <c r="F423" s="227">
        <v>371769</v>
      </c>
    </row>
    <row r="424" spans="1:6" x14ac:dyDescent="0.25">
      <c r="A424" s="222">
        <v>8326</v>
      </c>
      <c r="B424" s="223" t="s">
        <v>797</v>
      </c>
      <c r="C424" s="230" t="s">
        <v>375</v>
      </c>
      <c r="D424" s="230" t="s">
        <v>375</v>
      </c>
      <c r="E424" s="230" t="s">
        <v>375</v>
      </c>
      <c r="F424" s="230" t="s">
        <v>375</v>
      </c>
    </row>
    <row r="425" spans="1:6" x14ac:dyDescent="0.25">
      <c r="A425" s="225">
        <v>8327</v>
      </c>
      <c r="B425" s="226" t="s">
        <v>798</v>
      </c>
      <c r="C425" s="227">
        <v>262860</v>
      </c>
      <c r="D425" s="227">
        <v>255160</v>
      </c>
      <c r="E425" s="227">
        <v>270271</v>
      </c>
      <c r="F425" s="227">
        <v>262865</v>
      </c>
    </row>
    <row r="426" spans="1:6" x14ac:dyDescent="0.25">
      <c r="A426" s="222">
        <v>8329</v>
      </c>
      <c r="B426" s="223" t="s">
        <v>799</v>
      </c>
      <c r="C426" s="224">
        <v>418156</v>
      </c>
      <c r="D426" s="224">
        <v>436537</v>
      </c>
      <c r="E426" s="224">
        <v>422557</v>
      </c>
      <c r="F426" s="224">
        <v>384635</v>
      </c>
    </row>
    <row r="427" spans="1:6" x14ac:dyDescent="0.25">
      <c r="A427" s="225">
        <v>8411</v>
      </c>
      <c r="B427" s="226" t="s">
        <v>800</v>
      </c>
      <c r="C427" s="227">
        <v>549440</v>
      </c>
      <c r="D427" s="227">
        <v>658811</v>
      </c>
      <c r="E427" s="227">
        <v>703789</v>
      </c>
      <c r="F427" s="227">
        <v>768811</v>
      </c>
    </row>
    <row r="428" spans="1:6" x14ac:dyDescent="0.25">
      <c r="A428" s="222">
        <v>8412</v>
      </c>
      <c r="B428" s="223" t="s">
        <v>801</v>
      </c>
      <c r="C428" s="224">
        <v>353900</v>
      </c>
      <c r="D428" s="224">
        <v>422704</v>
      </c>
      <c r="E428" s="224">
        <v>428178</v>
      </c>
      <c r="F428" s="224">
        <v>439401</v>
      </c>
    </row>
    <row r="429" spans="1:6" x14ac:dyDescent="0.25">
      <c r="A429" s="225">
        <v>8413</v>
      </c>
      <c r="B429" s="226" t="s">
        <v>802</v>
      </c>
      <c r="C429" s="227">
        <v>476287</v>
      </c>
      <c r="D429" s="227">
        <v>492777</v>
      </c>
      <c r="E429" s="227">
        <v>510371</v>
      </c>
      <c r="F429" s="227">
        <v>542671</v>
      </c>
    </row>
    <row r="430" spans="1:6" x14ac:dyDescent="0.25">
      <c r="A430" s="222">
        <v>8415</v>
      </c>
      <c r="B430" s="223" t="s">
        <v>803</v>
      </c>
      <c r="C430" s="224">
        <v>411796</v>
      </c>
      <c r="D430" s="224">
        <v>435094</v>
      </c>
      <c r="E430" s="224">
        <v>450739</v>
      </c>
      <c r="F430" s="224">
        <v>485508</v>
      </c>
    </row>
    <row r="431" spans="1:6" x14ac:dyDescent="0.25">
      <c r="A431" s="225">
        <v>8416</v>
      </c>
      <c r="B431" s="226" t="s">
        <v>804</v>
      </c>
      <c r="C431" s="227">
        <v>269572</v>
      </c>
      <c r="D431" s="227">
        <v>297216</v>
      </c>
      <c r="E431" s="227">
        <v>325421</v>
      </c>
      <c r="F431" s="227">
        <v>333705</v>
      </c>
    </row>
    <row r="432" spans="1:6" x14ac:dyDescent="0.25">
      <c r="A432" s="222">
        <v>8417</v>
      </c>
      <c r="B432" s="223" t="s">
        <v>805</v>
      </c>
      <c r="C432" s="224">
        <v>260794</v>
      </c>
      <c r="D432" s="224">
        <v>273357</v>
      </c>
      <c r="E432" s="224">
        <v>282258</v>
      </c>
      <c r="F432" s="224">
        <v>280439</v>
      </c>
    </row>
    <row r="433" spans="1:6" x14ac:dyDescent="0.25">
      <c r="A433" s="225">
        <v>8418</v>
      </c>
      <c r="B433" s="226" t="s">
        <v>806</v>
      </c>
      <c r="C433" s="227">
        <v>394499</v>
      </c>
      <c r="D433" s="227">
        <v>401164</v>
      </c>
      <c r="E433" s="227">
        <v>408275</v>
      </c>
      <c r="F433" s="227">
        <v>408258</v>
      </c>
    </row>
    <row r="434" spans="1:6" x14ac:dyDescent="0.25">
      <c r="A434" s="222">
        <v>8419</v>
      </c>
      <c r="B434" s="223" t="s">
        <v>807</v>
      </c>
      <c r="C434" s="224">
        <v>342893</v>
      </c>
      <c r="D434" s="224">
        <v>393070</v>
      </c>
      <c r="E434" s="224">
        <v>416544</v>
      </c>
      <c r="F434" s="224">
        <v>397650</v>
      </c>
    </row>
    <row r="435" spans="1:6" x14ac:dyDescent="0.25">
      <c r="A435" s="225">
        <v>8421</v>
      </c>
      <c r="B435" s="226" t="s">
        <v>808</v>
      </c>
      <c r="C435" s="227">
        <v>325388</v>
      </c>
      <c r="D435" s="227">
        <v>341608</v>
      </c>
      <c r="E435" s="227">
        <v>345206</v>
      </c>
      <c r="F435" s="227">
        <v>336301</v>
      </c>
    </row>
    <row r="436" spans="1:6" x14ac:dyDescent="0.25">
      <c r="A436" s="222">
        <v>8422</v>
      </c>
      <c r="B436" s="223" t="s">
        <v>809</v>
      </c>
      <c r="C436" s="224">
        <v>326220</v>
      </c>
      <c r="D436" s="224">
        <v>346188</v>
      </c>
      <c r="E436" s="224">
        <v>363270</v>
      </c>
      <c r="F436" s="224">
        <v>376544</v>
      </c>
    </row>
    <row r="437" spans="1:6" x14ac:dyDescent="0.25">
      <c r="A437" s="225">
        <v>8423</v>
      </c>
      <c r="B437" s="226" t="s">
        <v>810</v>
      </c>
      <c r="C437" s="227">
        <v>327713</v>
      </c>
      <c r="D437" s="227">
        <v>352349</v>
      </c>
      <c r="E437" s="227">
        <v>372675</v>
      </c>
      <c r="F437" s="227">
        <v>372122</v>
      </c>
    </row>
    <row r="438" spans="1:6" x14ac:dyDescent="0.25">
      <c r="A438" s="222">
        <v>8424</v>
      </c>
      <c r="B438" s="223" t="s">
        <v>811</v>
      </c>
      <c r="C438" s="224">
        <v>359852</v>
      </c>
      <c r="D438" s="224">
        <v>400029</v>
      </c>
      <c r="E438" s="224">
        <v>405242</v>
      </c>
      <c r="F438" s="224">
        <v>387654</v>
      </c>
    </row>
    <row r="439" spans="1:6" x14ac:dyDescent="0.25">
      <c r="A439" s="225">
        <v>8425</v>
      </c>
      <c r="B439" s="226" t="s">
        <v>812</v>
      </c>
      <c r="C439" s="227">
        <v>383207</v>
      </c>
      <c r="D439" s="227">
        <v>404523</v>
      </c>
      <c r="E439" s="227">
        <v>399977</v>
      </c>
      <c r="F439" s="227">
        <v>382295</v>
      </c>
    </row>
    <row r="440" spans="1:6" x14ac:dyDescent="0.25">
      <c r="A440" s="222">
        <v>8430</v>
      </c>
      <c r="B440" s="223" t="s">
        <v>813</v>
      </c>
      <c r="C440" s="224">
        <v>347664</v>
      </c>
      <c r="D440" s="224">
        <v>375955</v>
      </c>
      <c r="E440" s="224">
        <v>370152</v>
      </c>
      <c r="F440" s="224">
        <v>375839</v>
      </c>
    </row>
    <row r="441" spans="1:6" x14ac:dyDescent="0.25">
      <c r="A441" s="225">
        <v>9111</v>
      </c>
      <c r="B441" s="226" t="s">
        <v>814</v>
      </c>
      <c r="C441" s="228" t="s">
        <v>375</v>
      </c>
      <c r="D441" s="228" t="s">
        <v>375</v>
      </c>
      <c r="E441" s="228" t="s">
        <v>375</v>
      </c>
      <c r="F441" s="227">
        <v>219478</v>
      </c>
    </row>
    <row r="442" spans="1:6" x14ac:dyDescent="0.25">
      <c r="A442" s="222">
        <v>9112</v>
      </c>
      <c r="B442" s="223" t="s">
        <v>815</v>
      </c>
      <c r="C442" s="224">
        <v>203902</v>
      </c>
      <c r="D442" s="224">
        <v>204393</v>
      </c>
      <c r="E442" s="224">
        <v>212312</v>
      </c>
      <c r="F442" s="224">
        <v>214618</v>
      </c>
    </row>
    <row r="443" spans="1:6" x14ac:dyDescent="0.25">
      <c r="A443" s="225">
        <v>9113</v>
      </c>
      <c r="B443" s="226" t="s">
        <v>816</v>
      </c>
      <c r="C443" s="227">
        <v>215591</v>
      </c>
      <c r="D443" s="227">
        <v>220826</v>
      </c>
      <c r="E443" s="227">
        <v>224103</v>
      </c>
      <c r="F443" s="227">
        <v>230248</v>
      </c>
    </row>
    <row r="444" spans="1:6" x14ac:dyDescent="0.25">
      <c r="A444" s="222">
        <v>9114</v>
      </c>
      <c r="B444" s="223" t="s">
        <v>817</v>
      </c>
      <c r="C444" s="224">
        <v>234763</v>
      </c>
      <c r="D444" s="224">
        <v>247982</v>
      </c>
      <c r="E444" s="224">
        <v>247801</v>
      </c>
      <c r="F444" s="224">
        <v>258612</v>
      </c>
    </row>
    <row r="445" spans="1:6" x14ac:dyDescent="0.25">
      <c r="A445" s="225">
        <v>9115</v>
      </c>
      <c r="B445" s="226" t="s">
        <v>818</v>
      </c>
      <c r="C445" s="228" t="s">
        <v>375</v>
      </c>
      <c r="D445" s="228" t="s">
        <v>375</v>
      </c>
      <c r="E445" s="227">
        <v>313396</v>
      </c>
      <c r="F445" s="227">
        <v>300676</v>
      </c>
    </row>
    <row r="446" spans="1:6" x14ac:dyDescent="0.25">
      <c r="A446" s="222">
        <v>9119</v>
      </c>
      <c r="B446" s="223" t="s">
        <v>819</v>
      </c>
      <c r="C446" s="224">
        <v>191396</v>
      </c>
      <c r="D446" s="224">
        <v>192829</v>
      </c>
      <c r="E446" s="224">
        <v>204284</v>
      </c>
      <c r="F446" s="224">
        <v>206995</v>
      </c>
    </row>
    <row r="447" spans="1:6" x14ac:dyDescent="0.25">
      <c r="A447" s="225">
        <v>9211</v>
      </c>
      <c r="B447" s="226" t="s">
        <v>820</v>
      </c>
      <c r="C447" s="227">
        <v>239321</v>
      </c>
      <c r="D447" s="227">
        <v>239975</v>
      </c>
      <c r="E447" s="227">
        <v>231583</v>
      </c>
      <c r="F447" s="227">
        <v>205414</v>
      </c>
    </row>
    <row r="448" spans="1:6" x14ac:dyDescent="0.25">
      <c r="A448" s="222">
        <v>9212</v>
      </c>
      <c r="B448" s="223" t="s">
        <v>821</v>
      </c>
      <c r="C448" s="224">
        <v>259050</v>
      </c>
      <c r="D448" s="224">
        <v>256968</v>
      </c>
      <c r="E448" s="224">
        <v>252540</v>
      </c>
      <c r="F448" s="224">
        <v>243219</v>
      </c>
    </row>
    <row r="449" spans="1:6" x14ac:dyDescent="0.25">
      <c r="A449" s="225">
        <v>9221</v>
      </c>
      <c r="B449" s="226" t="s">
        <v>822</v>
      </c>
      <c r="C449" s="228" t="s">
        <v>375</v>
      </c>
      <c r="D449" s="227">
        <v>264811</v>
      </c>
      <c r="E449" s="227">
        <v>317707</v>
      </c>
      <c r="F449" s="227">
        <v>288954</v>
      </c>
    </row>
    <row r="450" spans="1:6" x14ac:dyDescent="0.25">
      <c r="A450" s="222">
        <v>9223</v>
      </c>
      <c r="B450" s="223" t="s">
        <v>823</v>
      </c>
      <c r="C450" s="224">
        <v>314784</v>
      </c>
      <c r="D450" s="224">
        <v>335957</v>
      </c>
      <c r="E450" s="224">
        <v>334423</v>
      </c>
      <c r="F450" s="224">
        <v>321218</v>
      </c>
    </row>
    <row r="451" spans="1:6" x14ac:dyDescent="0.25">
      <c r="A451" s="225">
        <v>9224</v>
      </c>
      <c r="B451" s="226" t="s">
        <v>824</v>
      </c>
      <c r="C451" s="227">
        <v>235285</v>
      </c>
      <c r="D451" s="227">
        <v>250487</v>
      </c>
      <c r="E451" s="227">
        <v>252108</v>
      </c>
      <c r="F451" s="227">
        <v>253980</v>
      </c>
    </row>
    <row r="452" spans="1:6" x14ac:dyDescent="0.25">
      <c r="A452" s="222">
        <v>9225</v>
      </c>
      <c r="B452" s="223" t="s">
        <v>825</v>
      </c>
      <c r="C452" s="224">
        <v>270831</v>
      </c>
      <c r="D452" s="224">
        <v>276590</v>
      </c>
      <c r="E452" s="224">
        <v>276605</v>
      </c>
      <c r="F452" s="224">
        <v>275452</v>
      </c>
    </row>
    <row r="453" spans="1:6" x14ac:dyDescent="0.25">
      <c r="A453" s="225">
        <v>9231</v>
      </c>
      <c r="B453" s="226" t="s">
        <v>826</v>
      </c>
      <c r="C453" s="227">
        <v>244476</v>
      </c>
      <c r="D453" s="227">
        <v>252269</v>
      </c>
      <c r="E453" s="227">
        <v>252090</v>
      </c>
      <c r="F453" s="227">
        <v>244097</v>
      </c>
    </row>
    <row r="454" spans="1:6" x14ac:dyDescent="0.25">
      <c r="A454" s="222">
        <v>9232</v>
      </c>
      <c r="B454" s="223" t="s">
        <v>827</v>
      </c>
      <c r="C454" s="224">
        <v>282895</v>
      </c>
      <c r="D454" s="224">
        <v>301587</v>
      </c>
      <c r="E454" s="224">
        <v>298720</v>
      </c>
      <c r="F454" s="224">
        <v>300320</v>
      </c>
    </row>
    <row r="455" spans="1:6" x14ac:dyDescent="0.25">
      <c r="A455" s="225">
        <v>9233</v>
      </c>
      <c r="B455" s="226" t="s">
        <v>828</v>
      </c>
      <c r="C455" s="227">
        <v>197795</v>
      </c>
      <c r="D455" s="227">
        <v>210717</v>
      </c>
      <c r="E455" s="227">
        <v>225382</v>
      </c>
      <c r="F455" s="227">
        <v>235571</v>
      </c>
    </row>
    <row r="456" spans="1:6" x14ac:dyDescent="0.25">
      <c r="A456" s="222">
        <v>9234</v>
      </c>
      <c r="B456" s="223" t="s">
        <v>829</v>
      </c>
      <c r="C456" s="224">
        <v>217411</v>
      </c>
      <c r="D456" s="224">
        <v>225239</v>
      </c>
      <c r="E456" s="224">
        <v>228633</v>
      </c>
      <c r="F456" s="224">
        <v>217106</v>
      </c>
    </row>
    <row r="457" spans="1:6" x14ac:dyDescent="0.25">
      <c r="A457" s="225">
        <v>9235</v>
      </c>
      <c r="B457" s="226" t="s">
        <v>830</v>
      </c>
      <c r="C457" s="227">
        <v>275096</v>
      </c>
      <c r="D457" s="227">
        <v>268311</v>
      </c>
      <c r="E457" s="227">
        <v>264306</v>
      </c>
      <c r="F457" s="227">
        <v>249710</v>
      </c>
    </row>
    <row r="458" spans="1:6" x14ac:dyDescent="0.25">
      <c r="A458" s="222">
        <v>9236</v>
      </c>
      <c r="B458" s="223" t="s">
        <v>831</v>
      </c>
      <c r="C458" s="224">
        <v>193332</v>
      </c>
      <c r="D458" s="224">
        <v>196791</v>
      </c>
      <c r="E458" s="224">
        <v>205691</v>
      </c>
      <c r="F458" s="224">
        <v>208223</v>
      </c>
    </row>
    <row r="459" spans="1:6" x14ac:dyDescent="0.25">
      <c r="A459" s="225">
        <v>9238</v>
      </c>
      <c r="B459" s="226" t="s">
        <v>832</v>
      </c>
      <c r="C459" s="227">
        <v>294249</v>
      </c>
      <c r="D459" s="227">
        <v>307574</v>
      </c>
      <c r="E459" s="227">
        <v>282953</v>
      </c>
      <c r="F459" s="227">
        <v>286107</v>
      </c>
    </row>
    <row r="460" spans="1:6" x14ac:dyDescent="0.25">
      <c r="A460" s="222">
        <v>9239</v>
      </c>
      <c r="B460" s="223" t="s">
        <v>833</v>
      </c>
      <c r="C460" s="224">
        <v>145832</v>
      </c>
      <c r="D460" s="224">
        <v>143041</v>
      </c>
      <c r="E460" s="224">
        <v>148138</v>
      </c>
      <c r="F460" s="224">
        <v>142509</v>
      </c>
    </row>
    <row r="461" spans="1:6" x14ac:dyDescent="0.25">
      <c r="A461" s="225">
        <v>9310</v>
      </c>
      <c r="B461" s="226" t="s">
        <v>834</v>
      </c>
      <c r="C461" s="227">
        <v>266713</v>
      </c>
      <c r="D461" s="227">
        <v>271801</v>
      </c>
      <c r="E461" s="227">
        <v>272159</v>
      </c>
      <c r="F461" s="227">
        <v>264399</v>
      </c>
    </row>
    <row r="462" spans="1:6" x14ac:dyDescent="0.25">
      <c r="A462" s="222">
        <v>9321</v>
      </c>
      <c r="B462" s="223" t="s">
        <v>835</v>
      </c>
      <c r="C462" s="224">
        <v>175372</v>
      </c>
      <c r="D462" s="224">
        <v>161910</v>
      </c>
      <c r="E462" s="224">
        <v>161322</v>
      </c>
      <c r="F462" s="224">
        <v>154845</v>
      </c>
    </row>
    <row r="463" spans="1:6" x14ac:dyDescent="0.25">
      <c r="A463" s="225">
        <v>9329</v>
      </c>
      <c r="B463" s="226" t="s">
        <v>836</v>
      </c>
      <c r="C463" s="227">
        <v>206570</v>
      </c>
      <c r="D463" s="227">
        <v>209626</v>
      </c>
      <c r="E463" s="227">
        <v>211950</v>
      </c>
      <c r="F463" s="227">
        <v>204805</v>
      </c>
    </row>
    <row r="464" spans="1:6" x14ac:dyDescent="0.25">
      <c r="A464" s="222">
        <v>9331</v>
      </c>
      <c r="B464" s="223" t="s">
        <v>837</v>
      </c>
      <c r="C464" s="224">
        <v>204467</v>
      </c>
      <c r="D464" s="224">
        <v>190448</v>
      </c>
      <c r="E464" s="224">
        <v>186066</v>
      </c>
      <c r="F464" s="224">
        <v>180420</v>
      </c>
    </row>
    <row r="465" spans="1:6" x14ac:dyDescent="0.25">
      <c r="A465" s="225">
        <v>9332</v>
      </c>
      <c r="B465" s="226" t="s">
        <v>838</v>
      </c>
      <c r="C465" s="227">
        <v>167751</v>
      </c>
      <c r="D465" s="227">
        <v>154744</v>
      </c>
      <c r="E465" s="227">
        <v>156526</v>
      </c>
      <c r="F465" s="227">
        <v>148494</v>
      </c>
    </row>
    <row r="466" spans="1:6" ht="15.75" thickBot="1" x14ac:dyDescent="0.3">
      <c r="A466" s="225"/>
      <c r="B466" s="232"/>
      <c r="C466" s="233"/>
      <c r="D466" s="233"/>
      <c r="E466" s="233"/>
      <c r="F466" s="233"/>
    </row>
    <row r="467" spans="1:6" ht="15.75" thickBot="1" x14ac:dyDescent="0.3">
      <c r="A467" s="433" t="s">
        <v>359</v>
      </c>
      <c r="B467" s="435"/>
    </row>
    <row r="468" spans="1:6" x14ac:dyDescent="0.25">
      <c r="A468" s="431" t="s">
        <v>365</v>
      </c>
      <c r="B468" s="431" t="s">
        <v>366</v>
      </c>
    </row>
    <row r="469" spans="1:6" ht="15.75" thickBot="1" x14ac:dyDescent="0.3">
      <c r="A469" s="432"/>
      <c r="B469" s="432"/>
    </row>
    <row r="470" spans="1:6" ht="15.75" thickBot="1" x14ac:dyDescent="0.3">
      <c r="A470" s="433" t="s">
        <v>359</v>
      </c>
      <c r="B470" s="435"/>
      <c r="C470" s="433" t="s">
        <v>361</v>
      </c>
      <c r="D470" s="434"/>
      <c r="E470" s="434"/>
      <c r="F470" s="435"/>
    </row>
    <row r="471" spans="1:6" ht="15.75" thickBot="1" x14ac:dyDescent="0.3">
      <c r="A471" s="431" t="s">
        <v>365</v>
      </c>
      <c r="B471" s="431" t="s">
        <v>366</v>
      </c>
      <c r="C471" s="218" t="s">
        <v>367</v>
      </c>
      <c r="D471" s="218" t="s">
        <v>368</v>
      </c>
      <c r="E471" s="218" t="s">
        <v>369</v>
      </c>
      <c r="F471" s="218" t="s">
        <v>370</v>
      </c>
    </row>
    <row r="472" spans="1:6" ht="15.75" thickBot="1" x14ac:dyDescent="0.3">
      <c r="A472" s="432"/>
      <c r="B472" s="432"/>
      <c r="C472" s="433">
        <v>2021</v>
      </c>
      <c r="D472" s="434"/>
      <c r="E472" s="434"/>
      <c r="F472" s="434"/>
    </row>
    <row r="473" spans="1:6" x14ac:dyDescent="0.25">
      <c r="A473" s="222">
        <v>110</v>
      </c>
      <c r="B473" s="223" t="s">
        <v>371</v>
      </c>
    </row>
    <row r="474" spans="1:6" x14ac:dyDescent="0.25">
      <c r="A474" s="225">
        <v>210</v>
      </c>
      <c r="B474" s="226" t="s">
        <v>372</v>
      </c>
    </row>
    <row r="475" spans="1:6" x14ac:dyDescent="0.25">
      <c r="A475" s="222">
        <v>310</v>
      </c>
      <c r="B475" s="223" t="s">
        <v>373</v>
      </c>
    </row>
    <row r="476" spans="1:6" x14ac:dyDescent="0.25">
      <c r="A476" s="225">
        <v>1110</v>
      </c>
      <c r="B476" s="226" t="s">
        <v>374</v>
      </c>
    </row>
    <row r="477" spans="1:6" x14ac:dyDescent="0.25">
      <c r="A477" s="222">
        <v>1121</v>
      </c>
      <c r="B477" s="223" t="s">
        <v>376</v>
      </c>
    </row>
    <row r="478" spans="1:6" x14ac:dyDescent="0.25">
      <c r="A478" s="225">
        <v>1122</v>
      </c>
      <c r="B478" s="226" t="s">
        <v>377</v>
      </c>
    </row>
    <row r="479" spans="1:6" x14ac:dyDescent="0.25">
      <c r="A479" s="222">
        <v>1123</v>
      </c>
      <c r="B479" s="223" t="s">
        <v>378</v>
      </c>
    </row>
    <row r="480" spans="1:6" x14ac:dyDescent="0.25">
      <c r="A480" s="225">
        <v>1131</v>
      </c>
      <c r="B480" s="226" t="s">
        <v>379</v>
      </c>
    </row>
    <row r="481" spans="1:2" x14ac:dyDescent="0.25">
      <c r="A481" s="222">
        <v>1210</v>
      </c>
      <c r="B481" s="223" t="s">
        <v>380</v>
      </c>
    </row>
    <row r="482" spans="1:2" x14ac:dyDescent="0.25">
      <c r="A482" s="225">
        <v>1311</v>
      </c>
      <c r="B482" s="226" t="s">
        <v>381</v>
      </c>
    </row>
    <row r="483" spans="1:2" x14ac:dyDescent="0.25">
      <c r="A483" s="222">
        <v>1312</v>
      </c>
      <c r="B483" s="223" t="s">
        <v>382</v>
      </c>
    </row>
    <row r="484" spans="1:2" x14ac:dyDescent="0.25">
      <c r="A484" s="225">
        <v>1313</v>
      </c>
      <c r="B484" s="226" t="s">
        <v>383</v>
      </c>
    </row>
    <row r="485" spans="1:2" x14ac:dyDescent="0.25">
      <c r="A485" s="222">
        <v>1321</v>
      </c>
      <c r="B485" s="223" t="s">
        <v>384</v>
      </c>
    </row>
    <row r="486" spans="1:2" x14ac:dyDescent="0.25">
      <c r="A486" s="225">
        <v>1322</v>
      </c>
      <c r="B486" s="226" t="s">
        <v>385</v>
      </c>
    </row>
    <row r="487" spans="1:2" x14ac:dyDescent="0.25">
      <c r="A487" s="222">
        <v>1323</v>
      </c>
      <c r="B487" s="223" t="s">
        <v>386</v>
      </c>
    </row>
    <row r="488" spans="1:2" x14ac:dyDescent="0.25">
      <c r="A488" s="225">
        <v>1324</v>
      </c>
      <c r="B488" s="226" t="s">
        <v>387</v>
      </c>
    </row>
    <row r="489" spans="1:2" x14ac:dyDescent="0.25">
      <c r="A489" s="222">
        <v>1325</v>
      </c>
      <c r="B489" s="223" t="s">
        <v>388</v>
      </c>
    </row>
    <row r="490" spans="1:2" x14ac:dyDescent="0.25">
      <c r="A490" s="225">
        <v>1326</v>
      </c>
      <c r="B490" s="226" t="s">
        <v>389</v>
      </c>
    </row>
    <row r="491" spans="1:2" x14ac:dyDescent="0.25">
      <c r="A491" s="222">
        <v>1327</v>
      </c>
      <c r="B491" s="223" t="s">
        <v>390</v>
      </c>
    </row>
    <row r="492" spans="1:2" x14ac:dyDescent="0.25">
      <c r="A492" s="225">
        <v>1328</v>
      </c>
      <c r="B492" s="226" t="s">
        <v>391</v>
      </c>
    </row>
    <row r="493" spans="1:2" x14ac:dyDescent="0.25">
      <c r="A493" s="222">
        <v>1329</v>
      </c>
      <c r="B493" s="223" t="s">
        <v>392</v>
      </c>
    </row>
    <row r="494" spans="1:2" x14ac:dyDescent="0.25">
      <c r="A494" s="225">
        <v>1331</v>
      </c>
      <c r="B494" s="226" t="s">
        <v>393</v>
      </c>
    </row>
    <row r="495" spans="1:2" x14ac:dyDescent="0.25">
      <c r="A495" s="222">
        <v>1332</v>
      </c>
      <c r="B495" s="223" t="s">
        <v>394</v>
      </c>
    </row>
    <row r="496" spans="1:2" x14ac:dyDescent="0.25">
      <c r="A496" s="225">
        <v>1333</v>
      </c>
      <c r="B496" s="226" t="s">
        <v>395</v>
      </c>
    </row>
    <row r="497" spans="1:2" x14ac:dyDescent="0.25">
      <c r="A497" s="222">
        <v>1334</v>
      </c>
      <c r="B497" s="223" t="s">
        <v>396</v>
      </c>
    </row>
    <row r="498" spans="1:2" x14ac:dyDescent="0.25">
      <c r="A498" s="225">
        <v>1335</v>
      </c>
      <c r="B498" s="226" t="s">
        <v>397</v>
      </c>
    </row>
    <row r="499" spans="1:2" x14ac:dyDescent="0.25">
      <c r="A499" s="222">
        <v>1336</v>
      </c>
      <c r="B499" s="223" t="s">
        <v>398</v>
      </c>
    </row>
    <row r="500" spans="1:2" x14ac:dyDescent="0.25">
      <c r="A500" s="225">
        <v>1339</v>
      </c>
      <c r="B500" s="226" t="s">
        <v>399</v>
      </c>
    </row>
    <row r="501" spans="1:2" x14ac:dyDescent="0.25">
      <c r="A501" s="222">
        <v>1411</v>
      </c>
      <c r="B501" s="223" t="s">
        <v>400</v>
      </c>
    </row>
    <row r="502" spans="1:2" x14ac:dyDescent="0.25">
      <c r="A502" s="225">
        <v>1412</v>
      </c>
      <c r="B502" s="226" t="s">
        <v>401</v>
      </c>
    </row>
    <row r="503" spans="1:2" x14ac:dyDescent="0.25">
      <c r="A503" s="222">
        <v>1413</v>
      </c>
      <c r="B503" s="223" t="s">
        <v>402</v>
      </c>
    </row>
    <row r="504" spans="1:2" x14ac:dyDescent="0.25">
      <c r="A504" s="225">
        <v>1414</v>
      </c>
      <c r="B504" s="226" t="s">
        <v>403</v>
      </c>
    </row>
    <row r="505" spans="1:2" x14ac:dyDescent="0.25">
      <c r="A505" s="222">
        <v>1415</v>
      </c>
      <c r="B505" s="223" t="s">
        <v>404</v>
      </c>
    </row>
    <row r="506" spans="1:2" x14ac:dyDescent="0.25">
      <c r="A506" s="225">
        <v>1416</v>
      </c>
      <c r="B506" s="226" t="s">
        <v>405</v>
      </c>
    </row>
    <row r="507" spans="1:2" x14ac:dyDescent="0.25">
      <c r="A507" s="222">
        <v>1419</v>
      </c>
      <c r="B507" s="223" t="s">
        <v>406</v>
      </c>
    </row>
    <row r="508" spans="1:2" x14ac:dyDescent="0.25">
      <c r="A508" s="225">
        <v>2111</v>
      </c>
      <c r="B508" s="226" t="s">
        <v>407</v>
      </c>
    </row>
    <row r="509" spans="1:2" x14ac:dyDescent="0.25">
      <c r="A509" s="222">
        <v>2112</v>
      </c>
      <c r="B509" s="223" t="s">
        <v>408</v>
      </c>
    </row>
    <row r="510" spans="1:2" x14ac:dyDescent="0.25">
      <c r="A510" s="225">
        <v>2113</v>
      </c>
      <c r="B510" s="226" t="s">
        <v>409</v>
      </c>
    </row>
    <row r="511" spans="1:2" x14ac:dyDescent="0.25">
      <c r="A511" s="222">
        <v>2114</v>
      </c>
      <c r="B511" s="223" t="s">
        <v>410</v>
      </c>
    </row>
    <row r="512" spans="1:2" x14ac:dyDescent="0.25">
      <c r="A512" s="225">
        <v>2115</v>
      </c>
      <c r="B512" s="226" t="s">
        <v>411</v>
      </c>
    </row>
    <row r="513" spans="1:2" x14ac:dyDescent="0.25">
      <c r="A513" s="222">
        <v>2116</v>
      </c>
      <c r="B513" s="223" t="s">
        <v>412</v>
      </c>
    </row>
    <row r="514" spans="1:2" x14ac:dyDescent="0.25">
      <c r="A514" s="225">
        <v>2117</v>
      </c>
      <c r="B514" s="226" t="s">
        <v>413</v>
      </c>
    </row>
    <row r="515" spans="1:2" x14ac:dyDescent="0.25">
      <c r="A515" s="222">
        <v>2118</v>
      </c>
      <c r="B515" s="223" t="s">
        <v>414</v>
      </c>
    </row>
    <row r="516" spans="1:2" x14ac:dyDescent="0.25">
      <c r="A516" s="225">
        <v>2121</v>
      </c>
      <c r="B516" s="226" t="s">
        <v>415</v>
      </c>
    </row>
    <row r="517" spans="1:2" x14ac:dyDescent="0.25">
      <c r="A517" s="222">
        <v>2122</v>
      </c>
      <c r="B517" s="223" t="s">
        <v>416</v>
      </c>
    </row>
    <row r="518" spans="1:2" x14ac:dyDescent="0.25">
      <c r="A518" s="225">
        <v>2123</v>
      </c>
      <c r="B518" s="226" t="s">
        <v>417</v>
      </c>
    </row>
    <row r="519" spans="1:2" x14ac:dyDescent="0.25">
      <c r="A519" s="222">
        <v>2131</v>
      </c>
      <c r="B519" s="223" t="s">
        <v>418</v>
      </c>
    </row>
    <row r="520" spans="1:2" x14ac:dyDescent="0.25">
      <c r="A520" s="225">
        <v>2132</v>
      </c>
      <c r="B520" s="226" t="s">
        <v>419</v>
      </c>
    </row>
    <row r="521" spans="1:2" x14ac:dyDescent="0.25">
      <c r="A521" s="222">
        <v>2133</v>
      </c>
      <c r="B521" s="223" t="s">
        <v>420</v>
      </c>
    </row>
    <row r="522" spans="1:2" x14ac:dyDescent="0.25">
      <c r="A522" s="225">
        <v>2134</v>
      </c>
      <c r="B522" s="226" t="s">
        <v>421</v>
      </c>
    </row>
    <row r="523" spans="1:2" x14ac:dyDescent="0.25">
      <c r="A523" s="222">
        <v>2135</v>
      </c>
      <c r="B523" s="223" t="s">
        <v>422</v>
      </c>
    </row>
    <row r="524" spans="1:2" x14ac:dyDescent="0.25">
      <c r="A524" s="225">
        <v>2136</v>
      </c>
      <c r="B524" s="226" t="s">
        <v>423</v>
      </c>
    </row>
    <row r="525" spans="1:2" x14ac:dyDescent="0.25">
      <c r="A525" s="222">
        <v>2137</v>
      </c>
      <c r="B525" s="223" t="s">
        <v>424</v>
      </c>
    </row>
    <row r="526" spans="1:2" x14ac:dyDescent="0.25">
      <c r="A526" s="225">
        <v>2139</v>
      </c>
      <c r="B526" s="226" t="s">
        <v>425</v>
      </c>
    </row>
    <row r="527" spans="1:2" x14ac:dyDescent="0.25">
      <c r="A527" s="222">
        <v>2141</v>
      </c>
      <c r="B527" s="223" t="s">
        <v>426</v>
      </c>
    </row>
    <row r="528" spans="1:2" x14ac:dyDescent="0.25">
      <c r="A528" s="225">
        <v>2142</v>
      </c>
      <c r="B528" s="226" t="s">
        <v>427</v>
      </c>
    </row>
    <row r="529" spans="1:2" x14ac:dyDescent="0.25">
      <c r="A529" s="222">
        <v>2143</v>
      </c>
      <c r="B529" s="223" t="s">
        <v>428</v>
      </c>
    </row>
    <row r="530" spans="1:2" x14ac:dyDescent="0.25">
      <c r="A530" s="225">
        <v>2144</v>
      </c>
      <c r="B530" s="226" t="s">
        <v>429</v>
      </c>
    </row>
    <row r="531" spans="1:2" x14ac:dyDescent="0.25">
      <c r="A531" s="222">
        <v>2149</v>
      </c>
      <c r="B531" s="223" t="s">
        <v>430</v>
      </c>
    </row>
    <row r="532" spans="1:2" x14ac:dyDescent="0.25">
      <c r="A532" s="225">
        <v>2151</v>
      </c>
      <c r="B532" s="226" t="s">
        <v>431</v>
      </c>
    </row>
    <row r="533" spans="1:2" x14ac:dyDescent="0.25">
      <c r="A533" s="222">
        <v>2152</v>
      </c>
      <c r="B533" s="223" t="s">
        <v>432</v>
      </c>
    </row>
    <row r="534" spans="1:2" x14ac:dyDescent="0.25">
      <c r="A534" s="225">
        <v>2153</v>
      </c>
      <c r="B534" s="226" t="s">
        <v>433</v>
      </c>
    </row>
    <row r="535" spans="1:2" x14ac:dyDescent="0.25">
      <c r="A535" s="222">
        <v>2159</v>
      </c>
      <c r="B535" s="223" t="s">
        <v>434</v>
      </c>
    </row>
    <row r="536" spans="1:2" x14ac:dyDescent="0.25">
      <c r="A536" s="225">
        <v>2161</v>
      </c>
      <c r="B536" s="226" t="s">
        <v>435</v>
      </c>
    </row>
    <row r="537" spans="1:2" x14ac:dyDescent="0.25">
      <c r="A537" s="222">
        <v>2163</v>
      </c>
      <c r="B537" s="223" t="s">
        <v>436</v>
      </c>
    </row>
    <row r="538" spans="1:2" x14ac:dyDescent="0.25">
      <c r="A538" s="225">
        <v>2164</v>
      </c>
      <c r="B538" s="226" t="s">
        <v>437</v>
      </c>
    </row>
    <row r="539" spans="1:2" x14ac:dyDescent="0.25">
      <c r="A539" s="222">
        <v>2165</v>
      </c>
      <c r="B539" s="223" t="s">
        <v>438</v>
      </c>
    </row>
    <row r="540" spans="1:2" x14ac:dyDescent="0.25">
      <c r="A540" s="225">
        <v>2166</v>
      </c>
      <c r="B540" s="226" t="s">
        <v>439</v>
      </c>
    </row>
    <row r="541" spans="1:2" x14ac:dyDescent="0.25">
      <c r="A541" s="222">
        <v>2167</v>
      </c>
      <c r="B541" s="223" t="s">
        <v>440</v>
      </c>
    </row>
    <row r="542" spans="1:2" x14ac:dyDescent="0.25">
      <c r="A542" s="225">
        <v>2168</v>
      </c>
      <c r="B542" s="226" t="s">
        <v>441</v>
      </c>
    </row>
    <row r="543" spans="1:2" x14ac:dyDescent="0.25">
      <c r="A543" s="222">
        <v>2169</v>
      </c>
      <c r="B543" s="223" t="s">
        <v>442</v>
      </c>
    </row>
    <row r="544" spans="1:2" x14ac:dyDescent="0.25">
      <c r="A544" s="225">
        <v>2211</v>
      </c>
      <c r="B544" s="226" t="s">
        <v>443</v>
      </c>
    </row>
    <row r="545" spans="1:2" x14ac:dyDescent="0.25">
      <c r="A545" s="222">
        <v>2212</v>
      </c>
      <c r="B545" s="223" t="s">
        <v>444</v>
      </c>
    </row>
    <row r="546" spans="1:2" x14ac:dyDescent="0.25">
      <c r="A546" s="225">
        <v>2213</v>
      </c>
      <c r="B546" s="226" t="s">
        <v>445</v>
      </c>
    </row>
    <row r="547" spans="1:2" x14ac:dyDescent="0.25">
      <c r="A547" s="222">
        <v>2214</v>
      </c>
      <c r="B547" s="223" t="s">
        <v>446</v>
      </c>
    </row>
    <row r="548" spans="1:2" x14ac:dyDescent="0.25">
      <c r="A548" s="225">
        <v>2221</v>
      </c>
      <c r="B548" s="226" t="s">
        <v>447</v>
      </c>
    </row>
    <row r="549" spans="1:2" x14ac:dyDescent="0.25">
      <c r="A549" s="222">
        <v>2222</v>
      </c>
      <c r="B549" s="223" t="s">
        <v>448</v>
      </c>
    </row>
    <row r="550" spans="1:2" x14ac:dyDescent="0.25">
      <c r="A550" s="225">
        <v>2223</v>
      </c>
      <c r="B550" s="226" t="s">
        <v>449</v>
      </c>
    </row>
    <row r="551" spans="1:2" x14ac:dyDescent="0.25">
      <c r="A551" s="222">
        <v>2224</v>
      </c>
      <c r="B551" s="223" t="s">
        <v>450</v>
      </c>
    </row>
    <row r="552" spans="1:2" x14ac:dyDescent="0.25">
      <c r="A552" s="225">
        <v>2225</v>
      </c>
      <c r="B552" s="226" t="s">
        <v>451</v>
      </c>
    </row>
    <row r="553" spans="1:2" x14ac:dyDescent="0.25">
      <c r="A553" s="222">
        <v>2226</v>
      </c>
      <c r="B553" s="223" t="s">
        <v>452</v>
      </c>
    </row>
    <row r="554" spans="1:2" x14ac:dyDescent="0.25">
      <c r="A554" s="225">
        <v>2227</v>
      </c>
      <c r="B554" s="226" t="s">
        <v>453</v>
      </c>
    </row>
    <row r="555" spans="1:2" x14ac:dyDescent="0.25">
      <c r="A555" s="222">
        <v>2228</v>
      </c>
      <c r="B555" s="223" t="s">
        <v>454</v>
      </c>
    </row>
    <row r="556" spans="1:2" x14ac:dyDescent="0.25">
      <c r="A556" s="225">
        <v>2229</v>
      </c>
      <c r="B556" s="226" t="s">
        <v>455</v>
      </c>
    </row>
    <row r="557" spans="1:2" x14ac:dyDescent="0.25">
      <c r="A557" s="222">
        <v>2231</v>
      </c>
      <c r="B557" s="223" t="s">
        <v>456</v>
      </c>
    </row>
    <row r="558" spans="1:2" x14ac:dyDescent="0.25">
      <c r="A558" s="225">
        <v>2232</v>
      </c>
      <c r="B558" s="226" t="s">
        <v>457</v>
      </c>
    </row>
    <row r="559" spans="1:2" x14ac:dyDescent="0.25">
      <c r="A559" s="222">
        <v>2241</v>
      </c>
      <c r="B559" s="223" t="s">
        <v>458</v>
      </c>
    </row>
    <row r="560" spans="1:2" x14ac:dyDescent="0.25">
      <c r="A560" s="225">
        <v>2242</v>
      </c>
      <c r="B560" s="226" t="s">
        <v>459</v>
      </c>
    </row>
    <row r="561" spans="1:2" x14ac:dyDescent="0.25">
      <c r="A561" s="222">
        <v>2311</v>
      </c>
      <c r="B561" s="223" t="s">
        <v>460</v>
      </c>
    </row>
    <row r="562" spans="1:2" x14ac:dyDescent="0.25">
      <c r="A562" s="225">
        <v>2312</v>
      </c>
      <c r="B562" s="226" t="s">
        <v>461</v>
      </c>
    </row>
    <row r="563" spans="1:2" x14ac:dyDescent="0.25">
      <c r="A563" s="222">
        <v>2410</v>
      </c>
      <c r="B563" s="223" t="s">
        <v>462</v>
      </c>
    </row>
    <row r="564" spans="1:2" x14ac:dyDescent="0.25">
      <c r="A564" s="225">
        <v>2421</v>
      </c>
      <c r="B564" s="226" t="s">
        <v>464</v>
      </c>
    </row>
    <row r="565" spans="1:2" x14ac:dyDescent="0.25">
      <c r="A565" s="222">
        <v>2422</v>
      </c>
      <c r="B565" s="223" t="s">
        <v>465</v>
      </c>
    </row>
    <row r="566" spans="1:2" x14ac:dyDescent="0.25">
      <c r="A566" s="225">
        <v>2431</v>
      </c>
      <c r="B566" s="226" t="s">
        <v>466</v>
      </c>
    </row>
    <row r="567" spans="1:2" x14ac:dyDescent="0.25">
      <c r="A567" s="222">
        <v>2432</v>
      </c>
      <c r="B567" s="223" t="s">
        <v>467</v>
      </c>
    </row>
    <row r="568" spans="1:2" x14ac:dyDescent="0.25">
      <c r="A568" s="225">
        <v>2441</v>
      </c>
      <c r="B568" s="226" t="s">
        <v>468</v>
      </c>
    </row>
    <row r="569" spans="1:2" x14ac:dyDescent="0.25">
      <c r="A569" s="222">
        <v>2442</v>
      </c>
      <c r="B569" s="223" t="s">
        <v>469</v>
      </c>
    </row>
    <row r="570" spans="1:2" x14ac:dyDescent="0.25">
      <c r="A570" s="225">
        <v>2491</v>
      </c>
      <c r="B570" s="226" t="s">
        <v>470</v>
      </c>
    </row>
    <row r="571" spans="1:2" x14ac:dyDescent="0.25">
      <c r="A571" s="222">
        <v>2492</v>
      </c>
      <c r="B571" s="223" t="s">
        <v>471</v>
      </c>
    </row>
    <row r="572" spans="1:2" x14ac:dyDescent="0.25">
      <c r="A572" s="225">
        <v>2493</v>
      </c>
      <c r="B572" s="226" t="s">
        <v>472</v>
      </c>
    </row>
    <row r="573" spans="1:2" x14ac:dyDescent="0.25">
      <c r="A573" s="222">
        <v>2494</v>
      </c>
      <c r="B573" s="223" t="s">
        <v>473</v>
      </c>
    </row>
    <row r="574" spans="1:2" x14ac:dyDescent="0.25">
      <c r="A574" s="225">
        <v>2495</v>
      </c>
      <c r="B574" s="226" t="s">
        <v>474</v>
      </c>
    </row>
    <row r="575" spans="1:2" x14ac:dyDescent="0.25">
      <c r="A575" s="222">
        <v>2499</v>
      </c>
      <c r="B575" s="223" t="s">
        <v>475</v>
      </c>
    </row>
    <row r="576" spans="1:2" x14ac:dyDescent="0.25">
      <c r="A576" s="225">
        <v>2511</v>
      </c>
      <c r="B576" s="226" t="s">
        <v>476</v>
      </c>
    </row>
    <row r="577" spans="1:2" x14ac:dyDescent="0.25">
      <c r="A577" s="222">
        <v>2512</v>
      </c>
      <c r="B577" s="223" t="s">
        <v>477</v>
      </c>
    </row>
    <row r="578" spans="1:2" x14ac:dyDescent="0.25">
      <c r="A578" s="225">
        <v>2513</v>
      </c>
      <c r="B578" s="226" t="s">
        <v>478</v>
      </c>
    </row>
    <row r="579" spans="1:2" x14ac:dyDescent="0.25">
      <c r="A579" s="222">
        <v>2514</v>
      </c>
      <c r="B579" s="223" t="s">
        <v>479</v>
      </c>
    </row>
    <row r="580" spans="1:2" x14ac:dyDescent="0.25">
      <c r="A580" s="225">
        <v>2521</v>
      </c>
      <c r="B580" s="226" t="s">
        <v>480</v>
      </c>
    </row>
    <row r="581" spans="1:2" x14ac:dyDescent="0.25">
      <c r="A581" s="222">
        <v>2522</v>
      </c>
      <c r="B581" s="223" t="s">
        <v>481</v>
      </c>
    </row>
    <row r="582" spans="1:2" x14ac:dyDescent="0.25">
      <c r="A582" s="225">
        <v>2523</v>
      </c>
      <c r="B582" s="226" t="s">
        <v>482</v>
      </c>
    </row>
    <row r="583" spans="1:2" x14ac:dyDescent="0.25">
      <c r="A583" s="222">
        <v>2524</v>
      </c>
      <c r="B583" s="223" t="s">
        <v>483</v>
      </c>
    </row>
    <row r="584" spans="1:2" x14ac:dyDescent="0.25">
      <c r="A584" s="225">
        <v>2531</v>
      </c>
      <c r="B584" s="226" t="s">
        <v>484</v>
      </c>
    </row>
    <row r="585" spans="1:2" x14ac:dyDescent="0.25">
      <c r="A585" s="222">
        <v>2532</v>
      </c>
      <c r="B585" s="223" t="s">
        <v>485</v>
      </c>
    </row>
    <row r="586" spans="1:2" x14ac:dyDescent="0.25">
      <c r="A586" s="225">
        <v>2533</v>
      </c>
      <c r="B586" s="226" t="s">
        <v>486</v>
      </c>
    </row>
    <row r="587" spans="1:2" x14ac:dyDescent="0.25">
      <c r="A587" s="222">
        <v>2534</v>
      </c>
      <c r="B587" s="223" t="s">
        <v>487</v>
      </c>
    </row>
    <row r="588" spans="1:2" x14ac:dyDescent="0.25">
      <c r="A588" s="225">
        <v>2611</v>
      </c>
      <c r="B588" s="226" t="s">
        <v>488</v>
      </c>
    </row>
    <row r="589" spans="1:2" x14ac:dyDescent="0.25">
      <c r="A589" s="222">
        <v>2612</v>
      </c>
      <c r="B589" s="223" t="s">
        <v>489</v>
      </c>
    </row>
    <row r="590" spans="1:2" x14ac:dyDescent="0.25">
      <c r="A590" s="225">
        <v>2613</v>
      </c>
      <c r="B590" s="226" t="s">
        <v>490</v>
      </c>
    </row>
    <row r="591" spans="1:2" x14ac:dyDescent="0.25">
      <c r="A591" s="222">
        <v>2614</v>
      </c>
      <c r="B591" s="223" t="s">
        <v>491</v>
      </c>
    </row>
    <row r="592" spans="1:2" x14ac:dyDescent="0.25">
      <c r="A592" s="225">
        <v>2615</v>
      </c>
      <c r="B592" s="226" t="s">
        <v>492</v>
      </c>
    </row>
    <row r="593" spans="1:2" x14ac:dyDescent="0.25">
      <c r="A593" s="222">
        <v>2619</v>
      </c>
      <c r="B593" s="223" t="s">
        <v>493</v>
      </c>
    </row>
    <row r="594" spans="1:2" x14ac:dyDescent="0.25">
      <c r="A594" s="225">
        <v>2621</v>
      </c>
      <c r="B594" s="226" t="s">
        <v>494</v>
      </c>
    </row>
    <row r="595" spans="1:2" x14ac:dyDescent="0.25">
      <c r="A595" s="222">
        <v>2622</v>
      </c>
      <c r="B595" s="223" t="s">
        <v>495</v>
      </c>
    </row>
    <row r="596" spans="1:2" x14ac:dyDescent="0.25">
      <c r="A596" s="225">
        <v>2623</v>
      </c>
      <c r="B596" s="226" t="s">
        <v>496</v>
      </c>
    </row>
    <row r="597" spans="1:2" x14ac:dyDescent="0.25">
      <c r="A597" s="222">
        <v>2624</v>
      </c>
      <c r="B597" s="223" t="s">
        <v>497</v>
      </c>
    </row>
    <row r="598" spans="1:2" x14ac:dyDescent="0.25">
      <c r="A598" s="225">
        <v>2625</v>
      </c>
      <c r="B598" s="226" t="s">
        <v>498</v>
      </c>
    </row>
    <row r="599" spans="1:2" x14ac:dyDescent="0.25">
      <c r="A599" s="222">
        <v>2626</v>
      </c>
      <c r="B599" s="223" t="s">
        <v>499</v>
      </c>
    </row>
    <row r="600" spans="1:2" x14ac:dyDescent="0.25">
      <c r="A600" s="225">
        <v>2627</v>
      </c>
      <c r="B600" s="226" t="s">
        <v>500</v>
      </c>
    </row>
    <row r="601" spans="1:2" x14ac:dyDescent="0.25">
      <c r="A601" s="222">
        <v>2628</v>
      </c>
      <c r="B601" s="223" t="s">
        <v>501</v>
      </c>
    </row>
    <row r="602" spans="1:2" x14ac:dyDescent="0.25">
      <c r="A602" s="225">
        <v>2629</v>
      </c>
      <c r="B602" s="226" t="s">
        <v>502</v>
      </c>
    </row>
    <row r="603" spans="1:2" x14ac:dyDescent="0.25">
      <c r="A603" s="222">
        <v>2711</v>
      </c>
      <c r="B603" s="223" t="s">
        <v>503</v>
      </c>
    </row>
    <row r="604" spans="1:2" x14ac:dyDescent="0.25">
      <c r="A604" s="225">
        <v>2712</v>
      </c>
      <c r="B604" s="226" t="s">
        <v>504</v>
      </c>
    </row>
    <row r="605" spans="1:2" x14ac:dyDescent="0.25">
      <c r="A605" s="222">
        <v>2713</v>
      </c>
      <c r="B605" s="223" t="s">
        <v>505</v>
      </c>
    </row>
    <row r="606" spans="1:2" x14ac:dyDescent="0.25">
      <c r="A606" s="225">
        <v>2714</v>
      </c>
      <c r="B606" s="226" t="s">
        <v>506</v>
      </c>
    </row>
    <row r="607" spans="1:2" x14ac:dyDescent="0.25">
      <c r="A607" s="222">
        <v>2715</v>
      </c>
      <c r="B607" s="223" t="s">
        <v>507</v>
      </c>
    </row>
    <row r="608" spans="1:2" x14ac:dyDescent="0.25">
      <c r="A608" s="225">
        <v>2716</v>
      </c>
      <c r="B608" s="226" t="s">
        <v>508</v>
      </c>
    </row>
    <row r="609" spans="1:2" x14ac:dyDescent="0.25">
      <c r="A609" s="222">
        <v>2717</v>
      </c>
      <c r="B609" s="223" t="s">
        <v>509</v>
      </c>
    </row>
    <row r="610" spans="1:2" x14ac:dyDescent="0.25">
      <c r="A610" s="225">
        <v>2719</v>
      </c>
      <c r="B610" s="226" t="s">
        <v>510</v>
      </c>
    </row>
    <row r="611" spans="1:2" x14ac:dyDescent="0.25">
      <c r="A611" s="222">
        <v>2721</v>
      </c>
      <c r="B611" s="223" t="s">
        <v>511</v>
      </c>
    </row>
    <row r="612" spans="1:2" x14ac:dyDescent="0.25">
      <c r="A612" s="225">
        <v>2723</v>
      </c>
      <c r="B612" s="226" t="s">
        <v>512</v>
      </c>
    </row>
    <row r="613" spans="1:2" x14ac:dyDescent="0.25">
      <c r="A613" s="222">
        <v>2724</v>
      </c>
      <c r="B613" s="223" t="s">
        <v>513</v>
      </c>
    </row>
    <row r="614" spans="1:2" x14ac:dyDescent="0.25">
      <c r="A614" s="225">
        <v>2725</v>
      </c>
      <c r="B614" s="226" t="s">
        <v>514</v>
      </c>
    </row>
    <row r="615" spans="1:2" x14ac:dyDescent="0.25">
      <c r="A615" s="222">
        <v>2726</v>
      </c>
      <c r="B615" s="223" t="s">
        <v>515</v>
      </c>
    </row>
    <row r="616" spans="1:2" x14ac:dyDescent="0.25">
      <c r="A616" s="225">
        <v>2727</v>
      </c>
      <c r="B616" s="226" t="s">
        <v>516</v>
      </c>
    </row>
    <row r="617" spans="1:2" x14ac:dyDescent="0.25">
      <c r="A617" s="222">
        <v>2729</v>
      </c>
      <c r="B617" s="223" t="s">
        <v>517</v>
      </c>
    </row>
    <row r="618" spans="1:2" x14ac:dyDescent="0.25">
      <c r="A618" s="225">
        <v>2910</v>
      </c>
      <c r="B618" s="226" t="s">
        <v>518</v>
      </c>
    </row>
    <row r="619" spans="1:2" x14ac:dyDescent="0.25">
      <c r="A619" s="222">
        <v>3111</v>
      </c>
      <c r="B619" s="223" t="s">
        <v>519</v>
      </c>
    </row>
    <row r="620" spans="1:2" x14ac:dyDescent="0.25">
      <c r="A620" s="225">
        <v>3112</v>
      </c>
      <c r="B620" s="226" t="s">
        <v>520</v>
      </c>
    </row>
    <row r="621" spans="1:2" x14ac:dyDescent="0.25">
      <c r="A621" s="222">
        <v>3113</v>
      </c>
      <c r="B621" s="223" t="s">
        <v>521</v>
      </c>
    </row>
    <row r="622" spans="1:2" x14ac:dyDescent="0.25">
      <c r="A622" s="225">
        <v>3114</v>
      </c>
      <c r="B622" s="226" t="s">
        <v>522</v>
      </c>
    </row>
    <row r="623" spans="1:2" x14ac:dyDescent="0.25">
      <c r="A623" s="222">
        <v>3115</v>
      </c>
      <c r="B623" s="223" t="s">
        <v>523</v>
      </c>
    </row>
    <row r="624" spans="1:2" x14ac:dyDescent="0.25">
      <c r="A624" s="225">
        <v>3116</v>
      </c>
      <c r="B624" s="226" t="s">
        <v>524</v>
      </c>
    </row>
    <row r="625" spans="1:2" x14ac:dyDescent="0.25">
      <c r="A625" s="222">
        <v>3117</v>
      </c>
      <c r="B625" s="223" t="s">
        <v>525</v>
      </c>
    </row>
    <row r="626" spans="1:2" x14ac:dyDescent="0.25">
      <c r="A626" s="225">
        <v>3121</v>
      </c>
      <c r="B626" s="226" t="s">
        <v>526</v>
      </c>
    </row>
    <row r="627" spans="1:2" x14ac:dyDescent="0.25">
      <c r="A627" s="222">
        <v>3122</v>
      </c>
      <c r="B627" s="223" t="s">
        <v>527</v>
      </c>
    </row>
    <row r="628" spans="1:2" x14ac:dyDescent="0.25">
      <c r="A628" s="225">
        <v>3131</v>
      </c>
      <c r="B628" s="226" t="s">
        <v>528</v>
      </c>
    </row>
    <row r="629" spans="1:2" x14ac:dyDescent="0.25">
      <c r="A629" s="222">
        <v>3132</v>
      </c>
      <c r="B629" s="223" t="s">
        <v>529</v>
      </c>
    </row>
    <row r="630" spans="1:2" x14ac:dyDescent="0.25">
      <c r="A630" s="225">
        <v>3133</v>
      </c>
      <c r="B630" s="226" t="s">
        <v>530</v>
      </c>
    </row>
    <row r="631" spans="1:2" x14ac:dyDescent="0.25">
      <c r="A631" s="222">
        <v>3134</v>
      </c>
      <c r="B631" s="223" t="s">
        <v>531</v>
      </c>
    </row>
    <row r="632" spans="1:2" x14ac:dyDescent="0.25">
      <c r="A632" s="225">
        <v>3135</v>
      </c>
      <c r="B632" s="226" t="s">
        <v>532</v>
      </c>
    </row>
    <row r="633" spans="1:2" x14ac:dyDescent="0.25">
      <c r="A633" s="222">
        <v>3136</v>
      </c>
      <c r="B633" s="223" t="s">
        <v>533</v>
      </c>
    </row>
    <row r="634" spans="1:2" x14ac:dyDescent="0.25">
      <c r="A634" s="225">
        <v>3139</v>
      </c>
      <c r="B634" s="226" t="s">
        <v>534</v>
      </c>
    </row>
    <row r="635" spans="1:2" x14ac:dyDescent="0.25">
      <c r="A635" s="222">
        <v>3141</v>
      </c>
      <c r="B635" s="223" t="s">
        <v>535</v>
      </c>
    </row>
    <row r="636" spans="1:2" x14ac:dyDescent="0.25">
      <c r="A636" s="225">
        <v>3142</v>
      </c>
      <c r="B636" s="226" t="s">
        <v>536</v>
      </c>
    </row>
    <row r="637" spans="1:2" x14ac:dyDescent="0.25">
      <c r="A637" s="222">
        <v>3143</v>
      </c>
      <c r="B637" s="223" t="s">
        <v>537</v>
      </c>
    </row>
    <row r="638" spans="1:2" x14ac:dyDescent="0.25">
      <c r="A638" s="225">
        <v>3144</v>
      </c>
      <c r="B638" s="226" t="s">
        <v>538</v>
      </c>
    </row>
    <row r="639" spans="1:2" x14ac:dyDescent="0.25">
      <c r="A639" s="222">
        <v>3145</v>
      </c>
      <c r="B639" s="223" t="s">
        <v>539</v>
      </c>
    </row>
    <row r="640" spans="1:2" x14ac:dyDescent="0.25">
      <c r="A640" s="225">
        <v>3146</v>
      </c>
      <c r="B640" s="226" t="s">
        <v>540</v>
      </c>
    </row>
    <row r="641" spans="1:2" x14ac:dyDescent="0.25">
      <c r="A641" s="222">
        <v>3151</v>
      </c>
      <c r="B641" s="223" t="s">
        <v>541</v>
      </c>
    </row>
    <row r="642" spans="1:2" x14ac:dyDescent="0.25">
      <c r="A642" s="225">
        <v>3152</v>
      </c>
      <c r="B642" s="226" t="s">
        <v>542</v>
      </c>
    </row>
    <row r="643" spans="1:2" x14ac:dyDescent="0.25">
      <c r="A643" s="222">
        <v>3153</v>
      </c>
      <c r="B643" s="223" t="s">
        <v>543</v>
      </c>
    </row>
    <row r="644" spans="1:2" x14ac:dyDescent="0.25">
      <c r="A644" s="225">
        <v>3155</v>
      </c>
      <c r="B644" s="226" t="s">
        <v>544</v>
      </c>
    </row>
    <row r="645" spans="1:2" x14ac:dyDescent="0.25">
      <c r="A645" s="222">
        <v>3159</v>
      </c>
      <c r="B645" s="223" t="s">
        <v>545</v>
      </c>
    </row>
    <row r="646" spans="1:2" x14ac:dyDescent="0.25">
      <c r="A646" s="225">
        <v>3161</v>
      </c>
      <c r="B646" s="226" t="s">
        <v>546</v>
      </c>
    </row>
    <row r="647" spans="1:2" x14ac:dyDescent="0.25">
      <c r="A647" s="222">
        <v>3162</v>
      </c>
      <c r="B647" s="223" t="s">
        <v>547</v>
      </c>
    </row>
    <row r="648" spans="1:2" x14ac:dyDescent="0.25">
      <c r="A648" s="225">
        <v>3163</v>
      </c>
      <c r="B648" s="226" t="s">
        <v>548</v>
      </c>
    </row>
    <row r="649" spans="1:2" x14ac:dyDescent="0.25">
      <c r="A649" s="222">
        <v>3171</v>
      </c>
      <c r="B649" s="223" t="s">
        <v>549</v>
      </c>
    </row>
    <row r="650" spans="1:2" x14ac:dyDescent="0.25">
      <c r="A650" s="225">
        <v>3172</v>
      </c>
      <c r="B650" s="226" t="s">
        <v>550</v>
      </c>
    </row>
    <row r="651" spans="1:2" x14ac:dyDescent="0.25">
      <c r="A651" s="222">
        <v>3173</v>
      </c>
      <c r="B651" s="223" t="s">
        <v>551</v>
      </c>
    </row>
    <row r="652" spans="1:2" x14ac:dyDescent="0.25">
      <c r="A652" s="225">
        <v>3190</v>
      </c>
      <c r="B652" s="226" t="s">
        <v>552</v>
      </c>
    </row>
    <row r="653" spans="1:2" x14ac:dyDescent="0.25">
      <c r="A653" s="222">
        <v>3211</v>
      </c>
      <c r="B653" s="223" t="s">
        <v>553</v>
      </c>
    </row>
    <row r="654" spans="1:2" x14ac:dyDescent="0.25">
      <c r="A654" s="225">
        <v>3212</v>
      </c>
      <c r="B654" s="226" t="s">
        <v>554</v>
      </c>
    </row>
    <row r="655" spans="1:2" x14ac:dyDescent="0.25">
      <c r="A655" s="222">
        <v>3213</v>
      </c>
      <c r="B655" s="223" t="s">
        <v>555</v>
      </c>
    </row>
    <row r="656" spans="1:2" x14ac:dyDescent="0.25">
      <c r="A656" s="225">
        <v>3221</v>
      </c>
      <c r="B656" s="226" t="s">
        <v>556</v>
      </c>
    </row>
    <row r="657" spans="1:2" x14ac:dyDescent="0.25">
      <c r="A657" s="222">
        <v>3222</v>
      </c>
      <c r="B657" s="223" t="s">
        <v>557</v>
      </c>
    </row>
    <row r="658" spans="1:2" x14ac:dyDescent="0.25">
      <c r="A658" s="225">
        <v>3311</v>
      </c>
      <c r="B658" s="226" t="s">
        <v>558</v>
      </c>
    </row>
    <row r="659" spans="1:2" x14ac:dyDescent="0.25">
      <c r="A659" s="222">
        <v>3312</v>
      </c>
      <c r="B659" s="223" t="s">
        <v>559</v>
      </c>
    </row>
    <row r="660" spans="1:2" x14ac:dyDescent="0.25">
      <c r="A660" s="225">
        <v>3321</v>
      </c>
      <c r="B660" s="226" t="s">
        <v>560</v>
      </c>
    </row>
    <row r="661" spans="1:2" x14ac:dyDescent="0.25">
      <c r="A661" s="222">
        <v>3322</v>
      </c>
      <c r="B661" s="223" t="s">
        <v>561</v>
      </c>
    </row>
    <row r="662" spans="1:2" x14ac:dyDescent="0.25">
      <c r="A662" s="225">
        <v>3323</v>
      </c>
      <c r="B662" s="226" t="s">
        <v>562</v>
      </c>
    </row>
    <row r="663" spans="1:2" x14ac:dyDescent="0.25">
      <c r="A663" s="222">
        <v>3324</v>
      </c>
      <c r="B663" s="223" t="s">
        <v>563</v>
      </c>
    </row>
    <row r="664" spans="1:2" x14ac:dyDescent="0.25">
      <c r="A664" s="225">
        <v>3325</v>
      </c>
      <c r="B664" s="226" t="s">
        <v>564</v>
      </c>
    </row>
    <row r="665" spans="1:2" x14ac:dyDescent="0.25">
      <c r="A665" s="222">
        <v>3326</v>
      </c>
      <c r="B665" s="223" t="s">
        <v>565</v>
      </c>
    </row>
    <row r="666" spans="1:2" x14ac:dyDescent="0.25">
      <c r="A666" s="225">
        <v>3331</v>
      </c>
      <c r="B666" s="226" t="s">
        <v>566</v>
      </c>
    </row>
    <row r="667" spans="1:2" x14ac:dyDescent="0.25">
      <c r="A667" s="222">
        <v>3332</v>
      </c>
      <c r="B667" s="223" t="s">
        <v>567</v>
      </c>
    </row>
    <row r="668" spans="1:2" x14ac:dyDescent="0.25">
      <c r="A668" s="225">
        <v>3333</v>
      </c>
      <c r="B668" s="226" t="s">
        <v>568</v>
      </c>
    </row>
    <row r="669" spans="1:2" x14ac:dyDescent="0.25">
      <c r="A669" s="222">
        <v>3334</v>
      </c>
      <c r="B669" s="223" t="s">
        <v>569</v>
      </c>
    </row>
    <row r="670" spans="1:2" x14ac:dyDescent="0.25">
      <c r="A670" s="225">
        <v>3335</v>
      </c>
      <c r="B670" s="226" t="s">
        <v>570</v>
      </c>
    </row>
    <row r="671" spans="1:2" x14ac:dyDescent="0.25">
      <c r="A671" s="222">
        <v>3339</v>
      </c>
      <c r="B671" s="223" t="s">
        <v>571</v>
      </c>
    </row>
    <row r="672" spans="1:2" x14ac:dyDescent="0.25">
      <c r="A672" s="225">
        <v>3341</v>
      </c>
      <c r="B672" s="226" t="s">
        <v>572</v>
      </c>
    </row>
    <row r="673" spans="1:2" x14ac:dyDescent="0.25">
      <c r="A673" s="222">
        <v>3342</v>
      </c>
      <c r="B673" s="223" t="s">
        <v>573</v>
      </c>
    </row>
    <row r="674" spans="1:2" x14ac:dyDescent="0.25">
      <c r="A674" s="225">
        <v>3410</v>
      </c>
      <c r="B674" s="226" t="s">
        <v>574</v>
      </c>
    </row>
    <row r="675" spans="1:2" x14ac:dyDescent="0.25">
      <c r="A675" s="222">
        <v>3511</v>
      </c>
      <c r="B675" s="223" t="s">
        <v>576</v>
      </c>
    </row>
    <row r="676" spans="1:2" x14ac:dyDescent="0.25">
      <c r="A676" s="225">
        <v>3513</v>
      </c>
      <c r="B676" s="226" t="s">
        <v>577</v>
      </c>
    </row>
    <row r="677" spans="1:2" x14ac:dyDescent="0.25">
      <c r="A677" s="222">
        <v>3514</v>
      </c>
      <c r="B677" s="223" t="s">
        <v>578</v>
      </c>
    </row>
    <row r="678" spans="1:2" x14ac:dyDescent="0.25">
      <c r="A678" s="225">
        <v>3515</v>
      </c>
      <c r="B678" s="226" t="s">
        <v>579</v>
      </c>
    </row>
    <row r="679" spans="1:2" x14ac:dyDescent="0.25">
      <c r="A679" s="222">
        <v>3520</v>
      </c>
      <c r="B679" s="223" t="s">
        <v>580</v>
      </c>
    </row>
    <row r="680" spans="1:2" x14ac:dyDescent="0.25">
      <c r="A680" s="225">
        <v>3611</v>
      </c>
      <c r="B680" s="226" t="s">
        <v>581</v>
      </c>
    </row>
    <row r="681" spans="1:2" x14ac:dyDescent="0.25">
      <c r="A681" s="222">
        <v>3612</v>
      </c>
      <c r="B681" s="223" t="s">
        <v>583</v>
      </c>
    </row>
    <row r="682" spans="1:2" x14ac:dyDescent="0.25">
      <c r="A682" s="225">
        <v>3613</v>
      </c>
      <c r="B682" s="226" t="s">
        <v>584</v>
      </c>
    </row>
    <row r="683" spans="1:2" x14ac:dyDescent="0.25">
      <c r="A683" s="222">
        <v>3614</v>
      </c>
      <c r="B683" s="223" t="s">
        <v>585</v>
      </c>
    </row>
    <row r="684" spans="1:2" x14ac:dyDescent="0.25">
      <c r="A684" s="225">
        <v>3615</v>
      </c>
      <c r="B684" s="226" t="s">
        <v>586</v>
      </c>
    </row>
    <row r="685" spans="1:2" x14ac:dyDescent="0.25">
      <c r="A685" s="222">
        <v>3616</v>
      </c>
      <c r="B685" s="223" t="s">
        <v>587</v>
      </c>
    </row>
    <row r="686" spans="1:2" x14ac:dyDescent="0.25">
      <c r="A686" s="225">
        <v>3621</v>
      </c>
      <c r="B686" s="226" t="s">
        <v>588</v>
      </c>
    </row>
    <row r="687" spans="1:2" x14ac:dyDescent="0.25">
      <c r="A687" s="222">
        <v>3622</v>
      </c>
      <c r="B687" s="223" t="s">
        <v>589</v>
      </c>
    </row>
    <row r="688" spans="1:2" x14ac:dyDescent="0.25">
      <c r="A688" s="225">
        <v>3623</v>
      </c>
      <c r="B688" s="226" t="s">
        <v>590</v>
      </c>
    </row>
    <row r="689" spans="1:2" x14ac:dyDescent="0.25">
      <c r="A689" s="222">
        <v>3624</v>
      </c>
      <c r="B689" s="223" t="s">
        <v>591</v>
      </c>
    </row>
    <row r="690" spans="1:2" x14ac:dyDescent="0.25">
      <c r="A690" s="225">
        <v>3631</v>
      </c>
      <c r="B690" s="226" t="s">
        <v>592</v>
      </c>
    </row>
    <row r="691" spans="1:2" x14ac:dyDescent="0.25">
      <c r="A691" s="222">
        <v>3632</v>
      </c>
      <c r="B691" s="223" t="s">
        <v>593</v>
      </c>
    </row>
    <row r="692" spans="1:2" x14ac:dyDescent="0.25">
      <c r="A692" s="225">
        <v>3633</v>
      </c>
      <c r="B692" s="226" t="s">
        <v>594</v>
      </c>
    </row>
    <row r="693" spans="1:2" x14ac:dyDescent="0.25">
      <c r="A693" s="222">
        <v>3639</v>
      </c>
      <c r="B693" s="223" t="s">
        <v>595</v>
      </c>
    </row>
    <row r="694" spans="1:2" x14ac:dyDescent="0.25">
      <c r="A694" s="225">
        <v>3641</v>
      </c>
      <c r="B694" s="226" t="s">
        <v>596</v>
      </c>
    </row>
    <row r="695" spans="1:2" x14ac:dyDescent="0.25">
      <c r="A695" s="222">
        <v>3642</v>
      </c>
      <c r="B695" s="223" t="s">
        <v>597</v>
      </c>
    </row>
    <row r="696" spans="1:2" x14ac:dyDescent="0.25">
      <c r="A696" s="225">
        <v>3649</v>
      </c>
      <c r="B696" s="226" t="s">
        <v>598</v>
      </c>
    </row>
    <row r="697" spans="1:2" x14ac:dyDescent="0.25">
      <c r="A697" s="222">
        <v>3651</v>
      </c>
      <c r="B697" s="223" t="s">
        <v>599</v>
      </c>
    </row>
    <row r="698" spans="1:2" x14ac:dyDescent="0.25">
      <c r="A698" s="225">
        <v>3652</v>
      </c>
      <c r="B698" s="226" t="s">
        <v>600</v>
      </c>
    </row>
    <row r="699" spans="1:2" x14ac:dyDescent="0.25">
      <c r="A699" s="222">
        <v>3653</v>
      </c>
      <c r="B699" s="223" t="s">
        <v>601</v>
      </c>
    </row>
    <row r="700" spans="1:2" x14ac:dyDescent="0.25">
      <c r="A700" s="225">
        <v>3654</v>
      </c>
      <c r="B700" s="226" t="s">
        <v>602</v>
      </c>
    </row>
    <row r="701" spans="1:2" x14ac:dyDescent="0.25">
      <c r="A701" s="222">
        <v>3655</v>
      </c>
      <c r="B701" s="223" t="s">
        <v>603</v>
      </c>
    </row>
    <row r="702" spans="1:2" x14ac:dyDescent="0.25">
      <c r="A702" s="225">
        <v>3656</v>
      </c>
      <c r="B702" s="226" t="s">
        <v>604</v>
      </c>
    </row>
    <row r="703" spans="1:2" x14ac:dyDescent="0.25">
      <c r="A703" s="222">
        <v>3659</v>
      </c>
      <c r="B703" s="223" t="s">
        <v>605</v>
      </c>
    </row>
    <row r="704" spans="1:2" x14ac:dyDescent="0.25">
      <c r="A704" s="225">
        <v>3711</v>
      </c>
      <c r="B704" s="226" t="s">
        <v>606</v>
      </c>
    </row>
    <row r="705" spans="1:2" x14ac:dyDescent="0.25">
      <c r="A705" s="222">
        <v>3712</v>
      </c>
      <c r="B705" s="223" t="s">
        <v>607</v>
      </c>
    </row>
    <row r="706" spans="1:2" x14ac:dyDescent="0.25">
      <c r="A706" s="225">
        <v>3713</v>
      </c>
      <c r="B706" s="226" t="s">
        <v>608</v>
      </c>
    </row>
    <row r="707" spans="1:2" x14ac:dyDescent="0.25">
      <c r="A707" s="222">
        <v>3714</v>
      </c>
      <c r="B707" s="223" t="s">
        <v>609</v>
      </c>
    </row>
    <row r="708" spans="1:2" x14ac:dyDescent="0.25">
      <c r="A708" s="225">
        <v>3715</v>
      </c>
      <c r="B708" s="226" t="s">
        <v>610</v>
      </c>
    </row>
    <row r="709" spans="1:2" x14ac:dyDescent="0.25">
      <c r="A709" s="222">
        <v>3716</v>
      </c>
      <c r="B709" s="223" t="s">
        <v>611</v>
      </c>
    </row>
    <row r="710" spans="1:2" x14ac:dyDescent="0.25">
      <c r="A710" s="225">
        <v>3717</v>
      </c>
      <c r="B710" s="226" t="s">
        <v>612</v>
      </c>
    </row>
    <row r="711" spans="1:2" x14ac:dyDescent="0.25">
      <c r="A711" s="222">
        <v>3719</v>
      </c>
      <c r="B711" s="223" t="s">
        <v>613</v>
      </c>
    </row>
    <row r="712" spans="1:2" x14ac:dyDescent="0.25">
      <c r="A712" s="225">
        <v>3721</v>
      </c>
      <c r="B712" s="226" t="s">
        <v>614</v>
      </c>
    </row>
    <row r="713" spans="1:2" x14ac:dyDescent="0.25">
      <c r="A713" s="222">
        <v>3722</v>
      </c>
      <c r="B713" s="223" t="s">
        <v>615</v>
      </c>
    </row>
    <row r="714" spans="1:2" x14ac:dyDescent="0.25">
      <c r="A714" s="225">
        <v>3910</v>
      </c>
      <c r="B714" s="226" t="s">
        <v>616</v>
      </c>
    </row>
    <row r="715" spans="1:2" x14ac:dyDescent="0.25">
      <c r="A715" s="222">
        <v>4111</v>
      </c>
      <c r="B715" s="223" t="s">
        <v>618</v>
      </c>
    </row>
    <row r="716" spans="1:2" x14ac:dyDescent="0.25">
      <c r="A716" s="225">
        <v>4112</v>
      </c>
      <c r="B716" s="226" t="s">
        <v>619</v>
      </c>
    </row>
    <row r="717" spans="1:2" x14ac:dyDescent="0.25">
      <c r="A717" s="222">
        <v>4113</v>
      </c>
      <c r="B717" s="223" t="s">
        <v>621</v>
      </c>
    </row>
    <row r="718" spans="1:2" x14ac:dyDescent="0.25">
      <c r="A718" s="225">
        <v>4114</v>
      </c>
      <c r="B718" s="226" t="s">
        <v>622</v>
      </c>
    </row>
    <row r="719" spans="1:2" x14ac:dyDescent="0.25">
      <c r="A719" s="222">
        <v>4121</v>
      </c>
      <c r="B719" s="223" t="s">
        <v>623</v>
      </c>
    </row>
    <row r="720" spans="1:2" x14ac:dyDescent="0.25">
      <c r="A720" s="225">
        <v>4122</v>
      </c>
      <c r="B720" s="226" t="s">
        <v>624</v>
      </c>
    </row>
    <row r="721" spans="1:2" x14ac:dyDescent="0.25">
      <c r="A721" s="222">
        <v>4123</v>
      </c>
      <c r="B721" s="223" t="s">
        <v>625</v>
      </c>
    </row>
    <row r="722" spans="1:2" x14ac:dyDescent="0.25">
      <c r="A722" s="225">
        <v>4129</v>
      </c>
      <c r="B722" s="226" t="s">
        <v>626</v>
      </c>
    </row>
    <row r="723" spans="1:2" x14ac:dyDescent="0.25">
      <c r="A723" s="222">
        <v>4131</v>
      </c>
      <c r="B723" s="223" t="s">
        <v>627</v>
      </c>
    </row>
    <row r="724" spans="1:2" x14ac:dyDescent="0.25">
      <c r="A724" s="225">
        <v>4132</v>
      </c>
      <c r="B724" s="226" t="s">
        <v>628</v>
      </c>
    </row>
    <row r="725" spans="1:2" x14ac:dyDescent="0.25">
      <c r="A725" s="222">
        <v>4133</v>
      </c>
      <c r="B725" s="223" t="s">
        <v>629</v>
      </c>
    </row>
    <row r="726" spans="1:2" x14ac:dyDescent="0.25">
      <c r="A726" s="225">
        <v>4134</v>
      </c>
      <c r="B726" s="226" t="s">
        <v>630</v>
      </c>
    </row>
    <row r="727" spans="1:2" x14ac:dyDescent="0.25">
      <c r="A727" s="222">
        <v>4136</v>
      </c>
      <c r="B727" s="223" t="s">
        <v>631</v>
      </c>
    </row>
    <row r="728" spans="1:2" x14ac:dyDescent="0.25">
      <c r="A728" s="225">
        <v>4190</v>
      </c>
      <c r="B728" s="226" t="s">
        <v>632</v>
      </c>
    </row>
    <row r="729" spans="1:2" x14ac:dyDescent="0.25">
      <c r="A729" s="222">
        <v>4211</v>
      </c>
      <c r="B729" s="223" t="s">
        <v>633</v>
      </c>
    </row>
    <row r="730" spans="1:2" x14ac:dyDescent="0.25">
      <c r="A730" s="225">
        <v>4212</v>
      </c>
      <c r="B730" s="226" t="s">
        <v>634</v>
      </c>
    </row>
    <row r="731" spans="1:2" x14ac:dyDescent="0.25">
      <c r="A731" s="222">
        <v>4221</v>
      </c>
      <c r="B731" s="223" t="s">
        <v>635</v>
      </c>
    </row>
    <row r="732" spans="1:2" x14ac:dyDescent="0.25">
      <c r="A732" s="225">
        <v>4222</v>
      </c>
      <c r="B732" s="226" t="s">
        <v>636</v>
      </c>
    </row>
    <row r="733" spans="1:2" x14ac:dyDescent="0.25">
      <c r="A733" s="222">
        <v>4223</v>
      </c>
      <c r="B733" s="223" t="s">
        <v>637</v>
      </c>
    </row>
    <row r="734" spans="1:2" x14ac:dyDescent="0.25">
      <c r="A734" s="225">
        <v>4224</v>
      </c>
      <c r="B734" s="226" t="s">
        <v>638</v>
      </c>
    </row>
    <row r="735" spans="1:2" x14ac:dyDescent="0.25">
      <c r="A735" s="222">
        <v>4225</v>
      </c>
      <c r="B735" s="223" t="s">
        <v>639</v>
      </c>
    </row>
    <row r="736" spans="1:2" x14ac:dyDescent="0.25">
      <c r="A736" s="225">
        <v>4226</v>
      </c>
      <c r="B736" s="226" t="s">
        <v>640</v>
      </c>
    </row>
    <row r="737" spans="1:2" x14ac:dyDescent="0.25">
      <c r="A737" s="222">
        <v>4229</v>
      </c>
      <c r="B737" s="223" t="s">
        <v>641</v>
      </c>
    </row>
    <row r="738" spans="1:2" x14ac:dyDescent="0.25">
      <c r="A738" s="225">
        <v>5111</v>
      </c>
      <c r="B738" s="226" t="s">
        <v>642</v>
      </c>
    </row>
    <row r="739" spans="1:2" x14ac:dyDescent="0.25">
      <c r="A739" s="222">
        <v>5112</v>
      </c>
      <c r="B739" s="223" t="s">
        <v>643</v>
      </c>
    </row>
    <row r="740" spans="1:2" x14ac:dyDescent="0.25">
      <c r="A740" s="225">
        <v>5113</v>
      </c>
      <c r="B740" s="226" t="s">
        <v>644</v>
      </c>
    </row>
    <row r="741" spans="1:2" x14ac:dyDescent="0.25">
      <c r="A741" s="222">
        <v>5114</v>
      </c>
      <c r="B741" s="223" t="s">
        <v>645</v>
      </c>
    </row>
    <row r="742" spans="1:2" x14ac:dyDescent="0.25">
      <c r="A742" s="225">
        <v>5115</v>
      </c>
      <c r="B742" s="226" t="s">
        <v>646</v>
      </c>
    </row>
    <row r="743" spans="1:2" x14ac:dyDescent="0.25">
      <c r="A743" s="222">
        <v>5116</v>
      </c>
      <c r="B743" s="223" t="s">
        <v>647</v>
      </c>
    </row>
    <row r="744" spans="1:2" x14ac:dyDescent="0.25">
      <c r="A744" s="225">
        <v>5117</v>
      </c>
      <c r="B744" s="226" t="s">
        <v>648</v>
      </c>
    </row>
    <row r="745" spans="1:2" x14ac:dyDescent="0.25">
      <c r="A745" s="222">
        <v>5121</v>
      </c>
      <c r="B745" s="223" t="s">
        <v>649</v>
      </c>
    </row>
    <row r="746" spans="1:2" x14ac:dyDescent="0.25">
      <c r="A746" s="225">
        <v>5122</v>
      </c>
      <c r="B746" s="226" t="s">
        <v>650</v>
      </c>
    </row>
    <row r="747" spans="1:2" x14ac:dyDescent="0.25">
      <c r="A747" s="222">
        <v>5123</v>
      </c>
      <c r="B747" s="223" t="s">
        <v>651</v>
      </c>
    </row>
    <row r="748" spans="1:2" x14ac:dyDescent="0.25">
      <c r="A748" s="225">
        <v>5129</v>
      </c>
      <c r="B748" s="226" t="s">
        <v>652</v>
      </c>
    </row>
    <row r="749" spans="1:2" x14ac:dyDescent="0.25">
      <c r="A749" s="222">
        <v>5131</v>
      </c>
      <c r="B749" s="223" t="s">
        <v>653</v>
      </c>
    </row>
    <row r="750" spans="1:2" x14ac:dyDescent="0.25">
      <c r="A750" s="225">
        <v>5132</v>
      </c>
      <c r="B750" s="226" t="s">
        <v>654</v>
      </c>
    </row>
    <row r="751" spans="1:2" x14ac:dyDescent="0.25">
      <c r="A751" s="222">
        <v>5133</v>
      </c>
      <c r="B751" s="223" t="s">
        <v>655</v>
      </c>
    </row>
    <row r="752" spans="1:2" x14ac:dyDescent="0.25">
      <c r="A752" s="225">
        <v>5134</v>
      </c>
      <c r="B752" s="226" t="s">
        <v>656</v>
      </c>
    </row>
    <row r="753" spans="1:2" x14ac:dyDescent="0.25">
      <c r="A753" s="222">
        <v>5135</v>
      </c>
      <c r="B753" s="223" t="s">
        <v>657</v>
      </c>
    </row>
    <row r="754" spans="1:2" x14ac:dyDescent="0.25">
      <c r="A754" s="225">
        <v>5211</v>
      </c>
      <c r="B754" s="226" t="s">
        <v>658</v>
      </c>
    </row>
    <row r="755" spans="1:2" x14ac:dyDescent="0.25">
      <c r="A755" s="222">
        <v>5212</v>
      </c>
      <c r="B755" s="223" t="s">
        <v>659</v>
      </c>
    </row>
    <row r="756" spans="1:2" x14ac:dyDescent="0.25">
      <c r="A756" s="225">
        <v>5213</v>
      </c>
      <c r="B756" s="226" t="s">
        <v>660</v>
      </c>
    </row>
    <row r="757" spans="1:2" x14ac:dyDescent="0.25">
      <c r="A757" s="222">
        <v>5219</v>
      </c>
      <c r="B757" s="223" t="s">
        <v>661</v>
      </c>
    </row>
    <row r="758" spans="1:2" x14ac:dyDescent="0.25">
      <c r="A758" s="225">
        <v>5221</v>
      </c>
      <c r="B758" s="226" t="s">
        <v>662</v>
      </c>
    </row>
    <row r="759" spans="1:2" x14ac:dyDescent="0.25">
      <c r="A759" s="222">
        <v>5222</v>
      </c>
      <c r="B759" s="223" t="s">
        <v>663</v>
      </c>
    </row>
    <row r="760" spans="1:2" x14ac:dyDescent="0.25">
      <c r="A760" s="225">
        <v>5223</v>
      </c>
      <c r="B760" s="226" t="s">
        <v>664</v>
      </c>
    </row>
    <row r="761" spans="1:2" x14ac:dyDescent="0.25">
      <c r="A761" s="222">
        <v>5229</v>
      </c>
      <c r="B761" s="223" t="s">
        <v>665</v>
      </c>
    </row>
    <row r="762" spans="1:2" x14ac:dyDescent="0.25">
      <c r="A762" s="225">
        <v>5231</v>
      </c>
      <c r="B762" s="226" t="s">
        <v>666</v>
      </c>
    </row>
    <row r="763" spans="1:2" x14ac:dyDescent="0.25">
      <c r="A763" s="222">
        <v>5232</v>
      </c>
      <c r="B763" s="223" t="s">
        <v>667</v>
      </c>
    </row>
    <row r="764" spans="1:2" x14ac:dyDescent="0.25">
      <c r="A764" s="225">
        <v>5233</v>
      </c>
      <c r="B764" s="226" t="s">
        <v>668</v>
      </c>
    </row>
    <row r="765" spans="1:2" x14ac:dyDescent="0.25">
      <c r="A765" s="222">
        <v>5241</v>
      </c>
      <c r="B765" s="223" t="s">
        <v>669</v>
      </c>
    </row>
    <row r="766" spans="1:2" x14ac:dyDescent="0.25">
      <c r="A766" s="225">
        <v>5242</v>
      </c>
      <c r="B766" s="226" t="s">
        <v>670</v>
      </c>
    </row>
    <row r="767" spans="1:2" x14ac:dyDescent="0.25">
      <c r="A767" s="222">
        <v>5243</v>
      </c>
      <c r="B767" s="223" t="s">
        <v>671</v>
      </c>
    </row>
    <row r="768" spans="1:2" x14ac:dyDescent="0.25">
      <c r="A768" s="225">
        <v>5251</v>
      </c>
      <c r="B768" s="226" t="s">
        <v>672</v>
      </c>
    </row>
    <row r="769" spans="1:2" x14ac:dyDescent="0.25">
      <c r="A769" s="222">
        <v>5252</v>
      </c>
      <c r="B769" s="223" t="s">
        <v>673</v>
      </c>
    </row>
    <row r="770" spans="1:2" x14ac:dyDescent="0.25">
      <c r="A770" s="225">
        <v>5253</v>
      </c>
      <c r="B770" s="226" t="s">
        <v>674</v>
      </c>
    </row>
    <row r="771" spans="1:2" x14ac:dyDescent="0.25">
      <c r="A771" s="222">
        <v>5254</v>
      </c>
      <c r="B771" s="223" t="s">
        <v>675</v>
      </c>
    </row>
    <row r="772" spans="1:2" x14ac:dyDescent="0.25">
      <c r="A772" s="225">
        <v>5255</v>
      </c>
      <c r="B772" s="226" t="s">
        <v>676</v>
      </c>
    </row>
    <row r="773" spans="1:2" x14ac:dyDescent="0.25">
      <c r="A773" s="222">
        <v>5256</v>
      </c>
      <c r="B773" s="223" t="s">
        <v>677</v>
      </c>
    </row>
    <row r="774" spans="1:2" x14ac:dyDescent="0.25">
      <c r="A774" s="225">
        <v>5259</v>
      </c>
      <c r="B774" s="226" t="s">
        <v>678</v>
      </c>
    </row>
    <row r="775" spans="1:2" x14ac:dyDescent="0.25">
      <c r="A775" s="222">
        <v>5291</v>
      </c>
      <c r="B775" s="223" t="s">
        <v>679</v>
      </c>
    </row>
    <row r="776" spans="1:2" x14ac:dyDescent="0.25">
      <c r="A776" s="225">
        <v>5292</v>
      </c>
      <c r="B776" s="226" t="s">
        <v>680</v>
      </c>
    </row>
    <row r="777" spans="1:2" x14ac:dyDescent="0.25">
      <c r="A777" s="222">
        <v>5293</v>
      </c>
      <c r="B777" s="223" t="s">
        <v>681</v>
      </c>
    </row>
    <row r="778" spans="1:2" x14ac:dyDescent="0.25">
      <c r="A778" s="225">
        <v>5299</v>
      </c>
      <c r="B778" s="226" t="s">
        <v>682</v>
      </c>
    </row>
    <row r="779" spans="1:2" x14ac:dyDescent="0.25">
      <c r="A779" s="222">
        <v>6111</v>
      </c>
      <c r="B779" s="223" t="s">
        <v>683</v>
      </c>
    </row>
    <row r="780" spans="1:2" x14ac:dyDescent="0.25">
      <c r="A780" s="225">
        <v>6113</v>
      </c>
      <c r="B780" s="226" t="s">
        <v>684</v>
      </c>
    </row>
    <row r="781" spans="1:2" x14ac:dyDescent="0.25">
      <c r="A781" s="222">
        <v>6114</v>
      </c>
      <c r="B781" s="223" t="s">
        <v>685</v>
      </c>
    </row>
    <row r="782" spans="1:2" x14ac:dyDescent="0.25">
      <c r="A782" s="225">
        <v>6115</v>
      </c>
      <c r="B782" s="226" t="s">
        <v>686</v>
      </c>
    </row>
    <row r="783" spans="1:2" x14ac:dyDescent="0.25">
      <c r="A783" s="222">
        <v>6116</v>
      </c>
      <c r="B783" s="223" t="s">
        <v>687</v>
      </c>
    </row>
    <row r="784" spans="1:2" x14ac:dyDescent="0.25">
      <c r="A784" s="225">
        <v>6119</v>
      </c>
      <c r="B784" s="226" t="s">
        <v>688</v>
      </c>
    </row>
    <row r="785" spans="1:2" x14ac:dyDescent="0.25">
      <c r="A785" s="222">
        <v>6121</v>
      </c>
      <c r="B785" s="223" t="s">
        <v>689</v>
      </c>
    </row>
    <row r="786" spans="1:2" x14ac:dyDescent="0.25">
      <c r="A786" s="225">
        <v>6122</v>
      </c>
      <c r="B786" s="226" t="s">
        <v>690</v>
      </c>
    </row>
    <row r="787" spans="1:2" x14ac:dyDescent="0.25">
      <c r="A787" s="222">
        <v>6124</v>
      </c>
      <c r="B787" s="223" t="s">
        <v>691</v>
      </c>
    </row>
    <row r="788" spans="1:2" x14ac:dyDescent="0.25">
      <c r="A788" s="225">
        <v>6130</v>
      </c>
      <c r="B788" s="226" t="s">
        <v>692</v>
      </c>
    </row>
    <row r="789" spans="1:2" x14ac:dyDescent="0.25">
      <c r="A789" s="222">
        <v>6211</v>
      </c>
      <c r="B789" s="223" t="s">
        <v>693</v>
      </c>
    </row>
    <row r="790" spans="1:2" x14ac:dyDescent="0.25">
      <c r="A790" s="225">
        <v>6212</v>
      </c>
      <c r="B790" s="226" t="s">
        <v>694</v>
      </c>
    </row>
    <row r="791" spans="1:2" x14ac:dyDescent="0.25">
      <c r="A791" s="222">
        <v>6220</v>
      </c>
      <c r="B791" s="223" t="s">
        <v>695</v>
      </c>
    </row>
    <row r="792" spans="1:2" x14ac:dyDescent="0.25">
      <c r="A792" s="225">
        <v>6230</v>
      </c>
      <c r="B792" s="226" t="s">
        <v>696</v>
      </c>
    </row>
    <row r="793" spans="1:2" x14ac:dyDescent="0.25">
      <c r="A793" s="222">
        <v>7111</v>
      </c>
      <c r="B793" s="223" t="s">
        <v>697</v>
      </c>
    </row>
    <row r="794" spans="1:2" x14ac:dyDescent="0.25">
      <c r="A794" s="225">
        <v>7112</v>
      </c>
      <c r="B794" s="226" t="s">
        <v>698</v>
      </c>
    </row>
    <row r="795" spans="1:2" x14ac:dyDescent="0.25">
      <c r="A795" s="222">
        <v>7113</v>
      </c>
      <c r="B795" s="223" t="s">
        <v>699</v>
      </c>
    </row>
    <row r="796" spans="1:2" x14ac:dyDescent="0.25">
      <c r="A796" s="225">
        <v>7114</v>
      </c>
      <c r="B796" s="226" t="s">
        <v>700</v>
      </c>
    </row>
    <row r="797" spans="1:2" x14ac:dyDescent="0.25">
      <c r="A797" s="222">
        <v>7115</v>
      </c>
      <c r="B797" s="223" t="s">
        <v>701</v>
      </c>
    </row>
    <row r="798" spans="1:2" x14ac:dyDescent="0.25">
      <c r="A798" s="225">
        <v>7211</v>
      </c>
      <c r="B798" s="226" t="s">
        <v>702</v>
      </c>
    </row>
    <row r="799" spans="1:2" x14ac:dyDescent="0.25">
      <c r="A799" s="222">
        <v>7212</v>
      </c>
      <c r="B799" s="223" t="s">
        <v>703</v>
      </c>
    </row>
    <row r="800" spans="1:2" x14ac:dyDescent="0.25">
      <c r="A800" s="225">
        <v>7213</v>
      </c>
      <c r="B800" s="226" t="s">
        <v>704</v>
      </c>
    </row>
    <row r="801" spans="1:2" x14ac:dyDescent="0.25">
      <c r="A801" s="222">
        <v>7216</v>
      </c>
      <c r="B801" s="223" t="s">
        <v>705</v>
      </c>
    </row>
    <row r="802" spans="1:2" x14ac:dyDescent="0.25">
      <c r="A802" s="225">
        <v>7217</v>
      </c>
      <c r="B802" s="226" t="s">
        <v>706</v>
      </c>
    </row>
    <row r="803" spans="1:2" x14ac:dyDescent="0.25">
      <c r="A803" s="222">
        <v>7221</v>
      </c>
      <c r="B803" s="223" t="s">
        <v>707</v>
      </c>
    </row>
    <row r="804" spans="1:2" x14ac:dyDescent="0.25">
      <c r="A804" s="225">
        <v>7222</v>
      </c>
      <c r="B804" s="226" t="s">
        <v>708</v>
      </c>
    </row>
    <row r="805" spans="1:2" x14ac:dyDescent="0.25">
      <c r="A805" s="222">
        <v>7223</v>
      </c>
      <c r="B805" s="223" t="s">
        <v>709</v>
      </c>
    </row>
    <row r="806" spans="1:2" x14ac:dyDescent="0.25">
      <c r="A806" s="225">
        <v>7224</v>
      </c>
      <c r="B806" s="226" t="s">
        <v>710</v>
      </c>
    </row>
    <row r="807" spans="1:2" x14ac:dyDescent="0.25">
      <c r="A807" s="222">
        <v>7225</v>
      </c>
      <c r="B807" s="223" t="s">
        <v>711</v>
      </c>
    </row>
    <row r="808" spans="1:2" x14ac:dyDescent="0.25">
      <c r="A808" s="225">
        <v>7231</v>
      </c>
      <c r="B808" s="226" t="s">
        <v>712</v>
      </c>
    </row>
    <row r="809" spans="1:2" x14ac:dyDescent="0.25">
      <c r="A809" s="222">
        <v>7232</v>
      </c>
      <c r="B809" s="223" t="s">
        <v>713</v>
      </c>
    </row>
    <row r="810" spans="1:2" x14ac:dyDescent="0.25">
      <c r="A810" s="225">
        <v>7233</v>
      </c>
      <c r="B810" s="226" t="s">
        <v>714</v>
      </c>
    </row>
    <row r="811" spans="1:2" x14ac:dyDescent="0.25">
      <c r="A811" s="222">
        <v>7310</v>
      </c>
      <c r="B811" s="223" t="s">
        <v>715</v>
      </c>
    </row>
    <row r="812" spans="1:2" x14ac:dyDescent="0.25">
      <c r="A812" s="225">
        <v>7321</v>
      </c>
      <c r="B812" s="226" t="s">
        <v>716</v>
      </c>
    </row>
    <row r="813" spans="1:2" x14ac:dyDescent="0.25">
      <c r="A813" s="222">
        <v>7322</v>
      </c>
      <c r="B813" s="223" t="s">
        <v>717</v>
      </c>
    </row>
    <row r="814" spans="1:2" x14ac:dyDescent="0.25">
      <c r="A814" s="225">
        <v>7323</v>
      </c>
      <c r="B814" s="226" t="s">
        <v>718</v>
      </c>
    </row>
    <row r="815" spans="1:2" x14ac:dyDescent="0.25">
      <c r="A815" s="222">
        <v>7324</v>
      </c>
      <c r="B815" s="223" t="s">
        <v>719</v>
      </c>
    </row>
    <row r="816" spans="1:2" x14ac:dyDescent="0.25">
      <c r="A816" s="225">
        <v>7325</v>
      </c>
      <c r="B816" s="226" t="s">
        <v>720</v>
      </c>
    </row>
    <row r="817" spans="1:2" x14ac:dyDescent="0.25">
      <c r="A817" s="222">
        <v>7326</v>
      </c>
      <c r="B817" s="223" t="s">
        <v>721</v>
      </c>
    </row>
    <row r="818" spans="1:2" x14ac:dyDescent="0.25">
      <c r="A818" s="225">
        <v>7327</v>
      </c>
      <c r="B818" s="226" t="s">
        <v>722</v>
      </c>
    </row>
    <row r="819" spans="1:2" x14ac:dyDescent="0.25">
      <c r="A819" s="222">
        <v>7328</v>
      </c>
      <c r="B819" s="223" t="s">
        <v>723</v>
      </c>
    </row>
    <row r="820" spans="1:2" x14ac:dyDescent="0.25">
      <c r="A820" s="225">
        <v>7331</v>
      </c>
      <c r="B820" s="226" t="s">
        <v>724</v>
      </c>
    </row>
    <row r="821" spans="1:2" x14ac:dyDescent="0.25">
      <c r="A821" s="222">
        <v>7332</v>
      </c>
      <c r="B821" s="223" t="s">
        <v>725</v>
      </c>
    </row>
    <row r="822" spans="1:2" x14ac:dyDescent="0.25">
      <c r="A822" s="225">
        <v>7333</v>
      </c>
      <c r="B822" s="226" t="s">
        <v>726</v>
      </c>
    </row>
    <row r="823" spans="1:2" x14ac:dyDescent="0.25">
      <c r="A823" s="222">
        <v>7334</v>
      </c>
      <c r="B823" s="223" t="s">
        <v>727</v>
      </c>
    </row>
    <row r="824" spans="1:2" x14ac:dyDescent="0.25">
      <c r="A824" s="225">
        <v>7335</v>
      </c>
      <c r="B824" s="226" t="s">
        <v>728</v>
      </c>
    </row>
    <row r="825" spans="1:2" x14ac:dyDescent="0.25">
      <c r="A825" s="222">
        <v>7341</v>
      </c>
      <c r="B825" s="223" t="s">
        <v>729</v>
      </c>
    </row>
    <row r="826" spans="1:2" x14ac:dyDescent="0.25">
      <c r="A826" s="225">
        <v>7342</v>
      </c>
      <c r="B826" s="226" t="s">
        <v>730</v>
      </c>
    </row>
    <row r="827" spans="1:2" x14ac:dyDescent="0.25">
      <c r="A827" s="222">
        <v>7343</v>
      </c>
      <c r="B827" s="223" t="s">
        <v>731</v>
      </c>
    </row>
    <row r="828" spans="1:2" x14ac:dyDescent="0.25">
      <c r="A828" s="225">
        <v>7411</v>
      </c>
      <c r="B828" s="226" t="s">
        <v>732</v>
      </c>
    </row>
    <row r="829" spans="1:2" x14ac:dyDescent="0.25">
      <c r="A829" s="222">
        <v>7412</v>
      </c>
      <c r="B829" s="223" t="s">
        <v>733</v>
      </c>
    </row>
    <row r="830" spans="1:2" x14ac:dyDescent="0.25">
      <c r="A830" s="225">
        <v>7413</v>
      </c>
      <c r="B830" s="226" t="s">
        <v>734</v>
      </c>
    </row>
    <row r="831" spans="1:2" x14ac:dyDescent="0.25">
      <c r="A831" s="222">
        <v>7414</v>
      </c>
      <c r="B831" s="223" t="s">
        <v>735</v>
      </c>
    </row>
    <row r="832" spans="1:2" x14ac:dyDescent="0.25">
      <c r="A832" s="225">
        <v>7415</v>
      </c>
      <c r="B832" s="226" t="s">
        <v>736</v>
      </c>
    </row>
    <row r="833" spans="1:2" x14ac:dyDescent="0.25">
      <c r="A833" s="222">
        <v>7416</v>
      </c>
      <c r="B833" s="223" t="s">
        <v>737</v>
      </c>
    </row>
    <row r="834" spans="1:2" x14ac:dyDescent="0.25">
      <c r="A834" s="225">
        <v>7417</v>
      </c>
      <c r="B834" s="226" t="s">
        <v>738</v>
      </c>
    </row>
    <row r="835" spans="1:2" x14ac:dyDescent="0.25">
      <c r="A835" s="222">
        <v>7418</v>
      </c>
      <c r="B835" s="223" t="s">
        <v>739</v>
      </c>
    </row>
    <row r="836" spans="1:2" x14ac:dyDescent="0.25">
      <c r="A836" s="225">
        <v>7419</v>
      </c>
      <c r="B836" s="226" t="s">
        <v>740</v>
      </c>
    </row>
    <row r="837" spans="1:2" x14ac:dyDescent="0.25">
      <c r="A837" s="222">
        <v>7420</v>
      </c>
      <c r="B837" s="223" t="s">
        <v>741</v>
      </c>
    </row>
    <row r="838" spans="1:2" x14ac:dyDescent="0.25">
      <c r="A838" s="225">
        <v>7511</v>
      </c>
      <c r="B838" s="226" t="s">
        <v>742</v>
      </c>
    </row>
    <row r="839" spans="1:2" x14ac:dyDescent="0.25">
      <c r="A839" s="222">
        <v>7512</v>
      </c>
      <c r="B839" s="223" t="s">
        <v>743</v>
      </c>
    </row>
    <row r="840" spans="1:2" x14ac:dyDescent="0.25">
      <c r="A840" s="225">
        <v>7513</v>
      </c>
      <c r="B840" s="226" t="s">
        <v>744</v>
      </c>
    </row>
    <row r="841" spans="1:2" x14ac:dyDescent="0.25">
      <c r="A841" s="222">
        <v>7514</v>
      </c>
      <c r="B841" s="223" t="s">
        <v>745</v>
      </c>
    </row>
    <row r="842" spans="1:2" x14ac:dyDescent="0.25">
      <c r="A842" s="225">
        <v>7515</v>
      </c>
      <c r="B842" s="226" t="s">
        <v>746</v>
      </c>
    </row>
    <row r="843" spans="1:2" x14ac:dyDescent="0.25">
      <c r="A843" s="222">
        <v>7519</v>
      </c>
      <c r="B843" s="223" t="s">
        <v>747</v>
      </c>
    </row>
    <row r="844" spans="1:2" x14ac:dyDescent="0.25">
      <c r="A844" s="225">
        <v>7521</v>
      </c>
      <c r="B844" s="226" t="s">
        <v>748</v>
      </c>
    </row>
    <row r="845" spans="1:2" x14ac:dyDescent="0.25">
      <c r="A845" s="222">
        <v>7522</v>
      </c>
      <c r="B845" s="223" t="s">
        <v>749</v>
      </c>
    </row>
    <row r="846" spans="1:2" x14ac:dyDescent="0.25">
      <c r="A846" s="225">
        <v>7523</v>
      </c>
      <c r="B846" s="226" t="s">
        <v>750</v>
      </c>
    </row>
    <row r="847" spans="1:2" x14ac:dyDescent="0.25">
      <c r="A847" s="222">
        <v>7524</v>
      </c>
      <c r="B847" s="223" t="s">
        <v>751</v>
      </c>
    </row>
    <row r="848" spans="1:2" x14ac:dyDescent="0.25">
      <c r="A848" s="225">
        <v>7529</v>
      </c>
      <c r="B848" s="226" t="s">
        <v>752</v>
      </c>
    </row>
    <row r="849" spans="1:2" x14ac:dyDescent="0.25">
      <c r="A849" s="222">
        <v>7531</v>
      </c>
      <c r="B849" s="223" t="s">
        <v>753</v>
      </c>
    </row>
    <row r="850" spans="1:2" x14ac:dyDescent="0.25">
      <c r="A850" s="225">
        <v>7532</v>
      </c>
      <c r="B850" s="226" t="s">
        <v>754</v>
      </c>
    </row>
    <row r="851" spans="1:2" x14ac:dyDescent="0.25">
      <c r="A851" s="222">
        <v>7533</v>
      </c>
      <c r="B851" s="223" t="s">
        <v>755</v>
      </c>
    </row>
    <row r="852" spans="1:2" x14ac:dyDescent="0.25">
      <c r="A852" s="225">
        <v>7534</v>
      </c>
      <c r="B852" s="226" t="s">
        <v>756</v>
      </c>
    </row>
    <row r="853" spans="1:2" x14ac:dyDescent="0.25">
      <c r="A853" s="222">
        <v>7535</v>
      </c>
      <c r="B853" s="223" t="s">
        <v>757</v>
      </c>
    </row>
    <row r="854" spans="1:2" x14ac:dyDescent="0.25">
      <c r="A854" s="225">
        <v>7536</v>
      </c>
      <c r="B854" s="226" t="s">
        <v>758</v>
      </c>
    </row>
    <row r="855" spans="1:2" x14ac:dyDescent="0.25">
      <c r="A855" s="222">
        <v>7538</v>
      </c>
      <c r="B855" s="223" t="s">
        <v>759</v>
      </c>
    </row>
    <row r="856" spans="1:2" x14ac:dyDescent="0.25">
      <c r="A856" s="225">
        <v>7539</v>
      </c>
      <c r="B856" s="226" t="s">
        <v>760</v>
      </c>
    </row>
    <row r="857" spans="1:2" x14ac:dyDescent="0.25">
      <c r="A857" s="222">
        <v>7911</v>
      </c>
      <c r="B857" s="223" t="s">
        <v>761</v>
      </c>
    </row>
    <row r="858" spans="1:2" x14ac:dyDescent="0.25">
      <c r="A858" s="225">
        <v>7914</v>
      </c>
      <c r="B858" s="226" t="s">
        <v>762</v>
      </c>
    </row>
    <row r="859" spans="1:2" x14ac:dyDescent="0.25">
      <c r="A859" s="222">
        <v>7915</v>
      </c>
      <c r="B859" s="223" t="s">
        <v>763</v>
      </c>
    </row>
    <row r="860" spans="1:2" x14ac:dyDescent="0.25">
      <c r="A860" s="225">
        <v>7919</v>
      </c>
      <c r="B860" s="226" t="s">
        <v>764</v>
      </c>
    </row>
    <row r="861" spans="1:2" x14ac:dyDescent="0.25">
      <c r="A861" s="222">
        <v>8111</v>
      </c>
      <c r="B861" s="223" t="s">
        <v>765</v>
      </c>
    </row>
    <row r="862" spans="1:2" x14ac:dyDescent="0.25">
      <c r="A862" s="225">
        <v>8112</v>
      </c>
      <c r="B862" s="226" t="s">
        <v>766</v>
      </c>
    </row>
    <row r="863" spans="1:2" x14ac:dyDescent="0.25">
      <c r="A863" s="222">
        <v>8121</v>
      </c>
      <c r="B863" s="223" t="s">
        <v>767</v>
      </c>
    </row>
    <row r="864" spans="1:2" x14ac:dyDescent="0.25">
      <c r="A864" s="225">
        <v>8122</v>
      </c>
      <c r="B864" s="226" t="s">
        <v>768</v>
      </c>
    </row>
    <row r="865" spans="1:2" x14ac:dyDescent="0.25">
      <c r="A865" s="222">
        <v>8123</v>
      </c>
      <c r="B865" s="223" t="s">
        <v>769</v>
      </c>
    </row>
    <row r="866" spans="1:2" x14ac:dyDescent="0.25">
      <c r="A866" s="225">
        <v>8124</v>
      </c>
      <c r="B866" s="226" t="s">
        <v>770</v>
      </c>
    </row>
    <row r="867" spans="1:2" x14ac:dyDescent="0.25">
      <c r="A867" s="222">
        <v>8125</v>
      </c>
      <c r="B867" s="223" t="s">
        <v>771</v>
      </c>
    </row>
    <row r="868" spans="1:2" x14ac:dyDescent="0.25">
      <c r="A868" s="225">
        <v>8126</v>
      </c>
      <c r="B868" s="226" t="s">
        <v>772</v>
      </c>
    </row>
    <row r="869" spans="1:2" x14ac:dyDescent="0.25">
      <c r="A869" s="222">
        <v>8131</v>
      </c>
      <c r="B869" s="223" t="s">
        <v>773</v>
      </c>
    </row>
    <row r="870" spans="1:2" x14ac:dyDescent="0.25">
      <c r="A870" s="225">
        <v>8132</v>
      </c>
      <c r="B870" s="226" t="s">
        <v>774</v>
      </c>
    </row>
    <row r="871" spans="1:2" x14ac:dyDescent="0.25">
      <c r="A871" s="222">
        <v>8133</v>
      </c>
      <c r="B871" s="223" t="s">
        <v>775</v>
      </c>
    </row>
    <row r="872" spans="1:2" x14ac:dyDescent="0.25">
      <c r="A872" s="225">
        <v>8134</v>
      </c>
      <c r="B872" s="226" t="s">
        <v>776</v>
      </c>
    </row>
    <row r="873" spans="1:2" x14ac:dyDescent="0.25">
      <c r="A873" s="222">
        <v>8135</v>
      </c>
      <c r="B873" s="223" t="s">
        <v>777</v>
      </c>
    </row>
    <row r="874" spans="1:2" x14ac:dyDescent="0.25">
      <c r="A874" s="225">
        <v>8136</v>
      </c>
      <c r="B874" s="226" t="s">
        <v>778</v>
      </c>
    </row>
    <row r="875" spans="1:2" x14ac:dyDescent="0.25">
      <c r="A875" s="222">
        <v>8137</v>
      </c>
      <c r="B875" s="223" t="s">
        <v>779</v>
      </c>
    </row>
    <row r="876" spans="1:2" x14ac:dyDescent="0.25">
      <c r="A876" s="225">
        <v>8141</v>
      </c>
      <c r="B876" s="226" t="s">
        <v>780</v>
      </c>
    </row>
    <row r="877" spans="1:2" x14ac:dyDescent="0.25">
      <c r="A877" s="222">
        <v>8142</v>
      </c>
      <c r="B877" s="223" t="s">
        <v>781</v>
      </c>
    </row>
    <row r="878" spans="1:2" x14ac:dyDescent="0.25">
      <c r="A878" s="225">
        <v>8143</v>
      </c>
      <c r="B878" s="226" t="s">
        <v>782</v>
      </c>
    </row>
    <row r="879" spans="1:2" x14ac:dyDescent="0.25">
      <c r="A879" s="222">
        <v>8144</v>
      </c>
      <c r="B879" s="223" t="s">
        <v>783</v>
      </c>
    </row>
    <row r="880" spans="1:2" x14ac:dyDescent="0.25">
      <c r="A880" s="225">
        <v>8151</v>
      </c>
      <c r="B880" s="226" t="s">
        <v>784</v>
      </c>
    </row>
    <row r="881" spans="1:2" x14ac:dyDescent="0.25">
      <c r="A881" s="222">
        <v>8152</v>
      </c>
      <c r="B881" s="223" t="s">
        <v>785</v>
      </c>
    </row>
    <row r="882" spans="1:2" x14ac:dyDescent="0.25">
      <c r="A882" s="225">
        <v>8190</v>
      </c>
      <c r="B882" s="226" t="s">
        <v>786</v>
      </c>
    </row>
    <row r="883" spans="1:2" x14ac:dyDescent="0.25">
      <c r="A883" s="222">
        <v>8211</v>
      </c>
      <c r="B883" s="223" t="s">
        <v>787</v>
      </c>
    </row>
    <row r="884" spans="1:2" x14ac:dyDescent="0.25">
      <c r="A884" s="225">
        <v>8212</v>
      </c>
      <c r="B884" s="226" t="s">
        <v>788</v>
      </c>
    </row>
    <row r="885" spans="1:2" x14ac:dyDescent="0.25">
      <c r="A885" s="222">
        <v>8219</v>
      </c>
      <c r="B885" s="223" t="s">
        <v>789</v>
      </c>
    </row>
    <row r="886" spans="1:2" x14ac:dyDescent="0.25">
      <c r="A886" s="225">
        <v>8311</v>
      </c>
      <c r="B886" s="226" t="s">
        <v>790</v>
      </c>
    </row>
    <row r="887" spans="1:2" x14ac:dyDescent="0.25">
      <c r="A887" s="222">
        <v>8312</v>
      </c>
      <c r="B887" s="223" t="s">
        <v>791</v>
      </c>
    </row>
    <row r="888" spans="1:2" x14ac:dyDescent="0.25">
      <c r="A888" s="225">
        <v>8321</v>
      </c>
      <c r="B888" s="226" t="s">
        <v>792</v>
      </c>
    </row>
    <row r="889" spans="1:2" x14ac:dyDescent="0.25">
      <c r="A889" s="222">
        <v>8322</v>
      </c>
      <c r="B889" s="223" t="s">
        <v>793</v>
      </c>
    </row>
    <row r="890" spans="1:2" x14ac:dyDescent="0.25">
      <c r="A890" s="225">
        <v>8323</v>
      </c>
      <c r="B890" s="226" t="s">
        <v>794</v>
      </c>
    </row>
    <row r="891" spans="1:2" x14ac:dyDescent="0.25">
      <c r="A891" s="222">
        <v>8324</v>
      </c>
      <c r="B891" s="223" t="s">
        <v>795</v>
      </c>
    </row>
    <row r="892" spans="1:2" x14ac:dyDescent="0.25">
      <c r="A892" s="225">
        <v>8325</v>
      </c>
      <c r="B892" s="226" t="s">
        <v>796</v>
      </c>
    </row>
    <row r="893" spans="1:2" x14ac:dyDescent="0.25">
      <c r="A893" s="222">
        <v>8326</v>
      </c>
      <c r="B893" s="223" t="s">
        <v>797</v>
      </c>
    </row>
    <row r="894" spans="1:2" x14ac:dyDescent="0.25">
      <c r="A894" s="225">
        <v>8327</v>
      </c>
      <c r="B894" s="226" t="s">
        <v>798</v>
      </c>
    </row>
    <row r="895" spans="1:2" x14ac:dyDescent="0.25">
      <c r="A895" s="222">
        <v>8329</v>
      </c>
      <c r="B895" s="223" t="s">
        <v>799</v>
      </c>
    </row>
    <row r="896" spans="1:2" x14ac:dyDescent="0.25">
      <c r="A896" s="225">
        <v>8411</v>
      </c>
      <c r="B896" s="226" t="s">
        <v>800</v>
      </c>
    </row>
    <row r="897" spans="1:2" x14ac:dyDescent="0.25">
      <c r="A897" s="222">
        <v>8412</v>
      </c>
      <c r="B897" s="223" t="s">
        <v>801</v>
      </c>
    </row>
    <row r="898" spans="1:2" x14ac:dyDescent="0.25">
      <c r="A898" s="225">
        <v>8413</v>
      </c>
      <c r="B898" s="226" t="s">
        <v>802</v>
      </c>
    </row>
    <row r="899" spans="1:2" x14ac:dyDescent="0.25">
      <c r="A899" s="222">
        <v>8415</v>
      </c>
      <c r="B899" s="223" t="s">
        <v>803</v>
      </c>
    </row>
    <row r="900" spans="1:2" x14ac:dyDescent="0.25">
      <c r="A900" s="225">
        <v>8416</v>
      </c>
      <c r="B900" s="226" t="s">
        <v>804</v>
      </c>
    </row>
    <row r="901" spans="1:2" x14ac:dyDescent="0.25">
      <c r="A901" s="222">
        <v>8417</v>
      </c>
      <c r="B901" s="223" t="s">
        <v>805</v>
      </c>
    </row>
    <row r="902" spans="1:2" x14ac:dyDescent="0.25">
      <c r="A902" s="225">
        <v>8418</v>
      </c>
      <c r="B902" s="226" t="s">
        <v>806</v>
      </c>
    </row>
    <row r="903" spans="1:2" x14ac:dyDescent="0.25">
      <c r="A903" s="222">
        <v>8419</v>
      </c>
      <c r="B903" s="223" t="s">
        <v>807</v>
      </c>
    </row>
    <row r="904" spans="1:2" x14ac:dyDescent="0.25">
      <c r="A904" s="225">
        <v>8421</v>
      </c>
      <c r="B904" s="226" t="s">
        <v>808</v>
      </c>
    </row>
    <row r="905" spans="1:2" x14ac:dyDescent="0.25">
      <c r="A905" s="222">
        <v>8422</v>
      </c>
      <c r="B905" s="223" t="s">
        <v>809</v>
      </c>
    </row>
    <row r="906" spans="1:2" x14ac:dyDescent="0.25">
      <c r="A906" s="225">
        <v>8423</v>
      </c>
      <c r="B906" s="226" t="s">
        <v>810</v>
      </c>
    </row>
    <row r="907" spans="1:2" x14ac:dyDescent="0.25">
      <c r="A907" s="222">
        <v>8424</v>
      </c>
      <c r="B907" s="223" t="s">
        <v>811</v>
      </c>
    </row>
    <row r="908" spans="1:2" x14ac:dyDescent="0.25">
      <c r="A908" s="225">
        <v>8425</v>
      </c>
      <c r="B908" s="226" t="s">
        <v>812</v>
      </c>
    </row>
    <row r="909" spans="1:2" x14ac:dyDescent="0.25">
      <c r="A909" s="222">
        <v>8430</v>
      </c>
      <c r="B909" s="223" t="s">
        <v>813</v>
      </c>
    </row>
    <row r="910" spans="1:2" x14ac:dyDescent="0.25">
      <c r="A910" s="225">
        <v>9111</v>
      </c>
      <c r="B910" s="226" t="s">
        <v>814</v>
      </c>
    </row>
    <row r="911" spans="1:2" x14ac:dyDescent="0.25">
      <c r="A911" s="222">
        <v>9112</v>
      </c>
      <c r="B911" s="223" t="s">
        <v>815</v>
      </c>
    </row>
    <row r="912" spans="1:2" x14ac:dyDescent="0.25">
      <c r="A912" s="225">
        <v>9113</v>
      </c>
      <c r="B912" s="226" t="s">
        <v>816</v>
      </c>
    </row>
    <row r="913" spans="1:2" x14ac:dyDescent="0.25">
      <c r="A913" s="222">
        <v>9114</v>
      </c>
      <c r="B913" s="223" t="s">
        <v>817</v>
      </c>
    </row>
    <row r="914" spans="1:2" x14ac:dyDescent="0.25">
      <c r="A914" s="225">
        <v>9115</v>
      </c>
      <c r="B914" s="226" t="s">
        <v>818</v>
      </c>
    </row>
    <row r="915" spans="1:2" x14ac:dyDescent="0.25">
      <c r="A915" s="222">
        <v>9119</v>
      </c>
      <c r="B915" s="223" t="s">
        <v>819</v>
      </c>
    </row>
    <row r="916" spans="1:2" x14ac:dyDescent="0.25">
      <c r="A916" s="225">
        <v>9211</v>
      </c>
      <c r="B916" s="226" t="s">
        <v>820</v>
      </c>
    </row>
    <row r="917" spans="1:2" x14ac:dyDescent="0.25">
      <c r="A917" s="222">
        <v>9212</v>
      </c>
      <c r="B917" s="223" t="s">
        <v>821</v>
      </c>
    </row>
    <row r="918" spans="1:2" x14ac:dyDescent="0.25">
      <c r="A918" s="225">
        <v>9221</v>
      </c>
      <c r="B918" s="226" t="s">
        <v>822</v>
      </c>
    </row>
    <row r="919" spans="1:2" x14ac:dyDescent="0.25">
      <c r="A919" s="222">
        <v>9223</v>
      </c>
      <c r="B919" s="223" t="s">
        <v>823</v>
      </c>
    </row>
    <row r="920" spans="1:2" x14ac:dyDescent="0.25">
      <c r="A920" s="225">
        <v>9224</v>
      </c>
      <c r="B920" s="226" t="s">
        <v>824</v>
      </c>
    </row>
    <row r="921" spans="1:2" x14ac:dyDescent="0.25">
      <c r="A921" s="222">
        <v>9225</v>
      </c>
      <c r="B921" s="223" t="s">
        <v>825</v>
      </c>
    </row>
    <row r="922" spans="1:2" x14ac:dyDescent="0.25">
      <c r="A922" s="225">
        <v>9231</v>
      </c>
      <c r="B922" s="226" t="s">
        <v>826</v>
      </c>
    </row>
    <row r="923" spans="1:2" x14ac:dyDescent="0.25">
      <c r="A923" s="222">
        <v>9232</v>
      </c>
      <c r="B923" s="223" t="s">
        <v>827</v>
      </c>
    </row>
    <row r="924" spans="1:2" x14ac:dyDescent="0.25">
      <c r="A924" s="225">
        <v>9233</v>
      </c>
      <c r="B924" s="226" t="s">
        <v>828</v>
      </c>
    </row>
    <row r="925" spans="1:2" x14ac:dyDescent="0.25">
      <c r="A925" s="222">
        <v>9234</v>
      </c>
      <c r="B925" s="223" t="s">
        <v>829</v>
      </c>
    </row>
    <row r="926" spans="1:2" x14ac:dyDescent="0.25">
      <c r="A926" s="225">
        <v>9235</v>
      </c>
      <c r="B926" s="226" t="s">
        <v>830</v>
      </c>
    </row>
    <row r="927" spans="1:2" x14ac:dyDescent="0.25">
      <c r="A927" s="222">
        <v>9236</v>
      </c>
      <c r="B927" s="223" t="s">
        <v>831</v>
      </c>
    </row>
    <row r="928" spans="1:2" x14ac:dyDescent="0.25">
      <c r="A928" s="225">
        <v>9238</v>
      </c>
      <c r="B928" s="226" t="s">
        <v>832</v>
      </c>
    </row>
    <row r="929" spans="1:2" x14ac:dyDescent="0.25">
      <c r="A929" s="222">
        <v>9239</v>
      </c>
      <c r="B929" s="223" t="s">
        <v>833</v>
      </c>
    </row>
    <row r="930" spans="1:2" x14ac:dyDescent="0.25">
      <c r="A930" s="225">
        <v>9310</v>
      </c>
      <c r="B930" s="226" t="s">
        <v>834</v>
      </c>
    </row>
    <row r="931" spans="1:2" x14ac:dyDescent="0.25">
      <c r="A931" s="222">
        <v>9321</v>
      </c>
      <c r="B931" s="223" t="s">
        <v>835</v>
      </c>
    </row>
    <row r="932" spans="1:2" x14ac:dyDescent="0.25">
      <c r="A932" s="225">
        <v>9329</v>
      </c>
      <c r="B932" s="226" t="s">
        <v>836</v>
      </c>
    </row>
    <row r="933" spans="1:2" x14ac:dyDescent="0.25">
      <c r="A933" s="222">
        <v>9331</v>
      </c>
      <c r="B933" s="223" t="s">
        <v>837</v>
      </c>
    </row>
    <row r="934" spans="1:2" x14ac:dyDescent="0.25">
      <c r="A934" s="225">
        <v>9332</v>
      </c>
      <c r="B934" s="226" t="s">
        <v>838</v>
      </c>
    </row>
    <row r="935" spans="1:2" ht="17.25" x14ac:dyDescent="0.25">
      <c r="A935" s="234" t="s">
        <v>839</v>
      </c>
    </row>
    <row r="936" spans="1:2" x14ac:dyDescent="0.25">
      <c r="A936" s="235"/>
    </row>
    <row r="937" spans="1:2" x14ac:dyDescent="0.25">
      <c r="A937" s="236" t="s">
        <v>840</v>
      </c>
    </row>
    <row r="938" spans="1:2" x14ac:dyDescent="0.25">
      <c r="A938" s="237" t="s">
        <v>841</v>
      </c>
    </row>
    <row r="939" spans="1:2" x14ac:dyDescent="0.25">
      <c r="A939" s="235"/>
    </row>
    <row r="940" spans="1:2" ht="17.25" x14ac:dyDescent="0.25">
      <c r="A940" s="234" t="s">
        <v>842</v>
      </c>
    </row>
    <row r="941" spans="1:2" x14ac:dyDescent="0.25">
      <c r="A941" s="235"/>
    </row>
    <row r="942" spans="1:2" x14ac:dyDescent="0.25">
      <c r="A942" s="236" t="s">
        <v>843</v>
      </c>
    </row>
    <row r="943" spans="1:2" x14ac:dyDescent="0.25">
      <c r="A943" s="237" t="s">
        <v>844</v>
      </c>
    </row>
    <row r="944" spans="1:2" x14ac:dyDescent="0.25">
      <c r="A944" s="238" t="s">
        <v>845</v>
      </c>
    </row>
    <row r="945" spans="1:1" x14ac:dyDescent="0.25">
      <c r="A945" s="237" t="s">
        <v>846</v>
      </c>
    </row>
    <row r="947" spans="1:1" x14ac:dyDescent="0.25">
      <c r="A947" s="237" t="s">
        <v>847</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43" bestFit="1" customWidth="1"/>
    <col min="2" max="2" width="12" style="243" customWidth="1"/>
    <col min="3" max="3" width="38" style="243" bestFit="1" customWidth="1"/>
    <col min="4" max="4" width="12.7109375" style="244" customWidth="1"/>
    <col min="5" max="5" width="5" style="243" bestFit="1" customWidth="1"/>
    <col min="6" max="7" width="27" style="243" bestFit="1" customWidth="1"/>
    <col min="8" max="8" width="12" style="245" bestFit="1" customWidth="1"/>
    <col min="9" max="9" width="83" style="243" bestFit="1" customWidth="1"/>
    <col min="10" max="10" width="10.140625" style="243" bestFit="1" customWidth="1"/>
    <col min="11" max="16384" width="9.140625" style="243"/>
  </cols>
  <sheetData>
    <row r="1" spans="1:10" ht="51" x14ac:dyDescent="0.25">
      <c r="A1" s="239" t="s">
        <v>848</v>
      </c>
      <c r="B1" s="240" t="s">
        <v>849</v>
      </c>
      <c r="C1" s="239" t="s">
        <v>850</v>
      </c>
      <c r="D1" s="241" t="s">
        <v>851</v>
      </c>
      <c r="E1" s="240" t="s">
        <v>852</v>
      </c>
      <c r="F1" s="239" t="s">
        <v>852</v>
      </c>
      <c r="G1" s="239" t="s">
        <v>853</v>
      </c>
      <c r="H1" s="242" t="s">
        <v>854</v>
      </c>
      <c r="I1" s="239" t="s">
        <v>855</v>
      </c>
      <c r="J1" s="239" t="s">
        <v>856</v>
      </c>
    </row>
    <row r="2" spans="1:10" ht="15" x14ac:dyDescent="0.25">
      <c r="A2" s="243">
        <v>10000002</v>
      </c>
      <c r="B2" s="243">
        <v>8392423828</v>
      </c>
      <c r="C2" s="243" t="s">
        <v>857</v>
      </c>
      <c r="D2" s="244">
        <v>27191</v>
      </c>
      <c r="E2" s="243" t="s">
        <v>858</v>
      </c>
      <c r="F2" s="243" t="s">
        <v>859</v>
      </c>
      <c r="G2" s="243" t="s">
        <v>860</v>
      </c>
      <c r="H2" s="313">
        <v>1328</v>
      </c>
      <c r="I2" s="243" t="s">
        <v>391</v>
      </c>
      <c r="J2" s="246">
        <v>49</v>
      </c>
    </row>
    <row r="3" spans="1:10" ht="15" x14ac:dyDescent="0.25">
      <c r="A3" s="243">
        <v>10000003</v>
      </c>
      <c r="B3" s="243">
        <v>8329823474</v>
      </c>
      <c r="C3" s="243" t="s">
        <v>861</v>
      </c>
      <c r="D3" s="244">
        <v>20931</v>
      </c>
      <c r="E3" s="243" t="s">
        <v>862</v>
      </c>
      <c r="F3" s="243" t="s">
        <v>863</v>
      </c>
      <c r="G3" s="243" t="s">
        <v>864</v>
      </c>
      <c r="H3" s="313">
        <v>2410</v>
      </c>
      <c r="I3" s="243" t="s">
        <v>462</v>
      </c>
      <c r="J3" s="246">
        <v>66</v>
      </c>
    </row>
    <row r="4" spans="1:10" ht="15" x14ac:dyDescent="0.25">
      <c r="A4" s="243">
        <v>10000007</v>
      </c>
      <c r="B4" s="243">
        <v>8352710532</v>
      </c>
      <c r="C4" s="243" t="s">
        <v>865</v>
      </c>
      <c r="D4" s="244">
        <v>23220</v>
      </c>
      <c r="E4" s="243" t="s">
        <v>862</v>
      </c>
      <c r="F4" s="243" t="s">
        <v>863</v>
      </c>
      <c r="G4" s="243" t="s">
        <v>864</v>
      </c>
      <c r="H4" s="313">
        <v>2410</v>
      </c>
      <c r="I4" s="243" t="s">
        <v>462</v>
      </c>
      <c r="J4" s="246">
        <v>60</v>
      </c>
    </row>
    <row r="5" spans="1:10" ht="15" x14ac:dyDescent="0.25">
      <c r="A5" s="243">
        <v>10000013</v>
      </c>
      <c r="B5" s="243">
        <v>8327581902</v>
      </c>
      <c r="C5" s="243" t="s">
        <v>866</v>
      </c>
      <c r="D5" s="244">
        <v>20707</v>
      </c>
      <c r="E5" s="243" t="s">
        <v>867</v>
      </c>
      <c r="F5" s="243" t="s">
        <v>868</v>
      </c>
      <c r="G5" s="243" t="s">
        <v>864</v>
      </c>
      <c r="H5" s="313">
        <v>2410</v>
      </c>
      <c r="I5" s="243" t="s">
        <v>462</v>
      </c>
      <c r="J5" s="246">
        <v>67</v>
      </c>
    </row>
    <row r="6" spans="1:10" ht="15" x14ac:dyDescent="0.25">
      <c r="A6" s="243">
        <v>10000014</v>
      </c>
      <c r="B6" s="243">
        <v>8415403542</v>
      </c>
      <c r="C6" s="243" t="s">
        <v>869</v>
      </c>
      <c r="D6" s="244">
        <v>29489</v>
      </c>
      <c r="E6" s="243" t="s">
        <v>870</v>
      </c>
      <c r="F6" s="243" t="s">
        <v>871</v>
      </c>
      <c r="G6" s="243" t="s">
        <v>872</v>
      </c>
      <c r="H6" s="313">
        <v>2410</v>
      </c>
      <c r="I6" s="243" t="s">
        <v>462</v>
      </c>
      <c r="J6" s="246">
        <v>43</v>
      </c>
    </row>
    <row r="7" spans="1:10" ht="15" x14ac:dyDescent="0.25">
      <c r="A7" s="243">
        <v>10000015</v>
      </c>
      <c r="B7" s="243">
        <v>8424680057</v>
      </c>
      <c r="C7" s="243" t="s">
        <v>873</v>
      </c>
      <c r="D7" s="244">
        <v>30417</v>
      </c>
      <c r="E7" s="243" t="s">
        <v>874</v>
      </c>
      <c r="F7" s="243" t="s">
        <v>875</v>
      </c>
      <c r="G7" s="243" t="s">
        <v>864</v>
      </c>
      <c r="H7" s="313">
        <v>2410</v>
      </c>
      <c r="I7" s="243" t="s">
        <v>462</v>
      </c>
      <c r="J7" s="246">
        <v>40</v>
      </c>
    </row>
    <row r="8" spans="1:10" ht="15" x14ac:dyDescent="0.25">
      <c r="A8" s="243">
        <v>10000017</v>
      </c>
      <c r="B8" s="243">
        <v>8390681331</v>
      </c>
      <c r="C8" s="243" t="s">
        <v>876</v>
      </c>
      <c r="D8" s="244">
        <v>27017</v>
      </c>
      <c r="E8" s="243" t="s">
        <v>877</v>
      </c>
      <c r="F8" s="243" t="s">
        <v>878</v>
      </c>
      <c r="G8" s="243" t="s">
        <v>864</v>
      </c>
      <c r="H8" s="313">
        <v>2410</v>
      </c>
      <c r="I8" s="243" t="s">
        <v>462</v>
      </c>
      <c r="J8" s="246">
        <v>50</v>
      </c>
    </row>
    <row r="9" spans="1:10" ht="15" x14ac:dyDescent="0.25">
      <c r="A9" s="243">
        <v>10000020</v>
      </c>
      <c r="B9" s="243">
        <v>8432804142</v>
      </c>
      <c r="C9" s="243" t="s">
        <v>879</v>
      </c>
      <c r="D9" s="244">
        <v>31229</v>
      </c>
      <c r="E9" s="243" t="s">
        <v>880</v>
      </c>
      <c r="F9" s="243" t="s">
        <v>881</v>
      </c>
      <c r="G9" s="243" t="s">
        <v>872</v>
      </c>
      <c r="H9" s="313">
        <v>2410</v>
      </c>
      <c r="I9" s="243" t="s">
        <v>462</v>
      </c>
      <c r="J9" s="246">
        <v>38</v>
      </c>
    </row>
    <row r="10" spans="1:10" ht="15" x14ac:dyDescent="0.25">
      <c r="A10" s="243">
        <v>10000021</v>
      </c>
      <c r="B10" s="243">
        <v>8346442386</v>
      </c>
      <c r="C10" s="243" t="s">
        <v>882</v>
      </c>
      <c r="D10" s="244">
        <v>22593</v>
      </c>
      <c r="E10" s="243" t="s">
        <v>858</v>
      </c>
      <c r="F10" s="243" t="s">
        <v>859</v>
      </c>
      <c r="G10" s="243" t="s">
        <v>860</v>
      </c>
      <c r="H10" s="313">
        <v>2117</v>
      </c>
      <c r="I10" s="243" t="s">
        <v>462</v>
      </c>
      <c r="J10" s="246">
        <v>62</v>
      </c>
    </row>
    <row r="11" spans="1:10" ht="15" x14ac:dyDescent="0.25">
      <c r="A11" s="243">
        <v>10000027</v>
      </c>
      <c r="B11" s="243">
        <v>8399633682</v>
      </c>
      <c r="C11" s="243" t="s">
        <v>883</v>
      </c>
      <c r="D11" s="244">
        <v>27912</v>
      </c>
      <c r="E11" s="243" t="s">
        <v>884</v>
      </c>
      <c r="F11" s="243" t="s">
        <v>885</v>
      </c>
      <c r="G11" s="243" t="s">
        <v>864</v>
      </c>
      <c r="H11" s="313">
        <v>2410</v>
      </c>
      <c r="I11" s="243" t="s">
        <v>462</v>
      </c>
      <c r="J11" s="246">
        <v>47</v>
      </c>
    </row>
    <row r="12" spans="1:10" ht="15" x14ac:dyDescent="0.25">
      <c r="A12" s="243">
        <v>10000028</v>
      </c>
      <c r="B12" s="243">
        <v>8322883846</v>
      </c>
      <c r="C12" s="243" t="s">
        <v>886</v>
      </c>
      <c r="D12" s="244">
        <v>20237</v>
      </c>
      <c r="E12" s="243" t="s">
        <v>877</v>
      </c>
      <c r="F12" s="243" t="s">
        <v>878</v>
      </c>
      <c r="G12" s="243" t="s">
        <v>860</v>
      </c>
      <c r="H12" s="313">
        <v>2410</v>
      </c>
      <c r="I12" s="243" t="s">
        <v>462</v>
      </c>
      <c r="J12" s="246">
        <v>68</v>
      </c>
    </row>
    <row r="13" spans="1:10" ht="15" x14ac:dyDescent="0.25">
      <c r="A13" s="243">
        <v>10000030</v>
      </c>
      <c r="B13" s="243">
        <v>8382052894</v>
      </c>
      <c r="C13" s="243" t="s">
        <v>887</v>
      </c>
      <c r="D13" s="244">
        <v>26154</v>
      </c>
      <c r="E13" s="243" t="s">
        <v>888</v>
      </c>
      <c r="F13" s="243" t="s">
        <v>889</v>
      </c>
      <c r="G13" s="243" t="s">
        <v>864</v>
      </c>
      <c r="H13" s="313">
        <v>2410</v>
      </c>
      <c r="I13" s="243" t="s">
        <v>462</v>
      </c>
      <c r="J13" s="246">
        <v>52</v>
      </c>
    </row>
    <row r="14" spans="1:10" ht="15" x14ac:dyDescent="0.25">
      <c r="A14" s="243">
        <v>10000032</v>
      </c>
      <c r="B14" s="243">
        <v>8417011455</v>
      </c>
      <c r="C14" s="243" t="s">
        <v>890</v>
      </c>
      <c r="D14" s="244">
        <v>29650</v>
      </c>
      <c r="E14" s="243" t="s">
        <v>891</v>
      </c>
      <c r="F14" s="243" t="s">
        <v>892</v>
      </c>
      <c r="G14" s="243" t="s">
        <v>872</v>
      </c>
      <c r="H14" s="313">
        <v>2410</v>
      </c>
      <c r="I14" s="243" t="s">
        <v>462</v>
      </c>
      <c r="J14" s="246">
        <v>42</v>
      </c>
    </row>
    <row r="15" spans="1:10" ht="15" x14ac:dyDescent="0.25">
      <c r="A15" s="243">
        <v>10000033</v>
      </c>
      <c r="B15" s="243">
        <v>8368763134</v>
      </c>
      <c r="C15" s="243" t="s">
        <v>893</v>
      </c>
      <c r="D15" s="244">
        <v>24825</v>
      </c>
      <c r="E15" s="243" t="s">
        <v>870</v>
      </c>
      <c r="F15" s="243" t="s">
        <v>871</v>
      </c>
      <c r="G15" s="243" t="s">
        <v>860</v>
      </c>
      <c r="H15" s="313">
        <v>1328</v>
      </c>
      <c r="I15" s="243" t="s">
        <v>391</v>
      </c>
      <c r="J15" s="246">
        <v>56</v>
      </c>
    </row>
    <row r="16" spans="1:10" ht="15" x14ac:dyDescent="0.25">
      <c r="A16" s="243">
        <v>10000035</v>
      </c>
      <c r="B16" s="243">
        <v>8432490555</v>
      </c>
      <c r="C16" s="243" t="s">
        <v>894</v>
      </c>
      <c r="D16" s="244">
        <v>31198</v>
      </c>
      <c r="E16" s="243" t="s">
        <v>867</v>
      </c>
      <c r="F16" s="243" t="s">
        <v>868</v>
      </c>
      <c r="G16" s="243" t="s">
        <v>864</v>
      </c>
      <c r="H16" s="313">
        <v>2410</v>
      </c>
      <c r="I16" s="243" t="s">
        <v>462</v>
      </c>
      <c r="J16" s="246">
        <v>38</v>
      </c>
    </row>
    <row r="17" spans="1:10" ht="15" x14ac:dyDescent="0.25">
      <c r="A17" s="243">
        <v>10000037</v>
      </c>
      <c r="B17" s="243">
        <v>8370773583</v>
      </c>
      <c r="C17" s="243" t="s">
        <v>895</v>
      </c>
      <c r="D17" s="244">
        <v>25026</v>
      </c>
      <c r="E17" s="243" t="s">
        <v>896</v>
      </c>
      <c r="F17" s="243" t="s">
        <v>897</v>
      </c>
      <c r="G17" s="243" t="s">
        <v>864</v>
      </c>
      <c r="H17" s="313">
        <v>1328</v>
      </c>
      <c r="I17" s="243" t="s">
        <v>391</v>
      </c>
      <c r="J17" s="246">
        <v>55</v>
      </c>
    </row>
    <row r="18" spans="1:10" ht="15" x14ac:dyDescent="0.25">
      <c r="A18" s="243">
        <v>10000040</v>
      </c>
      <c r="B18" s="243">
        <v>8357612733</v>
      </c>
      <c r="C18" s="243" t="s">
        <v>898</v>
      </c>
      <c r="D18" s="244">
        <v>23710</v>
      </c>
      <c r="E18" s="243" t="s">
        <v>899</v>
      </c>
      <c r="F18" s="243" t="s">
        <v>900</v>
      </c>
      <c r="G18" s="243" t="s">
        <v>864</v>
      </c>
      <c r="H18" s="313">
        <v>2410</v>
      </c>
      <c r="I18" s="243" t="s">
        <v>462</v>
      </c>
      <c r="J18" s="246">
        <v>59</v>
      </c>
    </row>
    <row r="19" spans="1:10" ht="15" x14ac:dyDescent="0.25">
      <c r="A19" s="243">
        <v>10000041</v>
      </c>
      <c r="B19" s="243">
        <v>8363523275</v>
      </c>
      <c r="C19" s="243" t="s">
        <v>901</v>
      </c>
      <c r="D19" s="244">
        <v>24301</v>
      </c>
      <c r="E19" s="243" t="s">
        <v>902</v>
      </c>
      <c r="F19" s="243" t="s">
        <v>903</v>
      </c>
      <c r="G19" s="243" t="s">
        <v>864</v>
      </c>
      <c r="H19" s="313">
        <v>2410</v>
      </c>
      <c r="I19" s="243" t="s">
        <v>462</v>
      </c>
      <c r="J19" s="246">
        <v>57</v>
      </c>
    </row>
    <row r="20" spans="1:10" ht="15" x14ac:dyDescent="0.25">
      <c r="A20" s="243">
        <v>10000045</v>
      </c>
      <c r="B20" s="243">
        <v>8374362774</v>
      </c>
      <c r="C20" s="243" t="s">
        <v>904</v>
      </c>
      <c r="D20" s="244">
        <v>25385</v>
      </c>
      <c r="E20" s="243" t="s">
        <v>902</v>
      </c>
      <c r="F20" s="243" t="s">
        <v>903</v>
      </c>
      <c r="G20" s="243" t="s">
        <v>864</v>
      </c>
      <c r="H20" s="313">
        <v>2410</v>
      </c>
      <c r="I20" s="243" t="s">
        <v>462</v>
      </c>
      <c r="J20" s="246">
        <v>54</v>
      </c>
    </row>
    <row r="21" spans="1:10" ht="15" x14ac:dyDescent="0.25">
      <c r="A21" s="243">
        <v>10000047</v>
      </c>
      <c r="B21" s="243">
        <v>8386912812</v>
      </c>
      <c r="C21" s="243" t="s">
        <v>905</v>
      </c>
      <c r="D21" s="244">
        <v>26640</v>
      </c>
      <c r="E21" s="243" t="s">
        <v>906</v>
      </c>
      <c r="F21" s="243" t="s">
        <v>907</v>
      </c>
      <c r="G21" s="243" t="s">
        <v>864</v>
      </c>
      <c r="H21" s="313">
        <v>1328</v>
      </c>
      <c r="I21" s="243" t="s">
        <v>391</v>
      </c>
      <c r="J21" s="246">
        <v>51</v>
      </c>
    </row>
    <row r="22" spans="1:10" ht="15" x14ac:dyDescent="0.25">
      <c r="A22" s="243">
        <v>10000051</v>
      </c>
      <c r="B22" s="243">
        <v>8310213476</v>
      </c>
      <c r="C22" s="243" t="s">
        <v>908</v>
      </c>
      <c r="D22" s="244">
        <v>18970</v>
      </c>
      <c r="E22" s="243" t="s">
        <v>880</v>
      </c>
      <c r="F22" s="243" t="s">
        <v>881</v>
      </c>
      <c r="G22" s="243" t="s">
        <v>860</v>
      </c>
      <c r="H22" s="313">
        <v>2410</v>
      </c>
      <c r="I22" s="243" t="s">
        <v>462</v>
      </c>
      <c r="J22" s="246">
        <v>72</v>
      </c>
    </row>
    <row r="23" spans="1:10" ht="15" x14ac:dyDescent="0.25">
      <c r="A23" s="243">
        <v>10000052</v>
      </c>
      <c r="B23" s="243">
        <v>8419020923</v>
      </c>
      <c r="C23" s="243" t="s">
        <v>909</v>
      </c>
      <c r="D23" s="244">
        <v>29851</v>
      </c>
      <c r="E23" s="243" t="s">
        <v>867</v>
      </c>
      <c r="F23" s="243" t="s">
        <v>868</v>
      </c>
      <c r="G23" s="243" t="s">
        <v>864</v>
      </c>
      <c r="H23" s="313">
        <v>2410</v>
      </c>
      <c r="I23" s="243" t="s">
        <v>462</v>
      </c>
      <c r="J23" s="246">
        <v>42</v>
      </c>
    </row>
    <row r="24" spans="1:10" ht="15" x14ac:dyDescent="0.25">
      <c r="A24" s="243">
        <v>10000053</v>
      </c>
      <c r="B24" s="243">
        <v>8413122988</v>
      </c>
      <c r="C24" s="243" t="s">
        <v>910</v>
      </c>
      <c r="D24" s="244">
        <v>29261</v>
      </c>
      <c r="E24" s="243" t="s">
        <v>867</v>
      </c>
      <c r="F24" s="243" t="s">
        <v>868</v>
      </c>
      <c r="G24" s="243" t="s">
        <v>864</v>
      </c>
      <c r="H24" s="313">
        <v>2410</v>
      </c>
      <c r="I24" s="243" t="s">
        <v>462</v>
      </c>
      <c r="J24" s="246">
        <v>43</v>
      </c>
    </row>
    <row r="25" spans="1:10" ht="15" x14ac:dyDescent="0.25">
      <c r="A25" s="243">
        <v>10000054</v>
      </c>
      <c r="B25" s="243">
        <v>8387294322</v>
      </c>
      <c r="C25" s="243" t="s">
        <v>911</v>
      </c>
      <c r="D25" s="244">
        <v>26678</v>
      </c>
      <c r="E25" s="243" t="s">
        <v>880</v>
      </c>
      <c r="F25" s="243" t="s">
        <v>881</v>
      </c>
      <c r="G25" s="243" t="s">
        <v>860</v>
      </c>
      <c r="H25" s="313">
        <v>2410</v>
      </c>
      <c r="I25" s="243" t="s">
        <v>462</v>
      </c>
      <c r="J25" s="246">
        <v>50</v>
      </c>
    </row>
    <row r="26" spans="1:10" ht="15" x14ac:dyDescent="0.25">
      <c r="A26" s="243">
        <v>10000056</v>
      </c>
      <c r="B26" s="243">
        <v>8396640823</v>
      </c>
      <c r="C26" s="243" t="s">
        <v>912</v>
      </c>
      <c r="D26" s="244">
        <v>27613</v>
      </c>
      <c r="E26" s="243" t="s">
        <v>867</v>
      </c>
      <c r="F26" s="243" t="s">
        <v>868</v>
      </c>
      <c r="G26" s="243" t="s">
        <v>864</v>
      </c>
      <c r="H26" s="313">
        <v>1328</v>
      </c>
      <c r="I26" s="243" t="s">
        <v>391</v>
      </c>
      <c r="J26" s="246">
        <v>48</v>
      </c>
    </row>
    <row r="27" spans="1:10" ht="15" x14ac:dyDescent="0.25">
      <c r="A27" s="243">
        <v>10000057</v>
      </c>
      <c r="B27" s="243">
        <v>8397652094</v>
      </c>
      <c r="C27" s="243" t="s">
        <v>913</v>
      </c>
      <c r="D27" s="244">
        <v>27714</v>
      </c>
      <c r="E27" s="243" t="s">
        <v>874</v>
      </c>
      <c r="F27" s="243" t="s">
        <v>875</v>
      </c>
      <c r="G27" s="243" t="s">
        <v>864</v>
      </c>
      <c r="H27" s="313">
        <v>2410</v>
      </c>
      <c r="I27" s="243" t="s">
        <v>462</v>
      </c>
      <c r="J27" s="246">
        <v>48</v>
      </c>
    </row>
    <row r="28" spans="1:10" ht="15" x14ac:dyDescent="0.25">
      <c r="A28" s="243">
        <v>10000061</v>
      </c>
      <c r="B28" s="243">
        <v>8403740913</v>
      </c>
      <c r="C28" s="243" t="s">
        <v>914</v>
      </c>
      <c r="D28" s="244">
        <v>28323</v>
      </c>
      <c r="E28" s="243" t="s">
        <v>906</v>
      </c>
      <c r="F28" s="243" t="s">
        <v>907</v>
      </c>
      <c r="G28" s="243" t="s">
        <v>872</v>
      </c>
      <c r="H28" s="313">
        <v>2410</v>
      </c>
      <c r="I28" s="243" t="s">
        <v>462</v>
      </c>
      <c r="J28" s="246">
        <v>46</v>
      </c>
    </row>
    <row r="29" spans="1:10" ht="15" x14ac:dyDescent="0.25">
      <c r="A29" s="243">
        <v>10000064</v>
      </c>
      <c r="B29" s="243">
        <v>8393082064</v>
      </c>
      <c r="C29" s="243" t="s">
        <v>915</v>
      </c>
      <c r="D29" s="244">
        <v>27257</v>
      </c>
      <c r="E29" s="243" t="s">
        <v>858</v>
      </c>
      <c r="F29" s="243" t="s">
        <v>859</v>
      </c>
      <c r="G29" s="243" t="s">
        <v>864</v>
      </c>
      <c r="H29" s="313">
        <v>1328</v>
      </c>
      <c r="I29" s="243" t="s">
        <v>391</v>
      </c>
      <c r="J29" s="246">
        <v>49</v>
      </c>
    </row>
    <row r="30" spans="1:10" ht="15" x14ac:dyDescent="0.25">
      <c r="A30" s="243">
        <v>10000065</v>
      </c>
      <c r="B30" s="243">
        <v>8352592858</v>
      </c>
      <c r="C30" s="243" t="s">
        <v>916</v>
      </c>
      <c r="D30" s="244">
        <v>23208</v>
      </c>
      <c r="E30" s="243" t="s">
        <v>877</v>
      </c>
      <c r="F30" s="243" t="s">
        <v>878</v>
      </c>
      <c r="G30" s="243" t="s">
        <v>860</v>
      </c>
      <c r="H30" s="313">
        <v>2410</v>
      </c>
      <c r="I30" s="243" t="s">
        <v>462</v>
      </c>
      <c r="J30" s="246">
        <v>60</v>
      </c>
    </row>
    <row r="31" spans="1:10" ht="15" x14ac:dyDescent="0.25">
      <c r="A31" s="243">
        <v>10000067</v>
      </c>
      <c r="B31" s="243">
        <v>8409231832</v>
      </c>
      <c r="C31" s="243" t="s">
        <v>917</v>
      </c>
      <c r="D31" s="244">
        <v>28872</v>
      </c>
      <c r="E31" s="243" t="s">
        <v>906</v>
      </c>
      <c r="F31" s="243" t="s">
        <v>907</v>
      </c>
      <c r="G31" s="243" t="s">
        <v>918</v>
      </c>
      <c r="H31" s="313">
        <v>2410</v>
      </c>
      <c r="I31" s="243" t="s">
        <v>462</v>
      </c>
      <c r="J31" s="246">
        <v>44</v>
      </c>
    </row>
    <row r="32" spans="1:10" ht="15" x14ac:dyDescent="0.25">
      <c r="A32" s="243">
        <v>10000070</v>
      </c>
      <c r="B32" s="243">
        <v>8377123479</v>
      </c>
      <c r="C32" s="243" t="s">
        <v>919</v>
      </c>
      <c r="D32" s="244">
        <v>25661</v>
      </c>
      <c r="E32" s="243" t="s">
        <v>920</v>
      </c>
      <c r="F32" s="243" t="s">
        <v>921</v>
      </c>
      <c r="G32" s="243" t="s">
        <v>864</v>
      </c>
      <c r="H32" s="313">
        <v>1328</v>
      </c>
      <c r="I32" s="243" t="s">
        <v>391</v>
      </c>
      <c r="J32" s="246">
        <v>53</v>
      </c>
    </row>
    <row r="33" spans="1:10" ht="15" x14ac:dyDescent="0.25">
      <c r="A33" s="243">
        <v>10000072</v>
      </c>
      <c r="B33" s="243">
        <v>8405063064</v>
      </c>
      <c r="C33" s="243" t="s">
        <v>922</v>
      </c>
      <c r="D33" s="244">
        <v>28455</v>
      </c>
      <c r="E33" s="243" t="s">
        <v>888</v>
      </c>
      <c r="F33" s="243" t="s">
        <v>889</v>
      </c>
      <c r="G33" s="243" t="s">
        <v>864</v>
      </c>
      <c r="H33" s="313">
        <v>2410</v>
      </c>
      <c r="I33" s="243" t="s">
        <v>462</v>
      </c>
      <c r="J33" s="246">
        <v>46</v>
      </c>
    </row>
    <row r="34" spans="1:10" ht="15" x14ac:dyDescent="0.25">
      <c r="A34" s="243">
        <v>10000073</v>
      </c>
      <c r="B34" s="243">
        <v>8333893694</v>
      </c>
      <c r="C34" s="243" t="s">
        <v>923</v>
      </c>
      <c r="D34" s="244">
        <v>21338</v>
      </c>
      <c r="E34" s="243" t="s">
        <v>880</v>
      </c>
      <c r="F34" s="243" t="s">
        <v>881</v>
      </c>
      <c r="G34" s="243" t="s">
        <v>864</v>
      </c>
      <c r="H34" s="313">
        <v>2410</v>
      </c>
      <c r="I34" s="243" t="s">
        <v>462</v>
      </c>
      <c r="J34" s="246">
        <v>65</v>
      </c>
    </row>
    <row r="35" spans="1:10" ht="15" x14ac:dyDescent="0.25">
      <c r="A35" s="243">
        <v>10000074</v>
      </c>
      <c r="B35" s="243">
        <v>8438023282</v>
      </c>
      <c r="C35" s="243" t="s">
        <v>924</v>
      </c>
      <c r="D35" s="244">
        <v>31751</v>
      </c>
      <c r="E35" s="243" t="s">
        <v>870</v>
      </c>
      <c r="F35" s="243" t="s">
        <v>871</v>
      </c>
      <c r="G35" s="243" t="s">
        <v>864</v>
      </c>
      <c r="H35" s="313">
        <v>2117</v>
      </c>
      <c r="I35" s="243" t="s">
        <v>462</v>
      </c>
      <c r="J35" s="246">
        <v>37</v>
      </c>
    </row>
    <row r="36" spans="1:10" ht="15" x14ac:dyDescent="0.25">
      <c r="A36" s="243">
        <v>10000075</v>
      </c>
      <c r="B36" s="243">
        <v>8346201834</v>
      </c>
      <c r="C36" s="243" t="s">
        <v>925</v>
      </c>
      <c r="D36" s="244">
        <v>22569</v>
      </c>
      <c r="E36" s="243" t="s">
        <v>902</v>
      </c>
      <c r="F36" s="243" t="s">
        <v>903</v>
      </c>
      <c r="G36" s="243" t="s">
        <v>864</v>
      </c>
      <c r="H36" s="313">
        <v>2410</v>
      </c>
      <c r="I36" s="243" t="s">
        <v>462</v>
      </c>
      <c r="J36" s="246">
        <v>62</v>
      </c>
    </row>
    <row r="37" spans="1:10" ht="15" x14ac:dyDescent="0.25">
      <c r="A37" s="243">
        <v>10000076</v>
      </c>
      <c r="B37" s="243">
        <v>8414153305</v>
      </c>
      <c r="C37" s="243" t="s">
        <v>926</v>
      </c>
      <c r="D37" s="244">
        <v>29364</v>
      </c>
      <c r="E37" s="243" t="s">
        <v>858</v>
      </c>
      <c r="F37" s="243" t="s">
        <v>859</v>
      </c>
      <c r="G37" s="243" t="s">
        <v>927</v>
      </c>
      <c r="H37" s="313">
        <v>2139</v>
      </c>
      <c r="I37" s="243" t="s">
        <v>425</v>
      </c>
      <c r="J37" s="246">
        <v>43</v>
      </c>
    </row>
    <row r="38" spans="1:10" ht="15" x14ac:dyDescent="0.25">
      <c r="A38" s="243">
        <v>10000078</v>
      </c>
      <c r="B38" s="243">
        <v>8399753726</v>
      </c>
      <c r="C38" s="243" t="s">
        <v>928</v>
      </c>
      <c r="D38" s="244">
        <v>27924</v>
      </c>
      <c r="E38" s="243" t="s">
        <v>929</v>
      </c>
      <c r="F38" s="243" t="s">
        <v>930</v>
      </c>
      <c r="G38" s="243" t="s">
        <v>864</v>
      </c>
      <c r="H38" s="313">
        <v>2410</v>
      </c>
      <c r="I38" s="243" t="s">
        <v>462</v>
      </c>
      <c r="J38" s="246">
        <v>47</v>
      </c>
    </row>
    <row r="39" spans="1:10" ht="15" x14ac:dyDescent="0.25">
      <c r="A39" s="243">
        <v>10000079</v>
      </c>
      <c r="B39" s="243">
        <v>8398703792</v>
      </c>
      <c r="C39" s="243" t="s">
        <v>931</v>
      </c>
      <c r="D39" s="244">
        <v>27819</v>
      </c>
      <c r="E39" s="243" t="s">
        <v>929</v>
      </c>
      <c r="F39" s="243" t="s">
        <v>930</v>
      </c>
      <c r="G39" s="243" t="s">
        <v>864</v>
      </c>
      <c r="H39" s="313">
        <v>1328</v>
      </c>
      <c r="I39" s="243" t="s">
        <v>391</v>
      </c>
      <c r="J39" s="246">
        <v>47</v>
      </c>
    </row>
    <row r="40" spans="1:10" ht="15" x14ac:dyDescent="0.25">
      <c r="A40" s="243">
        <v>10000080</v>
      </c>
      <c r="B40" s="243">
        <v>8391122948</v>
      </c>
      <c r="C40" s="243" t="s">
        <v>932</v>
      </c>
      <c r="D40" s="244">
        <v>27061</v>
      </c>
      <c r="E40" s="243" t="s">
        <v>858</v>
      </c>
      <c r="F40" s="243" t="s">
        <v>859</v>
      </c>
      <c r="G40" s="243" t="s">
        <v>864</v>
      </c>
      <c r="H40" s="313">
        <v>2410</v>
      </c>
      <c r="I40" s="243" t="s">
        <v>462</v>
      </c>
      <c r="J40" s="246">
        <v>49</v>
      </c>
    </row>
    <row r="41" spans="1:10" ht="15" x14ac:dyDescent="0.25">
      <c r="A41" s="243">
        <v>10000081</v>
      </c>
      <c r="B41" s="243">
        <v>8399783617</v>
      </c>
      <c r="C41" s="243" t="s">
        <v>933</v>
      </c>
      <c r="D41" s="244">
        <v>27927</v>
      </c>
      <c r="E41" s="243" t="s">
        <v>929</v>
      </c>
      <c r="F41" s="243" t="s">
        <v>930</v>
      </c>
      <c r="G41" s="243" t="s">
        <v>864</v>
      </c>
      <c r="H41" s="313">
        <v>2410</v>
      </c>
      <c r="I41" s="243" t="s">
        <v>462</v>
      </c>
      <c r="J41" s="246">
        <v>47</v>
      </c>
    </row>
    <row r="42" spans="1:10" ht="15" x14ac:dyDescent="0.25">
      <c r="A42" s="243">
        <v>10000082</v>
      </c>
      <c r="B42" s="243">
        <v>8409541254</v>
      </c>
      <c r="C42" s="243" t="s">
        <v>934</v>
      </c>
      <c r="D42" s="244">
        <v>28903</v>
      </c>
      <c r="E42" s="243" t="s">
        <v>906</v>
      </c>
      <c r="F42" s="243" t="s">
        <v>907</v>
      </c>
      <c r="G42" s="243" t="s">
        <v>864</v>
      </c>
      <c r="H42" s="313">
        <v>1328</v>
      </c>
      <c r="I42" s="243" t="s">
        <v>391</v>
      </c>
      <c r="J42" s="246">
        <v>44</v>
      </c>
    </row>
    <row r="43" spans="1:10" ht="15" x14ac:dyDescent="0.25">
      <c r="A43" s="243">
        <v>10000083</v>
      </c>
      <c r="B43" s="243">
        <v>8359153914</v>
      </c>
      <c r="C43" s="243" t="s">
        <v>935</v>
      </c>
      <c r="D43" s="244">
        <v>23864</v>
      </c>
      <c r="E43" s="243" t="s">
        <v>936</v>
      </c>
      <c r="F43" s="243" t="s">
        <v>937</v>
      </c>
      <c r="G43" s="243" t="s">
        <v>864</v>
      </c>
      <c r="H43" s="313">
        <v>2410</v>
      </c>
      <c r="I43" s="243" t="s">
        <v>462</v>
      </c>
      <c r="J43" s="246">
        <v>58</v>
      </c>
    </row>
    <row r="44" spans="1:10" ht="15" x14ac:dyDescent="0.25">
      <c r="A44" s="243">
        <v>10000084</v>
      </c>
      <c r="B44" s="243">
        <v>8380183029</v>
      </c>
      <c r="C44" s="243" t="s">
        <v>938</v>
      </c>
      <c r="D44" s="244">
        <v>25967</v>
      </c>
      <c r="E44" s="243" t="s">
        <v>870</v>
      </c>
      <c r="F44" s="243" t="s">
        <v>871</v>
      </c>
      <c r="G44" s="243" t="s">
        <v>872</v>
      </c>
      <c r="H44" s="313">
        <v>2410</v>
      </c>
      <c r="I44" s="243" t="s">
        <v>462</v>
      </c>
      <c r="J44" s="246">
        <v>52</v>
      </c>
    </row>
    <row r="45" spans="1:10" ht="15" x14ac:dyDescent="0.25">
      <c r="A45" s="243">
        <v>10000086</v>
      </c>
      <c r="B45" s="243">
        <v>8389220210</v>
      </c>
      <c r="C45" s="243" t="s">
        <v>939</v>
      </c>
      <c r="D45" s="244">
        <v>26871</v>
      </c>
      <c r="E45" s="243" t="s">
        <v>884</v>
      </c>
      <c r="F45" s="243" t="s">
        <v>885</v>
      </c>
      <c r="G45" s="243" t="s">
        <v>864</v>
      </c>
      <c r="H45" s="313">
        <v>1328</v>
      </c>
      <c r="I45" s="243" t="s">
        <v>391</v>
      </c>
      <c r="J45" s="246">
        <v>50</v>
      </c>
    </row>
    <row r="46" spans="1:10" ht="15" x14ac:dyDescent="0.25">
      <c r="A46" s="243">
        <v>10000087</v>
      </c>
      <c r="B46" s="243">
        <v>8361012761</v>
      </c>
      <c r="C46" s="243" t="s">
        <v>940</v>
      </c>
      <c r="D46" s="244">
        <v>24050</v>
      </c>
      <c r="E46" s="243" t="s">
        <v>902</v>
      </c>
      <c r="F46" s="243" t="s">
        <v>903</v>
      </c>
      <c r="G46" s="243" t="s">
        <v>864</v>
      </c>
      <c r="H46" s="313">
        <v>1328</v>
      </c>
      <c r="I46" s="243" t="s">
        <v>391</v>
      </c>
      <c r="J46" s="246">
        <v>58</v>
      </c>
    </row>
    <row r="47" spans="1:10" ht="15" x14ac:dyDescent="0.25">
      <c r="A47" s="243">
        <v>10000088</v>
      </c>
      <c r="B47" s="243">
        <v>8333952534</v>
      </c>
      <c r="C47" s="243" t="s">
        <v>941</v>
      </c>
      <c r="D47" s="244">
        <v>21344</v>
      </c>
      <c r="E47" s="243" t="s">
        <v>942</v>
      </c>
      <c r="F47" s="243" t="s">
        <v>943</v>
      </c>
      <c r="G47" s="243" t="s">
        <v>860</v>
      </c>
      <c r="H47" s="313">
        <v>2410</v>
      </c>
      <c r="I47" s="243" t="s">
        <v>462</v>
      </c>
      <c r="J47" s="246">
        <v>65</v>
      </c>
    </row>
    <row r="48" spans="1:10" ht="15" x14ac:dyDescent="0.25">
      <c r="A48" s="243">
        <v>10000092</v>
      </c>
      <c r="B48" s="243">
        <v>8363972193</v>
      </c>
      <c r="C48" s="243" t="s">
        <v>944</v>
      </c>
      <c r="D48" s="244">
        <v>24346</v>
      </c>
      <c r="E48" s="243" t="s">
        <v>945</v>
      </c>
      <c r="F48" s="243" t="s">
        <v>946</v>
      </c>
      <c r="G48" s="243" t="s">
        <v>860</v>
      </c>
      <c r="H48" s="313">
        <v>1210</v>
      </c>
      <c r="I48" s="243" t="s">
        <v>380</v>
      </c>
      <c r="J48" s="246">
        <v>57</v>
      </c>
    </row>
    <row r="49" spans="1:10" ht="15" x14ac:dyDescent="0.25">
      <c r="A49" s="243">
        <v>10000093</v>
      </c>
      <c r="B49" s="243">
        <v>8340202553</v>
      </c>
      <c r="C49" s="243" t="s">
        <v>947</v>
      </c>
      <c r="D49" s="244">
        <v>21969</v>
      </c>
      <c r="E49" s="243" t="s">
        <v>906</v>
      </c>
      <c r="F49" s="243" t="s">
        <v>907</v>
      </c>
      <c r="G49" s="243" t="s">
        <v>864</v>
      </c>
      <c r="H49" s="313">
        <v>2410</v>
      </c>
      <c r="I49" s="243" t="s">
        <v>462</v>
      </c>
      <c r="J49" s="246">
        <v>63</v>
      </c>
    </row>
    <row r="50" spans="1:10" ht="15" x14ac:dyDescent="0.25">
      <c r="A50" s="243">
        <v>10000095</v>
      </c>
      <c r="B50" s="243">
        <v>8357833284</v>
      </c>
      <c r="C50" s="243" t="s">
        <v>948</v>
      </c>
      <c r="D50" s="244">
        <v>23732</v>
      </c>
      <c r="E50" s="243" t="s">
        <v>906</v>
      </c>
      <c r="F50" s="243" t="s">
        <v>907</v>
      </c>
      <c r="G50" s="243" t="s">
        <v>864</v>
      </c>
      <c r="H50" s="313">
        <v>2410</v>
      </c>
      <c r="I50" s="243" t="s">
        <v>462</v>
      </c>
      <c r="J50" s="246">
        <v>59</v>
      </c>
    </row>
    <row r="51" spans="1:10" ht="15" x14ac:dyDescent="0.25">
      <c r="A51" s="243">
        <v>10000096</v>
      </c>
      <c r="B51" s="243">
        <v>8385173412</v>
      </c>
      <c r="C51" s="243" t="s">
        <v>949</v>
      </c>
      <c r="D51" s="244">
        <v>26466</v>
      </c>
      <c r="E51" s="243" t="s">
        <v>906</v>
      </c>
      <c r="F51" s="243" t="s">
        <v>907</v>
      </c>
      <c r="G51" s="243" t="s">
        <v>872</v>
      </c>
      <c r="H51" s="313">
        <v>2410</v>
      </c>
      <c r="I51" s="243" t="s">
        <v>462</v>
      </c>
      <c r="J51" s="246">
        <v>51</v>
      </c>
    </row>
    <row r="52" spans="1:10" ht="15" x14ac:dyDescent="0.25">
      <c r="A52" s="243">
        <v>10000098</v>
      </c>
      <c r="B52" s="243">
        <v>8358022476</v>
      </c>
      <c r="C52" s="243" t="s">
        <v>950</v>
      </c>
      <c r="D52" s="244">
        <v>23751</v>
      </c>
      <c r="E52" s="243" t="s">
        <v>936</v>
      </c>
      <c r="F52" s="243" t="s">
        <v>937</v>
      </c>
      <c r="G52" s="243" t="s">
        <v>864</v>
      </c>
      <c r="H52" s="313">
        <v>2410</v>
      </c>
      <c r="I52" s="243" t="s">
        <v>462</v>
      </c>
      <c r="J52" s="246">
        <v>58</v>
      </c>
    </row>
    <row r="53" spans="1:10" ht="15" x14ac:dyDescent="0.25">
      <c r="A53" s="243">
        <v>10000099</v>
      </c>
      <c r="B53" s="243">
        <v>8381280249</v>
      </c>
      <c r="C53" s="243" t="s">
        <v>951</v>
      </c>
      <c r="D53" s="244">
        <v>26077</v>
      </c>
      <c r="E53" s="243" t="s">
        <v>870</v>
      </c>
      <c r="F53" s="243" t="s">
        <v>871</v>
      </c>
      <c r="G53" s="243" t="s">
        <v>864</v>
      </c>
      <c r="H53" s="313">
        <v>2410</v>
      </c>
      <c r="I53" s="243" t="s">
        <v>462</v>
      </c>
      <c r="J53" s="246">
        <v>52</v>
      </c>
    </row>
    <row r="54" spans="1:10" ht="15" x14ac:dyDescent="0.25">
      <c r="A54" s="243">
        <v>10000100</v>
      </c>
      <c r="B54" s="243">
        <v>8320030072</v>
      </c>
      <c r="C54" s="243" t="s">
        <v>952</v>
      </c>
      <c r="D54" s="244">
        <v>19952</v>
      </c>
      <c r="E54" s="243" t="s">
        <v>945</v>
      </c>
      <c r="F54" s="243" t="s">
        <v>946</v>
      </c>
      <c r="G54" s="243" t="s">
        <v>860</v>
      </c>
      <c r="H54" s="313">
        <v>2410</v>
      </c>
      <c r="I54" s="243" t="s">
        <v>462</v>
      </c>
      <c r="J54" s="246">
        <v>69</v>
      </c>
    </row>
    <row r="55" spans="1:10" ht="15" x14ac:dyDescent="0.25">
      <c r="A55" s="243">
        <v>10000101</v>
      </c>
      <c r="B55" s="243">
        <v>8330322432</v>
      </c>
      <c r="C55" s="243" t="s">
        <v>953</v>
      </c>
      <c r="D55" s="244">
        <v>20981</v>
      </c>
      <c r="E55" s="243" t="s">
        <v>954</v>
      </c>
      <c r="F55" s="243" t="s">
        <v>955</v>
      </c>
      <c r="G55" s="243" t="s">
        <v>864</v>
      </c>
      <c r="H55" s="313">
        <v>2410</v>
      </c>
      <c r="I55" s="243" t="s">
        <v>462</v>
      </c>
      <c r="J55" s="246">
        <v>66</v>
      </c>
    </row>
    <row r="56" spans="1:10" ht="15" x14ac:dyDescent="0.25">
      <c r="A56" s="243">
        <v>10000102</v>
      </c>
      <c r="B56" s="243">
        <v>8422122847</v>
      </c>
      <c r="C56" s="243" t="s">
        <v>956</v>
      </c>
      <c r="D56" s="244">
        <v>30161</v>
      </c>
      <c r="E56" s="243" t="s">
        <v>929</v>
      </c>
      <c r="F56" s="243" t="s">
        <v>930</v>
      </c>
      <c r="G56" s="243" t="s">
        <v>864</v>
      </c>
      <c r="H56" s="313">
        <v>1419</v>
      </c>
      <c r="I56" s="243" t="s">
        <v>406</v>
      </c>
      <c r="J56" s="246">
        <v>41</v>
      </c>
    </row>
    <row r="57" spans="1:10" ht="15" x14ac:dyDescent="0.25">
      <c r="A57" s="243">
        <v>10000103</v>
      </c>
      <c r="B57" s="243">
        <v>8422031841</v>
      </c>
      <c r="C57" s="243" t="s">
        <v>957</v>
      </c>
      <c r="D57" s="244">
        <v>30152</v>
      </c>
      <c r="E57" s="243" t="s">
        <v>936</v>
      </c>
      <c r="F57" s="243" t="s">
        <v>937</v>
      </c>
      <c r="G57" s="243" t="s">
        <v>864</v>
      </c>
      <c r="H57" s="313">
        <v>2410</v>
      </c>
      <c r="I57" s="243" t="s">
        <v>462</v>
      </c>
      <c r="J57" s="246">
        <v>41</v>
      </c>
    </row>
    <row r="58" spans="1:10" ht="15" x14ac:dyDescent="0.25">
      <c r="A58" s="243">
        <v>10000105</v>
      </c>
      <c r="B58" s="243">
        <v>8328852489</v>
      </c>
      <c r="C58" s="243" t="s">
        <v>958</v>
      </c>
      <c r="D58" s="244">
        <v>20834</v>
      </c>
      <c r="E58" s="243" t="s">
        <v>891</v>
      </c>
      <c r="F58" s="243" t="s">
        <v>892</v>
      </c>
      <c r="G58" s="243" t="s">
        <v>864</v>
      </c>
      <c r="H58" s="313">
        <v>2410</v>
      </c>
      <c r="I58" s="243" t="s">
        <v>462</v>
      </c>
      <c r="J58" s="246">
        <v>66</v>
      </c>
    </row>
    <row r="59" spans="1:10" ht="15" x14ac:dyDescent="0.25">
      <c r="A59" s="243">
        <v>10000107</v>
      </c>
      <c r="B59" s="243">
        <v>8313154187</v>
      </c>
      <c r="C59" s="243" t="s">
        <v>959</v>
      </c>
      <c r="D59" s="244">
        <v>19264</v>
      </c>
      <c r="E59" s="243" t="s">
        <v>906</v>
      </c>
      <c r="F59" s="243" t="s">
        <v>907</v>
      </c>
      <c r="G59" s="243" t="s">
        <v>860</v>
      </c>
      <c r="H59" s="313">
        <v>2410</v>
      </c>
      <c r="I59" s="243" t="s">
        <v>462</v>
      </c>
      <c r="J59" s="246">
        <v>71</v>
      </c>
    </row>
    <row r="60" spans="1:10" ht="15" x14ac:dyDescent="0.25">
      <c r="A60" s="243">
        <v>10000109</v>
      </c>
      <c r="B60" s="243">
        <v>8348530169</v>
      </c>
      <c r="C60" s="243" t="s">
        <v>960</v>
      </c>
      <c r="D60" s="244">
        <v>22802</v>
      </c>
      <c r="E60" s="243" t="s">
        <v>877</v>
      </c>
      <c r="F60" s="243" t="s">
        <v>878</v>
      </c>
      <c r="G60" s="243" t="s">
        <v>860</v>
      </c>
      <c r="H60" s="313">
        <v>1328</v>
      </c>
      <c r="I60" s="243" t="s">
        <v>391</v>
      </c>
      <c r="J60" s="246">
        <v>61</v>
      </c>
    </row>
    <row r="61" spans="1:10" ht="15" x14ac:dyDescent="0.25">
      <c r="A61" s="243">
        <v>10000110</v>
      </c>
      <c r="B61" s="243">
        <v>8400900790</v>
      </c>
      <c r="C61" s="243" t="s">
        <v>961</v>
      </c>
      <c r="D61" s="244">
        <v>28039</v>
      </c>
      <c r="E61" s="243" t="s">
        <v>884</v>
      </c>
      <c r="F61" s="243" t="s">
        <v>885</v>
      </c>
      <c r="G61" s="243" t="s">
        <v>864</v>
      </c>
      <c r="H61" s="313">
        <v>2410</v>
      </c>
      <c r="I61" s="243" t="s">
        <v>462</v>
      </c>
      <c r="J61" s="246">
        <v>47</v>
      </c>
    </row>
    <row r="62" spans="1:10" ht="15" x14ac:dyDescent="0.25">
      <c r="A62" s="243">
        <v>10000111</v>
      </c>
      <c r="B62" s="243">
        <v>8432052701</v>
      </c>
      <c r="C62" s="243" t="s">
        <v>962</v>
      </c>
      <c r="D62" s="244">
        <v>31154</v>
      </c>
      <c r="E62" s="243" t="s">
        <v>867</v>
      </c>
      <c r="F62" s="243" t="s">
        <v>868</v>
      </c>
      <c r="G62" s="243" t="s">
        <v>864</v>
      </c>
      <c r="H62" s="313">
        <v>2410</v>
      </c>
      <c r="I62" s="243" t="s">
        <v>462</v>
      </c>
      <c r="J62" s="246">
        <v>38</v>
      </c>
    </row>
    <row r="63" spans="1:10" ht="15" x14ac:dyDescent="0.25">
      <c r="A63" s="243">
        <v>10000113</v>
      </c>
      <c r="B63" s="243">
        <v>8405671307</v>
      </c>
      <c r="C63" s="243" t="s">
        <v>215</v>
      </c>
      <c r="D63" s="244">
        <v>28516</v>
      </c>
      <c r="E63" s="243" t="s">
        <v>963</v>
      </c>
      <c r="F63" s="243" t="s">
        <v>964</v>
      </c>
      <c r="G63" s="243" t="s">
        <v>864</v>
      </c>
      <c r="H63" s="313">
        <v>2410</v>
      </c>
      <c r="I63" s="243" t="s">
        <v>462</v>
      </c>
      <c r="J63" s="246">
        <v>45</v>
      </c>
    </row>
    <row r="64" spans="1:10" ht="15" x14ac:dyDescent="0.25">
      <c r="A64" s="243">
        <v>10000115</v>
      </c>
      <c r="B64" s="243">
        <v>8423011275</v>
      </c>
      <c r="C64" s="243" t="s">
        <v>965</v>
      </c>
      <c r="D64" s="244">
        <v>30250</v>
      </c>
      <c r="E64" s="243" t="s">
        <v>891</v>
      </c>
      <c r="F64" s="243" t="s">
        <v>892</v>
      </c>
      <c r="G64" s="243" t="s">
        <v>872</v>
      </c>
      <c r="H64" s="313">
        <v>2410</v>
      </c>
      <c r="I64" s="243" t="s">
        <v>462</v>
      </c>
      <c r="J64" s="246">
        <v>41</v>
      </c>
    </row>
    <row r="65" spans="1:10" ht="15" x14ac:dyDescent="0.25">
      <c r="A65" s="243">
        <v>10000117</v>
      </c>
      <c r="B65" s="243">
        <v>8388423770</v>
      </c>
      <c r="C65" s="243" t="s">
        <v>966</v>
      </c>
      <c r="D65" s="244">
        <v>26791</v>
      </c>
      <c r="E65" s="243" t="s">
        <v>899</v>
      </c>
      <c r="F65" s="243" t="s">
        <v>900</v>
      </c>
      <c r="G65" s="243" t="s">
        <v>864</v>
      </c>
      <c r="H65" s="313">
        <v>2142</v>
      </c>
      <c r="I65" s="243" t="s">
        <v>391</v>
      </c>
      <c r="J65" s="246">
        <v>50</v>
      </c>
    </row>
    <row r="66" spans="1:10" ht="15" x14ac:dyDescent="0.25">
      <c r="A66" s="243">
        <v>10000120</v>
      </c>
      <c r="B66" s="243">
        <v>8341024020</v>
      </c>
      <c r="C66" s="243" t="s">
        <v>967</v>
      </c>
      <c r="D66" s="244">
        <v>22051</v>
      </c>
      <c r="E66" s="243" t="s">
        <v>902</v>
      </c>
      <c r="F66" s="243" t="s">
        <v>903</v>
      </c>
      <c r="G66" s="243" t="s">
        <v>864</v>
      </c>
      <c r="H66" s="313">
        <v>1328</v>
      </c>
      <c r="I66" s="243" t="s">
        <v>391</v>
      </c>
      <c r="J66" s="246">
        <v>63</v>
      </c>
    </row>
    <row r="67" spans="1:10" ht="15" x14ac:dyDescent="0.25">
      <c r="A67" s="243">
        <v>10000121</v>
      </c>
      <c r="B67" s="243">
        <v>8425551579</v>
      </c>
      <c r="C67" s="243" t="s">
        <v>968</v>
      </c>
      <c r="D67" s="244">
        <v>30504</v>
      </c>
      <c r="E67" s="243" t="s">
        <v>870</v>
      </c>
      <c r="F67" s="243" t="s">
        <v>871</v>
      </c>
      <c r="G67" s="243" t="s">
        <v>872</v>
      </c>
      <c r="H67" s="313">
        <v>2410</v>
      </c>
      <c r="I67" s="243" t="s">
        <v>462</v>
      </c>
      <c r="J67" s="246">
        <v>40</v>
      </c>
    </row>
    <row r="68" spans="1:10" ht="15" x14ac:dyDescent="0.25">
      <c r="A68" s="243">
        <v>10000124</v>
      </c>
      <c r="B68" s="243">
        <v>8407181587</v>
      </c>
      <c r="C68" s="243" t="s">
        <v>354</v>
      </c>
      <c r="D68" s="244">
        <v>28667</v>
      </c>
      <c r="E68" s="243" t="s">
        <v>870</v>
      </c>
      <c r="F68" s="243" t="s">
        <v>871</v>
      </c>
      <c r="G68" s="243" t="s">
        <v>864</v>
      </c>
      <c r="H68" s="313">
        <v>2117</v>
      </c>
      <c r="I68" s="243" t="s">
        <v>391</v>
      </c>
      <c r="J68" s="246">
        <v>45</v>
      </c>
    </row>
    <row r="69" spans="1:10" ht="15" x14ac:dyDescent="0.25">
      <c r="A69" s="243">
        <v>10000125</v>
      </c>
      <c r="B69" s="243">
        <v>8337772778</v>
      </c>
      <c r="C69" s="243" t="s">
        <v>969</v>
      </c>
      <c r="D69" s="244">
        <v>21726</v>
      </c>
      <c r="E69" s="243" t="s">
        <v>877</v>
      </c>
      <c r="F69" s="243" t="s">
        <v>878</v>
      </c>
      <c r="G69" s="243" t="s">
        <v>864</v>
      </c>
      <c r="H69" s="313">
        <v>2410</v>
      </c>
      <c r="I69" s="243" t="s">
        <v>462</v>
      </c>
      <c r="J69" s="246">
        <v>64</v>
      </c>
    </row>
    <row r="70" spans="1:10" ht="15" x14ac:dyDescent="0.25">
      <c r="A70" s="243">
        <v>10000126</v>
      </c>
      <c r="B70" s="243">
        <v>8332743370</v>
      </c>
      <c r="C70" s="243" t="s">
        <v>970</v>
      </c>
      <c r="D70" s="244">
        <v>21223</v>
      </c>
      <c r="E70" s="243" t="s">
        <v>870</v>
      </c>
      <c r="F70" s="243" t="s">
        <v>871</v>
      </c>
      <c r="G70" s="243" t="s">
        <v>860</v>
      </c>
      <c r="H70" s="313">
        <v>1328</v>
      </c>
      <c r="I70" s="243" t="s">
        <v>391</v>
      </c>
      <c r="J70" s="246">
        <v>65</v>
      </c>
    </row>
    <row r="71" spans="1:10" ht="15" x14ac:dyDescent="0.25">
      <c r="A71" s="243">
        <v>10000128</v>
      </c>
      <c r="B71" s="243">
        <v>8389024780</v>
      </c>
      <c r="C71" s="243" t="s">
        <v>971</v>
      </c>
      <c r="D71" s="244">
        <v>26851</v>
      </c>
      <c r="E71" s="243" t="s">
        <v>929</v>
      </c>
      <c r="F71" s="243" t="s">
        <v>930</v>
      </c>
      <c r="G71" s="243" t="s">
        <v>872</v>
      </c>
      <c r="H71" s="313">
        <v>2410</v>
      </c>
      <c r="I71" s="243" t="s">
        <v>462</v>
      </c>
      <c r="J71" s="246">
        <v>50</v>
      </c>
    </row>
    <row r="72" spans="1:10" ht="15" x14ac:dyDescent="0.25">
      <c r="A72" s="243">
        <v>10000130</v>
      </c>
      <c r="B72" s="243">
        <v>8432360317</v>
      </c>
      <c r="C72" s="243" t="s">
        <v>972</v>
      </c>
      <c r="D72" s="244">
        <v>31185</v>
      </c>
      <c r="E72" s="243" t="s">
        <v>870</v>
      </c>
      <c r="F72" s="243" t="s">
        <v>871</v>
      </c>
      <c r="G72" s="243" t="s">
        <v>872</v>
      </c>
      <c r="H72" s="313">
        <v>2410</v>
      </c>
      <c r="I72" s="243" t="s">
        <v>462</v>
      </c>
      <c r="J72" s="246">
        <v>38</v>
      </c>
    </row>
    <row r="73" spans="1:10" ht="15" x14ac:dyDescent="0.25">
      <c r="A73" s="243">
        <v>10000131</v>
      </c>
      <c r="B73" s="243">
        <v>8392552407</v>
      </c>
      <c r="C73" s="243" t="s">
        <v>973</v>
      </c>
      <c r="D73" s="244">
        <v>27204</v>
      </c>
      <c r="E73" s="243" t="s">
        <v>945</v>
      </c>
      <c r="F73" s="243" t="s">
        <v>946</v>
      </c>
      <c r="G73" s="243" t="s">
        <v>974</v>
      </c>
      <c r="H73" s="313">
        <v>2169</v>
      </c>
      <c r="I73" s="243" t="s">
        <v>442</v>
      </c>
      <c r="J73" s="246">
        <v>49</v>
      </c>
    </row>
    <row r="74" spans="1:10" ht="15" x14ac:dyDescent="0.25">
      <c r="A74" s="243">
        <v>10000132</v>
      </c>
      <c r="B74" s="243">
        <v>8411063054</v>
      </c>
      <c r="C74" s="243" t="s">
        <v>975</v>
      </c>
      <c r="D74" s="244">
        <v>29055</v>
      </c>
      <c r="E74" s="243" t="s">
        <v>899</v>
      </c>
      <c r="F74" s="243" t="s">
        <v>900</v>
      </c>
      <c r="G74" s="243" t="s">
        <v>864</v>
      </c>
      <c r="H74" s="313">
        <v>2142</v>
      </c>
      <c r="I74" s="243" t="s">
        <v>391</v>
      </c>
      <c r="J74" s="246">
        <v>44</v>
      </c>
    </row>
    <row r="75" spans="1:10" ht="15" x14ac:dyDescent="0.25">
      <c r="A75" s="243">
        <v>10000133</v>
      </c>
      <c r="B75" s="243">
        <v>8323705771</v>
      </c>
      <c r="C75" s="243" t="s">
        <v>976</v>
      </c>
      <c r="D75" s="244">
        <v>20319</v>
      </c>
      <c r="E75" s="243" t="s">
        <v>977</v>
      </c>
      <c r="F75" s="243" t="s">
        <v>978</v>
      </c>
      <c r="G75" s="243" t="s">
        <v>864</v>
      </c>
      <c r="H75" s="313">
        <v>2410</v>
      </c>
      <c r="I75" s="243" t="s">
        <v>462</v>
      </c>
      <c r="J75" s="246">
        <v>68</v>
      </c>
    </row>
    <row r="76" spans="1:10" ht="15" x14ac:dyDescent="0.25">
      <c r="A76" s="243">
        <v>10000134</v>
      </c>
      <c r="B76" s="243">
        <v>8341254700</v>
      </c>
      <c r="C76" s="243" t="s">
        <v>979</v>
      </c>
      <c r="D76" s="244">
        <v>22074</v>
      </c>
      <c r="E76" s="243" t="s">
        <v>880</v>
      </c>
      <c r="F76" s="243" t="s">
        <v>881</v>
      </c>
      <c r="G76" s="243" t="s">
        <v>860</v>
      </c>
      <c r="H76" s="313">
        <v>2410</v>
      </c>
      <c r="I76" s="243" t="s">
        <v>462</v>
      </c>
      <c r="J76" s="246">
        <v>63</v>
      </c>
    </row>
    <row r="77" spans="1:10" ht="15" x14ac:dyDescent="0.25">
      <c r="A77" s="243">
        <v>10000135</v>
      </c>
      <c r="B77" s="243">
        <v>8359470707</v>
      </c>
      <c r="C77" s="243" t="s">
        <v>980</v>
      </c>
      <c r="D77" s="244">
        <v>23896</v>
      </c>
      <c r="E77" s="243" t="s">
        <v>906</v>
      </c>
      <c r="F77" s="243" t="s">
        <v>907</v>
      </c>
      <c r="G77" s="243" t="s">
        <v>864</v>
      </c>
      <c r="H77" s="313">
        <v>2410</v>
      </c>
      <c r="I77" s="243" t="s">
        <v>462</v>
      </c>
      <c r="J77" s="246">
        <v>58</v>
      </c>
    </row>
    <row r="78" spans="1:10" ht="15" x14ac:dyDescent="0.25">
      <c r="A78" s="243">
        <v>10000136</v>
      </c>
      <c r="B78" s="243">
        <v>8403195265</v>
      </c>
      <c r="C78" s="243" t="s">
        <v>981</v>
      </c>
      <c r="D78" s="244">
        <v>28268</v>
      </c>
      <c r="E78" s="243" t="s">
        <v>858</v>
      </c>
      <c r="F78" s="243" t="s">
        <v>859</v>
      </c>
      <c r="G78" s="243" t="s">
        <v>864</v>
      </c>
      <c r="H78" s="313">
        <v>2410</v>
      </c>
      <c r="I78" s="243" t="s">
        <v>462</v>
      </c>
      <c r="J78" s="246">
        <v>46</v>
      </c>
    </row>
    <row r="79" spans="1:10" ht="15" x14ac:dyDescent="0.25">
      <c r="A79" s="243">
        <v>10000137</v>
      </c>
      <c r="B79" s="243">
        <v>8368651034</v>
      </c>
      <c r="C79" s="243" t="s">
        <v>982</v>
      </c>
      <c r="D79" s="244">
        <v>24814</v>
      </c>
      <c r="E79" s="243" t="s">
        <v>870</v>
      </c>
      <c r="F79" s="243" t="s">
        <v>871</v>
      </c>
      <c r="G79" s="243" t="s">
        <v>860</v>
      </c>
      <c r="H79" s="313">
        <v>2410</v>
      </c>
      <c r="I79" s="243" t="s">
        <v>462</v>
      </c>
      <c r="J79" s="246">
        <v>56</v>
      </c>
    </row>
    <row r="80" spans="1:10" ht="15" x14ac:dyDescent="0.25">
      <c r="A80" s="243">
        <v>10000138</v>
      </c>
      <c r="B80" s="243">
        <v>8365062305</v>
      </c>
      <c r="C80" s="243" t="s">
        <v>983</v>
      </c>
      <c r="D80" s="244">
        <v>24455</v>
      </c>
      <c r="E80" s="243" t="s">
        <v>862</v>
      </c>
      <c r="F80" s="243" t="s">
        <v>863</v>
      </c>
      <c r="G80" s="243" t="s">
        <v>864</v>
      </c>
      <c r="H80" s="313">
        <v>2410</v>
      </c>
      <c r="I80" s="243" t="s">
        <v>462</v>
      </c>
      <c r="J80" s="246">
        <v>57</v>
      </c>
    </row>
    <row r="81" spans="1:10" ht="15" x14ac:dyDescent="0.25">
      <c r="A81" s="243">
        <v>10000139</v>
      </c>
      <c r="B81" s="243">
        <v>8369201563</v>
      </c>
      <c r="C81" s="243" t="s">
        <v>984</v>
      </c>
      <c r="D81" s="244">
        <v>24869</v>
      </c>
      <c r="E81" s="243" t="s">
        <v>906</v>
      </c>
      <c r="F81" s="243" t="s">
        <v>907</v>
      </c>
      <c r="G81" s="243" t="s">
        <v>985</v>
      </c>
      <c r="H81" s="313">
        <v>2410</v>
      </c>
      <c r="I81" s="243" t="s">
        <v>462</v>
      </c>
      <c r="J81" s="246">
        <v>55</v>
      </c>
    </row>
    <row r="82" spans="1:10" ht="15" x14ac:dyDescent="0.25">
      <c r="A82" s="243">
        <v>10000142</v>
      </c>
      <c r="B82" s="243">
        <v>8373761691</v>
      </c>
      <c r="C82" s="243" t="s">
        <v>986</v>
      </c>
      <c r="D82" s="244">
        <v>25325</v>
      </c>
      <c r="E82" s="243" t="s">
        <v>874</v>
      </c>
      <c r="F82" s="243" t="s">
        <v>875</v>
      </c>
      <c r="G82" s="243" t="s">
        <v>864</v>
      </c>
      <c r="H82" s="313">
        <v>2410</v>
      </c>
      <c r="I82" s="243" t="s">
        <v>462</v>
      </c>
      <c r="J82" s="246">
        <v>54</v>
      </c>
    </row>
    <row r="83" spans="1:10" ht="15" x14ac:dyDescent="0.25">
      <c r="A83" s="243">
        <v>10000143</v>
      </c>
      <c r="B83" s="243">
        <v>8395304986</v>
      </c>
      <c r="C83" s="243" t="s">
        <v>987</v>
      </c>
      <c r="D83" s="244">
        <v>27479</v>
      </c>
      <c r="E83" s="243" t="s">
        <v>906</v>
      </c>
      <c r="F83" s="243" t="s">
        <v>907</v>
      </c>
      <c r="G83" s="243" t="s">
        <v>985</v>
      </c>
      <c r="H83" s="313">
        <v>2410</v>
      </c>
      <c r="I83" s="243" t="s">
        <v>462</v>
      </c>
      <c r="J83" s="246">
        <v>48</v>
      </c>
    </row>
    <row r="84" spans="1:10" ht="15" x14ac:dyDescent="0.25">
      <c r="A84" s="243">
        <v>10000144</v>
      </c>
      <c r="B84" s="243">
        <v>8401964733</v>
      </c>
      <c r="C84" s="243" t="s">
        <v>988</v>
      </c>
      <c r="D84" s="244">
        <v>28145</v>
      </c>
      <c r="E84" s="243" t="s">
        <v>880</v>
      </c>
      <c r="F84" s="243" t="s">
        <v>881</v>
      </c>
      <c r="G84" s="243" t="s">
        <v>864</v>
      </c>
      <c r="H84" s="313">
        <v>2410</v>
      </c>
      <c r="I84" s="243" t="s">
        <v>462</v>
      </c>
      <c r="J84" s="246">
        <v>46</v>
      </c>
    </row>
    <row r="85" spans="1:10" ht="15" x14ac:dyDescent="0.25">
      <c r="A85" s="243">
        <v>10000145</v>
      </c>
      <c r="B85" s="243">
        <v>8408294245</v>
      </c>
      <c r="C85" s="243" t="s">
        <v>989</v>
      </c>
      <c r="D85" s="244">
        <v>28778</v>
      </c>
      <c r="E85" s="243" t="s">
        <v>874</v>
      </c>
      <c r="F85" s="243" t="s">
        <v>875</v>
      </c>
      <c r="G85" s="243" t="s">
        <v>872</v>
      </c>
      <c r="H85" s="313">
        <v>2410</v>
      </c>
      <c r="I85" s="243" t="s">
        <v>462</v>
      </c>
      <c r="J85" s="246">
        <v>45</v>
      </c>
    </row>
    <row r="86" spans="1:10" ht="15" x14ac:dyDescent="0.25">
      <c r="A86" s="243">
        <v>10000150</v>
      </c>
      <c r="B86" s="243">
        <v>8349432063</v>
      </c>
      <c r="C86" s="243" t="s">
        <v>990</v>
      </c>
      <c r="D86" s="244">
        <v>22892</v>
      </c>
      <c r="E86" s="243" t="s">
        <v>936</v>
      </c>
      <c r="F86" s="243" t="s">
        <v>937</v>
      </c>
      <c r="G86" s="243" t="s">
        <v>864</v>
      </c>
      <c r="H86" s="313">
        <v>1328</v>
      </c>
      <c r="I86" s="243" t="s">
        <v>391</v>
      </c>
      <c r="J86" s="246">
        <v>61</v>
      </c>
    </row>
    <row r="87" spans="1:10" ht="15" x14ac:dyDescent="0.25">
      <c r="A87" s="243">
        <v>10000152</v>
      </c>
      <c r="B87" s="243">
        <v>8404621748</v>
      </c>
      <c r="C87" s="243" t="s">
        <v>991</v>
      </c>
      <c r="D87" s="244">
        <v>28411</v>
      </c>
      <c r="E87" s="243" t="s">
        <v>867</v>
      </c>
      <c r="F87" s="243" t="s">
        <v>868</v>
      </c>
      <c r="G87" s="243" t="s">
        <v>860</v>
      </c>
      <c r="H87" s="313">
        <v>2410</v>
      </c>
      <c r="I87" s="243" t="s">
        <v>462</v>
      </c>
      <c r="J87" s="246">
        <v>46</v>
      </c>
    </row>
    <row r="88" spans="1:10" ht="15" x14ac:dyDescent="0.25">
      <c r="A88" s="243">
        <v>10000156</v>
      </c>
      <c r="B88" s="243">
        <v>8413511798</v>
      </c>
      <c r="C88" s="243" t="s">
        <v>992</v>
      </c>
      <c r="D88" s="244">
        <v>29300</v>
      </c>
      <c r="E88" s="243" t="s">
        <v>880</v>
      </c>
      <c r="F88" s="243" t="s">
        <v>881</v>
      </c>
      <c r="G88" s="243" t="s">
        <v>864</v>
      </c>
      <c r="H88" s="313">
        <v>2410</v>
      </c>
      <c r="I88" s="243" t="s">
        <v>462</v>
      </c>
      <c r="J88" s="246">
        <v>43</v>
      </c>
    </row>
    <row r="89" spans="1:10" ht="15" x14ac:dyDescent="0.25">
      <c r="A89" s="243">
        <v>10000160</v>
      </c>
      <c r="B89" s="243">
        <v>8400442539</v>
      </c>
      <c r="C89" s="243" t="s">
        <v>993</v>
      </c>
      <c r="D89" s="244">
        <v>27993</v>
      </c>
      <c r="E89" s="243" t="s">
        <v>870</v>
      </c>
      <c r="F89" s="243" t="s">
        <v>871</v>
      </c>
      <c r="G89" s="243" t="s">
        <v>872</v>
      </c>
      <c r="H89" s="313">
        <v>2410</v>
      </c>
      <c r="I89" s="243" t="s">
        <v>462</v>
      </c>
      <c r="J89" s="246">
        <v>47</v>
      </c>
    </row>
    <row r="90" spans="1:10" ht="15" x14ac:dyDescent="0.25">
      <c r="A90" s="243">
        <v>10000163</v>
      </c>
      <c r="B90" s="243">
        <v>8372881383</v>
      </c>
      <c r="C90" s="243" t="s">
        <v>994</v>
      </c>
      <c r="D90" s="244">
        <v>25237</v>
      </c>
      <c r="E90" s="243" t="s">
        <v>858</v>
      </c>
      <c r="F90" s="243" t="s">
        <v>859</v>
      </c>
      <c r="G90" s="243" t="s">
        <v>864</v>
      </c>
      <c r="H90" s="313">
        <v>2410</v>
      </c>
      <c r="I90" s="243" t="s">
        <v>462</v>
      </c>
      <c r="J90" s="246">
        <v>54</v>
      </c>
    </row>
    <row r="91" spans="1:10" ht="15" x14ac:dyDescent="0.25">
      <c r="A91" s="243">
        <v>10000164</v>
      </c>
      <c r="B91" s="243">
        <v>8324893164</v>
      </c>
      <c r="C91" s="243" t="s">
        <v>995</v>
      </c>
      <c r="D91" s="244">
        <v>20438</v>
      </c>
      <c r="E91" s="243" t="s">
        <v>867</v>
      </c>
      <c r="F91" s="243" t="s">
        <v>868</v>
      </c>
      <c r="G91" s="243" t="s">
        <v>860</v>
      </c>
      <c r="H91" s="313">
        <v>2410</v>
      </c>
      <c r="I91" s="243" t="s">
        <v>462</v>
      </c>
      <c r="J91" s="246">
        <v>68</v>
      </c>
    </row>
    <row r="92" spans="1:10" ht="15" x14ac:dyDescent="0.25">
      <c r="A92" s="243">
        <v>10000165</v>
      </c>
      <c r="B92" s="243">
        <v>8417671102</v>
      </c>
      <c r="C92" s="243" t="s">
        <v>996</v>
      </c>
      <c r="D92" s="244">
        <v>29716</v>
      </c>
      <c r="E92" s="243" t="s">
        <v>858</v>
      </c>
      <c r="F92" s="243" t="s">
        <v>859</v>
      </c>
      <c r="G92" s="243" t="s">
        <v>997</v>
      </c>
      <c r="H92" s="313">
        <v>2169</v>
      </c>
      <c r="I92" s="243" t="s">
        <v>442</v>
      </c>
      <c r="J92" s="246">
        <v>42</v>
      </c>
    </row>
    <row r="93" spans="1:10" ht="15" x14ac:dyDescent="0.25">
      <c r="A93" s="243">
        <v>10000166</v>
      </c>
      <c r="B93" s="243">
        <v>8354973050</v>
      </c>
      <c r="C93" s="243" t="s">
        <v>998</v>
      </c>
      <c r="D93" s="244">
        <v>23446</v>
      </c>
      <c r="E93" s="243" t="s">
        <v>870</v>
      </c>
      <c r="F93" s="243" t="s">
        <v>871</v>
      </c>
      <c r="G93" s="243" t="s">
        <v>864</v>
      </c>
      <c r="H93" s="313">
        <v>2410</v>
      </c>
      <c r="I93" s="243" t="s">
        <v>462</v>
      </c>
      <c r="J93" s="246">
        <v>59</v>
      </c>
    </row>
    <row r="94" spans="1:10" ht="15" x14ac:dyDescent="0.25">
      <c r="A94" s="243">
        <v>10000168</v>
      </c>
      <c r="B94" s="243">
        <v>8393305691</v>
      </c>
      <c r="C94" s="243" t="s">
        <v>999</v>
      </c>
      <c r="D94" s="244">
        <v>27279</v>
      </c>
      <c r="E94" s="243" t="s">
        <v>867</v>
      </c>
      <c r="F94" s="243" t="s">
        <v>868</v>
      </c>
      <c r="G94" s="243" t="s">
        <v>864</v>
      </c>
      <c r="H94" s="313">
        <v>2410</v>
      </c>
      <c r="I94" s="243" t="s">
        <v>462</v>
      </c>
      <c r="J94" s="246">
        <v>49</v>
      </c>
    </row>
    <row r="95" spans="1:10" ht="15" x14ac:dyDescent="0.25">
      <c r="A95" s="243">
        <v>10000169</v>
      </c>
      <c r="B95" s="243">
        <v>8390182424</v>
      </c>
      <c r="C95" s="243" t="s">
        <v>1000</v>
      </c>
      <c r="D95" s="244">
        <v>26967</v>
      </c>
      <c r="E95" s="243" t="s">
        <v>877</v>
      </c>
      <c r="F95" s="243" t="s">
        <v>878</v>
      </c>
      <c r="G95" s="243" t="s">
        <v>872</v>
      </c>
      <c r="H95" s="313">
        <v>2410</v>
      </c>
      <c r="I95" s="243" t="s">
        <v>462</v>
      </c>
      <c r="J95" s="246">
        <v>50</v>
      </c>
    </row>
    <row r="96" spans="1:10" ht="15" x14ac:dyDescent="0.25">
      <c r="A96" s="243">
        <v>10000172</v>
      </c>
      <c r="B96" s="243">
        <v>8350662190</v>
      </c>
      <c r="C96" s="243" t="s">
        <v>1001</v>
      </c>
      <c r="D96" s="244">
        <v>23015</v>
      </c>
      <c r="E96" s="243" t="s">
        <v>870</v>
      </c>
      <c r="F96" s="243" t="s">
        <v>871</v>
      </c>
      <c r="G96" s="243" t="s">
        <v>864</v>
      </c>
      <c r="H96" s="313">
        <v>2410</v>
      </c>
      <c r="I96" s="243" t="s">
        <v>462</v>
      </c>
      <c r="J96" s="246">
        <v>60</v>
      </c>
    </row>
    <row r="97" spans="1:10" ht="15" x14ac:dyDescent="0.25">
      <c r="A97" s="243">
        <v>10000173</v>
      </c>
      <c r="B97" s="243">
        <v>8363851310</v>
      </c>
      <c r="C97" s="243" t="s">
        <v>1002</v>
      </c>
      <c r="D97" s="244">
        <v>24334</v>
      </c>
      <c r="E97" s="243" t="s">
        <v>936</v>
      </c>
      <c r="F97" s="243" t="s">
        <v>937</v>
      </c>
      <c r="G97" s="243" t="s">
        <v>864</v>
      </c>
      <c r="H97" s="313">
        <v>2410</v>
      </c>
      <c r="I97" s="243" t="s">
        <v>462</v>
      </c>
      <c r="J97" s="246">
        <v>57</v>
      </c>
    </row>
    <row r="98" spans="1:10" ht="15" x14ac:dyDescent="0.25">
      <c r="A98" s="243">
        <v>10000174</v>
      </c>
      <c r="B98" s="243">
        <v>8422512769</v>
      </c>
      <c r="C98" s="243" t="s">
        <v>1003</v>
      </c>
      <c r="D98" s="244">
        <v>30200</v>
      </c>
      <c r="E98" s="243" t="s">
        <v>954</v>
      </c>
      <c r="F98" s="243" t="s">
        <v>955</v>
      </c>
      <c r="G98" s="243" t="s">
        <v>864</v>
      </c>
      <c r="H98" s="313">
        <v>2410</v>
      </c>
      <c r="I98" s="243" t="s">
        <v>462</v>
      </c>
      <c r="J98" s="246">
        <v>41</v>
      </c>
    </row>
    <row r="99" spans="1:10" ht="15" x14ac:dyDescent="0.25">
      <c r="A99" s="243">
        <v>10000176</v>
      </c>
      <c r="B99" s="243">
        <v>8395913354</v>
      </c>
      <c r="C99" s="243" t="s">
        <v>1004</v>
      </c>
      <c r="D99" s="244">
        <v>27540</v>
      </c>
      <c r="E99" s="243" t="s">
        <v>858</v>
      </c>
      <c r="F99" s="243" t="s">
        <v>859</v>
      </c>
      <c r="G99" s="243" t="s">
        <v>864</v>
      </c>
      <c r="H99" s="313">
        <v>2117</v>
      </c>
      <c r="I99" s="243" t="s">
        <v>391</v>
      </c>
      <c r="J99" s="246">
        <v>48</v>
      </c>
    </row>
    <row r="100" spans="1:10" ht="15" x14ac:dyDescent="0.25">
      <c r="A100" s="243">
        <v>10000177</v>
      </c>
      <c r="B100" s="243">
        <v>8353533073</v>
      </c>
      <c r="C100" s="243" t="s">
        <v>1005</v>
      </c>
      <c r="D100" s="244">
        <v>23302</v>
      </c>
      <c r="E100" s="243" t="s">
        <v>880</v>
      </c>
      <c r="F100" s="243" t="s">
        <v>881</v>
      </c>
      <c r="G100" s="243" t="s">
        <v>864</v>
      </c>
      <c r="H100" s="313">
        <v>2410</v>
      </c>
      <c r="I100" s="243" t="s">
        <v>462</v>
      </c>
      <c r="J100" s="246">
        <v>60</v>
      </c>
    </row>
    <row r="101" spans="1:10" ht="15" x14ac:dyDescent="0.25">
      <c r="A101" s="243">
        <v>10000178</v>
      </c>
      <c r="B101" s="243">
        <v>8393375789</v>
      </c>
      <c r="C101" s="243" t="s">
        <v>1006</v>
      </c>
      <c r="D101" s="244">
        <v>27286</v>
      </c>
      <c r="E101" s="243" t="s">
        <v>862</v>
      </c>
      <c r="F101" s="243" t="s">
        <v>863</v>
      </c>
      <c r="G101" s="243" t="s">
        <v>872</v>
      </c>
      <c r="H101" s="313">
        <v>2410</v>
      </c>
      <c r="I101" s="243" t="s">
        <v>462</v>
      </c>
      <c r="J101" s="246">
        <v>49</v>
      </c>
    </row>
    <row r="102" spans="1:10" ht="15" x14ac:dyDescent="0.25">
      <c r="A102" s="243">
        <v>10000180</v>
      </c>
      <c r="B102" s="243">
        <v>8439630735</v>
      </c>
      <c r="C102" s="243" t="s">
        <v>1007</v>
      </c>
      <c r="D102" s="244">
        <v>31912</v>
      </c>
      <c r="E102" s="243" t="s">
        <v>870</v>
      </c>
      <c r="F102" s="243" t="s">
        <v>871</v>
      </c>
      <c r="G102" s="243" t="s">
        <v>872</v>
      </c>
      <c r="H102" s="313">
        <v>2410</v>
      </c>
      <c r="I102" s="243" t="s">
        <v>462</v>
      </c>
      <c r="J102" s="246">
        <v>36</v>
      </c>
    </row>
    <row r="103" spans="1:10" ht="15" x14ac:dyDescent="0.25">
      <c r="A103" s="243">
        <v>10000182</v>
      </c>
      <c r="B103" s="243">
        <v>8344203074</v>
      </c>
      <c r="C103" s="243" t="s">
        <v>1008</v>
      </c>
      <c r="D103" s="244">
        <v>22369</v>
      </c>
      <c r="E103" s="243" t="s">
        <v>877</v>
      </c>
      <c r="F103" s="243" t="s">
        <v>878</v>
      </c>
      <c r="G103" s="243" t="s">
        <v>864</v>
      </c>
      <c r="H103" s="313">
        <v>1328</v>
      </c>
      <c r="I103" s="243" t="s">
        <v>391</v>
      </c>
      <c r="J103" s="246">
        <v>62</v>
      </c>
    </row>
    <row r="104" spans="1:10" ht="15" x14ac:dyDescent="0.25">
      <c r="A104" s="243">
        <v>10000183</v>
      </c>
      <c r="B104" s="243">
        <v>8324113819</v>
      </c>
      <c r="C104" s="243" t="s">
        <v>1009</v>
      </c>
      <c r="D104" s="244">
        <v>20360</v>
      </c>
      <c r="E104" s="243" t="s">
        <v>870</v>
      </c>
      <c r="F104" s="243" t="s">
        <v>871</v>
      </c>
      <c r="G104" s="243" t="s">
        <v>860</v>
      </c>
      <c r="H104" s="313">
        <v>2410</v>
      </c>
      <c r="I104" s="243" t="s">
        <v>462</v>
      </c>
      <c r="J104" s="246">
        <v>68</v>
      </c>
    </row>
    <row r="105" spans="1:10" ht="15" x14ac:dyDescent="0.25">
      <c r="A105" s="243">
        <v>10000184</v>
      </c>
      <c r="B105" s="243">
        <v>8360760632</v>
      </c>
      <c r="C105" s="243" t="s">
        <v>1010</v>
      </c>
      <c r="D105" s="244">
        <v>24025</v>
      </c>
      <c r="E105" s="243" t="s">
        <v>870</v>
      </c>
      <c r="F105" s="243" t="s">
        <v>871</v>
      </c>
      <c r="G105" s="243" t="s">
        <v>860</v>
      </c>
      <c r="H105" s="313">
        <v>2410</v>
      </c>
      <c r="I105" s="243" t="s">
        <v>462</v>
      </c>
      <c r="J105" s="246">
        <v>58</v>
      </c>
    </row>
    <row r="106" spans="1:10" ht="15" x14ac:dyDescent="0.25">
      <c r="A106" s="243">
        <v>10000187</v>
      </c>
      <c r="B106" s="243">
        <v>8384390509</v>
      </c>
      <c r="C106" s="243" t="s">
        <v>1011</v>
      </c>
      <c r="D106" s="244">
        <v>26388</v>
      </c>
      <c r="E106" s="243" t="s">
        <v>929</v>
      </c>
      <c r="F106" s="243" t="s">
        <v>930</v>
      </c>
      <c r="G106" s="243" t="s">
        <v>864</v>
      </c>
      <c r="H106" s="313">
        <v>1328</v>
      </c>
      <c r="I106" s="243" t="s">
        <v>391</v>
      </c>
      <c r="J106" s="246">
        <v>51</v>
      </c>
    </row>
    <row r="107" spans="1:10" ht="15" x14ac:dyDescent="0.25">
      <c r="A107" s="243">
        <v>10000188</v>
      </c>
      <c r="B107" s="243">
        <v>8414223338</v>
      </c>
      <c r="C107" s="243" t="s">
        <v>1012</v>
      </c>
      <c r="D107" s="244">
        <v>29371</v>
      </c>
      <c r="E107" s="243" t="s">
        <v>1013</v>
      </c>
      <c r="F107" s="243" t="s">
        <v>1014</v>
      </c>
      <c r="G107" s="243" t="s">
        <v>864</v>
      </c>
      <c r="H107" s="313">
        <v>1328</v>
      </c>
      <c r="I107" s="243" t="s">
        <v>391</v>
      </c>
      <c r="J107" s="246">
        <v>43</v>
      </c>
    </row>
    <row r="108" spans="1:10" ht="15" x14ac:dyDescent="0.25">
      <c r="A108" s="243">
        <v>10000190</v>
      </c>
      <c r="B108" s="243">
        <v>8402144543</v>
      </c>
      <c r="C108" s="243" t="s">
        <v>1015</v>
      </c>
      <c r="D108" s="244">
        <v>28163</v>
      </c>
      <c r="E108" s="243" t="s">
        <v>929</v>
      </c>
      <c r="F108" s="243" t="s">
        <v>930</v>
      </c>
      <c r="G108" s="243" t="s">
        <v>864</v>
      </c>
      <c r="H108" s="313">
        <v>2410</v>
      </c>
      <c r="I108" s="243" t="s">
        <v>462</v>
      </c>
      <c r="J108" s="246">
        <v>46</v>
      </c>
    </row>
    <row r="109" spans="1:10" ht="15" x14ac:dyDescent="0.25">
      <c r="A109" s="243">
        <v>10000191</v>
      </c>
      <c r="B109" s="243">
        <v>8412140524</v>
      </c>
      <c r="C109" s="243" t="s">
        <v>1016</v>
      </c>
      <c r="D109" s="244">
        <v>29163</v>
      </c>
      <c r="E109" s="243" t="s">
        <v>906</v>
      </c>
      <c r="F109" s="243" t="s">
        <v>907</v>
      </c>
      <c r="G109" s="243" t="s">
        <v>864</v>
      </c>
      <c r="H109" s="313">
        <v>2410</v>
      </c>
      <c r="I109" s="243" t="s">
        <v>462</v>
      </c>
      <c r="J109" s="246">
        <v>44</v>
      </c>
    </row>
    <row r="110" spans="1:10" ht="15" x14ac:dyDescent="0.25">
      <c r="A110" s="243">
        <v>10000193</v>
      </c>
      <c r="B110" s="243">
        <v>8311924805</v>
      </c>
      <c r="C110" s="243" t="s">
        <v>1017</v>
      </c>
      <c r="D110" s="244">
        <v>19141</v>
      </c>
      <c r="E110" s="243" t="s">
        <v>880</v>
      </c>
      <c r="F110" s="243" t="s">
        <v>881</v>
      </c>
      <c r="G110" s="243" t="s">
        <v>860</v>
      </c>
      <c r="H110" s="313">
        <v>2410</v>
      </c>
      <c r="I110" s="243" t="s">
        <v>462</v>
      </c>
      <c r="J110" s="246">
        <v>71</v>
      </c>
    </row>
    <row r="111" spans="1:10" ht="15" x14ac:dyDescent="0.25">
      <c r="A111" s="243">
        <v>10000195</v>
      </c>
      <c r="B111" s="243">
        <v>8433111051</v>
      </c>
      <c r="C111" s="243" t="s">
        <v>1018</v>
      </c>
      <c r="D111" s="244">
        <v>31260</v>
      </c>
      <c r="E111" s="243" t="s">
        <v>936</v>
      </c>
      <c r="F111" s="243" t="s">
        <v>937</v>
      </c>
      <c r="G111" s="243" t="s">
        <v>872</v>
      </c>
      <c r="H111" s="313">
        <v>2410</v>
      </c>
      <c r="I111" s="243" t="s">
        <v>462</v>
      </c>
      <c r="J111" s="246">
        <v>38</v>
      </c>
    </row>
    <row r="112" spans="1:10" ht="15" x14ac:dyDescent="0.25">
      <c r="A112" s="243">
        <v>10000197</v>
      </c>
      <c r="B112" s="243">
        <v>8440682115</v>
      </c>
      <c r="C112" s="243" t="s">
        <v>1019</v>
      </c>
      <c r="D112" s="244">
        <v>32017</v>
      </c>
      <c r="E112" s="243" t="s">
        <v>1013</v>
      </c>
      <c r="F112" s="243" t="s">
        <v>1014</v>
      </c>
      <c r="G112" s="243" t="s">
        <v>1020</v>
      </c>
      <c r="H112" s="313">
        <v>2410</v>
      </c>
      <c r="I112" s="243" t="s">
        <v>462</v>
      </c>
      <c r="J112" s="246">
        <v>36</v>
      </c>
    </row>
    <row r="113" spans="1:10" ht="15" x14ac:dyDescent="0.25">
      <c r="A113" s="243">
        <v>10000198</v>
      </c>
      <c r="B113" s="243">
        <v>8349842210</v>
      </c>
      <c r="C113" s="243" t="s">
        <v>1021</v>
      </c>
      <c r="D113" s="244">
        <v>22933</v>
      </c>
      <c r="E113" s="243" t="s">
        <v>877</v>
      </c>
      <c r="F113" s="243" t="s">
        <v>878</v>
      </c>
      <c r="G113" s="243" t="s">
        <v>864</v>
      </c>
      <c r="H113" s="313">
        <v>2410</v>
      </c>
      <c r="I113" s="243" t="s">
        <v>462</v>
      </c>
      <c r="J113" s="246">
        <v>61</v>
      </c>
    </row>
    <row r="114" spans="1:10" ht="15" x14ac:dyDescent="0.25">
      <c r="A114" s="243">
        <v>10000199</v>
      </c>
      <c r="B114" s="243">
        <v>8356021898</v>
      </c>
      <c r="C114" s="243" t="s">
        <v>1022</v>
      </c>
      <c r="D114" s="244">
        <v>23551</v>
      </c>
      <c r="E114" s="243" t="s">
        <v>877</v>
      </c>
      <c r="F114" s="243" t="s">
        <v>878</v>
      </c>
      <c r="G114" s="243" t="s">
        <v>864</v>
      </c>
      <c r="H114" s="313">
        <v>2410</v>
      </c>
      <c r="I114" s="243" t="s">
        <v>462</v>
      </c>
      <c r="J114" s="246">
        <v>59</v>
      </c>
    </row>
    <row r="115" spans="1:10" ht="15" x14ac:dyDescent="0.25">
      <c r="A115" s="243">
        <v>10000200</v>
      </c>
      <c r="B115" s="243">
        <v>8405472754</v>
      </c>
      <c r="C115" s="243" t="s">
        <v>1023</v>
      </c>
      <c r="D115" s="244">
        <v>28496</v>
      </c>
      <c r="E115" s="243" t="s">
        <v>891</v>
      </c>
      <c r="F115" s="243" t="s">
        <v>892</v>
      </c>
      <c r="G115" s="243" t="s">
        <v>864</v>
      </c>
      <c r="H115" s="313">
        <v>1413</v>
      </c>
      <c r="I115" s="243" t="s">
        <v>462</v>
      </c>
      <c r="J115" s="246">
        <v>45</v>
      </c>
    </row>
    <row r="116" spans="1:10" ht="15" x14ac:dyDescent="0.25">
      <c r="A116" s="243">
        <v>10000201</v>
      </c>
      <c r="B116" s="243">
        <v>8319363632</v>
      </c>
      <c r="C116" s="243" t="s">
        <v>1024</v>
      </c>
      <c r="D116" s="244">
        <v>19885</v>
      </c>
      <c r="E116" s="243" t="s">
        <v>977</v>
      </c>
      <c r="F116" s="243" t="s">
        <v>978</v>
      </c>
      <c r="G116" s="243" t="s">
        <v>860</v>
      </c>
      <c r="H116" s="313">
        <v>2410</v>
      </c>
      <c r="I116" s="243" t="s">
        <v>462</v>
      </c>
      <c r="J116" s="246">
        <v>69</v>
      </c>
    </row>
    <row r="117" spans="1:10" ht="15" x14ac:dyDescent="0.25">
      <c r="A117" s="243">
        <v>10000202</v>
      </c>
      <c r="B117" s="243">
        <v>8356902746</v>
      </c>
      <c r="C117" s="243" t="s">
        <v>1025</v>
      </c>
      <c r="D117" s="244">
        <v>23639</v>
      </c>
      <c r="E117" s="243" t="s">
        <v>874</v>
      </c>
      <c r="F117" s="243" t="s">
        <v>875</v>
      </c>
      <c r="G117" s="243" t="s">
        <v>860</v>
      </c>
      <c r="H117" s="313">
        <v>1328</v>
      </c>
      <c r="I117" s="243" t="s">
        <v>391</v>
      </c>
      <c r="J117" s="246">
        <v>59</v>
      </c>
    </row>
    <row r="118" spans="1:10" ht="15" x14ac:dyDescent="0.25">
      <c r="A118" s="243">
        <v>10000203</v>
      </c>
      <c r="B118" s="243">
        <v>8407302430</v>
      </c>
      <c r="C118" s="243" t="s">
        <v>1026</v>
      </c>
      <c r="D118" s="244">
        <v>28679</v>
      </c>
      <c r="E118" s="243" t="s">
        <v>929</v>
      </c>
      <c r="F118" s="243" t="s">
        <v>930</v>
      </c>
      <c r="G118" s="243" t="s">
        <v>864</v>
      </c>
      <c r="H118" s="313">
        <v>1328</v>
      </c>
      <c r="I118" s="243" t="s">
        <v>391</v>
      </c>
      <c r="J118" s="246">
        <v>45</v>
      </c>
    </row>
    <row r="119" spans="1:10" ht="15" x14ac:dyDescent="0.25">
      <c r="A119" s="243">
        <v>10000207</v>
      </c>
      <c r="B119" s="243">
        <v>8326653225</v>
      </c>
      <c r="C119" s="243" t="s">
        <v>1027</v>
      </c>
      <c r="D119" s="244">
        <v>20614</v>
      </c>
      <c r="E119" s="243" t="s">
        <v>977</v>
      </c>
      <c r="F119" s="243" t="s">
        <v>978</v>
      </c>
      <c r="G119" s="243" t="s">
        <v>864</v>
      </c>
      <c r="H119" s="313">
        <v>2410</v>
      </c>
      <c r="I119" s="243" t="s">
        <v>462</v>
      </c>
      <c r="J119" s="246">
        <v>67</v>
      </c>
    </row>
    <row r="120" spans="1:10" ht="15" x14ac:dyDescent="0.25">
      <c r="A120" s="243">
        <v>10000208</v>
      </c>
      <c r="B120" s="243">
        <v>8440712316</v>
      </c>
      <c r="C120" s="243" t="s">
        <v>1028</v>
      </c>
      <c r="D120" s="244">
        <v>32020</v>
      </c>
      <c r="E120" s="243" t="s">
        <v>858</v>
      </c>
      <c r="F120" s="243" t="s">
        <v>859</v>
      </c>
      <c r="G120" s="243" t="s">
        <v>872</v>
      </c>
      <c r="H120" s="313">
        <v>2410</v>
      </c>
      <c r="I120" s="243" t="s">
        <v>462</v>
      </c>
      <c r="J120" s="246">
        <v>36</v>
      </c>
    </row>
    <row r="121" spans="1:10" ht="15" x14ac:dyDescent="0.25">
      <c r="A121" s="243">
        <v>10000209</v>
      </c>
      <c r="B121" s="243">
        <v>8348782737</v>
      </c>
      <c r="C121" s="243" t="s">
        <v>1029</v>
      </c>
      <c r="D121" s="244">
        <v>22827</v>
      </c>
      <c r="E121" s="243" t="s">
        <v>858</v>
      </c>
      <c r="F121" s="243" t="s">
        <v>859</v>
      </c>
      <c r="G121" s="243" t="s">
        <v>864</v>
      </c>
      <c r="H121" s="313">
        <v>2410</v>
      </c>
      <c r="I121" s="243" t="s">
        <v>462</v>
      </c>
      <c r="J121" s="246">
        <v>61</v>
      </c>
    </row>
    <row r="122" spans="1:10" ht="15" x14ac:dyDescent="0.25">
      <c r="A122" s="243">
        <v>10000213</v>
      </c>
      <c r="B122" s="243">
        <v>8341813394</v>
      </c>
      <c r="C122" s="243" t="s">
        <v>1030</v>
      </c>
      <c r="D122" s="244">
        <v>22130</v>
      </c>
      <c r="E122" s="243" t="s">
        <v>880</v>
      </c>
      <c r="F122" s="243" t="s">
        <v>881</v>
      </c>
      <c r="G122" s="243" t="s">
        <v>860</v>
      </c>
      <c r="H122" s="313">
        <v>1328</v>
      </c>
      <c r="I122" s="243" t="s">
        <v>391</v>
      </c>
      <c r="J122" s="246">
        <v>63</v>
      </c>
    </row>
    <row r="123" spans="1:10" ht="15" x14ac:dyDescent="0.25">
      <c r="A123" s="243">
        <v>10000214</v>
      </c>
      <c r="B123" s="243">
        <v>8399760935</v>
      </c>
      <c r="C123" s="243" t="s">
        <v>1031</v>
      </c>
      <c r="D123" s="244">
        <v>27925</v>
      </c>
      <c r="E123" s="243" t="s">
        <v>858</v>
      </c>
      <c r="F123" s="243" t="s">
        <v>859</v>
      </c>
      <c r="G123" s="243" t="s">
        <v>864</v>
      </c>
      <c r="H123" s="313">
        <v>2139</v>
      </c>
      <c r="I123" s="243" t="s">
        <v>462</v>
      </c>
      <c r="J123" s="246">
        <v>47</v>
      </c>
    </row>
    <row r="124" spans="1:10" ht="15" x14ac:dyDescent="0.25">
      <c r="A124" s="243">
        <v>10000215</v>
      </c>
      <c r="B124" s="243">
        <v>8352692267</v>
      </c>
      <c r="C124" s="243" t="s">
        <v>1032</v>
      </c>
      <c r="D124" s="244">
        <v>23218</v>
      </c>
      <c r="E124" s="243" t="s">
        <v>870</v>
      </c>
      <c r="F124" s="243" t="s">
        <v>871</v>
      </c>
      <c r="G124" s="243" t="s">
        <v>864</v>
      </c>
      <c r="H124" s="313">
        <v>2410</v>
      </c>
      <c r="I124" s="243" t="s">
        <v>462</v>
      </c>
      <c r="J124" s="246">
        <v>60</v>
      </c>
    </row>
    <row r="125" spans="1:10" ht="15" x14ac:dyDescent="0.25">
      <c r="A125" s="243">
        <v>10000216</v>
      </c>
      <c r="B125" s="243">
        <v>8415163150</v>
      </c>
      <c r="C125" s="243" t="s">
        <v>1033</v>
      </c>
      <c r="D125" s="244">
        <v>29465</v>
      </c>
      <c r="E125" s="243" t="s">
        <v>888</v>
      </c>
      <c r="F125" s="243" t="s">
        <v>889</v>
      </c>
      <c r="G125" s="243" t="s">
        <v>864</v>
      </c>
      <c r="H125" s="313">
        <v>1328</v>
      </c>
      <c r="I125" s="243" t="s">
        <v>391</v>
      </c>
      <c r="J125" s="246">
        <v>43</v>
      </c>
    </row>
    <row r="126" spans="1:10" ht="15" x14ac:dyDescent="0.25">
      <c r="A126" s="243">
        <v>10000217</v>
      </c>
      <c r="B126" s="243">
        <v>8353332485</v>
      </c>
      <c r="C126" s="243" t="s">
        <v>1034</v>
      </c>
      <c r="D126" s="244">
        <v>23282</v>
      </c>
      <c r="E126" s="243" t="s">
        <v>858</v>
      </c>
      <c r="F126" s="243" t="s">
        <v>859</v>
      </c>
      <c r="G126" s="243" t="s">
        <v>864</v>
      </c>
      <c r="H126" s="313">
        <v>1328</v>
      </c>
      <c r="I126" s="243" t="s">
        <v>391</v>
      </c>
      <c r="J126" s="246">
        <v>60</v>
      </c>
    </row>
    <row r="127" spans="1:10" ht="15" x14ac:dyDescent="0.25">
      <c r="A127" s="243">
        <v>10000220</v>
      </c>
      <c r="B127" s="243">
        <v>8362763639</v>
      </c>
      <c r="C127" s="243" t="s">
        <v>1035</v>
      </c>
      <c r="D127" s="244">
        <v>24225</v>
      </c>
      <c r="E127" s="243" t="s">
        <v>874</v>
      </c>
      <c r="F127" s="243" t="s">
        <v>875</v>
      </c>
      <c r="G127" s="243" t="s">
        <v>864</v>
      </c>
      <c r="H127" s="313">
        <v>2410</v>
      </c>
      <c r="I127" s="243" t="s">
        <v>462</v>
      </c>
      <c r="J127" s="246">
        <v>57</v>
      </c>
    </row>
    <row r="128" spans="1:10" ht="15" x14ac:dyDescent="0.25">
      <c r="A128" s="243">
        <v>10000221</v>
      </c>
      <c r="B128" s="243">
        <v>8403762941</v>
      </c>
      <c r="C128" s="243" t="s">
        <v>1036</v>
      </c>
      <c r="D128" s="244">
        <v>28325</v>
      </c>
      <c r="E128" s="243" t="s">
        <v>867</v>
      </c>
      <c r="F128" s="243" t="s">
        <v>868</v>
      </c>
      <c r="G128" s="243" t="s">
        <v>864</v>
      </c>
      <c r="H128" s="313">
        <v>2410</v>
      </c>
      <c r="I128" s="243" t="s">
        <v>462</v>
      </c>
      <c r="J128" s="246">
        <v>46</v>
      </c>
    </row>
    <row r="129" spans="1:10" ht="15" x14ac:dyDescent="0.25">
      <c r="A129" s="243">
        <v>10000222</v>
      </c>
      <c r="B129" s="243">
        <v>8342323544</v>
      </c>
      <c r="C129" s="243" t="s">
        <v>1037</v>
      </c>
      <c r="D129" s="244">
        <v>22181</v>
      </c>
      <c r="E129" s="243" t="s">
        <v>942</v>
      </c>
      <c r="F129" s="243" t="s">
        <v>943</v>
      </c>
      <c r="G129" s="243" t="s">
        <v>864</v>
      </c>
      <c r="H129" s="313">
        <v>2410</v>
      </c>
      <c r="I129" s="243" t="s">
        <v>462</v>
      </c>
      <c r="J129" s="246">
        <v>63</v>
      </c>
    </row>
    <row r="130" spans="1:10" ht="15" x14ac:dyDescent="0.25">
      <c r="A130" s="243">
        <v>10000223</v>
      </c>
      <c r="B130" s="243">
        <v>8324144846</v>
      </c>
      <c r="C130" s="243" t="s">
        <v>1038</v>
      </c>
      <c r="D130" s="244">
        <v>20363</v>
      </c>
      <c r="E130" s="243" t="s">
        <v>870</v>
      </c>
      <c r="F130" s="243" t="s">
        <v>871</v>
      </c>
      <c r="G130" s="243" t="s">
        <v>860</v>
      </c>
      <c r="H130" s="313">
        <v>2410</v>
      </c>
      <c r="I130" s="243" t="s">
        <v>462</v>
      </c>
      <c r="J130" s="246">
        <v>68</v>
      </c>
    </row>
    <row r="131" spans="1:10" ht="15" x14ac:dyDescent="0.25">
      <c r="A131" s="243">
        <v>10000226</v>
      </c>
      <c r="B131" s="243">
        <v>8403181604</v>
      </c>
      <c r="C131" s="243" t="s">
        <v>1039</v>
      </c>
      <c r="D131" s="244">
        <v>28267</v>
      </c>
      <c r="E131" s="243" t="s">
        <v>929</v>
      </c>
      <c r="F131" s="243" t="s">
        <v>930</v>
      </c>
      <c r="G131" s="243" t="s">
        <v>864</v>
      </c>
      <c r="H131" s="313">
        <v>2410</v>
      </c>
      <c r="I131" s="243" t="s">
        <v>462</v>
      </c>
      <c r="J131" s="246">
        <v>46</v>
      </c>
    </row>
    <row r="132" spans="1:10" ht="15" x14ac:dyDescent="0.25">
      <c r="A132" s="243">
        <v>10000228</v>
      </c>
      <c r="B132" s="243">
        <v>8410460823</v>
      </c>
      <c r="C132" s="243" t="s">
        <v>1040</v>
      </c>
      <c r="D132" s="244">
        <v>28995</v>
      </c>
      <c r="E132" s="243" t="s">
        <v>888</v>
      </c>
      <c r="F132" s="243" t="s">
        <v>889</v>
      </c>
      <c r="G132" s="243" t="s">
        <v>864</v>
      </c>
      <c r="H132" s="313">
        <v>2410</v>
      </c>
      <c r="I132" s="243" t="s">
        <v>462</v>
      </c>
      <c r="J132" s="246">
        <v>44</v>
      </c>
    </row>
    <row r="133" spans="1:10" ht="15" x14ac:dyDescent="0.25">
      <c r="A133" s="243">
        <v>10000230</v>
      </c>
      <c r="B133" s="243">
        <v>8421732463</v>
      </c>
      <c r="C133" s="243" t="s">
        <v>1041</v>
      </c>
      <c r="D133" s="244">
        <v>30122</v>
      </c>
      <c r="E133" s="243" t="s">
        <v>963</v>
      </c>
      <c r="F133" s="243" t="s">
        <v>964</v>
      </c>
      <c r="G133" s="243" t="s">
        <v>864</v>
      </c>
      <c r="H133" s="313">
        <v>1413</v>
      </c>
      <c r="I133" s="243" t="s">
        <v>462</v>
      </c>
      <c r="J133" s="246">
        <v>41</v>
      </c>
    </row>
    <row r="134" spans="1:10" ht="15" x14ac:dyDescent="0.25">
      <c r="A134" s="243">
        <v>10000231</v>
      </c>
      <c r="B134" s="243">
        <v>8350062770</v>
      </c>
      <c r="C134" s="243" t="s">
        <v>1042</v>
      </c>
      <c r="D134" s="244">
        <v>22955</v>
      </c>
      <c r="E134" s="243" t="s">
        <v>877</v>
      </c>
      <c r="F134" s="243" t="s">
        <v>878</v>
      </c>
      <c r="G134" s="243" t="s">
        <v>860</v>
      </c>
      <c r="H134" s="313">
        <v>2410</v>
      </c>
      <c r="I134" s="243" t="s">
        <v>462</v>
      </c>
      <c r="J134" s="246">
        <v>61</v>
      </c>
    </row>
    <row r="135" spans="1:10" ht="15" x14ac:dyDescent="0.25">
      <c r="A135" s="243">
        <v>10000236</v>
      </c>
      <c r="B135" s="243">
        <v>8351710237</v>
      </c>
      <c r="C135" s="243" t="s">
        <v>1043</v>
      </c>
      <c r="D135" s="244">
        <v>23120</v>
      </c>
      <c r="E135" s="243" t="s">
        <v>945</v>
      </c>
      <c r="F135" s="243" t="s">
        <v>946</v>
      </c>
      <c r="G135" s="243" t="s">
        <v>860</v>
      </c>
      <c r="H135" s="313">
        <v>2410</v>
      </c>
      <c r="I135" s="243" t="s">
        <v>462</v>
      </c>
      <c r="J135" s="246">
        <v>60</v>
      </c>
    </row>
    <row r="136" spans="1:10" ht="15" x14ac:dyDescent="0.25">
      <c r="A136" s="243">
        <v>10000237</v>
      </c>
      <c r="B136" s="243">
        <v>8395470916</v>
      </c>
      <c r="C136" s="243" t="s">
        <v>1044</v>
      </c>
      <c r="D136" s="244">
        <v>27496</v>
      </c>
      <c r="E136" s="243" t="s">
        <v>877</v>
      </c>
      <c r="F136" s="243" t="s">
        <v>878</v>
      </c>
      <c r="G136" s="243" t="s">
        <v>985</v>
      </c>
      <c r="H136" s="313">
        <v>2410</v>
      </c>
      <c r="I136" s="243" t="s">
        <v>462</v>
      </c>
      <c r="J136" s="246">
        <v>48</v>
      </c>
    </row>
    <row r="137" spans="1:10" ht="15" x14ac:dyDescent="0.25">
      <c r="A137" s="243">
        <v>10000239</v>
      </c>
      <c r="B137" s="243">
        <v>8338093564</v>
      </c>
      <c r="C137" s="243" t="s">
        <v>1045</v>
      </c>
      <c r="D137" s="244">
        <v>21758</v>
      </c>
      <c r="E137" s="243" t="s">
        <v>942</v>
      </c>
      <c r="F137" s="243" t="s">
        <v>943</v>
      </c>
      <c r="G137" s="243" t="s">
        <v>864</v>
      </c>
      <c r="H137" s="313">
        <v>2410</v>
      </c>
      <c r="I137" s="243" t="s">
        <v>462</v>
      </c>
      <c r="J137" s="246">
        <v>64</v>
      </c>
    </row>
    <row r="138" spans="1:10" ht="15" x14ac:dyDescent="0.25">
      <c r="A138" s="243">
        <v>10000240</v>
      </c>
      <c r="B138" s="243">
        <v>8400144694</v>
      </c>
      <c r="C138" s="243" t="s">
        <v>1046</v>
      </c>
      <c r="D138" s="244">
        <v>27963</v>
      </c>
      <c r="E138" s="243" t="s">
        <v>929</v>
      </c>
      <c r="F138" s="243" t="s">
        <v>930</v>
      </c>
      <c r="G138" s="243" t="s">
        <v>872</v>
      </c>
      <c r="H138" s="313">
        <v>2410</v>
      </c>
      <c r="I138" s="243" t="s">
        <v>462</v>
      </c>
      <c r="J138" s="246">
        <v>47</v>
      </c>
    </row>
    <row r="139" spans="1:10" ht="15" x14ac:dyDescent="0.25">
      <c r="A139" s="243">
        <v>10000241</v>
      </c>
      <c r="B139" s="243">
        <v>8395384386</v>
      </c>
      <c r="C139" s="243" t="s">
        <v>1047</v>
      </c>
      <c r="D139" s="244">
        <v>27487</v>
      </c>
      <c r="E139" s="243" t="s">
        <v>929</v>
      </c>
      <c r="F139" s="243" t="s">
        <v>930</v>
      </c>
      <c r="G139" s="243" t="s">
        <v>864</v>
      </c>
      <c r="H139" s="313">
        <v>2410</v>
      </c>
      <c r="I139" s="243" t="s">
        <v>462</v>
      </c>
      <c r="J139" s="246">
        <v>48</v>
      </c>
    </row>
    <row r="140" spans="1:10" ht="15" x14ac:dyDescent="0.25">
      <c r="A140" s="243">
        <v>10000242</v>
      </c>
      <c r="B140" s="243">
        <v>8424470087</v>
      </c>
      <c r="C140" s="243" t="s">
        <v>1048</v>
      </c>
      <c r="D140" s="244">
        <v>30396</v>
      </c>
      <c r="E140" s="243" t="s">
        <v>891</v>
      </c>
      <c r="F140" s="243" t="s">
        <v>892</v>
      </c>
      <c r="G140" s="243" t="s">
        <v>864</v>
      </c>
      <c r="H140" s="313">
        <v>2410</v>
      </c>
      <c r="I140" s="243" t="s">
        <v>462</v>
      </c>
      <c r="J140" s="246">
        <v>40</v>
      </c>
    </row>
    <row r="141" spans="1:10" ht="15" x14ac:dyDescent="0.25">
      <c r="A141" s="243">
        <v>10000243</v>
      </c>
      <c r="B141" s="243">
        <v>8361703136</v>
      </c>
      <c r="C141" s="243" t="s">
        <v>1049</v>
      </c>
      <c r="D141" s="244">
        <v>24119</v>
      </c>
      <c r="E141" s="243" t="s">
        <v>929</v>
      </c>
      <c r="F141" s="243" t="s">
        <v>930</v>
      </c>
      <c r="G141" s="243" t="s">
        <v>985</v>
      </c>
      <c r="H141" s="313">
        <v>2410</v>
      </c>
      <c r="I141" s="243" t="s">
        <v>462</v>
      </c>
      <c r="J141" s="246">
        <v>57</v>
      </c>
    </row>
    <row r="142" spans="1:10" ht="15" x14ac:dyDescent="0.25">
      <c r="A142" s="243">
        <v>10000244</v>
      </c>
      <c r="B142" s="243">
        <v>8342612481</v>
      </c>
      <c r="C142" s="243" t="s">
        <v>1050</v>
      </c>
      <c r="D142" s="244">
        <v>22210</v>
      </c>
      <c r="E142" s="243" t="s">
        <v>906</v>
      </c>
      <c r="F142" s="243" t="s">
        <v>907</v>
      </c>
      <c r="G142" s="243" t="s">
        <v>985</v>
      </c>
      <c r="H142" s="313">
        <v>2410</v>
      </c>
      <c r="I142" s="243" t="s">
        <v>462</v>
      </c>
      <c r="J142" s="246">
        <v>63</v>
      </c>
    </row>
    <row r="143" spans="1:10" ht="15" x14ac:dyDescent="0.25">
      <c r="A143" s="243">
        <v>10000245</v>
      </c>
      <c r="B143" s="243">
        <v>8418752394</v>
      </c>
      <c r="C143" s="243" t="s">
        <v>1051</v>
      </c>
      <c r="D143" s="244">
        <v>29824</v>
      </c>
      <c r="E143" s="243" t="s">
        <v>945</v>
      </c>
      <c r="F143" s="243" t="s">
        <v>946</v>
      </c>
      <c r="G143" s="243" t="s">
        <v>974</v>
      </c>
      <c r="H143" s="313">
        <v>1328</v>
      </c>
      <c r="I143" s="243" t="s">
        <v>391</v>
      </c>
      <c r="J143" s="246">
        <v>42</v>
      </c>
    </row>
    <row r="144" spans="1:10" ht="15" x14ac:dyDescent="0.25">
      <c r="A144" s="243">
        <v>10000248</v>
      </c>
      <c r="B144" s="243">
        <v>8382142222</v>
      </c>
      <c r="C144" s="243" t="s">
        <v>1052</v>
      </c>
      <c r="D144" s="244">
        <v>26163</v>
      </c>
      <c r="E144" s="243" t="s">
        <v>929</v>
      </c>
      <c r="F144" s="243" t="s">
        <v>930</v>
      </c>
      <c r="G144" s="243" t="s">
        <v>864</v>
      </c>
      <c r="H144" s="313">
        <v>1328</v>
      </c>
      <c r="I144" s="243" t="s">
        <v>391</v>
      </c>
      <c r="J144" s="246">
        <v>52</v>
      </c>
    </row>
    <row r="145" spans="1:10" ht="15" x14ac:dyDescent="0.25">
      <c r="A145" s="243">
        <v>10000250</v>
      </c>
      <c r="B145" s="243">
        <v>8414102573</v>
      </c>
      <c r="C145" s="243" t="s">
        <v>1053</v>
      </c>
      <c r="D145" s="244">
        <v>29359</v>
      </c>
      <c r="E145" s="243" t="s">
        <v>899</v>
      </c>
      <c r="F145" s="243" t="s">
        <v>900</v>
      </c>
      <c r="G145" s="243" t="s">
        <v>918</v>
      </c>
      <c r="H145" s="313">
        <v>2410</v>
      </c>
      <c r="I145" s="243" t="s">
        <v>462</v>
      </c>
      <c r="J145" s="246">
        <v>43</v>
      </c>
    </row>
    <row r="146" spans="1:10" ht="15" x14ac:dyDescent="0.25">
      <c r="A146" s="243">
        <v>10000251</v>
      </c>
      <c r="B146" s="243">
        <v>8438311180</v>
      </c>
      <c r="C146" s="243" t="s">
        <v>1054</v>
      </c>
      <c r="D146" s="244">
        <v>31780</v>
      </c>
      <c r="E146" s="243" t="s">
        <v>870</v>
      </c>
      <c r="F146" s="243" t="s">
        <v>871</v>
      </c>
      <c r="G146" s="243" t="s">
        <v>872</v>
      </c>
      <c r="H146" s="313">
        <v>2410</v>
      </c>
      <c r="I146" s="243" t="s">
        <v>462</v>
      </c>
      <c r="J146" s="246">
        <v>36</v>
      </c>
    </row>
    <row r="147" spans="1:10" ht="15" x14ac:dyDescent="0.25">
      <c r="A147" s="243">
        <v>10000253</v>
      </c>
      <c r="B147" s="243">
        <v>8338001759</v>
      </c>
      <c r="C147" s="243" t="s">
        <v>1055</v>
      </c>
      <c r="D147" s="244">
        <v>21749</v>
      </c>
      <c r="E147" s="243" t="s">
        <v>906</v>
      </c>
      <c r="F147" s="243" t="s">
        <v>907</v>
      </c>
      <c r="G147" s="243" t="s">
        <v>860</v>
      </c>
      <c r="H147" s="313">
        <v>2410</v>
      </c>
      <c r="I147" s="243" t="s">
        <v>462</v>
      </c>
      <c r="J147" s="246">
        <v>64</v>
      </c>
    </row>
    <row r="148" spans="1:10" ht="15" x14ac:dyDescent="0.25">
      <c r="A148" s="243">
        <v>10000258</v>
      </c>
      <c r="B148" s="243">
        <v>8353562642</v>
      </c>
      <c r="C148" s="243" t="s">
        <v>355</v>
      </c>
      <c r="D148" s="244">
        <v>23305</v>
      </c>
      <c r="E148" s="243" t="s">
        <v>870</v>
      </c>
      <c r="F148" s="243" t="s">
        <v>871</v>
      </c>
      <c r="G148" s="243" t="s">
        <v>860</v>
      </c>
      <c r="H148" s="313">
        <v>2117</v>
      </c>
      <c r="I148" s="243" t="s">
        <v>462</v>
      </c>
      <c r="J148" s="246">
        <v>60</v>
      </c>
    </row>
    <row r="149" spans="1:10" ht="15" x14ac:dyDescent="0.25">
      <c r="A149" s="243">
        <v>10000261</v>
      </c>
      <c r="B149" s="243">
        <v>8410920832</v>
      </c>
      <c r="C149" s="243" t="s">
        <v>1056</v>
      </c>
      <c r="D149" s="244">
        <v>29041</v>
      </c>
      <c r="E149" s="243" t="s">
        <v>858</v>
      </c>
      <c r="F149" s="243" t="s">
        <v>859</v>
      </c>
      <c r="G149" s="243" t="s">
        <v>864</v>
      </c>
      <c r="H149" s="313">
        <v>2410</v>
      </c>
      <c r="I149" s="243" t="s">
        <v>462</v>
      </c>
      <c r="J149" s="246">
        <v>44</v>
      </c>
    </row>
    <row r="150" spans="1:10" ht="15" x14ac:dyDescent="0.25">
      <c r="A150" s="243">
        <v>10000262</v>
      </c>
      <c r="B150" s="243">
        <v>8411262855</v>
      </c>
      <c r="C150" s="243" t="s">
        <v>1057</v>
      </c>
      <c r="D150" s="244">
        <v>29075</v>
      </c>
      <c r="E150" s="243" t="s">
        <v>896</v>
      </c>
      <c r="F150" s="243" t="s">
        <v>897</v>
      </c>
      <c r="G150" s="243" t="s">
        <v>872</v>
      </c>
      <c r="H150" s="313">
        <v>2410</v>
      </c>
      <c r="I150" s="243" t="s">
        <v>462</v>
      </c>
      <c r="J150" s="246">
        <v>44</v>
      </c>
    </row>
    <row r="151" spans="1:10" ht="15" x14ac:dyDescent="0.25">
      <c r="A151" s="243">
        <v>10000264</v>
      </c>
      <c r="B151" s="243">
        <v>8409040328</v>
      </c>
      <c r="C151" s="243" t="s">
        <v>1058</v>
      </c>
      <c r="D151" s="244">
        <v>28853</v>
      </c>
      <c r="E151" s="243" t="s">
        <v>936</v>
      </c>
      <c r="F151" s="243" t="s">
        <v>937</v>
      </c>
      <c r="G151" s="243" t="s">
        <v>872</v>
      </c>
      <c r="H151" s="313">
        <v>2410</v>
      </c>
      <c r="I151" s="243" t="s">
        <v>462</v>
      </c>
      <c r="J151" s="246">
        <v>45</v>
      </c>
    </row>
    <row r="152" spans="1:10" ht="15" x14ac:dyDescent="0.25">
      <c r="A152" s="243">
        <v>10000266</v>
      </c>
      <c r="B152" s="243">
        <v>8354942813</v>
      </c>
      <c r="C152" s="243" t="s">
        <v>1059</v>
      </c>
      <c r="D152" s="244">
        <v>23443</v>
      </c>
      <c r="E152" s="243" t="s">
        <v>906</v>
      </c>
      <c r="F152" s="243" t="s">
        <v>907</v>
      </c>
      <c r="G152" s="243" t="s">
        <v>864</v>
      </c>
      <c r="H152" s="313">
        <v>1328</v>
      </c>
      <c r="I152" s="243" t="s">
        <v>391</v>
      </c>
      <c r="J152" s="246">
        <v>59</v>
      </c>
    </row>
    <row r="153" spans="1:10" ht="15" x14ac:dyDescent="0.25">
      <c r="A153" s="243">
        <v>10000267</v>
      </c>
      <c r="B153" s="243">
        <v>8411312577</v>
      </c>
      <c r="C153" s="243" t="s">
        <v>1060</v>
      </c>
      <c r="D153" s="244">
        <v>29080</v>
      </c>
      <c r="E153" s="243" t="s">
        <v>870</v>
      </c>
      <c r="F153" s="243" t="s">
        <v>871</v>
      </c>
      <c r="G153" s="243" t="s">
        <v>864</v>
      </c>
      <c r="H153" s="313">
        <v>2410</v>
      </c>
      <c r="I153" s="243" t="s">
        <v>462</v>
      </c>
      <c r="J153" s="246">
        <v>44</v>
      </c>
    </row>
    <row r="154" spans="1:10" ht="15" x14ac:dyDescent="0.25">
      <c r="A154" s="243">
        <v>10000268</v>
      </c>
      <c r="B154" s="243">
        <v>8405474196</v>
      </c>
      <c r="C154" s="243" t="s">
        <v>1061</v>
      </c>
      <c r="D154" s="244">
        <v>28496</v>
      </c>
      <c r="E154" s="243" t="s">
        <v>1062</v>
      </c>
      <c r="F154" s="243" t="s">
        <v>1063</v>
      </c>
      <c r="G154" s="243" t="s">
        <v>974</v>
      </c>
      <c r="H154" s="313">
        <v>2624</v>
      </c>
      <c r="I154" s="243" t="s">
        <v>497</v>
      </c>
      <c r="J154" s="246">
        <v>45</v>
      </c>
    </row>
    <row r="155" spans="1:10" ht="15" x14ac:dyDescent="0.25">
      <c r="A155" s="243">
        <v>10000269</v>
      </c>
      <c r="B155" s="243">
        <v>8413880491</v>
      </c>
      <c r="C155" s="243" t="s">
        <v>1064</v>
      </c>
      <c r="D155" s="244">
        <v>29337</v>
      </c>
      <c r="E155" s="243" t="s">
        <v>884</v>
      </c>
      <c r="F155" s="243" t="s">
        <v>885</v>
      </c>
      <c r="G155" s="243" t="s">
        <v>864</v>
      </c>
      <c r="H155" s="313">
        <v>1328</v>
      </c>
      <c r="I155" s="243" t="s">
        <v>391</v>
      </c>
      <c r="J155" s="246">
        <v>43</v>
      </c>
    </row>
    <row r="156" spans="1:10" ht="15" x14ac:dyDescent="0.25">
      <c r="A156" s="243">
        <v>10000270</v>
      </c>
      <c r="B156" s="243">
        <v>8382493424</v>
      </c>
      <c r="C156" s="243" t="s">
        <v>1065</v>
      </c>
      <c r="D156" s="244">
        <v>26198</v>
      </c>
      <c r="E156" s="243" t="s">
        <v>902</v>
      </c>
      <c r="F156" s="243" t="s">
        <v>903</v>
      </c>
      <c r="G156" s="243" t="s">
        <v>864</v>
      </c>
      <c r="H156" s="313">
        <v>1328</v>
      </c>
      <c r="I156" s="243" t="s">
        <v>391</v>
      </c>
      <c r="J156" s="246">
        <v>52</v>
      </c>
    </row>
    <row r="157" spans="1:10" ht="15" x14ac:dyDescent="0.25">
      <c r="A157" s="243">
        <v>10000271</v>
      </c>
      <c r="B157" s="243">
        <v>8421761048</v>
      </c>
      <c r="C157" s="243" t="s">
        <v>1066</v>
      </c>
      <c r="D157" s="244">
        <v>30125</v>
      </c>
      <c r="E157" s="243" t="s">
        <v>906</v>
      </c>
      <c r="F157" s="243" t="s">
        <v>907</v>
      </c>
      <c r="G157" s="243" t="s">
        <v>864</v>
      </c>
      <c r="H157" s="313">
        <v>2410</v>
      </c>
      <c r="I157" s="243" t="s">
        <v>462</v>
      </c>
      <c r="J157" s="246">
        <v>41</v>
      </c>
    </row>
    <row r="158" spans="1:10" ht="15" x14ac:dyDescent="0.25">
      <c r="A158" s="243">
        <v>10000276</v>
      </c>
      <c r="B158" s="243">
        <v>8349921730</v>
      </c>
      <c r="C158" s="243" t="s">
        <v>1067</v>
      </c>
      <c r="D158" s="244">
        <v>22941</v>
      </c>
      <c r="E158" s="243" t="s">
        <v>870</v>
      </c>
      <c r="F158" s="243" t="s">
        <v>871</v>
      </c>
      <c r="G158" s="243" t="s">
        <v>864</v>
      </c>
      <c r="H158" s="313">
        <v>2410</v>
      </c>
      <c r="I158" s="243" t="s">
        <v>462</v>
      </c>
      <c r="J158" s="246">
        <v>61</v>
      </c>
    </row>
    <row r="159" spans="1:10" ht="15" x14ac:dyDescent="0.25">
      <c r="A159" s="243">
        <v>10000279</v>
      </c>
      <c r="B159" s="243">
        <v>8325913762</v>
      </c>
      <c r="C159" s="243" t="s">
        <v>1068</v>
      </c>
      <c r="D159" s="244">
        <v>20540</v>
      </c>
      <c r="E159" s="243" t="s">
        <v>936</v>
      </c>
      <c r="F159" s="243" t="s">
        <v>937</v>
      </c>
      <c r="G159" s="243" t="s">
        <v>860</v>
      </c>
      <c r="H159" s="313">
        <v>2410</v>
      </c>
      <c r="I159" s="243" t="s">
        <v>462</v>
      </c>
      <c r="J159" s="246">
        <v>67</v>
      </c>
    </row>
    <row r="160" spans="1:10" ht="15" x14ac:dyDescent="0.25">
      <c r="A160" s="243">
        <v>10000280</v>
      </c>
      <c r="B160" s="243">
        <v>8441030480</v>
      </c>
      <c r="C160" s="243" t="s">
        <v>1069</v>
      </c>
      <c r="D160" s="244">
        <v>32052</v>
      </c>
      <c r="E160" s="243" t="s">
        <v>936</v>
      </c>
      <c r="F160" s="243" t="s">
        <v>937</v>
      </c>
      <c r="G160" s="243" t="s">
        <v>1020</v>
      </c>
      <c r="H160" s="313">
        <v>2410</v>
      </c>
      <c r="I160" s="243" t="s">
        <v>462</v>
      </c>
      <c r="J160" s="246">
        <v>36</v>
      </c>
    </row>
    <row r="161" spans="1:10" ht="15" x14ac:dyDescent="0.25">
      <c r="A161" s="243">
        <v>10000281</v>
      </c>
      <c r="B161" s="243">
        <v>8341372746</v>
      </c>
      <c r="C161" s="243" t="s">
        <v>1070</v>
      </c>
      <c r="D161" s="244">
        <v>22086</v>
      </c>
      <c r="E161" s="243" t="s">
        <v>877</v>
      </c>
      <c r="F161" s="243" t="s">
        <v>878</v>
      </c>
      <c r="G161" s="243" t="s">
        <v>864</v>
      </c>
      <c r="H161" s="313">
        <v>2410</v>
      </c>
      <c r="I161" s="243" t="s">
        <v>462</v>
      </c>
      <c r="J161" s="246">
        <v>63</v>
      </c>
    </row>
    <row r="162" spans="1:10" ht="15" x14ac:dyDescent="0.25">
      <c r="A162" s="243">
        <v>10000283</v>
      </c>
      <c r="B162" s="243">
        <v>8371460325</v>
      </c>
      <c r="C162" s="243" t="s">
        <v>1071</v>
      </c>
      <c r="D162" s="244">
        <v>25095</v>
      </c>
      <c r="E162" s="243" t="s">
        <v>880</v>
      </c>
      <c r="F162" s="243" t="s">
        <v>881</v>
      </c>
      <c r="G162" s="243" t="s">
        <v>864</v>
      </c>
      <c r="H162" s="313">
        <v>2410</v>
      </c>
      <c r="I162" s="243" t="s">
        <v>462</v>
      </c>
      <c r="J162" s="246">
        <v>55</v>
      </c>
    </row>
    <row r="163" spans="1:10" ht="15" x14ac:dyDescent="0.25">
      <c r="A163" s="243">
        <v>10000285</v>
      </c>
      <c r="B163" s="243">
        <v>8381323010</v>
      </c>
      <c r="C163" s="243" t="s">
        <v>1072</v>
      </c>
      <c r="D163" s="244">
        <v>26081</v>
      </c>
      <c r="E163" s="243" t="s">
        <v>902</v>
      </c>
      <c r="F163" s="243" t="s">
        <v>903</v>
      </c>
      <c r="G163" s="243" t="s">
        <v>864</v>
      </c>
      <c r="H163" s="313">
        <v>1328</v>
      </c>
      <c r="I163" s="243" t="s">
        <v>391</v>
      </c>
      <c r="J163" s="246">
        <v>52</v>
      </c>
    </row>
    <row r="164" spans="1:10" ht="15" x14ac:dyDescent="0.25">
      <c r="A164" s="243">
        <v>10000286</v>
      </c>
      <c r="B164" s="243">
        <v>8396600406</v>
      </c>
      <c r="C164" s="243" t="s">
        <v>1073</v>
      </c>
      <c r="D164" s="244">
        <v>27609</v>
      </c>
      <c r="E164" s="243" t="s">
        <v>874</v>
      </c>
      <c r="F164" s="243" t="s">
        <v>875</v>
      </c>
      <c r="G164" s="243" t="s">
        <v>864</v>
      </c>
      <c r="H164" s="313">
        <v>2410</v>
      </c>
      <c r="I164" s="243" t="s">
        <v>462</v>
      </c>
      <c r="J164" s="246">
        <v>48</v>
      </c>
    </row>
    <row r="165" spans="1:10" ht="15" x14ac:dyDescent="0.25">
      <c r="A165" s="243">
        <v>10000289</v>
      </c>
      <c r="B165" s="243">
        <v>8327942409</v>
      </c>
      <c r="C165" s="243" t="s">
        <v>1074</v>
      </c>
      <c r="D165" s="244">
        <v>20743</v>
      </c>
      <c r="E165" s="243" t="s">
        <v>929</v>
      </c>
      <c r="F165" s="243" t="s">
        <v>930</v>
      </c>
      <c r="G165" s="243" t="s">
        <v>864</v>
      </c>
      <c r="H165" s="313">
        <v>2410</v>
      </c>
      <c r="I165" s="243" t="s">
        <v>462</v>
      </c>
      <c r="J165" s="246">
        <v>67</v>
      </c>
    </row>
    <row r="166" spans="1:10" ht="15" x14ac:dyDescent="0.25">
      <c r="A166" s="243">
        <v>10000290</v>
      </c>
      <c r="B166" s="243">
        <v>8386243686</v>
      </c>
      <c r="C166" s="243" t="s">
        <v>1075</v>
      </c>
      <c r="D166" s="244">
        <v>26573</v>
      </c>
      <c r="E166" s="243" t="s">
        <v>906</v>
      </c>
      <c r="F166" s="243" t="s">
        <v>907</v>
      </c>
      <c r="G166" s="243" t="s">
        <v>864</v>
      </c>
      <c r="H166" s="313">
        <v>2410</v>
      </c>
      <c r="I166" s="243" t="s">
        <v>462</v>
      </c>
      <c r="J166" s="246">
        <v>51</v>
      </c>
    </row>
    <row r="167" spans="1:10" ht="15" x14ac:dyDescent="0.25">
      <c r="A167" s="243">
        <v>10000292</v>
      </c>
      <c r="B167" s="243">
        <v>8439201346</v>
      </c>
      <c r="C167" s="243" t="s">
        <v>1076</v>
      </c>
      <c r="D167" s="244">
        <v>31869</v>
      </c>
      <c r="E167" s="243" t="s">
        <v>858</v>
      </c>
      <c r="F167" s="243" t="s">
        <v>859</v>
      </c>
      <c r="G167" s="243" t="s">
        <v>864</v>
      </c>
      <c r="H167" s="313">
        <v>2117</v>
      </c>
      <c r="I167" s="243" t="s">
        <v>462</v>
      </c>
      <c r="J167" s="246">
        <v>36</v>
      </c>
    </row>
    <row r="168" spans="1:10" ht="15" x14ac:dyDescent="0.25">
      <c r="A168" s="243">
        <v>10000294</v>
      </c>
      <c r="B168" s="243">
        <v>8403263651</v>
      </c>
      <c r="C168" s="243" t="s">
        <v>1077</v>
      </c>
      <c r="D168" s="244">
        <v>28275</v>
      </c>
      <c r="E168" s="243" t="s">
        <v>884</v>
      </c>
      <c r="F168" s="243" t="s">
        <v>885</v>
      </c>
      <c r="G168" s="243" t="s">
        <v>872</v>
      </c>
      <c r="H168" s="313">
        <v>2410</v>
      </c>
      <c r="I168" s="243" t="s">
        <v>462</v>
      </c>
      <c r="J168" s="246">
        <v>46</v>
      </c>
    </row>
    <row r="169" spans="1:10" ht="15" x14ac:dyDescent="0.25">
      <c r="A169" s="243">
        <v>10000296</v>
      </c>
      <c r="B169" s="243">
        <v>8325703113</v>
      </c>
      <c r="C169" s="243" t="s">
        <v>1078</v>
      </c>
      <c r="D169" s="244">
        <v>20519</v>
      </c>
      <c r="E169" s="243" t="s">
        <v>867</v>
      </c>
      <c r="F169" s="243" t="s">
        <v>868</v>
      </c>
      <c r="G169" s="243" t="s">
        <v>860</v>
      </c>
      <c r="H169" s="313">
        <v>2410</v>
      </c>
      <c r="I169" s="243" t="s">
        <v>462</v>
      </c>
      <c r="J169" s="246">
        <v>67</v>
      </c>
    </row>
    <row r="170" spans="1:10" ht="15" x14ac:dyDescent="0.25">
      <c r="A170" s="243">
        <v>10000299</v>
      </c>
      <c r="B170" s="243">
        <v>8310853262</v>
      </c>
      <c r="C170" s="243" t="s">
        <v>1079</v>
      </c>
      <c r="D170" s="244">
        <v>19034</v>
      </c>
      <c r="E170" s="243" t="s">
        <v>936</v>
      </c>
      <c r="F170" s="243" t="s">
        <v>937</v>
      </c>
      <c r="G170" s="243" t="s">
        <v>1080</v>
      </c>
      <c r="H170" s="313">
        <v>2118</v>
      </c>
      <c r="I170" s="243" t="s">
        <v>414</v>
      </c>
      <c r="J170" s="246">
        <v>71</v>
      </c>
    </row>
    <row r="171" spans="1:10" ht="15" x14ac:dyDescent="0.25">
      <c r="A171" s="243">
        <v>10000303</v>
      </c>
      <c r="B171" s="243">
        <v>8350671920</v>
      </c>
      <c r="C171" s="243" t="s">
        <v>1081</v>
      </c>
      <c r="D171" s="244">
        <v>23016</v>
      </c>
      <c r="E171" s="243" t="s">
        <v>942</v>
      </c>
      <c r="F171" s="243" t="s">
        <v>943</v>
      </c>
      <c r="G171" s="243" t="s">
        <v>864</v>
      </c>
      <c r="H171" s="313">
        <v>1328</v>
      </c>
      <c r="I171" s="243" t="s">
        <v>391</v>
      </c>
      <c r="J171" s="246">
        <v>60</v>
      </c>
    </row>
    <row r="172" spans="1:10" ht="15" x14ac:dyDescent="0.25">
      <c r="A172" s="243">
        <v>10000305</v>
      </c>
      <c r="B172" s="243">
        <v>8408031821</v>
      </c>
      <c r="C172" s="243" t="s">
        <v>1082</v>
      </c>
      <c r="D172" s="244">
        <v>28752</v>
      </c>
      <c r="E172" s="243" t="s">
        <v>858</v>
      </c>
      <c r="F172" s="243" t="s">
        <v>859</v>
      </c>
      <c r="G172" s="243" t="s">
        <v>864</v>
      </c>
      <c r="H172" s="313">
        <v>2410</v>
      </c>
      <c r="I172" s="243" t="s">
        <v>462</v>
      </c>
      <c r="J172" s="246">
        <v>45</v>
      </c>
    </row>
    <row r="173" spans="1:10" ht="15" x14ac:dyDescent="0.25">
      <c r="A173" s="243">
        <v>10000306</v>
      </c>
      <c r="B173" s="243">
        <v>8438731872</v>
      </c>
      <c r="C173" s="243" t="s">
        <v>1083</v>
      </c>
      <c r="D173" s="244">
        <v>31822</v>
      </c>
      <c r="E173" s="243" t="s">
        <v>888</v>
      </c>
      <c r="F173" s="243" t="s">
        <v>889</v>
      </c>
      <c r="G173" s="243" t="s">
        <v>864</v>
      </c>
      <c r="H173" s="313">
        <v>1328</v>
      </c>
      <c r="I173" s="243" t="s">
        <v>391</v>
      </c>
      <c r="J173" s="246">
        <v>36</v>
      </c>
    </row>
    <row r="174" spans="1:10" ht="15" x14ac:dyDescent="0.25">
      <c r="A174" s="243">
        <v>10000307</v>
      </c>
      <c r="B174" s="243">
        <v>8313412607</v>
      </c>
      <c r="C174" s="243" t="s">
        <v>1084</v>
      </c>
      <c r="D174" s="244">
        <v>19290</v>
      </c>
      <c r="E174" s="243" t="s">
        <v>874</v>
      </c>
      <c r="F174" s="243" t="s">
        <v>875</v>
      </c>
      <c r="G174" s="243" t="s">
        <v>860</v>
      </c>
      <c r="H174" s="313">
        <v>2410</v>
      </c>
      <c r="I174" s="243" t="s">
        <v>462</v>
      </c>
      <c r="J174" s="246">
        <v>71</v>
      </c>
    </row>
    <row r="175" spans="1:10" ht="15" x14ac:dyDescent="0.25">
      <c r="A175" s="243">
        <v>10000308</v>
      </c>
      <c r="B175" s="243">
        <v>8436542223</v>
      </c>
      <c r="C175" s="243" t="s">
        <v>1085</v>
      </c>
      <c r="D175" s="244">
        <v>31603</v>
      </c>
      <c r="E175" s="243" t="s">
        <v>906</v>
      </c>
      <c r="F175" s="243" t="s">
        <v>907</v>
      </c>
      <c r="G175" s="243" t="s">
        <v>864</v>
      </c>
      <c r="H175" s="313">
        <v>2410</v>
      </c>
      <c r="I175" s="243" t="s">
        <v>462</v>
      </c>
      <c r="J175" s="246">
        <v>37</v>
      </c>
    </row>
    <row r="176" spans="1:10" ht="15" x14ac:dyDescent="0.25">
      <c r="A176" s="243">
        <v>10000309</v>
      </c>
      <c r="B176" s="243">
        <v>8316733579</v>
      </c>
      <c r="C176" s="243" t="s">
        <v>1086</v>
      </c>
      <c r="D176" s="244">
        <v>19622</v>
      </c>
      <c r="E176" s="243" t="s">
        <v>884</v>
      </c>
      <c r="F176" s="243" t="s">
        <v>885</v>
      </c>
      <c r="G176" s="243" t="s">
        <v>860</v>
      </c>
      <c r="H176" s="313">
        <v>2410</v>
      </c>
      <c r="I176" s="243" t="s">
        <v>462</v>
      </c>
      <c r="J176" s="246">
        <v>70</v>
      </c>
    </row>
    <row r="177" spans="1:10" ht="15" x14ac:dyDescent="0.25">
      <c r="A177" s="243">
        <v>10000310</v>
      </c>
      <c r="B177" s="243">
        <v>8364652524</v>
      </c>
      <c r="C177" s="243" t="s">
        <v>1087</v>
      </c>
      <c r="D177" s="244">
        <v>24414</v>
      </c>
      <c r="E177" s="243" t="s">
        <v>858</v>
      </c>
      <c r="F177" s="243" t="s">
        <v>859</v>
      </c>
      <c r="G177" s="243" t="s">
        <v>864</v>
      </c>
      <c r="H177" s="313">
        <v>2410</v>
      </c>
      <c r="I177" s="243" t="s">
        <v>462</v>
      </c>
      <c r="J177" s="246">
        <v>57</v>
      </c>
    </row>
    <row r="178" spans="1:10" ht="15" x14ac:dyDescent="0.25">
      <c r="A178" s="243">
        <v>10000312</v>
      </c>
      <c r="B178" s="243">
        <v>8369293506</v>
      </c>
      <c r="C178" s="243" t="s">
        <v>1088</v>
      </c>
      <c r="D178" s="244">
        <v>24878</v>
      </c>
      <c r="E178" s="243" t="s">
        <v>942</v>
      </c>
      <c r="F178" s="243" t="s">
        <v>943</v>
      </c>
      <c r="G178" s="243" t="s">
        <v>864</v>
      </c>
      <c r="H178" s="313">
        <v>2410</v>
      </c>
      <c r="I178" s="243" t="s">
        <v>462</v>
      </c>
      <c r="J178" s="246">
        <v>55</v>
      </c>
    </row>
    <row r="179" spans="1:10" ht="15" x14ac:dyDescent="0.25">
      <c r="A179" s="243">
        <v>10000313</v>
      </c>
      <c r="B179" s="243">
        <v>8410933446</v>
      </c>
      <c r="C179" s="243" t="s">
        <v>1089</v>
      </c>
      <c r="D179" s="244">
        <v>29042</v>
      </c>
      <c r="E179" s="243" t="s">
        <v>870</v>
      </c>
      <c r="F179" s="243" t="s">
        <v>871</v>
      </c>
      <c r="G179" s="243" t="s">
        <v>872</v>
      </c>
      <c r="H179" s="313">
        <v>2410</v>
      </c>
      <c r="I179" s="243" t="s">
        <v>462</v>
      </c>
      <c r="J179" s="246">
        <v>44</v>
      </c>
    </row>
    <row r="180" spans="1:10" ht="15" x14ac:dyDescent="0.25">
      <c r="A180" s="243">
        <v>10000315</v>
      </c>
      <c r="B180" s="243">
        <v>8412803434</v>
      </c>
      <c r="C180" s="243" t="s">
        <v>1090</v>
      </c>
      <c r="D180" s="244">
        <v>29229</v>
      </c>
      <c r="E180" s="243" t="s">
        <v>870</v>
      </c>
      <c r="F180" s="243" t="s">
        <v>871</v>
      </c>
      <c r="G180" s="243" t="s">
        <v>864</v>
      </c>
      <c r="H180" s="313">
        <v>2410</v>
      </c>
      <c r="I180" s="243" t="s">
        <v>462</v>
      </c>
      <c r="J180" s="246">
        <v>43</v>
      </c>
    </row>
    <row r="181" spans="1:10" ht="15" x14ac:dyDescent="0.25">
      <c r="A181" s="243">
        <v>10000316</v>
      </c>
      <c r="B181" s="243">
        <v>8397553649</v>
      </c>
      <c r="C181" s="243" t="s">
        <v>1091</v>
      </c>
      <c r="D181" s="244">
        <v>27704</v>
      </c>
      <c r="E181" s="243" t="s">
        <v>870</v>
      </c>
      <c r="F181" s="243" t="s">
        <v>871</v>
      </c>
      <c r="G181" s="243" t="s">
        <v>864</v>
      </c>
      <c r="H181" s="313">
        <v>2410</v>
      </c>
      <c r="I181" s="243" t="s">
        <v>462</v>
      </c>
      <c r="J181" s="246">
        <v>48</v>
      </c>
    </row>
    <row r="182" spans="1:10" ht="15" x14ac:dyDescent="0.25">
      <c r="A182" s="243">
        <v>10000319</v>
      </c>
      <c r="B182" s="243">
        <v>8423011763</v>
      </c>
      <c r="C182" s="243" t="s">
        <v>1092</v>
      </c>
      <c r="D182" s="244">
        <v>30250</v>
      </c>
      <c r="E182" s="243" t="s">
        <v>858</v>
      </c>
      <c r="F182" s="243" t="s">
        <v>859</v>
      </c>
      <c r="G182" s="243" t="s">
        <v>974</v>
      </c>
      <c r="H182" s="313">
        <v>2117</v>
      </c>
      <c r="I182" s="243" t="s">
        <v>413</v>
      </c>
      <c r="J182" s="246">
        <v>41</v>
      </c>
    </row>
    <row r="183" spans="1:10" ht="15" x14ac:dyDescent="0.25">
      <c r="A183" s="243">
        <v>10000320</v>
      </c>
      <c r="B183" s="243">
        <v>8387271209</v>
      </c>
      <c r="C183" s="243" t="s">
        <v>1093</v>
      </c>
      <c r="D183" s="244">
        <v>26676</v>
      </c>
      <c r="E183" s="243" t="s">
        <v>870</v>
      </c>
      <c r="F183" s="243" t="s">
        <v>871</v>
      </c>
      <c r="G183" s="243" t="s">
        <v>864</v>
      </c>
      <c r="H183" s="313">
        <v>2410</v>
      </c>
      <c r="I183" s="243" t="s">
        <v>462</v>
      </c>
      <c r="J183" s="246">
        <v>50</v>
      </c>
    </row>
    <row r="184" spans="1:10" ht="15" x14ac:dyDescent="0.25">
      <c r="A184" s="243">
        <v>10000321</v>
      </c>
      <c r="B184" s="243">
        <v>8416043760</v>
      </c>
      <c r="C184" s="243" t="s">
        <v>1094</v>
      </c>
      <c r="D184" s="244">
        <v>29553</v>
      </c>
      <c r="E184" s="243" t="s">
        <v>858</v>
      </c>
      <c r="F184" s="243" t="s">
        <v>859</v>
      </c>
      <c r="G184" s="243" t="s">
        <v>864</v>
      </c>
      <c r="H184" s="313">
        <v>2410</v>
      </c>
      <c r="I184" s="243" t="s">
        <v>462</v>
      </c>
      <c r="J184" s="246">
        <v>43</v>
      </c>
    </row>
    <row r="185" spans="1:10" ht="15" x14ac:dyDescent="0.25">
      <c r="A185" s="243">
        <v>10000323</v>
      </c>
      <c r="B185" s="243">
        <v>8374654287</v>
      </c>
      <c r="C185" s="243" t="s">
        <v>1095</v>
      </c>
      <c r="D185" s="244">
        <v>25414</v>
      </c>
      <c r="E185" s="243" t="s">
        <v>906</v>
      </c>
      <c r="F185" s="243" t="s">
        <v>907</v>
      </c>
      <c r="G185" s="243" t="s">
        <v>864</v>
      </c>
      <c r="H185" s="313">
        <v>2410</v>
      </c>
      <c r="I185" s="243" t="s">
        <v>462</v>
      </c>
      <c r="J185" s="246">
        <v>54</v>
      </c>
    </row>
    <row r="186" spans="1:10" ht="15" x14ac:dyDescent="0.25">
      <c r="A186" s="243">
        <v>10000325</v>
      </c>
      <c r="B186" s="243">
        <v>8315302531</v>
      </c>
      <c r="C186" s="243" t="s">
        <v>1096</v>
      </c>
      <c r="D186" s="244">
        <v>19479</v>
      </c>
      <c r="E186" s="243" t="s">
        <v>929</v>
      </c>
      <c r="F186" s="243" t="s">
        <v>930</v>
      </c>
      <c r="G186" s="243" t="s">
        <v>860</v>
      </c>
      <c r="H186" s="313">
        <v>2410</v>
      </c>
      <c r="I186" s="243" t="s">
        <v>462</v>
      </c>
      <c r="J186" s="246">
        <v>70</v>
      </c>
    </row>
    <row r="187" spans="1:10" ht="15" x14ac:dyDescent="0.25">
      <c r="A187" s="243">
        <v>10000327</v>
      </c>
      <c r="B187" s="243">
        <v>8393730538</v>
      </c>
      <c r="C187" s="243" t="s">
        <v>1097</v>
      </c>
      <c r="D187" s="244">
        <v>27322</v>
      </c>
      <c r="E187" s="243" t="s">
        <v>880</v>
      </c>
      <c r="F187" s="243" t="s">
        <v>881</v>
      </c>
      <c r="G187" s="243" t="s">
        <v>872</v>
      </c>
      <c r="H187" s="313">
        <v>2410</v>
      </c>
      <c r="I187" s="243" t="s">
        <v>462</v>
      </c>
      <c r="J187" s="246">
        <v>49</v>
      </c>
    </row>
    <row r="188" spans="1:10" ht="15" x14ac:dyDescent="0.25">
      <c r="A188" s="243">
        <v>10000328</v>
      </c>
      <c r="B188" s="243">
        <v>8334552580</v>
      </c>
      <c r="C188" s="243" t="s">
        <v>1098</v>
      </c>
      <c r="D188" s="244">
        <v>21404</v>
      </c>
      <c r="E188" s="243" t="s">
        <v>945</v>
      </c>
      <c r="F188" s="243" t="s">
        <v>946</v>
      </c>
      <c r="G188" s="243" t="s">
        <v>860</v>
      </c>
      <c r="H188" s="313">
        <v>1328</v>
      </c>
      <c r="I188" s="243" t="s">
        <v>391</v>
      </c>
      <c r="J188" s="246">
        <v>65</v>
      </c>
    </row>
    <row r="189" spans="1:10" ht="15" x14ac:dyDescent="0.25">
      <c r="A189" s="243">
        <v>10000329</v>
      </c>
      <c r="B189" s="243">
        <v>8409140497</v>
      </c>
      <c r="C189" s="243" t="s">
        <v>1099</v>
      </c>
      <c r="D189" s="244">
        <v>28863</v>
      </c>
      <c r="E189" s="243" t="s">
        <v>906</v>
      </c>
      <c r="F189" s="243" t="s">
        <v>907</v>
      </c>
      <c r="G189" s="243" t="s">
        <v>872</v>
      </c>
      <c r="H189" s="313">
        <v>2410</v>
      </c>
      <c r="I189" s="243" t="s">
        <v>462</v>
      </c>
      <c r="J189" s="246">
        <v>44</v>
      </c>
    </row>
    <row r="190" spans="1:10" ht="15" x14ac:dyDescent="0.25">
      <c r="A190" s="243">
        <v>10000334</v>
      </c>
      <c r="B190" s="243">
        <v>8365743329</v>
      </c>
      <c r="C190" s="243" t="s">
        <v>1100</v>
      </c>
      <c r="D190" s="244">
        <v>24523</v>
      </c>
      <c r="E190" s="243" t="s">
        <v>942</v>
      </c>
      <c r="F190" s="243" t="s">
        <v>943</v>
      </c>
      <c r="G190" s="243" t="s">
        <v>864</v>
      </c>
      <c r="H190" s="313">
        <v>2410</v>
      </c>
      <c r="I190" s="243" t="s">
        <v>462</v>
      </c>
      <c r="J190" s="246">
        <v>56</v>
      </c>
    </row>
    <row r="191" spans="1:10" ht="15" x14ac:dyDescent="0.25">
      <c r="A191" s="243">
        <v>10000335</v>
      </c>
      <c r="B191" s="243">
        <v>8433500570</v>
      </c>
      <c r="C191" s="243" t="s">
        <v>154</v>
      </c>
      <c r="D191" s="244">
        <v>31299</v>
      </c>
      <c r="E191" s="243" t="s">
        <v>858</v>
      </c>
      <c r="F191" s="243" t="s">
        <v>859</v>
      </c>
      <c r="G191" s="243" t="s">
        <v>974</v>
      </c>
      <c r="H191" s="313">
        <v>1413</v>
      </c>
      <c r="I191" s="243" t="s">
        <v>425</v>
      </c>
      <c r="J191" s="246">
        <v>38</v>
      </c>
    </row>
    <row r="192" spans="1:10" ht="15" x14ac:dyDescent="0.25">
      <c r="A192" s="243">
        <v>10000336</v>
      </c>
      <c r="B192" s="243">
        <v>8433880187</v>
      </c>
      <c r="C192" s="243" t="s">
        <v>1101</v>
      </c>
      <c r="D192" s="244">
        <v>31337</v>
      </c>
      <c r="E192" s="243" t="s">
        <v>884</v>
      </c>
      <c r="F192" s="243" t="s">
        <v>885</v>
      </c>
      <c r="G192" s="243" t="s">
        <v>927</v>
      </c>
      <c r="H192" s="313">
        <v>2139</v>
      </c>
      <c r="I192" s="243" t="s">
        <v>425</v>
      </c>
      <c r="J192" s="246">
        <v>38</v>
      </c>
    </row>
    <row r="193" spans="1:10" ht="15" x14ac:dyDescent="0.25">
      <c r="A193" s="243">
        <v>10000340</v>
      </c>
      <c r="B193" s="243">
        <v>8439610572</v>
      </c>
      <c r="C193" s="243" t="s">
        <v>1102</v>
      </c>
      <c r="D193" s="244">
        <v>31910</v>
      </c>
      <c r="E193" s="243" t="s">
        <v>858</v>
      </c>
      <c r="F193" s="243" t="s">
        <v>859</v>
      </c>
      <c r="G193" s="243" t="s">
        <v>864</v>
      </c>
      <c r="H193" s="313">
        <v>2410</v>
      </c>
      <c r="I193" s="243" t="s">
        <v>462</v>
      </c>
      <c r="J193" s="246">
        <v>36</v>
      </c>
    </row>
    <row r="194" spans="1:10" ht="15" x14ac:dyDescent="0.25">
      <c r="A194" s="243">
        <v>10000341</v>
      </c>
      <c r="B194" s="243">
        <v>8433263439</v>
      </c>
      <c r="C194" s="243" t="s">
        <v>1103</v>
      </c>
      <c r="D194" s="244">
        <v>31275</v>
      </c>
      <c r="E194" s="243" t="s">
        <v>891</v>
      </c>
      <c r="F194" s="243" t="s">
        <v>892</v>
      </c>
      <c r="G194" s="243" t="s">
        <v>872</v>
      </c>
      <c r="H194" s="313">
        <v>2117</v>
      </c>
      <c r="I194" s="243" t="s">
        <v>413</v>
      </c>
      <c r="J194" s="246">
        <v>38</v>
      </c>
    </row>
    <row r="195" spans="1:10" ht="15" x14ac:dyDescent="0.25">
      <c r="A195" s="243">
        <v>10000342</v>
      </c>
      <c r="B195" s="243">
        <v>8436381068</v>
      </c>
      <c r="C195" s="243" t="s">
        <v>1104</v>
      </c>
      <c r="D195" s="244">
        <v>31587</v>
      </c>
      <c r="E195" s="243" t="s">
        <v>936</v>
      </c>
      <c r="F195" s="243" t="s">
        <v>937</v>
      </c>
      <c r="G195" s="243" t="s">
        <v>997</v>
      </c>
      <c r="H195" s="313">
        <v>2139</v>
      </c>
      <c r="I195" s="243" t="s">
        <v>425</v>
      </c>
      <c r="J195" s="246">
        <v>37</v>
      </c>
    </row>
    <row r="196" spans="1:10" ht="15" x14ac:dyDescent="0.25">
      <c r="A196" s="243">
        <v>10000343</v>
      </c>
      <c r="B196" s="243">
        <v>8406163348</v>
      </c>
      <c r="C196" s="243" t="s">
        <v>1105</v>
      </c>
      <c r="D196" s="244">
        <v>28565</v>
      </c>
      <c r="E196" s="243" t="s">
        <v>963</v>
      </c>
      <c r="F196" s="243" t="s">
        <v>964</v>
      </c>
      <c r="G196" s="243" t="s">
        <v>864</v>
      </c>
      <c r="H196" s="313">
        <v>1328</v>
      </c>
      <c r="I196" s="243" t="s">
        <v>391</v>
      </c>
      <c r="J196" s="246">
        <v>45</v>
      </c>
    </row>
    <row r="197" spans="1:10" ht="15" x14ac:dyDescent="0.25">
      <c r="A197" s="243">
        <v>10000344</v>
      </c>
      <c r="B197" s="243">
        <v>8407900273</v>
      </c>
      <c r="C197" s="243" t="s">
        <v>1106</v>
      </c>
      <c r="D197" s="244">
        <v>28739</v>
      </c>
      <c r="E197" s="243" t="s">
        <v>963</v>
      </c>
      <c r="F197" s="243" t="s">
        <v>964</v>
      </c>
      <c r="G197" s="243" t="s">
        <v>997</v>
      </c>
      <c r="H197" s="313">
        <v>1328</v>
      </c>
      <c r="I197" s="243" t="s">
        <v>391</v>
      </c>
      <c r="J197" s="246">
        <v>45</v>
      </c>
    </row>
    <row r="198" spans="1:10" ht="15" x14ac:dyDescent="0.25">
      <c r="A198" s="243">
        <v>10000346</v>
      </c>
      <c r="B198" s="243">
        <v>8396661065</v>
      </c>
      <c r="C198" s="243" t="s">
        <v>1107</v>
      </c>
      <c r="D198" s="244">
        <v>27615</v>
      </c>
      <c r="E198" s="243" t="s">
        <v>945</v>
      </c>
      <c r="F198" s="243" t="s">
        <v>946</v>
      </c>
      <c r="G198" s="243" t="s">
        <v>974</v>
      </c>
      <c r="H198" s="313">
        <v>2117</v>
      </c>
      <c r="I198" s="243" t="s">
        <v>413</v>
      </c>
      <c r="J198" s="246">
        <v>48</v>
      </c>
    </row>
    <row r="199" spans="1:10" ht="15" x14ac:dyDescent="0.25">
      <c r="A199" s="243">
        <v>10000347</v>
      </c>
      <c r="B199" s="243">
        <v>8355472470</v>
      </c>
      <c r="C199" s="243" t="s">
        <v>1108</v>
      </c>
      <c r="D199" s="244">
        <v>23496</v>
      </c>
      <c r="E199" s="243" t="s">
        <v>884</v>
      </c>
      <c r="F199" s="243" t="s">
        <v>885</v>
      </c>
      <c r="G199" s="243" t="s">
        <v>1109</v>
      </c>
      <c r="H199" s="313">
        <v>2910</v>
      </c>
      <c r="I199" s="243" t="s">
        <v>518</v>
      </c>
      <c r="J199" s="246">
        <v>59</v>
      </c>
    </row>
    <row r="200" spans="1:10" ht="15" x14ac:dyDescent="0.25">
      <c r="A200" s="243">
        <v>10000348</v>
      </c>
      <c r="B200" s="243">
        <v>8440643195</v>
      </c>
      <c r="C200" s="243" t="s">
        <v>1110</v>
      </c>
      <c r="D200" s="244">
        <v>32013</v>
      </c>
      <c r="E200" s="243" t="s">
        <v>929</v>
      </c>
      <c r="F200" s="243" t="s">
        <v>930</v>
      </c>
      <c r="G200" s="243" t="s">
        <v>864</v>
      </c>
      <c r="H200" s="313">
        <v>2410</v>
      </c>
      <c r="I200" s="243" t="s">
        <v>462</v>
      </c>
      <c r="J200" s="246">
        <v>36</v>
      </c>
    </row>
    <row r="201" spans="1:10" ht="15" x14ac:dyDescent="0.25">
      <c r="A201" s="243">
        <v>10000350</v>
      </c>
      <c r="B201" s="243">
        <v>8410220024</v>
      </c>
      <c r="C201" s="243" t="s">
        <v>1111</v>
      </c>
      <c r="D201" s="244">
        <v>28971</v>
      </c>
      <c r="E201" s="243" t="s">
        <v>936</v>
      </c>
      <c r="F201" s="243" t="s">
        <v>937</v>
      </c>
      <c r="G201" s="243" t="s">
        <v>974</v>
      </c>
      <c r="H201" s="313">
        <v>2117</v>
      </c>
      <c r="I201" s="243" t="s">
        <v>413</v>
      </c>
      <c r="J201" s="246">
        <v>44</v>
      </c>
    </row>
    <row r="202" spans="1:10" ht="15" x14ac:dyDescent="0.25">
      <c r="A202" s="243">
        <v>10000353</v>
      </c>
      <c r="B202" s="243">
        <v>8348102639</v>
      </c>
      <c r="C202" s="243" t="s">
        <v>1112</v>
      </c>
      <c r="D202" s="244">
        <v>22759</v>
      </c>
      <c r="E202" s="243" t="s">
        <v>906</v>
      </c>
      <c r="F202" s="243" t="s">
        <v>907</v>
      </c>
      <c r="G202" s="243" t="s">
        <v>974</v>
      </c>
      <c r="H202" s="313">
        <v>2211</v>
      </c>
      <c r="I202" s="243" t="s">
        <v>443</v>
      </c>
      <c r="J202" s="246">
        <v>61</v>
      </c>
    </row>
    <row r="203" spans="1:10" ht="15" x14ac:dyDescent="0.25">
      <c r="A203" s="243">
        <v>10000355</v>
      </c>
      <c r="B203" s="243">
        <v>8376711709</v>
      </c>
      <c r="C203" s="243" t="s">
        <v>1113</v>
      </c>
      <c r="D203" s="244">
        <v>25620</v>
      </c>
      <c r="E203" s="243" t="s">
        <v>877</v>
      </c>
      <c r="F203" s="243" t="s">
        <v>878</v>
      </c>
      <c r="G203" s="243" t="s">
        <v>927</v>
      </c>
      <c r="H203" s="313">
        <v>2166</v>
      </c>
      <c r="I203" s="243" t="s">
        <v>439</v>
      </c>
      <c r="J203" s="246">
        <v>53</v>
      </c>
    </row>
    <row r="204" spans="1:10" ht="15" x14ac:dyDescent="0.25">
      <c r="A204" s="243">
        <v>10000357</v>
      </c>
      <c r="B204" s="243">
        <v>8416232512</v>
      </c>
      <c r="C204" s="243" t="s">
        <v>1114</v>
      </c>
      <c r="D204" s="244">
        <v>29572</v>
      </c>
      <c r="E204" s="243" t="s">
        <v>891</v>
      </c>
      <c r="F204" s="243" t="s">
        <v>892</v>
      </c>
      <c r="G204" s="243" t="s">
        <v>974</v>
      </c>
      <c r="H204" s="313">
        <v>2117</v>
      </c>
      <c r="I204" s="243" t="s">
        <v>413</v>
      </c>
      <c r="J204" s="246">
        <v>43</v>
      </c>
    </row>
    <row r="205" spans="1:10" ht="15" x14ac:dyDescent="0.25">
      <c r="A205" s="243">
        <v>10000358</v>
      </c>
      <c r="B205" s="243">
        <v>8426141927</v>
      </c>
      <c r="C205" s="243" t="s">
        <v>1115</v>
      </c>
      <c r="D205" s="244">
        <v>30563</v>
      </c>
      <c r="E205" s="243" t="s">
        <v>867</v>
      </c>
      <c r="F205" s="243" t="s">
        <v>868</v>
      </c>
      <c r="G205" s="243" t="s">
        <v>872</v>
      </c>
      <c r="H205" s="313">
        <v>2410</v>
      </c>
      <c r="I205" s="243" t="s">
        <v>462</v>
      </c>
      <c r="J205" s="246">
        <v>40</v>
      </c>
    </row>
    <row r="206" spans="1:10" ht="15" x14ac:dyDescent="0.25">
      <c r="A206" s="243">
        <v>10000360</v>
      </c>
      <c r="B206" s="243">
        <v>8442983112</v>
      </c>
      <c r="C206" s="243" t="s">
        <v>1116</v>
      </c>
      <c r="D206" s="244">
        <v>32247</v>
      </c>
      <c r="E206" s="243" t="s">
        <v>858</v>
      </c>
      <c r="F206" s="243" t="s">
        <v>859</v>
      </c>
      <c r="G206" s="243" t="s">
        <v>974</v>
      </c>
      <c r="H206" s="313">
        <v>2139</v>
      </c>
      <c r="I206" s="243" t="s">
        <v>425</v>
      </c>
      <c r="J206" s="246">
        <v>35</v>
      </c>
    </row>
    <row r="207" spans="1:10" ht="15" x14ac:dyDescent="0.25">
      <c r="A207" s="243">
        <v>10000361</v>
      </c>
      <c r="B207" s="243">
        <v>8424702352</v>
      </c>
      <c r="C207" s="243" t="s">
        <v>1117</v>
      </c>
      <c r="D207" s="244">
        <v>30419</v>
      </c>
      <c r="E207" s="243" t="s">
        <v>870</v>
      </c>
      <c r="F207" s="243" t="s">
        <v>871</v>
      </c>
      <c r="G207" s="243" t="s">
        <v>997</v>
      </c>
      <c r="H207" s="313">
        <v>2167</v>
      </c>
      <c r="I207" s="243" t="s">
        <v>440</v>
      </c>
      <c r="J207" s="246">
        <v>40</v>
      </c>
    </row>
    <row r="208" spans="1:10" ht="15" x14ac:dyDescent="0.25">
      <c r="A208" s="243">
        <v>10000366</v>
      </c>
      <c r="B208" s="243">
        <v>8426142613</v>
      </c>
      <c r="C208" s="243" t="s">
        <v>1118</v>
      </c>
      <c r="D208" s="244">
        <v>30563</v>
      </c>
      <c r="E208" s="243" t="s">
        <v>858</v>
      </c>
      <c r="F208" s="243" t="s">
        <v>859</v>
      </c>
      <c r="G208" s="243" t="s">
        <v>997</v>
      </c>
      <c r="H208" s="313">
        <v>2139</v>
      </c>
      <c r="I208" s="243" t="s">
        <v>425</v>
      </c>
      <c r="J208" s="246">
        <v>40</v>
      </c>
    </row>
    <row r="209" spans="1:10" ht="15" x14ac:dyDescent="0.25">
      <c r="A209" s="243">
        <v>10000367</v>
      </c>
      <c r="B209" s="243">
        <v>8327793829</v>
      </c>
      <c r="C209" s="243" t="s">
        <v>1119</v>
      </c>
      <c r="D209" s="244">
        <v>20728</v>
      </c>
      <c r="E209" s="243" t="s">
        <v>945</v>
      </c>
      <c r="F209" s="243" t="s">
        <v>946</v>
      </c>
      <c r="G209" s="243" t="s">
        <v>974</v>
      </c>
      <c r="H209" s="313">
        <v>2117</v>
      </c>
      <c r="I209" s="243" t="s">
        <v>413</v>
      </c>
      <c r="J209" s="246">
        <v>67</v>
      </c>
    </row>
    <row r="210" spans="1:10" ht="15" x14ac:dyDescent="0.25">
      <c r="A210" s="243">
        <v>10000368</v>
      </c>
      <c r="B210" s="243">
        <v>8376941402</v>
      </c>
      <c r="C210" s="243" t="s">
        <v>1120</v>
      </c>
      <c r="D210" s="244">
        <v>25643</v>
      </c>
      <c r="E210" s="243" t="s">
        <v>1121</v>
      </c>
      <c r="F210" s="243" t="s">
        <v>1122</v>
      </c>
      <c r="G210" s="243" t="s">
        <v>1123</v>
      </c>
      <c r="H210" s="313">
        <v>2410</v>
      </c>
      <c r="I210" s="243" t="s">
        <v>462</v>
      </c>
      <c r="J210" s="246">
        <v>53</v>
      </c>
    </row>
    <row r="211" spans="1:10" ht="15" x14ac:dyDescent="0.25">
      <c r="A211" s="243">
        <v>10000371</v>
      </c>
      <c r="B211" s="243">
        <v>8405303510</v>
      </c>
      <c r="C211" s="243" t="s">
        <v>1124</v>
      </c>
      <c r="D211" s="244">
        <v>28479</v>
      </c>
      <c r="E211" s="243" t="s">
        <v>874</v>
      </c>
      <c r="F211" s="243" t="s">
        <v>875</v>
      </c>
      <c r="G211" s="243" t="s">
        <v>864</v>
      </c>
      <c r="H211" s="313">
        <v>1328</v>
      </c>
      <c r="I211" s="243" t="s">
        <v>391</v>
      </c>
      <c r="J211" s="246">
        <v>46</v>
      </c>
    </row>
    <row r="212" spans="1:10" ht="15" x14ac:dyDescent="0.25">
      <c r="A212" s="243">
        <v>10000372</v>
      </c>
      <c r="B212" s="243">
        <v>8338103594</v>
      </c>
      <c r="C212" s="243" t="s">
        <v>1125</v>
      </c>
      <c r="D212" s="244">
        <v>21759</v>
      </c>
      <c r="E212" s="243" t="s">
        <v>1126</v>
      </c>
      <c r="F212" s="243" t="s">
        <v>1127</v>
      </c>
      <c r="G212" s="243" t="s">
        <v>1128</v>
      </c>
      <c r="H212" s="313">
        <v>2410</v>
      </c>
      <c r="I212" s="243" t="s">
        <v>462</v>
      </c>
      <c r="J212" s="246">
        <v>64</v>
      </c>
    </row>
    <row r="213" spans="1:10" ht="15" x14ac:dyDescent="0.25">
      <c r="A213" s="243">
        <v>10000382</v>
      </c>
      <c r="B213" s="243">
        <v>8340833502</v>
      </c>
      <c r="C213" s="243" t="s">
        <v>1129</v>
      </c>
      <c r="D213" s="244">
        <v>22032</v>
      </c>
      <c r="E213" s="243" t="s">
        <v>874</v>
      </c>
      <c r="F213" s="243" t="s">
        <v>875</v>
      </c>
      <c r="G213" s="243" t="s">
        <v>985</v>
      </c>
      <c r="H213" s="313">
        <v>2410</v>
      </c>
      <c r="I213" s="243" t="s">
        <v>462</v>
      </c>
      <c r="J213" s="246">
        <v>63</v>
      </c>
    </row>
    <row r="214" spans="1:10" ht="15" x14ac:dyDescent="0.25">
      <c r="A214" s="243">
        <v>10000383</v>
      </c>
      <c r="B214" s="243">
        <v>8412822315</v>
      </c>
      <c r="C214" s="243" t="s">
        <v>1130</v>
      </c>
      <c r="D214" s="244">
        <v>29231</v>
      </c>
      <c r="E214" s="243" t="s">
        <v>867</v>
      </c>
      <c r="F214" s="243" t="s">
        <v>868</v>
      </c>
      <c r="G214" s="243" t="s">
        <v>985</v>
      </c>
      <c r="H214" s="313">
        <v>2410</v>
      </c>
      <c r="I214" s="243" t="s">
        <v>462</v>
      </c>
      <c r="J214" s="246">
        <v>43</v>
      </c>
    </row>
    <row r="215" spans="1:10" ht="15" x14ac:dyDescent="0.25">
      <c r="A215" s="243">
        <v>10000384</v>
      </c>
      <c r="B215" s="243">
        <v>8371831331</v>
      </c>
      <c r="C215" s="243" t="s">
        <v>1131</v>
      </c>
      <c r="D215" s="244">
        <v>25132</v>
      </c>
      <c r="E215" s="243" t="s">
        <v>920</v>
      </c>
      <c r="F215" s="243" t="s">
        <v>921</v>
      </c>
      <c r="G215" s="243" t="s">
        <v>1123</v>
      </c>
      <c r="H215" s="313">
        <v>2410</v>
      </c>
      <c r="I215" s="243" t="s">
        <v>462</v>
      </c>
      <c r="J215" s="246">
        <v>55</v>
      </c>
    </row>
    <row r="216" spans="1:10" ht="15" x14ac:dyDescent="0.25">
      <c r="A216" s="243">
        <v>10000385</v>
      </c>
      <c r="B216" s="243">
        <v>8402301541</v>
      </c>
      <c r="C216" s="243" t="s">
        <v>1132</v>
      </c>
      <c r="D216" s="244">
        <v>28179</v>
      </c>
      <c r="E216" s="243" t="s">
        <v>1126</v>
      </c>
      <c r="F216" s="243" t="s">
        <v>1127</v>
      </c>
      <c r="G216" s="243" t="s">
        <v>1128</v>
      </c>
      <c r="H216" s="313">
        <v>2421</v>
      </c>
      <c r="I216" s="243" t="s">
        <v>464</v>
      </c>
      <c r="J216" s="246">
        <v>46</v>
      </c>
    </row>
    <row r="217" spans="1:10" ht="15" x14ac:dyDescent="0.25">
      <c r="A217" s="243">
        <v>10000386</v>
      </c>
      <c r="B217" s="243">
        <v>8372793190</v>
      </c>
      <c r="C217" s="243" t="s">
        <v>1133</v>
      </c>
      <c r="D217" s="244">
        <v>25228</v>
      </c>
      <c r="E217" s="243" t="s">
        <v>888</v>
      </c>
      <c r="F217" s="243" t="s">
        <v>889</v>
      </c>
      <c r="G217" s="243" t="s">
        <v>997</v>
      </c>
      <c r="H217" s="313">
        <v>2410</v>
      </c>
      <c r="I217" s="243" t="s">
        <v>462</v>
      </c>
      <c r="J217" s="246">
        <v>54</v>
      </c>
    </row>
    <row r="218" spans="1:10" ht="15" x14ac:dyDescent="0.25">
      <c r="A218" s="243">
        <v>10000388</v>
      </c>
      <c r="B218" s="243">
        <v>8415210264</v>
      </c>
      <c r="C218" s="243" t="s">
        <v>1134</v>
      </c>
      <c r="D218" s="244">
        <v>29470</v>
      </c>
      <c r="E218" s="243" t="s">
        <v>1135</v>
      </c>
      <c r="F218" s="243" t="s">
        <v>1136</v>
      </c>
      <c r="G218" s="243" t="s">
        <v>1109</v>
      </c>
      <c r="H218" s="313">
        <v>4229</v>
      </c>
      <c r="I218" s="243" t="s">
        <v>641</v>
      </c>
      <c r="J218" s="246">
        <v>43</v>
      </c>
    </row>
    <row r="219" spans="1:10" ht="15" x14ac:dyDescent="0.25">
      <c r="A219" s="243">
        <v>10000394</v>
      </c>
      <c r="B219" s="243">
        <v>8351102644</v>
      </c>
      <c r="C219" s="243" t="s">
        <v>1137</v>
      </c>
      <c r="D219" s="244">
        <v>23059</v>
      </c>
      <c r="E219" s="243" t="s">
        <v>1138</v>
      </c>
      <c r="F219" s="243" t="s">
        <v>1139</v>
      </c>
      <c r="G219" s="243" t="s">
        <v>1109</v>
      </c>
      <c r="H219" s="313">
        <v>1419</v>
      </c>
      <c r="I219" s="243" t="s">
        <v>406</v>
      </c>
      <c r="J219" s="246">
        <v>60</v>
      </c>
    </row>
    <row r="220" spans="1:10" ht="15" x14ac:dyDescent="0.25">
      <c r="A220" s="243">
        <v>10000395</v>
      </c>
      <c r="B220" s="243">
        <v>8350062436</v>
      </c>
      <c r="C220" s="243" t="s">
        <v>1140</v>
      </c>
      <c r="D220" s="244">
        <v>22955</v>
      </c>
      <c r="E220" s="243" t="s">
        <v>1141</v>
      </c>
      <c r="F220" s="243" t="s">
        <v>1142</v>
      </c>
      <c r="G220" s="243" t="s">
        <v>1109</v>
      </c>
      <c r="H220" s="313">
        <v>3611</v>
      </c>
      <c r="I220" s="243" t="s">
        <v>581</v>
      </c>
      <c r="J220" s="246">
        <v>61</v>
      </c>
    </row>
    <row r="221" spans="1:10" ht="15" x14ac:dyDescent="0.25">
      <c r="A221" s="243">
        <v>10000396</v>
      </c>
      <c r="B221" s="243">
        <v>8387944947</v>
      </c>
      <c r="C221" s="243" t="s">
        <v>1143</v>
      </c>
      <c r="D221" s="244">
        <v>26743</v>
      </c>
      <c r="E221" s="243" t="s">
        <v>1141</v>
      </c>
      <c r="F221" s="243" t="s">
        <v>1142</v>
      </c>
      <c r="G221" s="243" t="s">
        <v>1109</v>
      </c>
      <c r="H221" s="313">
        <v>3611</v>
      </c>
      <c r="I221" s="243" t="s">
        <v>581</v>
      </c>
      <c r="J221" s="246">
        <v>50</v>
      </c>
    </row>
    <row r="222" spans="1:10" ht="15" x14ac:dyDescent="0.25">
      <c r="A222" s="243">
        <v>10000407</v>
      </c>
      <c r="B222" s="243">
        <v>8393403200</v>
      </c>
      <c r="C222" s="243" t="s">
        <v>1144</v>
      </c>
      <c r="D222" s="244">
        <v>27289</v>
      </c>
      <c r="E222" s="243" t="s">
        <v>1141</v>
      </c>
      <c r="F222" s="243" t="s">
        <v>1142</v>
      </c>
      <c r="G222" s="243" t="s">
        <v>1145</v>
      </c>
      <c r="H222" s="313">
        <v>2624</v>
      </c>
      <c r="I222" s="243" t="s">
        <v>497</v>
      </c>
      <c r="J222" s="246">
        <v>49</v>
      </c>
    </row>
    <row r="223" spans="1:10" ht="15" x14ac:dyDescent="0.25">
      <c r="A223" s="243">
        <v>10000408</v>
      </c>
      <c r="B223" s="243">
        <v>8406592389</v>
      </c>
      <c r="C223" s="243" t="s">
        <v>1146</v>
      </c>
      <c r="D223" s="244">
        <v>28608</v>
      </c>
      <c r="E223" s="243" t="s">
        <v>1147</v>
      </c>
      <c r="F223" s="243" t="s">
        <v>1148</v>
      </c>
      <c r="G223" s="243" t="s">
        <v>1109</v>
      </c>
      <c r="H223" s="313">
        <v>4134</v>
      </c>
      <c r="I223" s="243" t="s">
        <v>630</v>
      </c>
      <c r="J223" s="246">
        <v>45</v>
      </c>
    </row>
    <row r="224" spans="1:10" ht="15" x14ac:dyDescent="0.25">
      <c r="A224" s="243">
        <v>10000409</v>
      </c>
      <c r="B224" s="243">
        <v>8396515204</v>
      </c>
      <c r="C224" s="243" t="s">
        <v>1149</v>
      </c>
      <c r="D224" s="244">
        <v>27600</v>
      </c>
      <c r="E224" s="243" t="s">
        <v>1150</v>
      </c>
      <c r="F224" s="243" t="s">
        <v>1151</v>
      </c>
      <c r="G224" s="243" t="s">
        <v>1145</v>
      </c>
      <c r="H224" s="313">
        <v>2152</v>
      </c>
      <c r="I224" s="243" t="s">
        <v>432</v>
      </c>
      <c r="J224" s="246">
        <v>48</v>
      </c>
    </row>
    <row r="225" spans="1:10" ht="15" x14ac:dyDescent="0.25">
      <c r="A225" s="243">
        <v>10000410</v>
      </c>
      <c r="B225" s="243">
        <v>8403482019</v>
      </c>
      <c r="C225" s="243" t="s">
        <v>1152</v>
      </c>
      <c r="D225" s="244">
        <v>28297</v>
      </c>
      <c r="E225" s="243" t="s">
        <v>880</v>
      </c>
      <c r="F225" s="243" t="s">
        <v>881</v>
      </c>
      <c r="G225" s="243" t="s">
        <v>1145</v>
      </c>
      <c r="H225" s="313">
        <v>3910</v>
      </c>
      <c r="I225" s="243" t="s">
        <v>616</v>
      </c>
      <c r="J225" s="246">
        <v>46</v>
      </c>
    </row>
    <row r="226" spans="1:10" ht="15" x14ac:dyDescent="0.25">
      <c r="A226" s="243">
        <v>10000411</v>
      </c>
      <c r="B226" s="243">
        <v>8363372080</v>
      </c>
      <c r="C226" s="243" t="s">
        <v>1153</v>
      </c>
      <c r="D226" s="244">
        <v>24286</v>
      </c>
      <c r="E226" s="243" t="s">
        <v>920</v>
      </c>
      <c r="F226" s="243" t="s">
        <v>921</v>
      </c>
      <c r="G226" s="243" t="s">
        <v>1145</v>
      </c>
      <c r="H226" s="313">
        <v>3649</v>
      </c>
      <c r="I226" s="243" t="s">
        <v>598</v>
      </c>
      <c r="J226" s="246">
        <v>57</v>
      </c>
    </row>
    <row r="227" spans="1:10" ht="15" x14ac:dyDescent="0.25">
      <c r="A227" s="243">
        <v>10000412</v>
      </c>
      <c r="B227" s="243">
        <v>8449900085</v>
      </c>
      <c r="C227" s="243" t="s">
        <v>1154</v>
      </c>
      <c r="D227" s="244">
        <v>32939</v>
      </c>
      <c r="E227" s="243" t="s">
        <v>1141</v>
      </c>
      <c r="F227" s="243" t="s">
        <v>1142</v>
      </c>
      <c r="G227" s="243" t="s">
        <v>1109</v>
      </c>
      <c r="H227" s="313">
        <v>2624</v>
      </c>
      <c r="I227" s="243" t="s">
        <v>497</v>
      </c>
      <c r="J227" s="246">
        <v>33</v>
      </c>
    </row>
    <row r="228" spans="1:10" ht="15" x14ac:dyDescent="0.25">
      <c r="A228" s="243">
        <v>10000416</v>
      </c>
      <c r="B228" s="243">
        <v>8352431714</v>
      </c>
      <c r="C228" s="243" t="s">
        <v>1155</v>
      </c>
      <c r="D228" s="244">
        <v>23192</v>
      </c>
      <c r="E228" s="243" t="s">
        <v>936</v>
      </c>
      <c r="F228" s="243" t="s">
        <v>937</v>
      </c>
      <c r="G228" s="243" t="s">
        <v>1145</v>
      </c>
      <c r="H228" s="313">
        <v>4111</v>
      </c>
      <c r="I228" s="243" t="s">
        <v>618</v>
      </c>
      <c r="J228" s="246">
        <v>60</v>
      </c>
    </row>
    <row r="229" spans="1:10" ht="15" x14ac:dyDescent="0.25">
      <c r="A229" s="243">
        <v>10000418</v>
      </c>
      <c r="B229" s="243">
        <v>8370861563</v>
      </c>
      <c r="C229" s="243" t="s">
        <v>1156</v>
      </c>
      <c r="D229" s="244">
        <v>25035</v>
      </c>
      <c r="E229" s="243" t="s">
        <v>1157</v>
      </c>
      <c r="F229" s="243" t="s">
        <v>1158</v>
      </c>
      <c r="G229" s="243" t="s">
        <v>1145</v>
      </c>
      <c r="H229" s="313">
        <v>3910</v>
      </c>
      <c r="I229" s="243" t="s">
        <v>616</v>
      </c>
      <c r="J229" s="246">
        <v>55</v>
      </c>
    </row>
    <row r="230" spans="1:10" ht="15" x14ac:dyDescent="0.25">
      <c r="A230" s="243">
        <v>10000422</v>
      </c>
      <c r="B230" s="243">
        <v>8375151610</v>
      </c>
      <c r="C230" s="243" t="s">
        <v>1159</v>
      </c>
      <c r="D230" s="244">
        <v>25464</v>
      </c>
      <c r="E230" s="243" t="s">
        <v>1160</v>
      </c>
      <c r="F230" s="243" t="s">
        <v>1161</v>
      </c>
      <c r="G230" s="243" t="s">
        <v>1162</v>
      </c>
      <c r="H230" s="313">
        <v>3719</v>
      </c>
      <c r="I230" s="243" t="s">
        <v>613</v>
      </c>
      <c r="J230" s="246">
        <v>54</v>
      </c>
    </row>
    <row r="231" spans="1:10" ht="15" x14ac:dyDescent="0.25">
      <c r="A231" s="243">
        <v>10000423</v>
      </c>
      <c r="B231" s="243">
        <v>8371162944</v>
      </c>
      <c r="C231" s="243" t="s">
        <v>1163</v>
      </c>
      <c r="D231" s="244">
        <v>25065</v>
      </c>
      <c r="E231" s="243" t="s">
        <v>1138</v>
      </c>
      <c r="F231" s="243" t="s">
        <v>1139</v>
      </c>
      <c r="G231" s="243" t="s">
        <v>1164</v>
      </c>
      <c r="H231" s="313">
        <v>7524</v>
      </c>
      <c r="I231" s="243" t="s">
        <v>751</v>
      </c>
      <c r="J231" s="246">
        <v>55</v>
      </c>
    </row>
    <row r="232" spans="1:10" ht="15" x14ac:dyDescent="0.25">
      <c r="A232" s="243">
        <v>10000428</v>
      </c>
      <c r="B232" s="243">
        <v>8405784101</v>
      </c>
      <c r="C232" s="243" t="s">
        <v>1165</v>
      </c>
      <c r="D232" s="244">
        <v>28527</v>
      </c>
      <c r="E232" s="243" t="s">
        <v>888</v>
      </c>
      <c r="F232" s="243" t="s">
        <v>889</v>
      </c>
      <c r="G232" s="243" t="s">
        <v>872</v>
      </c>
      <c r="H232" s="313">
        <v>2410</v>
      </c>
      <c r="I232" s="243" t="s">
        <v>462</v>
      </c>
      <c r="J232" s="246">
        <v>45</v>
      </c>
    </row>
    <row r="233" spans="1:10" ht="15" x14ac:dyDescent="0.25">
      <c r="A233" s="243">
        <v>10000430</v>
      </c>
      <c r="B233" s="243">
        <v>8388711881</v>
      </c>
      <c r="C233" s="243" t="s">
        <v>1166</v>
      </c>
      <c r="D233" s="244">
        <v>26820</v>
      </c>
      <c r="E233" s="243" t="s">
        <v>1167</v>
      </c>
      <c r="F233" s="243" t="s">
        <v>1168</v>
      </c>
      <c r="G233" s="243" t="s">
        <v>1109</v>
      </c>
      <c r="H233" s="313">
        <v>2910</v>
      </c>
      <c r="I233" s="243" t="s">
        <v>518</v>
      </c>
      <c r="J233" s="246">
        <v>50</v>
      </c>
    </row>
    <row r="234" spans="1:10" ht="15" x14ac:dyDescent="0.25">
      <c r="A234" s="243">
        <v>10000432</v>
      </c>
      <c r="B234" s="243">
        <v>8398384042</v>
      </c>
      <c r="C234" s="243" t="s">
        <v>1169</v>
      </c>
      <c r="D234" s="244">
        <v>27787</v>
      </c>
      <c r="E234" s="243" t="s">
        <v>1135</v>
      </c>
      <c r="F234" s="243" t="s">
        <v>1136</v>
      </c>
      <c r="G234" s="243" t="s">
        <v>1109</v>
      </c>
      <c r="H234" s="313">
        <v>4229</v>
      </c>
      <c r="I234" s="243" t="s">
        <v>641</v>
      </c>
      <c r="J234" s="246">
        <v>47</v>
      </c>
    </row>
    <row r="235" spans="1:10" ht="15" x14ac:dyDescent="0.25">
      <c r="A235" s="243">
        <v>10000433</v>
      </c>
      <c r="B235" s="243">
        <v>8415712928</v>
      </c>
      <c r="C235" s="243" t="s">
        <v>1170</v>
      </c>
      <c r="D235" s="244">
        <v>29520</v>
      </c>
      <c r="E235" s="243" t="s">
        <v>963</v>
      </c>
      <c r="F235" s="243" t="s">
        <v>964</v>
      </c>
      <c r="G235" s="243" t="s">
        <v>997</v>
      </c>
      <c r="H235" s="313">
        <v>2167</v>
      </c>
      <c r="I235" s="243" t="s">
        <v>440</v>
      </c>
      <c r="J235" s="246">
        <v>43</v>
      </c>
    </row>
    <row r="236" spans="1:10" ht="15" x14ac:dyDescent="0.25">
      <c r="A236" s="243">
        <v>10000435</v>
      </c>
      <c r="B236" s="243">
        <v>8334653166</v>
      </c>
      <c r="C236" s="243" t="s">
        <v>1171</v>
      </c>
      <c r="D236" s="244">
        <v>21414</v>
      </c>
      <c r="E236" s="243" t="s">
        <v>1172</v>
      </c>
      <c r="F236" s="243" t="s">
        <v>1173</v>
      </c>
      <c r="G236" s="243" t="s">
        <v>1109</v>
      </c>
      <c r="H236" s="313">
        <v>2910</v>
      </c>
      <c r="I236" s="243" t="s">
        <v>518</v>
      </c>
      <c r="J236" s="246">
        <v>65</v>
      </c>
    </row>
    <row r="237" spans="1:10" ht="15" x14ac:dyDescent="0.25">
      <c r="A237" s="243">
        <v>10000437</v>
      </c>
      <c r="B237" s="243">
        <v>8399050482</v>
      </c>
      <c r="C237" s="243" t="s">
        <v>1174</v>
      </c>
      <c r="D237" s="244">
        <v>27854</v>
      </c>
      <c r="E237" s="243" t="s">
        <v>945</v>
      </c>
      <c r="F237" s="243" t="s">
        <v>946</v>
      </c>
      <c r="G237" s="243" t="s">
        <v>1145</v>
      </c>
      <c r="H237" s="313">
        <v>4111</v>
      </c>
      <c r="I237" s="243" t="s">
        <v>618</v>
      </c>
      <c r="J237" s="246">
        <v>47</v>
      </c>
    </row>
    <row r="238" spans="1:10" ht="15" x14ac:dyDescent="0.25">
      <c r="A238" s="243">
        <v>10000438</v>
      </c>
      <c r="B238" s="243">
        <v>8374741791</v>
      </c>
      <c r="C238" s="243" t="s">
        <v>1175</v>
      </c>
      <c r="D238" s="244">
        <v>25423</v>
      </c>
      <c r="E238" s="243" t="s">
        <v>867</v>
      </c>
      <c r="F238" s="243" t="s">
        <v>868</v>
      </c>
      <c r="G238" s="243" t="s">
        <v>1109</v>
      </c>
      <c r="H238" s="313">
        <v>2910</v>
      </c>
      <c r="I238" s="243" t="s">
        <v>518</v>
      </c>
      <c r="J238" s="246">
        <v>54</v>
      </c>
    </row>
    <row r="239" spans="1:10" ht="15" x14ac:dyDescent="0.25">
      <c r="A239" s="243">
        <v>10000439</v>
      </c>
      <c r="B239" s="243">
        <v>8375791911</v>
      </c>
      <c r="C239" s="243" t="s">
        <v>1176</v>
      </c>
      <c r="D239" s="244">
        <v>25528</v>
      </c>
      <c r="E239" s="243" t="s">
        <v>1135</v>
      </c>
      <c r="F239" s="243" t="s">
        <v>1136</v>
      </c>
      <c r="G239" s="243" t="s">
        <v>1145</v>
      </c>
      <c r="H239" s="313">
        <v>4229</v>
      </c>
      <c r="I239" s="243" t="s">
        <v>641</v>
      </c>
      <c r="J239" s="246">
        <v>54</v>
      </c>
    </row>
    <row r="240" spans="1:10" ht="15" x14ac:dyDescent="0.25">
      <c r="A240" s="243">
        <v>10000441</v>
      </c>
      <c r="B240" s="243">
        <v>8391703703</v>
      </c>
      <c r="C240" s="243" t="s">
        <v>292</v>
      </c>
      <c r="D240" s="244">
        <v>27119</v>
      </c>
      <c r="E240" s="243" t="s">
        <v>1141</v>
      </c>
      <c r="F240" s="243" t="s">
        <v>1142</v>
      </c>
      <c r="G240" s="243" t="s">
        <v>1109</v>
      </c>
      <c r="H240" s="313">
        <v>3611</v>
      </c>
      <c r="I240" s="243" t="s">
        <v>581</v>
      </c>
      <c r="J240" s="246">
        <v>49</v>
      </c>
    </row>
    <row r="241" spans="1:10" ht="15" x14ac:dyDescent="0.25">
      <c r="A241" s="243">
        <v>10000442</v>
      </c>
      <c r="B241" s="243">
        <v>8383633823</v>
      </c>
      <c r="C241" s="243" t="s">
        <v>1177</v>
      </c>
      <c r="D241" s="244">
        <v>26312</v>
      </c>
      <c r="E241" s="243" t="s">
        <v>884</v>
      </c>
      <c r="F241" s="243" t="s">
        <v>885</v>
      </c>
      <c r="G241" s="243" t="s">
        <v>1109</v>
      </c>
      <c r="H241" s="313">
        <v>2121</v>
      </c>
      <c r="I241" s="243" t="s">
        <v>415</v>
      </c>
      <c r="J241" s="246">
        <v>51</v>
      </c>
    </row>
    <row r="242" spans="1:10" ht="15" x14ac:dyDescent="0.25">
      <c r="A242" s="243">
        <v>10000443</v>
      </c>
      <c r="B242" s="243">
        <v>8340680668</v>
      </c>
      <c r="C242" s="243" t="s">
        <v>1178</v>
      </c>
      <c r="D242" s="244">
        <v>22017</v>
      </c>
      <c r="E242" s="243" t="s">
        <v>858</v>
      </c>
      <c r="F242" s="243" t="s">
        <v>859</v>
      </c>
      <c r="G242" s="243" t="s">
        <v>1179</v>
      </c>
      <c r="H242" s="313">
        <v>3116</v>
      </c>
      <c r="I242" s="243" t="s">
        <v>434</v>
      </c>
      <c r="J242" s="246">
        <v>63</v>
      </c>
    </row>
    <row r="243" spans="1:10" ht="15" x14ac:dyDescent="0.25">
      <c r="A243" s="243">
        <v>10000451</v>
      </c>
      <c r="B243" s="243">
        <v>8351583782</v>
      </c>
      <c r="C243" s="243" t="s">
        <v>1180</v>
      </c>
      <c r="D243" s="244">
        <v>23107</v>
      </c>
      <c r="E243" s="243" t="s">
        <v>867</v>
      </c>
      <c r="F243" s="243" t="s">
        <v>868</v>
      </c>
      <c r="G243" s="243" t="s">
        <v>1145</v>
      </c>
      <c r="H243" s="313">
        <v>3910</v>
      </c>
      <c r="I243" s="243" t="s">
        <v>616</v>
      </c>
      <c r="J243" s="246">
        <v>60</v>
      </c>
    </row>
    <row r="244" spans="1:10" ht="15" x14ac:dyDescent="0.25">
      <c r="A244" s="243">
        <v>10000457</v>
      </c>
      <c r="B244" s="243">
        <v>8419450189</v>
      </c>
      <c r="C244" s="243" t="s">
        <v>1181</v>
      </c>
      <c r="D244" s="244">
        <v>29894</v>
      </c>
      <c r="E244" s="243" t="s">
        <v>1172</v>
      </c>
      <c r="F244" s="243" t="s">
        <v>1173</v>
      </c>
      <c r="G244" s="243" t="s">
        <v>1182</v>
      </c>
      <c r="H244" s="313">
        <v>1210</v>
      </c>
      <c r="I244" s="243" t="s">
        <v>380</v>
      </c>
      <c r="J244" s="246">
        <v>42</v>
      </c>
    </row>
    <row r="245" spans="1:10" ht="15" x14ac:dyDescent="0.25">
      <c r="A245" s="243">
        <v>10000460</v>
      </c>
      <c r="B245" s="243">
        <v>8375073423</v>
      </c>
      <c r="C245" s="243" t="s">
        <v>1183</v>
      </c>
      <c r="D245" s="244">
        <v>25456</v>
      </c>
      <c r="E245" s="243" t="s">
        <v>906</v>
      </c>
      <c r="F245" s="243" t="s">
        <v>907</v>
      </c>
      <c r="G245" s="243" t="s">
        <v>1080</v>
      </c>
      <c r="H245" s="313">
        <v>2122</v>
      </c>
      <c r="I245" s="243" t="s">
        <v>416</v>
      </c>
      <c r="J245" s="246">
        <v>54</v>
      </c>
    </row>
    <row r="246" spans="1:10" ht="15" x14ac:dyDescent="0.25">
      <c r="A246" s="243">
        <v>10000461</v>
      </c>
      <c r="B246" s="243">
        <v>8437650712</v>
      </c>
      <c r="C246" s="243" t="s">
        <v>1184</v>
      </c>
      <c r="D246" s="244">
        <v>31714</v>
      </c>
      <c r="E246" s="243" t="s">
        <v>1150</v>
      </c>
      <c r="F246" s="243" t="s">
        <v>1151</v>
      </c>
      <c r="G246" s="243" t="s">
        <v>1145</v>
      </c>
      <c r="H246" s="313">
        <v>2910</v>
      </c>
      <c r="I246" s="243" t="s">
        <v>518</v>
      </c>
      <c r="J246" s="246">
        <v>37</v>
      </c>
    </row>
    <row r="247" spans="1:10" ht="15" x14ac:dyDescent="0.25">
      <c r="A247" s="243">
        <v>10000463</v>
      </c>
      <c r="B247" s="243">
        <v>8369322778</v>
      </c>
      <c r="C247" s="243" t="s">
        <v>1185</v>
      </c>
      <c r="D247" s="244">
        <v>24881</v>
      </c>
      <c r="E247" s="243" t="s">
        <v>1135</v>
      </c>
      <c r="F247" s="243" t="s">
        <v>1136</v>
      </c>
      <c r="G247" s="243" t="s">
        <v>1145</v>
      </c>
      <c r="H247" s="313">
        <v>4229</v>
      </c>
      <c r="I247" s="243" t="s">
        <v>641</v>
      </c>
      <c r="J247" s="246">
        <v>55</v>
      </c>
    </row>
    <row r="248" spans="1:10" ht="15" x14ac:dyDescent="0.25">
      <c r="A248" s="243">
        <v>10000464</v>
      </c>
      <c r="B248" s="243">
        <v>8397243569</v>
      </c>
      <c r="C248" s="243" t="s">
        <v>1186</v>
      </c>
      <c r="D248" s="244">
        <v>27673</v>
      </c>
      <c r="E248" s="243" t="s">
        <v>906</v>
      </c>
      <c r="F248" s="243" t="s">
        <v>907</v>
      </c>
      <c r="G248" s="243" t="s">
        <v>997</v>
      </c>
      <c r="H248" s="313">
        <v>2122</v>
      </c>
      <c r="I248" s="243" t="s">
        <v>416</v>
      </c>
      <c r="J248" s="246">
        <v>48</v>
      </c>
    </row>
    <row r="249" spans="1:10" ht="15" x14ac:dyDescent="0.25">
      <c r="A249" s="243">
        <v>10000469</v>
      </c>
      <c r="B249" s="243">
        <v>8375183237</v>
      </c>
      <c r="C249" s="243" t="s">
        <v>1187</v>
      </c>
      <c r="D249" s="244">
        <v>25467</v>
      </c>
      <c r="E249" s="243" t="s">
        <v>942</v>
      </c>
      <c r="F249" s="243" t="s">
        <v>943</v>
      </c>
      <c r="G249" s="243" t="s">
        <v>1145</v>
      </c>
      <c r="H249" s="313">
        <v>3910</v>
      </c>
      <c r="I249" s="243" t="s">
        <v>616</v>
      </c>
      <c r="J249" s="246">
        <v>54</v>
      </c>
    </row>
    <row r="250" spans="1:10" ht="15" x14ac:dyDescent="0.25">
      <c r="A250" s="243">
        <v>10000470</v>
      </c>
      <c r="B250" s="243">
        <v>8427102364</v>
      </c>
      <c r="C250" s="243" t="s">
        <v>1188</v>
      </c>
      <c r="D250" s="244">
        <v>30659</v>
      </c>
      <c r="E250" s="243" t="s">
        <v>1141</v>
      </c>
      <c r="F250" s="243" t="s">
        <v>1142</v>
      </c>
      <c r="G250" s="243" t="s">
        <v>1109</v>
      </c>
      <c r="H250" s="313">
        <v>2624</v>
      </c>
      <c r="I250" s="243" t="s">
        <v>497</v>
      </c>
      <c r="J250" s="246">
        <v>40</v>
      </c>
    </row>
    <row r="251" spans="1:10" ht="15" x14ac:dyDescent="0.25">
      <c r="A251" s="243">
        <v>10000482</v>
      </c>
      <c r="B251" s="243">
        <v>8331781015</v>
      </c>
      <c r="C251" s="243" t="s">
        <v>1189</v>
      </c>
      <c r="D251" s="244">
        <v>21127</v>
      </c>
      <c r="E251" s="243" t="s">
        <v>1138</v>
      </c>
      <c r="F251" s="243" t="s">
        <v>1139</v>
      </c>
      <c r="G251" s="243" t="s">
        <v>1164</v>
      </c>
      <c r="H251" s="313">
        <v>7535</v>
      </c>
      <c r="I251" s="243" t="s">
        <v>757</v>
      </c>
      <c r="J251" s="246">
        <v>66</v>
      </c>
    </row>
    <row r="252" spans="1:10" ht="15" x14ac:dyDescent="0.25">
      <c r="A252" s="243">
        <v>10000483</v>
      </c>
      <c r="B252" s="243">
        <v>8425041317</v>
      </c>
      <c r="C252" s="243" t="s">
        <v>1190</v>
      </c>
      <c r="D252" s="244">
        <v>30453</v>
      </c>
      <c r="E252" s="243" t="s">
        <v>1191</v>
      </c>
      <c r="F252" s="243" t="s">
        <v>1192</v>
      </c>
      <c r="G252" s="243" t="s">
        <v>1145</v>
      </c>
      <c r="H252" s="313">
        <v>2142</v>
      </c>
      <c r="I252" s="243" t="s">
        <v>427</v>
      </c>
      <c r="J252" s="246">
        <v>40</v>
      </c>
    </row>
    <row r="253" spans="1:10" ht="15" x14ac:dyDescent="0.25">
      <c r="A253" s="243">
        <v>10000485</v>
      </c>
      <c r="B253" s="243">
        <v>8332283086</v>
      </c>
      <c r="C253" s="243" t="s">
        <v>1193</v>
      </c>
      <c r="D253" s="244">
        <v>21177</v>
      </c>
      <c r="E253" s="243" t="s">
        <v>1138</v>
      </c>
      <c r="F253" s="243" t="s">
        <v>1139</v>
      </c>
      <c r="G253" s="243" t="s">
        <v>1164</v>
      </c>
      <c r="H253" s="313">
        <v>8323</v>
      </c>
      <c r="I253" s="243" t="s">
        <v>794</v>
      </c>
      <c r="J253" s="246">
        <v>66</v>
      </c>
    </row>
    <row r="254" spans="1:10" ht="15" x14ac:dyDescent="0.25">
      <c r="A254" s="243">
        <v>10000487</v>
      </c>
      <c r="B254" s="243">
        <v>8404800294</v>
      </c>
      <c r="C254" s="243" t="s">
        <v>1194</v>
      </c>
      <c r="D254" s="244">
        <v>28429</v>
      </c>
      <c r="E254" s="243" t="s">
        <v>1141</v>
      </c>
      <c r="F254" s="243" t="s">
        <v>1142</v>
      </c>
      <c r="G254" s="243" t="s">
        <v>1145</v>
      </c>
      <c r="H254" s="313">
        <v>3614</v>
      </c>
      <c r="I254" s="243" t="s">
        <v>585</v>
      </c>
      <c r="J254" s="246">
        <v>46</v>
      </c>
    </row>
    <row r="255" spans="1:10" ht="15" x14ac:dyDescent="0.25">
      <c r="A255" s="243">
        <v>10000492</v>
      </c>
      <c r="B255" s="243">
        <v>8372712697</v>
      </c>
      <c r="C255" s="243" t="s">
        <v>1195</v>
      </c>
      <c r="D255" s="244">
        <v>25220</v>
      </c>
      <c r="E255" s="243" t="s">
        <v>1141</v>
      </c>
      <c r="F255" s="243" t="s">
        <v>1142</v>
      </c>
      <c r="G255" s="243" t="s">
        <v>1145</v>
      </c>
      <c r="H255" s="313">
        <v>3614</v>
      </c>
      <c r="I255" s="243" t="s">
        <v>585</v>
      </c>
      <c r="J255" s="246">
        <v>54</v>
      </c>
    </row>
    <row r="256" spans="1:10" ht="15" x14ac:dyDescent="0.25">
      <c r="A256" s="243">
        <v>10000493</v>
      </c>
      <c r="B256" s="243">
        <v>8426023649</v>
      </c>
      <c r="C256" s="243" t="s">
        <v>1196</v>
      </c>
      <c r="D256" s="244">
        <v>30551</v>
      </c>
      <c r="E256" s="243" t="s">
        <v>1135</v>
      </c>
      <c r="F256" s="243" t="s">
        <v>1136</v>
      </c>
      <c r="G256" s="243" t="s">
        <v>1109</v>
      </c>
      <c r="H256" s="313">
        <v>4229</v>
      </c>
      <c r="I256" s="243" t="s">
        <v>641</v>
      </c>
      <c r="J256" s="246">
        <v>40</v>
      </c>
    </row>
    <row r="257" spans="1:10" ht="15" x14ac:dyDescent="0.25">
      <c r="A257" s="243">
        <v>10000495</v>
      </c>
      <c r="B257" s="243">
        <v>8404622922</v>
      </c>
      <c r="C257" s="243" t="s">
        <v>1197</v>
      </c>
      <c r="D257" s="244">
        <v>28411</v>
      </c>
      <c r="E257" s="243" t="s">
        <v>1198</v>
      </c>
      <c r="F257" s="243" t="s">
        <v>1199</v>
      </c>
      <c r="G257" s="243" t="s">
        <v>1145</v>
      </c>
      <c r="H257" s="313">
        <v>3623</v>
      </c>
      <c r="I257" s="243" t="s">
        <v>590</v>
      </c>
      <c r="J257" s="246">
        <v>46</v>
      </c>
    </row>
    <row r="258" spans="1:10" ht="15" x14ac:dyDescent="0.25">
      <c r="A258" s="243">
        <v>10000496</v>
      </c>
      <c r="B258" s="243">
        <v>8416410135</v>
      </c>
      <c r="C258" s="243" t="s">
        <v>1200</v>
      </c>
      <c r="D258" s="244">
        <v>29590</v>
      </c>
      <c r="E258" s="243" t="s">
        <v>1167</v>
      </c>
      <c r="F258" s="243" t="s">
        <v>1168</v>
      </c>
      <c r="G258" s="243" t="s">
        <v>1109</v>
      </c>
      <c r="H258" s="313">
        <v>2719</v>
      </c>
      <c r="I258" s="243" t="s">
        <v>510</v>
      </c>
      <c r="J258" s="246">
        <v>42</v>
      </c>
    </row>
    <row r="259" spans="1:10" ht="15" x14ac:dyDescent="0.25">
      <c r="A259" s="243">
        <v>10000500</v>
      </c>
      <c r="B259" s="243">
        <v>8430941800</v>
      </c>
      <c r="C259" s="243" t="s">
        <v>209</v>
      </c>
      <c r="D259" s="244">
        <v>31043</v>
      </c>
      <c r="E259" s="243" t="s">
        <v>1201</v>
      </c>
      <c r="F259" s="243" t="s">
        <v>1202</v>
      </c>
      <c r="G259" s="243" t="s">
        <v>1109</v>
      </c>
      <c r="H259" s="313">
        <v>2910</v>
      </c>
      <c r="I259" s="243" t="s">
        <v>518</v>
      </c>
      <c r="J259" s="246">
        <v>39</v>
      </c>
    </row>
    <row r="260" spans="1:10" ht="15" x14ac:dyDescent="0.25">
      <c r="A260" s="243">
        <v>10000501</v>
      </c>
      <c r="B260" s="243">
        <v>8390261707</v>
      </c>
      <c r="C260" s="243" t="s">
        <v>1203</v>
      </c>
      <c r="D260" s="244">
        <v>26975</v>
      </c>
      <c r="E260" s="243" t="s">
        <v>1135</v>
      </c>
      <c r="F260" s="243" t="s">
        <v>1136</v>
      </c>
      <c r="G260" s="243" t="s">
        <v>1145</v>
      </c>
      <c r="H260" s="313">
        <v>4229</v>
      </c>
      <c r="I260" s="243" t="s">
        <v>641</v>
      </c>
      <c r="J260" s="246">
        <v>50</v>
      </c>
    </row>
    <row r="261" spans="1:10" ht="15" x14ac:dyDescent="0.25">
      <c r="A261" s="243">
        <v>10000503</v>
      </c>
      <c r="B261" s="243">
        <v>8394864074</v>
      </c>
      <c r="C261" s="243" t="s">
        <v>1204</v>
      </c>
      <c r="D261" s="244">
        <v>27435</v>
      </c>
      <c r="E261" s="243" t="s">
        <v>1135</v>
      </c>
      <c r="F261" s="243" t="s">
        <v>1136</v>
      </c>
      <c r="G261" s="243" t="s">
        <v>1205</v>
      </c>
      <c r="H261" s="313">
        <v>4229</v>
      </c>
      <c r="I261" s="243" t="s">
        <v>641</v>
      </c>
      <c r="J261" s="246">
        <v>48</v>
      </c>
    </row>
    <row r="262" spans="1:10" ht="15" x14ac:dyDescent="0.25">
      <c r="A262" s="243">
        <v>10000504</v>
      </c>
      <c r="B262" s="243">
        <v>8374221283</v>
      </c>
      <c r="C262" s="243" t="s">
        <v>1206</v>
      </c>
      <c r="D262" s="244">
        <v>25371</v>
      </c>
      <c r="E262" s="243" t="s">
        <v>920</v>
      </c>
      <c r="F262" s="243" t="s">
        <v>921</v>
      </c>
      <c r="G262" s="243" t="s">
        <v>1145</v>
      </c>
      <c r="H262" s="313">
        <v>3910</v>
      </c>
      <c r="I262" s="243" t="s">
        <v>616</v>
      </c>
      <c r="J262" s="246">
        <v>54</v>
      </c>
    </row>
    <row r="263" spans="1:10" ht="15" x14ac:dyDescent="0.25">
      <c r="A263" s="243">
        <v>10000506</v>
      </c>
      <c r="B263" s="243">
        <v>8438500706</v>
      </c>
      <c r="C263" s="243" t="s">
        <v>1207</v>
      </c>
      <c r="D263" s="244">
        <v>31799</v>
      </c>
      <c r="E263" s="243" t="s">
        <v>884</v>
      </c>
      <c r="F263" s="243" t="s">
        <v>885</v>
      </c>
      <c r="G263" s="243" t="s">
        <v>918</v>
      </c>
      <c r="H263" s="313">
        <v>2410</v>
      </c>
      <c r="I263" s="243" t="s">
        <v>462</v>
      </c>
      <c r="J263" s="246">
        <v>36</v>
      </c>
    </row>
    <row r="264" spans="1:10" ht="15" x14ac:dyDescent="0.25">
      <c r="A264" s="243">
        <v>10000508</v>
      </c>
      <c r="B264" s="243">
        <v>8374913193</v>
      </c>
      <c r="C264" s="243" t="s">
        <v>1208</v>
      </c>
      <c r="D264" s="244">
        <v>25440</v>
      </c>
      <c r="E264" s="243" t="s">
        <v>1121</v>
      </c>
      <c r="F264" s="243" t="s">
        <v>1122</v>
      </c>
      <c r="G264" s="243" t="s">
        <v>1145</v>
      </c>
      <c r="H264" s="313">
        <v>2910</v>
      </c>
      <c r="I264" s="243" t="s">
        <v>518</v>
      </c>
      <c r="J264" s="246">
        <v>54</v>
      </c>
    </row>
    <row r="265" spans="1:10" ht="15" x14ac:dyDescent="0.25">
      <c r="A265" s="243">
        <v>10000509</v>
      </c>
      <c r="B265" s="243">
        <v>8400004086</v>
      </c>
      <c r="C265" s="243" t="s">
        <v>1209</v>
      </c>
      <c r="D265" s="244">
        <v>27949</v>
      </c>
      <c r="E265" s="243" t="s">
        <v>1135</v>
      </c>
      <c r="F265" s="243" t="s">
        <v>1136</v>
      </c>
      <c r="G265" s="243" t="s">
        <v>1109</v>
      </c>
      <c r="H265" s="313">
        <v>1329</v>
      </c>
      <c r="I265" s="243" t="s">
        <v>392</v>
      </c>
      <c r="J265" s="246">
        <v>47</v>
      </c>
    </row>
    <row r="266" spans="1:10" ht="15" x14ac:dyDescent="0.25">
      <c r="A266" s="243">
        <v>10000511</v>
      </c>
      <c r="B266" s="243">
        <v>8385343660</v>
      </c>
      <c r="C266" s="243" t="s">
        <v>1210</v>
      </c>
      <c r="D266" s="244">
        <v>26483</v>
      </c>
      <c r="E266" s="243" t="s">
        <v>874</v>
      </c>
      <c r="F266" s="243" t="s">
        <v>875</v>
      </c>
      <c r="G266" s="243" t="s">
        <v>1145</v>
      </c>
      <c r="H266" s="313">
        <v>3910</v>
      </c>
      <c r="I266" s="243" t="s">
        <v>616</v>
      </c>
      <c r="J266" s="246">
        <v>51</v>
      </c>
    </row>
    <row r="267" spans="1:10" ht="15" x14ac:dyDescent="0.25">
      <c r="A267" s="243">
        <v>10000512</v>
      </c>
      <c r="B267" s="243">
        <v>8335073988</v>
      </c>
      <c r="C267" s="243" t="s">
        <v>1211</v>
      </c>
      <c r="D267" s="244">
        <v>21456</v>
      </c>
      <c r="E267" s="243" t="s">
        <v>1135</v>
      </c>
      <c r="F267" s="243" t="s">
        <v>1136</v>
      </c>
      <c r="G267" s="243" t="s">
        <v>1109</v>
      </c>
      <c r="H267" s="313">
        <v>4229</v>
      </c>
      <c r="I267" s="243" t="s">
        <v>641</v>
      </c>
      <c r="J267" s="246">
        <v>65</v>
      </c>
    </row>
    <row r="268" spans="1:10" ht="15" x14ac:dyDescent="0.25">
      <c r="A268" s="243">
        <v>10000514</v>
      </c>
      <c r="B268" s="243">
        <v>8351692085</v>
      </c>
      <c r="C268" s="243" t="s">
        <v>1212</v>
      </c>
      <c r="D268" s="244">
        <v>23118</v>
      </c>
      <c r="E268" s="243" t="s">
        <v>1160</v>
      </c>
      <c r="F268" s="243" t="s">
        <v>1161</v>
      </c>
      <c r="G268" s="243" t="s">
        <v>1213</v>
      </c>
      <c r="H268" s="313">
        <v>2715</v>
      </c>
      <c r="I268" s="243" t="s">
        <v>507</v>
      </c>
      <c r="J268" s="246">
        <v>60</v>
      </c>
    </row>
    <row r="269" spans="1:10" ht="15" x14ac:dyDescent="0.25">
      <c r="A269" s="243">
        <v>10000517</v>
      </c>
      <c r="B269" s="243">
        <v>8366163326</v>
      </c>
      <c r="C269" s="243" t="s">
        <v>1214</v>
      </c>
      <c r="D269" s="244">
        <v>24565</v>
      </c>
      <c r="E269" s="243" t="s">
        <v>929</v>
      </c>
      <c r="F269" s="243" t="s">
        <v>930</v>
      </c>
      <c r="G269" s="243" t="s">
        <v>1145</v>
      </c>
      <c r="H269" s="313">
        <v>3910</v>
      </c>
      <c r="I269" s="243" t="s">
        <v>616</v>
      </c>
      <c r="J269" s="246">
        <v>56</v>
      </c>
    </row>
    <row r="270" spans="1:10" ht="15" x14ac:dyDescent="0.25">
      <c r="A270" s="243">
        <v>10000519</v>
      </c>
      <c r="B270" s="243">
        <v>8411441628</v>
      </c>
      <c r="C270" s="243" t="s">
        <v>1215</v>
      </c>
      <c r="D270" s="244">
        <v>29093</v>
      </c>
      <c r="E270" s="243" t="s">
        <v>1201</v>
      </c>
      <c r="F270" s="243" t="s">
        <v>1202</v>
      </c>
      <c r="G270" s="243" t="s">
        <v>1109</v>
      </c>
      <c r="H270" s="313">
        <v>1419</v>
      </c>
      <c r="I270" s="243" t="s">
        <v>406</v>
      </c>
      <c r="J270" s="246">
        <v>44</v>
      </c>
    </row>
    <row r="271" spans="1:10" ht="15" x14ac:dyDescent="0.25">
      <c r="A271" s="243">
        <v>10000523</v>
      </c>
      <c r="B271" s="243">
        <v>8392893409</v>
      </c>
      <c r="C271" s="243" t="s">
        <v>1216</v>
      </c>
      <c r="D271" s="244">
        <v>27238</v>
      </c>
      <c r="E271" s="243" t="s">
        <v>906</v>
      </c>
      <c r="F271" s="243" t="s">
        <v>907</v>
      </c>
      <c r="G271" s="243" t="s">
        <v>1020</v>
      </c>
      <c r="H271" s="313">
        <v>2410</v>
      </c>
      <c r="I271" s="243" t="s">
        <v>462</v>
      </c>
      <c r="J271" s="246">
        <v>49</v>
      </c>
    </row>
    <row r="272" spans="1:10" ht="15" x14ac:dyDescent="0.25">
      <c r="A272" s="243">
        <v>10000525</v>
      </c>
      <c r="B272" s="243">
        <v>8350002298</v>
      </c>
      <c r="C272" s="243" t="s">
        <v>1217</v>
      </c>
      <c r="D272" s="244">
        <v>22949</v>
      </c>
      <c r="E272" s="243" t="s">
        <v>1138</v>
      </c>
      <c r="F272" s="243" t="s">
        <v>1139</v>
      </c>
      <c r="G272" s="243" t="s">
        <v>1164</v>
      </c>
      <c r="H272" s="313">
        <v>7535</v>
      </c>
      <c r="I272" s="243" t="s">
        <v>757</v>
      </c>
      <c r="J272" s="246">
        <v>61</v>
      </c>
    </row>
    <row r="273" spans="1:10" ht="15" x14ac:dyDescent="0.25">
      <c r="A273" s="243">
        <v>10000526</v>
      </c>
      <c r="B273" s="243">
        <v>8425662095</v>
      </c>
      <c r="C273" s="243" t="s">
        <v>1218</v>
      </c>
      <c r="D273" s="244">
        <v>30515</v>
      </c>
      <c r="E273" s="243" t="s">
        <v>1141</v>
      </c>
      <c r="F273" s="243" t="s">
        <v>1142</v>
      </c>
      <c r="G273" s="243" t="s">
        <v>1109</v>
      </c>
      <c r="H273" s="313">
        <v>2624</v>
      </c>
      <c r="I273" s="243" t="s">
        <v>497</v>
      </c>
      <c r="J273" s="246">
        <v>40</v>
      </c>
    </row>
    <row r="274" spans="1:10" ht="15" x14ac:dyDescent="0.25">
      <c r="A274" s="243">
        <v>10000527</v>
      </c>
      <c r="B274" s="243">
        <v>8406802103</v>
      </c>
      <c r="C274" s="243" t="s">
        <v>1219</v>
      </c>
      <c r="D274" s="244">
        <v>28629</v>
      </c>
      <c r="E274" s="243" t="s">
        <v>1220</v>
      </c>
      <c r="F274" s="243" t="s">
        <v>1221</v>
      </c>
      <c r="G274" s="243" t="s">
        <v>1145</v>
      </c>
      <c r="H274" s="313">
        <v>4190</v>
      </c>
      <c r="I274" s="243" t="s">
        <v>632</v>
      </c>
      <c r="J274" s="246">
        <v>45</v>
      </c>
    </row>
    <row r="275" spans="1:10" ht="15" x14ac:dyDescent="0.25">
      <c r="A275" s="243">
        <v>10000528</v>
      </c>
      <c r="B275" s="243">
        <v>8380182219</v>
      </c>
      <c r="C275" s="243" t="s">
        <v>1222</v>
      </c>
      <c r="D275" s="244">
        <v>25967</v>
      </c>
      <c r="E275" s="243" t="s">
        <v>1150</v>
      </c>
      <c r="F275" s="243" t="s">
        <v>1151</v>
      </c>
      <c r="G275" s="243" t="s">
        <v>1145</v>
      </c>
      <c r="H275" s="313">
        <v>3910</v>
      </c>
      <c r="I275" s="243" t="s">
        <v>616</v>
      </c>
      <c r="J275" s="246">
        <v>52</v>
      </c>
    </row>
    <row r="276" spans="1:10" ht="15" x14ac:dyDescent="0.25">
      <c r="A276" s="243">
        <v>10000529</v>
      </c>
      <c r="B276" s="243">
        <v>8418630426</v>
      </c>
      <c r="C276" s="243" t="s">
        <v>1223</v>
      </c>
      <c r="D276" s="244">
        <v>29812</v>
      </c>
      <c r="E276" s="243" t="s">
        <v>1198</v>
      </c>
      <c r="F276" s="243" t="s">
        <v>1199</v>
      </c>
      <c r="G276" s="243" t="s">
        <v>1109</v>
      </c>
      <c r="H276" s="313">
        <v>1419</v>
      </c>
      <c r="I276" s="243" t="s">
        <v>406</v>
      </c>
      <c r="J276" s="246">
        <v>42</v>
      </c>
    </row>
    <row r="277" spans="1:10" ht="15" x14ac:dyDescent="0.25">
      <c r="A277" s="243">
        <v>10000530</v>
      </c>
      <c r="B277" s="243">
        <v>8411391213</v>
      </c>
      <c r="C277" s="243" t="s">
        <v>1224</v>
      </c>
      <c r="D277" s="244">
        <v>29088</v>
      </c>
      <c r="E277" s="243" t="s">
        <v>1220</v>
      </c>
      <c r="F277" s="243" t="s">
        <v>1221</v>
      </c>
      <c r="G277" s="243" t="s">
        <v>1109</v>
      </c>
      <c r="H277" s="313">
        <v>1328</v>
      </c>
      <c r="I277" s="243" t="s">
        <v>391</v>
      </c>
      <c r="J277" s="246">
        <v>44</v>
      </c>
    </row>
    <row r="278" spans="1:10" ht="15" x14ac:dyDescent="0.25">
      <c r="A278" s="243">
        <v>10000533</v>
      </c>
      <c r="B278" s="243">
        <v>8354340740</v>
      </c>
      <c r="C278" s="243" t="s">
        <v>1225</v>
      </c>
      <c r="D278" s="244">
        <v>23383</v>
      </c>
      <c r="E278" s="243" t="s">
        <v>1138</v>
      </c>
      <c r="F278" s="243" t="s">
        <v>1139</v>
      </c>
      <c r="G278" s="243" t="s">
        <v>1164</v>
      </c>
      <c r="H278" s="313">
        <v>7521</v>
      </c>
      <c r="I278" s="243" t="s">
        <v>748</v>
      </c>
      <c r="J278" s="246">
        <v>59</v>
      </c>
    </row>
    <row r="279" spans="1:10" ht="15" x14ac:dyDescent="0.25">
      <c r="A279" s="243">
        <v>10000534</v>
      </c>
      <c r="B279" s="243">
        <v>8431040599</v>
      </c>
      <c r="C279" s="243" t="s">
        <v>1226</v>
      </c>
      <c r="D279" s="244">
        <v>31053</v>
      </c>
      <c r="E279" s="243" t="s">
        <v>870</v>
      </c>
      <c r="F279" s="243" t="s">
        <v>871</v>
      </c>
      <c r="G279" s="243" t="s">
        <v>997</v>
      </c>
      <c r="H279" s="313">
        <v>2139</v>
      </c>
      <c r="I279" s="243" t="s">
        <v>425</v>
      </c>
      <c r="J279" s="246">
        <v>38</v>
      </c>
    </row>
    <row r="280" spans="1:10" ht="15" x14ac:dyDescent="0.25">
      <c r="A280" s="243">
        <v>10000535</v>
      </c>
      <c r="B280" s="243">
        <v>8374392681</v>
      </c>
      <c r="C280" s="243" t="s">
        <v>1227</v>
      </c>
      <c r="D280" s="244">
        <v>25388</v>
      </c>
      <c r="E280" s="243" t="s">
        <v>1141</v>
      </c>
      <c r="F280" s="243" t="s">
        <v>1142</v>
      </c>
      <c r="G280" s="243" t="s">
        <v>1109</v>
      </c>
      <c r="H280" s="313">
        <v>1411</v>
      </c>
      <c r="I280" s="243" t="s">
        <v>400</v>
      </c>
      <c r="J280" s="246">
        <v>54</v>
      </c>
    </row>
    <row r="281" spans="1:10" ht="15" x14ac:dyDescent="0.25">
      <c r="A281" s="243">
        <v>10000538</v>
      </c>
      <c r="B281" s="243">
        <v>8423350061</v>
      </c>
      <c r="C281" s="243" t="s">
        <v>1228</v>
      </c>
      <c r="D281" s="244">
        <v>30284</v>
      </c>
      <c r="E281" s="243" t="s">
        <v>1160</v>
      </c>
      <c r="F281" s="243" t="s">
        <v>1161</v>
      </c>
      <c r="G281" s="243" t="s">
        <v>1229</v>
      </c>
      <c r="H281" s="313">
        <v>2719</v>
      </c>
      <c r="I281" s="243" t="s">
        <v>510</v>
      </c>
      <c r="J281" s="246">
        <v>41</v>
      </c>
    </row>
    <row r="282" spans="1:10" ht="15" x14ac:dyDescent="0.25">
      <c r="A282" s="243">
        <v>10000539</v>
      </c>
      <c r="B282" s="243">
        <v>8419652113</v>
      </c>
      <c r="C282" s="243" t="s">
        <v>1230</v>
      </c>
      <c r="D282" s="244">
        <v>29914</v>
      </c>
      <c r="E282" s="243" t="s">
        <v>858</v>
      </c>
      <c r="F282" s="243" t="s">
        <v>859</v>
      </c>
      <c r="G282" s="243" t="s">
        <v>1080</v>
      </c>
      <c r="H282" s="313">
        <v>2117</v>
      </c>
      <c r="I282" s="243" t="s">
        <v>413</v>
      </c>
      <c r="J282" s="246">
        <v>42</v>
      </c>
    </row>
    <row r="283" spans="1:10" ht="15" x14ac:dyDescent="0.25">
      <c r="A283" s="243">
        <v>10000541</v>
      </c>
      <c r="B283" s="243">
        <v>8357052797</v>
      </c>
      <c r="C283" s="243" t="s">
        <v>1231</v>
      </c>
      <c r="D283" s="244">
        <v>23654</v>
      </c>
      <c r="E283" s="243" t="s">
        <v>929</v>
      </c>
      <c r="F283" s="243" t="s">
        <v>930</v>
      </c>
      <c r="G283" s="243" t="s">
        <v>1109</v>
      </c>
      <c r="H283" s="313">
        <v>2910</v>
      </c>
      <c r="I283" s="243" t="s">
        <v>518</v>
      </c>
      <c r="J283" s="246">
        <v>59</v>
      </c>
    </row>
    <row r="284" spans="1:10" ht="15" x14ac:dyDescent="0.25">
      <c r="A284" s="243">
        <v>10000548</v>
      </c>
      <c r="B284" s="243">
        <v>8357452329</v>
      </c>
      <c r="C284" s="243" t="s">
        <v>1232</v>
      </c>
      <c r="D284" s="244">
        <v>23694</v>
      </c>
      <c r="E284" s="243" t="s">
        <v>1138</v>
      </c>
      <c r="F284" s="243" t="s">
        <v>1139</v>
      </c>
      <c r="G284" s="243" t="s">
        <v>1164</v>
      </c>
      <c r="H284" s="313">
        <v>7524</v>
      </c>
      <c r="I284" s="243" t="s">
        <v>751</v>
      </c>
      <c r="J284" s="246">
        <v>59</v>
      </c>
    </row>
    <row r="285" spans="1:10" ht="15" x14ac:dyDescent="0.25">
      <c r="A285" s="243">
        <v>10000549</v>
      </c>
      <c r="B285" s="243">
        <v>8447411184</v>
      </c>
      <c r="C285" s="243" t="s">
        <v>1233</v>
      </c>
      <c r="D285" s="244">
        <v>32690</v>
      </c>
      <c r="E285" s="243" t="s">
        <v>884</v>
      </c>
      <c r="F285" s="243" t="s">
        <v>885</v>
      </c>
      <c r="G285" s="243" t="s">
        <v>1109</v>
      </c>
      <c r="H285" s="313">
        <v>2149</v>
      </c>
      <c r="I285" s="243" t="s">
        <v>430</v>
      </c>
      <c r="J285" s="246">
        <v>34</v>
      </c>
    </row>
    <row r="286" spans="1:10" ht="15" x14ac:dyDescent="0.25">
      <c r="A286" s="243">
        <v>10000550</v>
      </c>
      <c r="B286" s="243">
        <v>8395674600</v>
      </c>
      <c r="C286" s="243" t="s">
        <v>1234</v>
      </c>
      <c r="D286" s="244">
        <v>27516</v>
      </c>
      <c r="E286" s="243" t="s">
        <v>1160</v>
      </c>
      <c r="F286" s="243" t="s">
        <v>1161</v>
      </c>
      <c r="G286" s="243" t="s">
        <v>1235</v>
      </c>
      <c r="H286" s="313">
        <v>2719</v>
      </c>
      <c r="I286" s="243" t="s">
        <v>510</v>
      </c>
      <c r="J286" s="246">
        <v>48</v>
      </c>
    </row>
    <row r="287" spans="1:10" ht="15" x14ac:dyDescent="0.25">
      <c r="A287" s="243">
        <v>10000557</v>
      </c>
      <c r="B287" s="243">
        <v>8409311364</v>
      </c>
      <c r="C287" s="243" t="s">
        <v>1236</v>
      </c>
      <c r="D287" s="244">
        <v>28880</v>
      </c>
      <c r="E287" s="243" t="s">
        <v>1201</v>
      </c>
      <c r="F287" s="243" t="s">
        <v>1202</v>
      </c>
      <c r="G287" s="243" t="s">
        <v>1109</v>
      </c>
      <c r="H287" s="313">
        <v>2910</v>
      </c>
      <c r="I287" s="243" t="s">
        <v>518</v>
      </c>
      <c r="J287" s="246">
        <v>44</v>
      </c>
    </row>
    <row r="288" spans="1:10" ht="15" x14ac:dyDescent="0.25">
      <c r="A288" s="243">
        <v>10000558</v>
      </c>
      <c r="B288" s="243">
        <v>8344550599</v>
      </c>
      <c r="C288" s="243" t="s">
        <v>1237</v>
      </c>
      <c r="D288" s="244">
        <v>22404</v>
      </c>
      <c r="E288" s="243" t="s">
        <v>1138</v>
      </c>
      <c r="F288" s="243" t="s">
        <v>1139</v>
      </c>
      <c r="G288" s="243" t="s">
        <v>1164</v>
      </c>
      <c r="H288" s="313">
        <v>7521</v>
      </c>
      <c r="I288" s="243" t="s">
        <v>748</v>
      </c>
      <c r="J288" s="246">
        <v>62</v>
      </c>
    </row>
    <row r="289" spans="1:10" ht="15" x14ac:dyDescent="0.25">
      <c r="A289" s="243">
        <v>10000559</v>
      </c>
      <c r="B289" s="243">
        <v>8432772577</v>
      </c>
      <c r="C289" s="243" t="s">
        <v>1238</v>
      </c>
      <c r="D289" s="244">
        <v>31226</v>
      </c>
      <c r="E289" s="243" t="s">
        <v>1150</v>
      </c>
      <c r="F289" s="243" t="s">
        <v>1151</v>
      </c>
      <c r="G289" s="243" t="s">
        <v>1109</v>
      </c>
      <c r="H289" s="313">
        <v>2910</v>
      </c>
      <c r="I289" s="243" t="s">
        <v>518</v>
      </c>
      <c r="J289" s="246">
        <v>38</v>
      </c>
    </row>
    <row r="290" spans="1:10" ht="15" x14ac:dyDescent="0.25">
      <c r="A290" s="243">
        <v>10000565</v>
      </c>
      <c r="B290" s="243">
        <v>8389142244</v>
      </c>
      <c r="C290" s="243" t="s">
        <v>1239</v>
      </c>
      <c r="D290" s="244">
        <v>26863</v>
      </c>
      <c r="E290" s="243" t="s">
        <v>1150</v>
      </c>
      <c r="F290" s="243" t="s">
        <v>1151</v>
      </c>
      <c r="G290" s="243" t="s">
        <v>1145</v>
      </c>
      <c r="H290" s="313">
        <v>3910</v>
      </c>
      <c r="I290" s="243" t="s">
        <v>616</v>
      </c>
      <c r="J290" s="246">
        <v>50</v>
      </c>
    </row>
    <row r="291" spans="1:10" ht="15" x14ac:dyDescent="0.25">
      <c r="A291" s="243">
        <v>10000567</v>
      </c>
      <c r="B291" s="243">
        <v>8429343245</v>
      </c>
      <c r="C291" s="243" t="s">
        <v>1240</v>
      </c>
      <c r="D291" s="244">
        <v>30883</v>
      </c>
      <c r="E291" s="243" t="s">
        <v>1135</v>
      </c>
      <c r="F291" s="243" t="s">
        <v>1136</v>
      </c>
      <c r="G291" s="243" t="s">
        <v>1145</v>
      </c>
      <c r="H291" s="313">
        <v>4229</v>
      </c>
      <c r="I291" s="243" t="s">
        <v>641</v>
      </c>
      <c r="J291" s="246">
        <v>39</v>
      </c>
    </row>
    <row r="292" spans="1:10" ht="15" x14ac:dyDescent="0.25">
      <c r="A292" s="243">
        <v>10000569</v>
      </c>
      <c r="B292" s="243">
        <v>8378563758</v>
      </c>
      <c r="C292" s="243" t="s">
        <v>1241</v>
      </c>
      <c r="D292" s="244">
        <v>25805</v>
      </c>
      <c r="E292" s="243" t="s">
        <v>1150</v>
      </c>
      <c r="F292" s="243" t="s">
        <v>1151</v>
      </c>
      <c r="G292" s="243" t="s">
        <v>1109</v>
      </c>
      <c r="H292" s="313">
        <v>2910</v>
      </c>
      <c r="I292" s="243" t="s">
        <v>518</v>
      </c>
      <c r="J292" s="246">
        <v>53</v>
      </c>
    </row>
    <row r="293" spans="1:10" ht="15" x14ac:dyDescent="0.25">
      <c r="A293" s="243">
        <v>10000571</v>
      </c>
      <c r="B293" s="243">
        <v>8426803148</v>
      </c>
      <c r="C293" s="243" t="s">
        <v>1242</v>
      </c>
      <c r="D293" s="244">
        <v>30629</v>
      </c>
      <c r="E293" s="243" t="s">
        <v>1243</v>
      </c>
      <c r="F293" s="243" t="s">
        <v>1244</v>
      </c>
      <c r="G293" s="243" t="s">
        <v>1109</v>
      </c>
      <c r="H293" s="313">
        <v>2910</v>
      </c>
      <c r="I293" s="243" t="s">
        <v>518</v>
      </c>
      <c r="J293" s="246">
        <v>40</v>
      </c>
    </row>
    <row r="294" spans="1:10" ht="15" x14ac:dyDescent="0.25">
      <c r="A294" s="243">
        <v>10000574</v>
      </c>
      <c r="B294" s="243">
        <v>8365790491</v>
      </c>
      <c r="C294" s="243" t="s">
        <v>1245</v>
      </c>
      <c r="D294" s="244">
        <v>24528</v>
      </c>
      <c r="E294" s="243" t="s">
        <v>1198</v>
      </c>
      <c r="F294" s="243" t="s">
        <v>1199</v>
      </c>
      <c r="G294" s="243" t="s">
        <v>1145</v>
      </c>
      <c r="H294" s="313">
        <v>3623</v>
      </c>
      <c r="I294" s="243" t="s">
        <v>590</v>
      </c>
      <c r="J294" s="246">
        <v>56</v>
      </c>
    </row>
    <row r="295" spans="1:10" ht="15" x14ac:dyDescent="0.25">
      <c r="A295" s="243">
        <v>10000581</v>
      </c>
      <c r="B295" s="243">
        <v>8433331655</v>
      </c>
      <c r="C295" s="243" t="s">
        <v>1246</v>
      </c>
      <c r="D295" s="244">
        <v>31282</v>
      </c>
      <c r="E295" s="243" t="s">
        <v>945</v>
      </c>
      <c r="F295" s="243" t="s">
        <v>946</v>
      </c>
      <c r="G295" s="243" t="s">
        <v>997</v>
      </c>
      <c r="H295" s="313">
        <v>2139</v>
      </c>
      <c r="I295" s="243" t="s">
        <v>425</v>
      </c>
      <c r="J295" s="246">
        <v>38</v>
      </c>
    </row>
    <row r="296" spans="1:10" ht="15" x14ac:dyDescent="0.25">
      <c r="A296" s="243">
        <v>10000585</v>
      </c>
      <c r="B296" s="243">
        <v>8342722945</v>
      </c>
      <c r="C296" s="243" t="s">
        <v>1247</v>
      </c>
      <c r="D296" s="244">
        <v>22221</v>
      </c>
      <c r="E296" s="243" t="s">
        <v>1248</v>
      </c>
      <c r="F296" s="243" t="s">
        <v>1249</v>
      </c>
      <c r="G296" s="243" t="s">
        <v>1145</v>
      </c>
      <c r="H296" s="313">
        <v>3910</v>
      </c>
      <c r="I296" s="243" t="s">
        <v>616</v>
      </c>
      <c r="J296" s="246">
        <v>63</v>
      </c>
    </row>
    <row r="297" spans="1:10" ht="15" x14ac:dyDescent="0.25">
      <c r="A297" s="243">
        <v>10000586</v>
      </c>
      <c r="B297" s="243">
        <v>8367913612</v>
      </c>
      <c r="C297" s="243" t="s">
        <v>1250</v>
      </c>
      <c r="D297" s="244">
        <v>24740</v>
      </c>
      <c r="E297" s="243" t="s">
        <v>1172</v>
      </c>
      <c r="F297" s="243" t="s">
        <v>1173</v>
      </c>
      <c r="G297" s="243" t="s">
        <v>1145</v>
      </c>
      <c r="H297" s="313">
        <v>4112</v>
      </c>
      <c r="I297" s="243" t="s">
        <v>619</v>
      </c>
      <c r="J297" s="246">
        <v>56</v>
      </c>
    </row>
    <row r="298" spans="1:10" ht="15" x14ac:dyDescent="0.25">
      <c r="A298" s="243">
        <v>10000587</v>
      </c>
      <c r="B298" s="243">
        <v>8363351288</v>
      </c>
      <c r="C298" s="243" t="s">
        <v>1251</v>
      </c>
      <c r="D298" s="244">
        <v>24284</v>
      </c>
      <c r="E298" s="243" t="s">
        <v>1135</v>
      </c>
      <c r="F298" s="243" t="s">
        <v>1136</v>
      </c>
      <c r="G298" s="243" t="s">
        <v>1145</v>
      </c>
      <c r="H298" s="313">
        <v>4229</v>
      </c>
      <c r="I298" s="243" t="s">
        <v>641</v>
      </c>
      <c r="J298" s="246">
        <v>57</v>
      </c>
    </row>
    <row r="299" spans="1:10" ht="15" x14ac:dyDescent="0.25">
      <c r="A299" s="243">
        <v>10000588</v>
      </c>
      <c r="B299" s="243">
        <v>8341952432</v>
      </c>
      <c r="C299" s="243" t="s">
        <v>1252</v>
      </c>
      <c r="D299" s="244">
        <v>22144</v>
      </c>
      <c r="E299" s="243" t="s">
        <v>1138</v>
      </c>
      <c r="F299" s="243" t="s">
        <v>1139</v>
      </c>
      <c r="G299" s="243" t="s">
        <v>1145</v>
      </c>
      <c r="H299" s="313">
        <v>3122</v>
      </c>
      <c r="I299" s="243" t="s">
        <v>527</v>
      </c>
      <c r="J299" s="246">
        <v>63</v>
      </c>
    </row>
    <row r="300" spans="1:10" ht="15" x14ac:dyDescent="0.25">
      <c r="A300" s="243">
        <v>10000589</v>
      </c>
      <c r="B300" s="243">
        <v>8424630238</v>
      </c>
      <c r="C300" s="243" t="s">
        <v>1253</v>
      </c>
      <c r="D300" s="244">
        <v>30412</v>
      </c>
      <c r="E300" s="243" t="s">
        <v>1141</v>
      </c>
      <c r="F300" s="243" t="s">
        <v>1142</v>
      </c>
      <c r="G300" s="243" t="s">
        <v>1109</v>
      </c>
      <c r="H300" s="313">
        <v>3611</v>
      </c>
      <c r="I300" s="243" t="s">
        <v>581</v>
      </c>
      <c r="J300" s="246">
        <v>40</v>
      </c>
    </row>
    <row r="301" spans="1:10" ht="15" x14ac:dyDescent="0.25">
      <c r="A301" s="243">
        <v>10000591</v>
      </c>
      <c r="B301" s="243">
        <v>8447171132</v>
      </c>
      <c r="C301" s="243" t="s">
        <v>1254</v>
      </c>
      <c r="D301" s="244">
        <v>32666</v>
      </c>
      <c r="E301" s="243" t="s">
        <v>906</v>
      </c>
      <c r="F301" s="243" t="s">
        <v>907</v>
      </c>
      <c r="G301" s="243" t="s">
        <v>1109</v>
      </c>
      <c r="H301" s="313">
        <v>2910</v>
      </c>
      <c r="I301" s="243" t="s">
        <v>518</v>
      </c>
      <c r="J301" s="246">
        <v>34</v>
      </c>
    </row>
    <row r="302" spans="1:10" ht="15" x14ac:dyDescent="0.25">
      <c r="A302" s="243">
        <v>10000593</v>
      </c>
      <c r="B302" s="243">
        <v>8391860450</v>
      </c>
      <c r="C302" s="243" t="s">
        <v>1255</v>
      </c>
      <c r="D302" s="244">
        <v>27135</v>
      </c>
      <c r="E302" s="243" t="s">
        <v>1160</v>
      </c>
      <c r="F302" s="243" t="s">
        <v>1161</v>
      </c>
      <c r="G302" s="243" t="s">
        <v>1235</v>
      </c>
      <c r="H302" s="313">
        <v>3719</v>
      </c>
      <c r="I302" s="243" t="s">
        <v>613</v>
      </c>
      <c r="J302" s="246">
        <v>49</v>
      </c>
    </row>
    <row r="303" spans="1:10" ht="15" x14ac:dyDescent="0.25">
      <c r="A303" s="243">
        <v>10000598</v>
      </c>
      <c r="B303" s="243">
        <v>8405334394</v>
      </c>
      <c r="C303" s="243" t="s">
        <v>1256</v>
      </c>
      <c r="D303" s="244">
        <v>28482</v>
      </c>
      <c r="E303" s="243" t="s">
        <v>874</v>
      </c>
      <c r="F303" s="243" t="s">
        <v>875</v>
      </c>
      <c r="G303" s="243" t="s">
        <v>1145</v>
      </c>
      <c r="H303" s="313">
        <v>3910</v>
      </c>
      <c r="I303" s="243" t="s">
        <v>616</v>
      </c>
      <c r="J303" s="246">
        <v>46</v>
      </c>
    </row>
    <row r="304" spans="1:10" ht="15" x14ac:dyDescent="0.25">
      <c r="A304" s="243">
        <v>10000605</v>
      </c>
      <c r="B304" s="243">
        <v>8374470305</v>
      </c>
      <c r="C304" s="243" t="s">
        <v>1257</v>
      </c>
      <c r="D304" s="244">
        <v>25396</v>
      </c>
      <c r="E304" s="243" t="s">
        <v>1258</v>
      </c>
      <c r="F304" s="243" t="s">
        <v>1259</v>
      </c>
      <c r="G304" s="243" t="s">
        <v>1109</v>
      </c>
      <c r="H304" s="313">
        <v>2910</v>
      </c>
      <c r="I304" s="243" t="s">
        <v>518</v>
      </c>
      <c r="J304" s="246">
        <v>54</v>
      </c>
    </row>
    <row r="305" spans="1:10" ht="15" x14ac:dyDescent="0.25">
      <c r="A305" s="243">
        <v>10000606</v>
      </c>
      <c r="B305" s="243">
        <v>8414452523</v>
      </c>
      <c r="C305" s="243" t="s">
        <v>1260</v>
      </c>
      <c r="D305" s="244">
        <v>29394</v>
      </c>
      <c r="E305" s="243" t="s">
        <v>1248</v>
      </c>
      <c r="F305" s="243" t="s">
        <v>1249</v>
      </c>
      <c r="G305" s="243" t="s">
        <v>1109</v>
      </c>
      <c r="H305" s="313">
        <v>2142</v>
      </c>
      <c r="I305" s="243" t="s">
        <v>427</v>
      </c>
      <c r="J305" s="246">
        <v>43</v>
      </c>
    </row>
    <row r="306" spans="1:10" ht="15" x14ac:dyDescent="0.25">
      <c r="A306" s="243">
        <v>10000607</v>
      </c>
      <c r="B306" s="243">
        <v>8377802570</v>
      </c>
      <c r="C306" s="243" t="s">
        <v>1261</v>
      </c>
      <c r="D306" s="244">
        <v>25729</v>
      </c>
      <c r="E306" s="243" t="s">
        <v>1013</v>
      </c>
      <c r="F306" s="243" t="s">
        <v>1014</v>
      </c>
      <c r="G306" s="243" t="s">
        <v>1145</v>
      </c>
      <c r="H306" s="313">
        <v>2910</v>
      </c>
      <c r="I306" s="243" t="s">
        <v>518</v>
      </c>
      <c r="J306" s="246">
        <v>53</v>
      </c>
    </row>
    <row r="307" spans="1:10" ht="15" x14ac:dyDescent="0.25">
      <c r="A307" s="243">
        <v>10000608</v>
      </c>
      <c r="B307" s="243">
        <v>8398461780</v>
      </c>
      <c r="C307" s="243" t="s">
        <v>1262</v>
      </c>
      <c r="D307" s="244">
        <v>27795</v>
      </c>
      <c r="E307" s="243" t="s">
        <v>1150</v>
      </c>
      <c r="F307" s="243" t="s">
        <v>1151</v>
      </c>
      <c r="G307" s="243" t="s">
        <v>1109</v>
      </c>
      <c r="H307" s="313">
        <v>2910</v>
      </c>
      <c r="I307" s="243" t="s">
        <v>518</v>
      </c>
      <c r="J307" s="246">
        <v>47</v>
      </c>
    </row>
    <row r="308" spans="1:10" ht="15" x14ac:dyDescent="0.25">
      <c r="A308" s="243">
        <v>10000612</v>
      </c>
      <c r="B308" s="243">
        <v>8418113154</v>
      </c>
      <c r="C308" s="243" t="s">
        <v>1263</v>
      </c>
      <c r="D308" s="244">
        <v>29760</v>
      </c>
      <c r="E308" s="243" t="s">
        <v>1160</v>
      </c>
      <c r="F308" s="243" t="s">
        <v>1161</v>
      </c>
      <c r="G308" s="243" t="s">
        <v>1264</v>
      </c>
      <c r="H308" s="313">
        <v>3719</v>
      </c>
      <c r="I308" s="243" t="s">
        <v>613</v>
      </c>
      <c r="J308" s="246">
        <v>42</v>
      </c>
    </row>
    <row r="309" spans="1:10" ht="15" x14ac:dyDescent="0.25">
      <c r="A309" s="243">
        <v>10000615</v>
      </c>
      <c r="B309" s="243">
        <v>8401062608</v>
      </c>
      <c r="C309" s="243" t="s">
        <v>1265</v>
      </c>
      <c r="D309" s="244">
        <v>28055</v>
      </c>
      <c r="E309" s="243" t="s">
        <v>1266</v>
      </c>
      <c r="F309" s="243" t="s">
        <v>1267</v>
      </c>
      <c r="G309" s="243" t="s">
        <v>1109</v>
      </c>
      <c r="H309" s="313">
        <v>1419</v>
      </c>
      <c r="I309" s="243" t="s">
        <v>406</v>
      </c>
      <c r="J309" s="246">
        <v>47</v>
      </c>
    </row>
    <row r="310" spans="1:10" ht="15" x14ac:dyDescent="0.25">
      <c r="A310" s="243">
        <v>10000616</v>
      </c>
      <c r="B310" s="243">
        <v>8423762033</v>
      </c>
      <c r="C310" s="243" t="s">
        <v>1268</v>
      </c>
      <c r="D310" s="244">
        <v>30325</v>
      </c>
      <c r="E310" s="243" t="s">
        <v>1269</v>
      </c>
      <c r="F310" s="243" t="s">
        <v>1270</v>
      </c>
      <c r="G310" s="243" t="s">
        <v>1145</v>
      </c>
      <c r="H310" s="313">
        <v>3910</v>
      </c>
      <c r="I310" s="243" t="s">
        <v>616</v>
      </c>
      <c r="J310" s="246">
        <v>40</v>
      </c>
    </row>
    <row r="311" spans="1:10" ht="15" x14ac:dyDescent="0.25">
      <c r="A311" s="243">
        <v>10000620</v>
      </c>
      <c r="B311" s="243">
        <v>8408832921</v>
      </c>
      <c r="C311" s="243" t="s">
        <v>1271</v>
      </c>
      <c r="D311" s="244">
        <v>28832</v>
      </c>
      <c r="E311" s="243" t="s">
        <v>1150</v>
      </c>
      <c r="F311" s="243" t="s">
        <v>1151</v>
      </c>
      <c r="G311" s="243" t="s">
        <v>1109</v>
      </c>
      <c r="H311" s="313">
        <v>2910</v>
      </c>
      <c r="I311" s="243" t="s">
        <v>518</v>
      </c>
      <c r="J311" s="246">
        <v>45</v>
      </c>
    </row>
    <row r="312" spans="1:10" ht="15" x14ac:dyDescent="0.25">
      <c r="A312" s="243">
        <v>10000621</v>
      </c>
      <c r="B312" s="243">
        <v>8437361664</v>
      </c>
      <c r="C312" s="243" t="s">
        <v>1272</v>
      </c>
      <c r="D312" s="244">
        <v>31685</v>
      </c>
      <c r="E312" s="243" t="s">
        <v>858</v>
      </c>
      <c r="F312" s="243" t="s">
        <v>859</v>
      </c>
      <c r="G312" s="243" t="s">
        <v>1109</v>
      </c>
      <c r="H312" s="313">
        <v>2910</v>
      </c>
      <c r="I312" s="243" t="s">
        <v>518</v>
      </c>
      <c r="J312" s="246">
        <v>37</v>
      </c>
    </row>
    <row r="313" spans="1:10" ht="15" x14ac:dyDescent="0.25">
      <c r="A313" s="243">
        <v>10000626</v>
      </c>
      <c r="B313" s="243">
        <v>8409091712</v>
      </c>
      <c r="C313" s="243" t="s">
        <v>1273</v>
      </c>
      <c r="D313" s="244">
        <v>28858</v>
      </c>
      <c r="E313" s="243" t="s">
        <v>1269</v>
      </c>
      <c r="F313" s="243" t="s">
        <v>1270</v>
      </c>
      <c r="G313" s="243" t="s">
        <v>1109</v>
      </c>
      <c r="H313" s="313">
        <v>2910</v>
      </c>
      <c r="I313" s="243" t="s">
        <v>518</v>
      </c>
      <c r="J313" s="246">
        <v>44</v>
      </c>
    </row>
    <row r="314" spans="1:10" ht="15" x14ac:dyDescent="0.25">
      <c r="A314" s="243">
        <v>10000627</v>
      </c>
      <c r="B314" s="243">
        <v>8396595097</v>
      </c>
      <c r="C314" s="243" t="s">
        <v>1274</v>
      </c>
      <c r="D314" s="244">
        <v>27608</v>
      </c>
      <c r="E314" s="243" t="s">
        <v>867</v>
      </c>
      <c r="F314" s="243" t="s">
        <v>868</v>
      </c>
      <c r="G314" s="243" t="s">
        <v>985</v>
      </c>
      <c r="H314" s="313">
        <v>2410</v>
      </c>
      <c r="I314" s="243" t="s">
        <v>462</v>
      </c>
      <c r="J314" s="246">
        <v>48</v>
      </c>
    </row>
    <row r="315" spans="1:10" ht="15" x14ac:dyDescent="0.25">
      <c r="A315" s="243">
        <v>10000629</v>
      </c>
      <c r="B315" s="243">
        <v>8331833333</v>
      </c>
      <c r="C315" s="243" t="s">
        <v>1275</v>
      </c>
      <c r="D315" s="244">
        <v>21132</v>
      </c>
      <c r="E315" s="243" t="s">
        <v>1167</v>
      </c>
      <c r="F315" s="243" t="s">
        <v>1168</v>
      </c>
      <c r="G315" s="243" t="s">
        <v>1109</v>
      </c>
      <c r="H315" s="313">
        <v>2910</v>
      </c>
      <c r="I315" s="243" t="s">
        <v>518</v>
      </c>
      <c r="J315" s="246">
        <v>66</v>
      </c>
    </row>
    <row r="316" spans="1:10" ht="15" x14ac:dyDescent="0.25">
      <c r="A316" s="243">
        <v>10000630</v>
      </c>
      <c r="B316" s="243">
        <v>8415300794</v>
      </c>
      <c r="C316" s="243" t="s">
        <v>1276</v>
      </c>
      <c r="D316" s="244">
        <v>29479</v>
      </c>
      <c r="E316" s="243" t="s">
        <v>870</v>
      </c>
      <c r="F316" s="243" t="s">
        <v>871</v>
      </c>
      <c r="G316" s="243" t="s">
        <v>1179</v>
      </c>
      <c r="H316" s="313">
        <v>3115</v>
      </c>
      <c r="I316" s="243" t="s">
        <v>523</v>
      </c>
      <c r="J316" s="246">
        <v>43</v>
      </c>
    </row>
    <row r="317" spans="1:10" ht="15" x14ac:dyDescent="0.25">
      <c r="A317" s="243">
        <v>10000631</v>
      </c>
      <c r="B317" s="243">
        <v>8407251070</v>
      </c>
      <c r="C317" s="243" t="s">
        <v>1277</v>
      </c>
      <c r="D317" s="244">
        <v>28674</v>
      </c>
      <c r="E317" s="243" t="s">
        <v>1278</v>
      </c>
      <c r="F317" s="243" t="s">
        <v>1279</v>
      </c>
      <c r="G317" s="243" t="s">
        <v>1109</v>
      </c>
      <c r="H317" s="313">
        <v>2524</v>
      </c>
      <c r="I317" s="243" t="s">
        <v>483</v>
      </c>
      <c r="J317" s="246">
        <v>45</v>
      </c>
    </row>
    <row r="318" spans="1:10" ht="15" x14ac:dyDescent="0.25">
      <c r="A318" s="243">
        <v>10000636</v>
      </c>
      <c r="B318" s="243">
        <v>8409820269</v>
      </c>
      <c r="C318" s="243" t="s">
        <v>1280</v>
      </c>
      <c r="D318" s="244">
        <v>28931</v>
      </c>
      <c r="E318" s="243" t="s">
        <v>858</v>
      </c>
      <c r="F318" s="243" t="s">
        <v>859</v>
      </c>
      <c r="G318" s="243" t="s">
        <v>1080</v>
      </c>
      <c r="H318" s="313">
        <v>2169</v>
      </c>
      <c r="I318" s="243" t="s">
        <v>442</v>
      </c>
      <c r="J318" s="246">
        <v>44</v>
      </c>
    </row>
    <row r="319" spans="1:10" ht="15" x14ac:dyDescent="0.25">
      <c r="A319" s="243">
        <v>10000637</v>
      </c>
      <c r="B319" s="243">
        <v>8331381300</v>
      </c>
      <c r="C319" s="243" t="s">
        <v>1281</v>
      </c>
      <c r="D319" s="244">
        <v>21087</v>
      </c>
      <c r="E319" s="243" t="s">
        <v>1138</v>
      </c>
      <c r="F319" s="243" t="s">
        <v>1139</v>
      </c>
      <c r="G319" s="243" t="s">
        <v>1164</v>
      </c>
      <c r="H319" s="313">
        <v>8323</v>
      </c>
      <c r="I319" s="243" t="s">
        <v>794</v>
      </c>
      <c r="J319" s="246">
        <v>66</v>
      </c>
    </row>
    <row r="320" spans="1:10" ht="15" x14ac:dyDescent="0.25">
      <c r="A320" s="243">
        <v>10000638</v>
      </c>
      <c r="B320" s="243">
        <v>8371473184</v>
      </c>
      <c r="C320" s="243" t="s">
        <v>1282</v>
      </c>
      <c r="D320" s="244">
        <v>25096</v>
      </c>
      <c r="E320" s="243" t="s">
        <v>1172</v>
      </c>
      <c r="F320" s="243" t="s">
        <v>1173</v>
      </c>
      <c r="G320" s="243" t="s">
        <v>1145</v>
      </c>
      <c r="H320" s="313">
        <v>4112</v>
      </c>
      <c r="I320" s="243" t="s">
        <v>619</v>
      </c>
      <c r="J320" s="246">
        <v>55</v>
      </c>
    </row>
    <row r="321" spans="1:10" ht="15" x14ac:dyDescent="0.25">
      <c r="A321" s="243">
        <v>10000643</v>
      </c>
      <c r="B321" s="243">
        <v>8401773423</v>
      </c>
      <c r="C321" s="243" t="s">
        <v>1283</v>
      </c>
      <c r="D321" s="244">
        <v>28126</v>
      </c>
      <c r="E321" s="243" t="s">
        <v>1141</v>
      </c>
      <c r="F321" s="243" t="s">
        <v>1142</v>
      </c>
      <c r="G321" s="243" t="s">
        <v>1109</v>
      </c>
      <c r="H321" s="313">
        <v>3611</v>
      </c>
      <c r="I321" s="243" t="s">
        <v>581</v>
      </c>
      <c r="J321" s="246">
        <v>46</v>
      </c>
    </row>
    <row r="322" spans="1:10" ht="15" x14ac:dyDescent="0.25">
      <c r="A322" s="243">
        <v>10000648</v>
      </c>
      <c r="B322" s="243">
        <v>8351943541</v>
      </c>
      <c r="C322" s="243" t="s">
        <v>1284</v>
      </c>
      <c r="D322" s="244">
        <v>23143</v>
      </c>
      <c r="E322" s="243" t="s">
        <v>1198</v>
      </c>
      <c r="F322" s="243" t="s">
        <v>1199</v>
      </c>
      <c r="G322" s="243" t="s">
        <v>1145</v>
      </c>
      <c r="H322" s="313">
        <v>3623</v>
      </c>
      <c r="I322" s="243" t="s">
        <v>590</v>
      </c>
      <c r="J322" s="246">
        <v>60</v>
      </c>
    </row>
    <row r="323" spans="1:10" ht="15" x14ac:dyDescent="0.25">
      <c r="A323" s="243">
        <v>10000657</v>
      </c>
      <c r="B323" s="243">
        <v>8429101519</v>
      </c>
      <c r="C323" s="243" t="s">
        <v>1285</v>
      </c>
      <c r="D323" s="244">
        <v>30859</v>
      </c>
      <c r="E323" s="243" t="s">
        <v>1191</v>
      </c>
      <c r="F323" s="243" t="s">
        <v>1192</v>
      </c>
      <c r="G323" s="243" t="s">
        <v>1109</v>
      </c>
      <c r="H323" s="313">
        <v>1322</v>
      </c>
      <c r="I323" s="243" t="s">
        <v>385</v>
      </c>
      <c r="J323" s="246">
        <v>39</v>
      </c>
    </row>
    <row r="324" spans="1:10" ht="15" x14ac:dyDescent="0.25">
      <c r="A324" s="243">
        <v>10000660</v>
      </c>
      <c r="B324" s="243">
        <v>8398613750</v>
      </c>
      <c r="C324" s="243" t="s">
        <v>1286</v>
      </c>
      <c r="D324" s="244">
        <v>27810</v>
      </c>
      <c r="E324" s="243" t="s">
        <v>1135</v>
      </c>
      <c r="F324" s="243" t="s">
        <v>1136</v>
      </c>
      <c r="G324" s="243" t="s">
        <v>1145</v>
      </c>
      <c r="H324" s="313">
        <v>4229</v>
      </c>
      <c r="I324" s="243" t="s">
        <v>641</v>
      </c>
      <c r="J324" s="246">
        <v>47</v>
      </c>
    </row>
    <row r="325" spans="1:10" ht="15" x14ac:dyDescent="0.25">
      <c r="A325" s="243">
        <v>10000661</v>
      </c>
      <c r="B325" s="243">
        <v>8385382259</v>
      </c>
      <c r="C325" s="243" t="s">
        <v>1287</v>
      </c>
      <c r="D325" s="244">
        <v>26487</v>
      </c>
      <c r="E325" s="243" t="s">
        <v>1198</v>
      </c>
      <c r="F325" s="243" t="s">
        <v>1199</v>
      </c>
      <c r="G325" s="243" t="s">
        <v>1109</v>
      </c>
      <c r="H325" s="313">
        <v>3623</v>
      </c>
      <c r="I325" s="243" t="s">
        <v>590</v>
      </c>
      <c r="J325" s="246">
        <v>51</v>
      </c>
    </row>
    <row r="326" spans="1:10" ht="15" x14ac:dyDescent="0.25">
      <c r="A326" s="243">
        <v>10000663</v>
      </c>
      <c r="B326" s="243">
        <v>8414503373</v>
      </c>
      <c r="C326" s="243" t="s">
        <v>1288</v>
      </c>
      <c r="D326" s="244">
        <v>29399</v>
      </c>
      <c r="E326" s="243" t="s">
        <v>1141</v>
      </c>
      <c r="F326" s="243" t="s">
        <v>1142</v>
      </c>
      <c r="G326" s="243" t="s">
        <v>1109</v>
      </c>
      <c r="H326" s="313">
        <v>3611</v>
      </c>
      <c r="I326" s="243" t="s">
        <v>581</v>
      </c>
      <c r="J326" s="246">
        <v>43</v>
      </c>
    </row>
    <row r="327" spans="1:10" ht="15" x14ac:dyDescent="0.25">
      <c r="A327" s="243">
        <v>10000665</v>
      </c>
      <c r="B327" s="243">
        <v>8424730070</v>
      </c>
      <c r="C327" s="243" t="s">
        <v>1289</v>
      </c>
      <c r="D327" s="244">
        <v>30422</v>
      </c>
      <c r="E327" s="243" t="s">
        <v>1248</v>
      </c>
      <c r="F327" s="243" t="s">
        <v>1249</v>
      </c>
      <c r="G327" s="243" t="s">
        <v>1109</v>
      </c>
      <c r="H327" s="313">
        <v>2910</v>
      </c>
      <c r="I327" s="243" t="s">
        <v>518</v>
      </c>
      <c r="J327" s="246">
        <v>40</v>
      </c>
    </row>
    <row r="328" spans="1:10" ht="15" x14ac:dyDescent="0.25">
      <c r="A328" s="243">
        <v>10000666</v>
      </c>
      <c r="B328" s="243">
        <v>8381490405</v>
      </c>
      <c r="C328" s="243" t="s">
        <v>1290</v>
      </c>
      <c r="D328" s="244">
        <v>26098</v>
      </c>
      <c r="E328" s="243" t="s">
        <v>1141</v>
      </c>
      <c r="F328" s="243" t="s">
        <v>1142</v>
      </c>
      <c r="G328" s="243" t="s">
        <v>1109</v>
      </c>
      <c r="H328" s="313">
        <v>3611</v>
      </c>
      <c r="I328" s="243" t="s">
        <v>581</v>
      </c>
      <c r="J328" s="246">
        <v>52</v>
      </c>
    </row>
    <row r="329" spans="1:10" ht="15" x14ac:dyDescent="0.25">
      <c r="A329" s="243">
        <v>10000670</v>
      </c>
      <c r="B329" s="243">
        <v>8381124921</v>
      </c>
      <c r="C329" s="243" t="s">
        <v>1291</v>
      </c>
      <c r="D329" s="244">
        <v>26061</v>
      </c>
      <c r="E329" s="243" t="s">
        <v>902</v>
      </c>
      <c r="F329" s="243" t="s">
        <v>903</v>
      </c>
      <c r="G329" s="243" t="s">
        <v>864</v>
      </c>
      <c r="H329" s="313">
        <v>2410</v>
      </c>
      <c r="I329" s="243" t="s">
        <v>462</v>
      </c>
      <c r="J329" s="246">
        <v>52</v>
      </c>
    </row>
    <row r="330" spans="1:10" ht="15" x14ac:dyDescent="0.25">
      <c r="A330" s="243">
        <v>10000671</v>
      </c>
      <c r="B330" s="243">
        <v>8432950068</v>
      </c>
      <c r="C330" s="243" t="s">
        <v>1292</v>
      </c>
      <c r="D330" s="244">
        <v>31244</v>
      </c>
      <c r="E330" s="243" t="s">
        <v>1201</v>
      </c>
      <c r="F330" s="243" t="s">
        <v>1202</v>
      </c>
      <c r="G330" s="243" t="s">
        <v>1109</v>
      </c>
      <c r="H330" s="313">
        <v>2910</v>
      </c>
      <c r="I330" s="243" t="s">
        <v>518</v>
      </c>
      <c r="J330" s="246">
        <v>38</v>
      </c>
    </row>
    <row r="331" spans="1:10" ht="15" x14ac:dyDescent="0.25">
      <c r="A331" s="243">
        <v>10000673</v>
      </c>
      <c r="B331" s="243">
        <v>8329381064</v>
      </c>
      <c r="C331" s="243" t="s">
        <v>1293</v>
      </c>
      <c r="D331" s="244">
        <v>20887</v>
      </c>
      <c r="E331" s="243" t="s">
        <v>1138</v>
      </c>
      <c r="F331" s="243" t="s">
        <v>1139</v>
      </c>
      <c r="G331" s="243" t="s">
        <v>1164</v>
      </c>
      <c r="H331" s="313">
        <v>8323</v>
      </c>
      <c r="I331" s="243" t="s">
        <v>794</v>
      </c>
      <c r="J331" s="246">
        <v>66</v>
      </c>
    </row>
    <row r="332" spans="1:10" ht="15" x14ac:dyDescent="0.25">
      <c r="A332" s="243">
        <v>10000677</v>
      </c>
      <c r="B332" s="243">
        <v>8396281300</v>
      </c>
      <c r="C332" s="243" t="s">
        <v>1294</v>
      </c>
      <c r="D332" s="244">
        <v>27577</v>
      </c>
      <c r="E332" s="243" t="s">
        <v>1172</v>
      </c>
      <c r="F332" s="243" t="s">
        <v>1173</v>
      </c>
      <c r="G332" s="243" t="s">
        <v>1145</v>
      </c>
      <c r="H332" s="313">
        <v>3910</v>
      </c>
      <c r="I332" s="243" t="s">
        <v>616</v>
      </c>
      <c r="J332" s="246">
        <v>48</v>
      </c>
    </row>
    <row r="333" spans="1:10" ht="15" x14ac:dyDescent="0.25">
      <c r="A333" s="243">
        <v>10000682</v>
      </c>
      <c r="B333" s="243">
        <v>8439813473</v>
      </c>
      <c r="C333" s="243" t="s">
        <v>1295</v>
      </c>
      <c r="D333" s="244">
        <v>31930</v>
      </c>
      <c r="E333" s="243" t="s">
        <v>1121</v>
      </c>
      <c r="F333" s="243" t="s">
        <v>1122</v>
      </c>
      <c r="G333" s="243" t="s">
        <v>1145</v>
      </c>
      <c r="H333" s="313">
        <v>3910</v>
      </c>
      <c r="I333" s="243" t="s">
        <v>616</v>
      </c>
      <c r="J333" s="246">
        <v>36</v>
      </c>
    </row>
    <row r="334" spans="1:10" ht="15" x14ac:dyDescent="0.25">
      <c r="A334" s="243">
        <v>10000698</v>
      </c>
      <c r="B334" s="243">
        <v>8370633390</v>
      </c>
      <c r="C334" s="243" t="s">
        <v>1296</v>
      </c>
      <c r="D334" s="244">
        <v>25012</v>
      </c>
      <c r="E334" s="243" t="s">
        <v>1121</v>
      </c>
      <c r="F334" s="243" t="s">
        <v>1122</v>
      </c>
      <c r="G334" s="243" t="s">
        <v>1109</v>
      </c>
      <c r="H334" s="313">
        <v>2910</v>
      </c>
      <c r="I334" s="243" t="s">
        <v>518</v>
      </c>
      <c r="J334" s="246">
        <v>55</v>
      </c>
    </row>
    <row r="335" spans="1:10" ht="15" x14ac:dyDescent="0.25">
      <c r="A335" s="243">
        <v>10000700</v>
      </c>
      <c r="B335" s="243">
        <v>8338131113</v>
      </c>
      <c r="C335" s="243" t="s">
        <v>1297</v>
      </c>
      <c r="D335" s="244">
        <v>21762</v>
      </c>
      <c r="E335" s="243" t="s">
        <v>945</v>
      </c>
      <c r="F335" s="243" t="s">
        <v>946</v>
      </c>
      <c r="G335" s="243" t="s">
        <v>1145</v>
      </c>
      <c r="H335" s="313">
        <v>3910</v>
      </c>
      <c r="I335" s="243" t="s">
        <v>616</v>
      </c>
      <c r="J335" s="246">
        <v>64</v>
      </c>
    </row>
    <row r="336" spans="1:10" ht="15" x14ac:dyDescent="0.25">
      <c r="A336" s="243">
        <v>10000705</v>
      </c>
      <c r="B336" s="243">
        <v>8389222558</v>
      </c>
      <c r="C336" s="243" t="s">
        <v>1298</v>
      </c>
      <c r="D336" s="244">
        <v>26871</v>
      </c>
      <c r="E336" s="243" t="s">
        <v>1141</v>
      </c>
      <c r="F336" s="243" t="s">
        <v>1142</v>
      </c>
      <c r="G336" s="243" t="s">
        <v>1145</v>
      </c>
      <c r="H336" s="313">
        <v>3611</v>
      </c>
      <c r="I336" s="243" t="s">
        <v>581</v>
      </c>
      <c r="J336" s="246">
        <v>50</v>
      </c>
    </row>
    <row r="337" spans="1:10" ht="15" x14ac:dyDescent="0.25">
      <c r="A337" s="243">
        <v>10000715</v>
      </c>
      <c r="B337" s="243">
        <v>8361081690</v>
      </c>
      <c r="C337" s="243" t="s">
        <v>1299</v>
      </c>
      <c r="D337" s="244">
        <v>24057</v>
      </c>
      <c r="E337" s="243" t="s">
        <v>1147</v>
      </c>
      <c r="F337" s="243" t="s">
        <v>1148</v>
      </c>
      <c r="G337" s="243" t="s">
        <v>1145</v>
      </c>
      <c r="H337" s="313">
        <v>4134</v>
      </c>
      <c r="I337" s="243" t="s">
        <v>630</v>
      </c>
      <c r="J337" s="246">
        <v>58</v>
      </c>
    </row>
    <row r="338" spans="1:10" ht="15" x14ac:dyDescent="0.25">
      <c r="A338" s="243">
        <v>10000717</v>
      </c>
      <c r="B338" s="243">
        <v>8455730277</v>
      </c>
      <c r="C338" s="243" t="s">
        <v>1300</v>
      </c>
      <c r="D338" s="244">
        <v>33522</v>
      </c>
      <c r="E338" s="243" t="s">
        <v>1141</v>
      </c>
      <c r="F338" s="243" t="s">
        <v>1142</v>
      </c>
      <c r="G338" s="243" t="s">
        <v>1109</v>
      </c>
      <c r="H338" s="313">
        <v>3611</v>
      </c>
      <c r="I338" s="243" t="s">
        <v>581</v>
      </c>
      <c r="J338" s="246">
        <v>32</v>
      </c>
    </row>
    <row r="339" spans="1:10" ht="15" x14ac:dyDescent="0.25">
      <c r="A339" s="243">
        <v>10000718</v>
      </c>
      <c r="B339" s="243">
        <v>8375521736</v>
      </c>
      <c r="C339" s="243" t="s">
        <v>1301</v>
      </c>
      <c r="D339" s="244">
        <v>25501</v>
      </c>
      <c r="E339" s="243" t="s">
        <v>1147</v>
      </c>
      <c r="F339" s="243" t="s">
        <v>1148</v>
      </c>
      <c r="G339" s="243" t="s">
        <v>1145</v>
      </c>
      <c r="H339" s="313">
        <v>4122</v>
      </c>
      <c r="I339" s="243" t="s">
        <v>624</v>
      </c>
      <c r="J339" s="246">
        <v>54</v>
      </c>
    </row>
    <row r="340" spans="1:10" ht="15" x14ac:dyDescent="0.25">
      <c r="A340" s="243">
        <v>10000719</v>
      </c>
      <c r="B340" s="243">
        <v>8397461884</v>
      </c>
      <c r="C340" s="243" t="s">
        <v>1302</v>
      </c>
      <c r="D340" s="244">
        <v>27695</v>
      </c>
      <c r="E340" s="243" t="s">
        <v>1201</v>
      </c>
      <c r="F340" s="243" t="s">
        <v>1202</v>
      </c>
      <c r="G340" s="243" t="s">
        <v>1303</v>
      </c>
      <c r="H340" s="313">
        <v>2910</v>
      </c>
      <c r="I340" s="243" t="s">
        <v>518</v>
      </c>
      <c r="J340" s="246">
        <v>48</v>
      </c>
    </row>
    <row r="341" spans="1:10" ht="15" x14ac:dyDescent="0.25">
      <c r="A341" s="243">
        <v>10000720</v>
      </c>
      <c r="B341" s="243">
        <v>8336301208</v>
      </c>
      <c r="C341" s="243" t="s">
        <v>1304</v>
      </c>
      <c r="D341" s="244">
        <v>21579</v>
      </c>
      <c r="E341" s="243" t="s">
        <v>877</v>
      </c>
      <c r="F341" s="243" t="s">
        <v>878</v>
      </c>
      <c r="G341" s="243" t="s">
        <v>1145</v>
      </c>
      <c r="H341" s="313">
        <v>3910</v>
      </c>
      <c r="I341" s="243" t="s">
        <v>616</v>
      </c>
      <c r="J341" s="246">
        <v>64</v>
      </c>
    </row>
    <row r="342" spans="1:10" ht="15" x14ac:dyDescent="0.25">
      <c r="A342" s="243">
        <v>10000721</v>
      </c>
      <c r="B342" s="243">
        <v>8366942589</v>
      </c>
      <c r="C342" s="243" t="s">
        <v>1305</v>
      </c>
      <c r="D342" s="244">
        <v>24643</v>
      </c>
      <c r="E342" s="243" t="s">
        <v>906</v>
      </c>
      <c r="F342" s="243" t="s">
        <v>907</v>
      </c>
      <c r="G342" s="243" t="s">
        <v>985</v>
      </c>
      <c r="H342" s="313">
        <v>2410</v>
      </c>
      <c r="I342" s="243" t="s">
        <v>462</v>
      </c>
      <c r="J342" s="246">
        <v>56</v>
      </c>
    </row>
    <row r="343" spans="1:10" ht="15" x14ac:dyDescent="0.25">
      <c r="A343" s="243">
        <v>10000724</v>
      </c>
      <c r="B343" s="243">
        <v>8444583421</v>
      </c>
      <c r="C343" s="243" t="s">
        <v>1306</v>
      </c>
      <c r="D343" s="244">
        <v>32407</v>
      </c>
      <c r="E343" s="243" t="s">
        <v>977</v>
      </c>
      <c r="F343" s="243" t="s">
        <v>978</v>
      </c>
      <c r="G343" s="243" t="s">
        <v>1145</v>
      </c>
      <c r="H343" s="313">
        <v>2910</v>
      </c>
      <c r="I343" s="243" t="s">
        <v>518</v>
      </c>
      <c r="J343" s="246">
        <v>35</v>
      </c>
    </row>
    <row r="344" spans="1:10" ht="15" x14ac:dyDescent="0.25">
      <c r="A344" s="243">
        <v>10000728</v>
      </c>
      <c r="B344" s="243">
        <v>8361522107</v>
      </c>
      <c r="C344" s="243" t="s">
        <v>1307</v>
      </c>
      <c r="D344" s="244">
        <v>24101</v>
      </c>
      <c r="E344" s="243" t="s">
        <v>1266</v>
      </c>
      <c r="F344" s="243" t="s">
        <v>1267</v>
      </c>
      <c r="G344" s="243" t="s">
        <v>1109</v>
      </c>
      <c r="H344" s="313">
        <v>1415</v>
      </c>
      <c r="I344" s="243" t="s">
        <v>404</v>
      </c>
      <c r="J344" s="246">
        <v>58</v>
      </c>
    </row>
    <row r="345" spans="1:10" ht="15" x14ac:dyDescent="0.25">
      <c r="A345" s="243">
        <v>10000729</v>
      </c>
      <c r="B345" s="243">
        <v>8344491819</v>
      </c>
      <c r="C345" s="243" t="s">
        <v>1308</v>
      </c>
      <c r="D345" s="244">
        <v>22398</v>
      </c>
      <c r="E345" s="243" t="s">
        <v>1160</v>
      </c>
      <c r="F345" s="243" t="s">
        <v>1161</v>
      </c>
      <c r="G345" s="243" t="s">
        <v>1213</v>
      </c>
      <c r="H345" s="313">
        <v>2711</v>
      </c>
      <c r="I345" s="243" t="s">
        <v>503</v>
      </c>
      <c r="J345" s="246">
        <v>62</v>
      </c>
    </row>
    <row r="346" spans="1:10" ht="15" x14ac:dyDescent="0.25">
      <c r="A346" s="243">
        <v>10000732</v>
      </c>
      <c r="B346" s="243">
        <v>8396223912</v>
      </c>
      <c r="C346" s="243" t="s">
        <v>1309</v>
      </c>
      <c r="D346" s="244">
        <v>27571</v>
      </c>
      <c r="E346" s="243" t="s">
        <v>945</v>
      </c>
      <c r="F346" s="243" t="s">
        <v>946</v>
      </c>
      <c r="G346" s="243" t="s">
        <v>997</v>
      </c>
      <c r="H346" s="313">
        <v>2169</v>
      </c>
      <c r="I346" s="243" t="s">
        <v>442</v>
      </c>
      <c r="J346" s="246">
        <v>48</v>
      </c>
    </row>
    <row r="347" spans="1:10" ht="15" x14ac:dyDescent="0.25">
      <c r="A347" s="243">
        <v>10000734</v>
      </c>
      <c r="B347" s="243">
        <v>8377274515</v>
      </c>
      <c r="C347" s="243" t="s">
        <v>1310</v>
      </c>
      <c r="D347" s="244">
        <v>25676</v>
      </c>
      <c r="E347" s="243" t="s">
        <v>1248</v>
      </c>
      <c r="F347" s="243" t="s">
        <v>1249</v>
      </c>
      <c r="G347" s="243" t="s">
        <v>1109</v>
      </c>
      <c r="H347" s="313">
        <v>2910</v>
      </c>
      <c r="I347" s="243" t="s">
        <v>518</v>
      </c>
      <c r="J347" s="246">
        <v>53</v>
      </c>
    </row>
    <row r="348" spans="1:10" ht="15" x14ac:dyDescent="0.25">
      <c r="A348" s="243">
        <v>10000735</v>
      </c>
      <c r="B348" s="243">
        <v>8357370659</v>
      </c>
      <c r="C348" s="243" t="s">
        <v>1311</v>
      </c>
      <c r="D348" s="244">
        <v>23686</v>
      </c>
      <c r="E348" s="243" t="s">
        <v>1160</v>
      </c>
      <c r="F348" s="243" t="s">
        <v>1161</v>
      </c>
      <c r="G348" s="243" t="s">
        <v>1162</v>
      </c>
      <c r="H348" s="313">
        <v>2719</v>
      </c>
      <c r="I348" s="243" t="s">
        <v>510</v>
      </c>
      <c r="J348" s="246">
        <v>59</v>
      </c>
    </row>
    <row r="349" spans="1:10" ht="15" x14ac:dyDescent="0.25">
      <c r="A349" s="243">
        <v>10000739</v>
      </c>
      <c r="B349" s="243">
        <v>8412333799</v>
      </c>
      <c r="C349" s="243" t="s">
        <v>1312</v>
      </c>
      <c r="D349" s="244">
        <v>29182</v>
      </c>
      <c r="E349" s="243" t="s">
        <v>906</v>
      </c>
      <c r="F349" s="243" t="s">
        <v>907</v>
      </c>
      <c r="G349" s="243" t="s">
        <v>1109</v>
      </c>
      <c r="H349" s="313">
        <v>2910</v>
      </c>
      <c r="I349" s="243" t="s">
        <v>518</v>
      </c>
      <c r="J349" s="246">
        <v>44</v>
      </c>
    </row>
    <row r="350" spans="1:10" ht="15" x14ac:dyDescent="0.25">
      <c r="A350" s="243">
        <v>10000741</v>
      </c>
      <c r="B350" s="243">
        <v>8380810767</v>
      </c>
      <c r="C350" s="243" t="s">
        <v>1313</v>
      </c>
      <c r="D350" s="244">
        <v>26030</v>
      </c>
      <c r="E350" s="243" t="s">
        <v>1138</v>
      </c>
      <c r="F350" s="243" t="s">
        <v>1139</v>
      </c>
      <c r="G350" s="243" t="s">
        <v>1164</v>
      </c>
      <c r="H350" s="313">
        <v>8323</v>
      </c>
      <c r="I350" s="243" t="s">
        <v>794</v>
      </c>
      <c r="J350" s="246">
        <v>52</v>
      </c>
    </row>
    <row r="351" spans="1:10" ht="15" x14ac:dyDescent="0.25">
      <c r="A351" s="243">
        <v>10000742</v>
      </c>
      <c r="B351" s="243">
        <v>8389022850</v>
      </c>
      <c r="C351" s="243" t="s">
        <v>1314</v>
      </c>
      <c r="D351" s="244">
        <v>26851</v>
      </c>
      <c r="E351" s="243" t="s">
        <v>902</v>
      </c>
      <c r="F351" s="243" t="s">
        <v>903</v>
      </c>
      <c r="G351" s="243" t="s">
        <v>1145</v>
      </c>
      <c r="H351" s="313">
        <v>3910</v>
      </c>
      <c r="I351" s="243" t="s">
        <v>616</v>
      </c>
      <c r="J351" s="246">
        <v>50</v>
      </c>
    </row>
    <row r="352" spans="1:10" ht="15" x14ac:dyDescent="0.25">
      <c r="A352" s="243">
        <v>10000743</v>
      </c>
      <c r="B352" s="243">
        <v>8403093829</v>
      </c>
      <c r="C352" s="243" t="s">
        <v>1315</v>
      </c>
      <c r="D352" s="244">
        <v>28258</v>
      </c>
      <c r="E352" s="243" t="s">
        <v>1147</v>
      </c>
      <c r="F352" s="243" t="s">
        <v>1148</v>
      </c>
      <c r="G352" s="243" t="s">
        <v>1303</v>
      </c>
      <c r="H352" s="313">
        <v>4134</v>
      </c>
      <c r="I352" s="243" t="s">
        <v>630</v>
      </c>
      <c r="J352" s="246">
        <v>46</v>
      </c>
    </row>
    <row r="353" spans="1:10" ht="15" x14ac:dyDescent="0.25">
      <c r="A353" s="243">
        <v>10000744</v>
      </c>
      <c r="B353" s="243">
        <v>8393080924</v>
      </c>
      <c r="C353" s="243" t="s">
        <v>1316</v>
      </c>
      <c r="D353" s="244">
        <v>27257</v>
      </c>
      <c r="E353" s="243" t="s">
        <v>1138</v>
      </c>
      <c r="F353" s="243" t="s">
        <v>1139</v>
      </c>
      <c r="G353" s="243" t="s">
        <v>1164</v>
      </c>
      <c r="H353" s="313">
        <v>7223</v>
      </c>
      <c r="I353" s="243" t="s">
        <v>709</v>
      </c>
      <c r="J353" s="246">
        <v>49</v>
      </c>
    </row>
    <row r="354" spans="1:10" ht="15" x14ac:dyDescent="0.25">
      <c r="A354" s="243">
        <v>10000747</v>
      </c>
      <c r="B354" s="243">
        <v>8399231932</v>
      </c>
      <c r="C354" s="243" t="s">
        <v>248</v>
      </c>
      <c r="D354" s="244">
        <v>27872</v>
      </c>
      <c r="E354" s="243" t="s">
        <v>1150</v>
      </c>
      <c r="F354" s="243" t="s">
        <v>1151</v>
      </c>
      <c r="G354" s="243" t="s">
        <v>1145</v>
      </c>
      <c r="H354" s="313">
        <v>3910</v>
      </c>
      <c r="I354" s="243" t="s">
        <v>616</v>
      </c>
      <c r="J354" s="246">
        <v>47</v>
      </c>
    </row>
    <row r="355" spans="1:10" ht="15" x14ac:dyDescent="0.25">
      <c r="A355" s="243">
        <v>10000750</v>
      </c>
      <c r="B355" s="243">
        <v>8415590679</v>
      </c>
      <c r="C355" s="243" t="s">
        <v>1317</v>
      </c>
      <c r="D355" s="244">
        <v>29508</v>
      </c>
      <c r="E355" s="243" t="s">
        <v>1147</v>
      </c>
      <c r="F355" s="243" t="s">
        <v>1148</v>
      </c>
      <c r="G355" s="243" t="s">
        <v>1109</v>
      </c>
      <c r="H355" s="313">
        <v>4134</v>
      </c>
      <c r="I355" s="243" t="s">
        <v>630</v>
      </c>
      <c r="J355" s="246">
        <v>43</v>
      </c>
    </row>
    <row r="356" spans="1:10" ht="15" x14ac:dyDescent="0.25">
      <c r="A356" s="243">
        <v>10000751</v>
      </c>
      <c r="B356" s="243">
        <v>8393854040</v>
      </c>
      <c r="C356" s="243" t="s">
        <v>1318</v>
      </c>
      <c r="D356" s="244">
        <v>27334</v>
      </c>
      <c r="E356" s="243" t="s">
        <v>1248</v>
      </c>
      <c r="F356" s="243" t="s">
        <v>1249</v>
      </c>
      <c r="G356" s="243" t="s">
        <v>1145</v>
      </c>
      <c r="H356" s="313">
        <v>3910</v>
      </c>
      <c r="I356" s="243" t="s">
        <v>616</v>
      </c>
      <c r="J356" s="246">
        <v>49</v>
      </c>
    </row>
    <row r="357" spans="1:10" ht="15" x14ac:dyDescent="0.25">
      <c r="A357" s="243">
        <v>10000752</v>
      </c>
      <c r="B357" s="243">
        <v>8363721875</v>
      </c>
      <c r="C357" s="243" t="s">
        <v>1319</v>
      </c>
      <c r="D357" s="244">
        <v>24321</v>
      </c>
      <c r="E357" s="243" t="s">
        <v>1141</v>
      </c>
      <c r="F357" s="243" t="s">
        <v>1142</v>
      </c>
      <c r="G357" s="243" t="s">
        <v>1109</v>
      </c>
      <c r="H357" s="313">
        <v>1411</v>
      </c>
      <c r="I357" s="243" t="s">
        <v>400</v>
      </c>
      <c r="J357" s="246">
        <v>57</v>
      </c>
    </row>
    <row r="358" spans="1:10" ht="15" x14ac:dyDescent="0.25">
      <c r="A358" s="243">
        <v>10000756</v>
      </c>
      <c r="B358" s="243">
        <v>8373452354</v>
      </c>
      <c r="C358" s="243" t="s">
        <v>1320</v>
      </c>
      <c r="D358" s="244">
        <v>25294</v>
      </c>
      <c r="E358" s="243" t="s">
        <v>1141</v>
      </c>
      <c r="F358" s="243" t="s">
        <v>1142</v>
      </c>
      <c r="G358" s="243" t="s">
        <v>1145</v>
      </c>
      <c r="H358" s="313">
        <v>3611</v>
      </c>
      <c r="I358" s="243" t="s">
        <v>581</v>
      </c>
      <c r="J358" s="246">
        <v>54</v>
      </c>
    </row>
    <row r="359" spans="1:10" ht="15" x14ac:dyDescent="0.25">
      <c r="A359" s="243">
        <v>10000757</v>
      </c>
      <c r="B359" s="243">
        <v>8427040342</v>
      </c>
      <c r="C359" s="243" t="s">
        <v>1321</v>
      </c>
      <c r="D359" s="244">
        <v>30653</v>
      </c>
      <c r="E359" s="243" t="s">
        <v>1167</v>
      </c>
      <c r="F359" s="243" t="s">
        <v>1168</v>
      </c>
      <c r="G359" s="243" t="s">
        <v>1109</v>
      </c>
      <c r="H359" s="313">
        <v>2910</v>
      </c>
      <c r="I359" s="243" t="s">
        <v>518</v>
      </c>
      <c r="J359" s="246">
        <v>40</v>
      </c>
    </row>
    <row r="360" spans="1:10" ht="15" x14ac:dyDescent="0.25">
      <c r="A360" s="243">
        <v>10000758</v>
      </c>
      <c r="B360" s="243">
        <v>8421160273</v>
      </c>
      <c r="C360" s="243" t="s">
        <v>1322</v>
      </c>
      <c r="D360" s="244">
        <v>30065</v>
      </c>
      <c r="E360" s="243" t="s">
        <v>1138</v>
      </c>
      <c r="F360" s="243" t="s">
        <v>1139</v>
      </c>
      <c r="G360" s="243" t="s">
        <v>1164</v>
      </c>
      <c r="H360" s="313">
        <v>7524</v>
      </c>
      <c r="I360" s="243" t="s">
        <v>751</v>
      </c>
      <c r="J360" s="246">
        <v>41</v>
      </c>
    </row>
    <row r="361" spans="1:10" ht="15" x14ac:dyDescent="0.25">
      <c r="A361" s="243">
        <v>10000761</v>
      </c>
      <c r="B361" s="243">
        <v>8409473887</v>
      </c>
      <c r="C361" s="243" t="s">
        <v>1323</v>
      </c>
      <c r="D361" s="244">
        <v>28896</v>
      </c>
      <c r="E361" s="243" t="s">
        <v>1138</v>
      </c>
      <c r="F361" s="243" t="s">
        <v>1139</v>
      </c>
      <c r="G361" s="243" t="s">
        <v>1164</v>
      </c>
      <c r="H361" s="313">
        <v>7521</v>
      </c>
      <c r="I361" s="243" t="s">
        <v>748</v>
      </c>
      <c r="J361" s="246">
        <v>44</v>
      </c>
    </row>
    <row r="362" spans="1:10" ht="15" x14ac:dyDescent="0.25">
      <c r="A362" s="243">
        <v>10000762</v>
      </c>
      <c r="B362" s="243">
        <v>8338512761</v>
      </c>
      <c r="C362" s="243" t="s">
        <v>1324</v>
      </c>
      <c r="D362" s="244">
        <v>21800</v>
      </c>
      <c r="E362" s="243" t="s">
        <v>1160</v>
      </c>
      <c r="F362" s="243" t="s">
        <v>1161</v>
      </c>
      <c r="G362" s="243" t="s">
        <v>1325</v>
      </c>
      <c r="H362" s="313">
        <v>3713</v>
      </c>
      <c r="I362" s="243" t="s">
        <v>608</v>
      </c>
      <c r="J362" s="246">
        <v>64</v>
      </c>
    </row>
    <row r="363" spans="1:10" ht="15" x14ac:dyDescent="0.25">
      <c r="A363" s="243">
        <v>10000766</v>
      </c>
      <c r="B363" s="243">
        <v>8417004319</v>
      </c>
      <c r="C363" s="243" t="s">
        <v>1326</v>
      </c>
      <c r="D363" s="244">
        <v>29649</v>
      </c>
      <c r="E363" s="243" t="s">
        <v>1243</v>
      </c>
      <c r="F363" s="243" t="s">
        <v>1244</v>
      </c>
      <c r="G363" s="243" t="s">
        <v>1109</v>
      </c>
      <c r="H363" s="313">
        <v>2532</v>
      </c>
      <c r="I363" s="243" t="s">
        <v>485</v>
      </c>
      <c r="J363" s="246">
        <v>42</v>
      </c>
    </row>
    <row r="364" spans="1:10" ht="15" x14ac:dyDescent="0.25">
      <c r="A364" s="243">
        <v>10000767</v>
      </c>
      <c r="B364" s="243">
        <v>8415041640</v>
      </c>
      <c r="C364" s="243" t="s">
        <v>1327</v>
      </c>
      <c r="D364" s="244">
        <v>29453</v>
      </c>
      <c r="E364" s="243" t="s">
        <v>1157</v>
      </c>
      <c r="F364" s="243" t="s">
        <v>1158</v>
      </c>
      <c r="G364" s="243" t="s">
        <v>1145</v>
      </c>
      <c r="H364" s="313">
        <v>3910</v>
      </c>
      <c r="I364" s="243" t="s">
        <v>616</v>
      </c>
      <c r="J364" s="246">
        <v>43</v>
      </c>
    </row>
    <row r="365" spans="1:10" ht="15" x14ac:dyDescent="0.25">
      <c r="A365" s="243">
        <v>10000768</v>
      </c>
      <c r="B365" s="243">
        <v>8355040880</v>
      </c>
      <c r="C365" s="243" t="s">
        <v>1328</v>
      </c>
      <c r="D365" s="244">
        <v>23453</v>
      </c>
      <c r="E365" s="243" t="s">
        <v>891</v>
      </c>
      <c r="F365" s="243" t="s">
        <v>892</v>
      </c>
      <c r="G365" s="243" t="s">
        <v>1179</v>
      </c>
      <c r="H365" s="313">
        <v>2164</v>
      </c>
      <c r="I365" s="243" t="s">
        <v>437</v>
      </c>
      <c r="J365" s="246">
        <v>59</v>
      </c>
    </row>
    <row r="366" spans="1:10" ht="15" x14ac:dyDescent="0.25">
      <c r="A366" s="243">
        <v>10000775</v>
      </c>
      <c r="B366" s="243">
        <v>8435411451</v>
      </c>
      <c r="C366" s="243" t="s">
        <v>1329</v>
      </c>
      <c r="D366" s="244">
        <v>31490</v>
      </c>
      <c r="E366" s="243" t="s">
        <v>945</v>
      </c>
      <c r="F366" s="243" t="s">
        <v>946</v>
      </c>
      <c r="G366" s="243" t="s">
        <v>1080</v>
      </c>
      <c r="H366" s="313">
        <v>2169</v>
      </c>
      <c r="I366" s="243" t="s">
        <v>442</v>
      </c>
      <c r="J366" s="246">
        <v>37</v>
      </c>
    </row>
    <row r="367" spans="1:10" ht="15" x14ac:dyDescent="0.25">
      <c r="A367" s="243">
        <v>10000778</v>
      </c>
      <c r="B367" s="243">
        <v>8418862165</v>
      </c>
      <c r="C367" s="243" t="s">
        <v>1330</v>
      </c>
      <c r="D367" s="244">
        <v>29835</v>
      </c>
      <c r="E367" s="243" t="s">
        <v>1172</v>
      </c>
      <c r="F367" s="243" t="s">
        <v>1173</v>
      </c>
      <c r="G367" s="243" t="s">
        <v>1109</v>
      </c>
      <c r="H367" s="313">
        <v>1329</v>
      </c>
      <c r="I367" s="243" t="s">
        <v>392</v>
      </c>
      <c r="J367" s="246">
        <v>42</v>
      </c>
    </row>
    <row r="368" spans="1:10" ht="15" x14ac:dyDescent="0.25">
      <c r="A368" s="243">
        <v>10000781</v>
      </c>
      <c r="B368" s="243">
        <v>8375633437</v>
      </c>
      <c r="C368" s="243" t="s">
        <v>1331</v>
      </c>
      <c r="D368" s="244">
        <v>25512</v>
      </c>
      <c r="E368" s="243" t="s">
        <v>1135</v>
      </c>
      <c r="F368" s="243" t="s">
        <v>1136</v>
      </c>
      <c r="G368" s="243" t="s">
        <v>1145</v>
      </c>
      <c r="H368" s="313">
        <v>4229</v>
      </c>
      <c r="I368" s="243" t="s">
        <v>641</v>
      </c>
      <c r="J368" s="246">
        <v>54</v>
      </c>
    </row>
    <row r="369" spans="1:10" ht="15" x14ac:dyDescent="0.25">
      <c r="A369" s="243">
        <v>10000784</v>
      </c>
      <c r="B369" s="243">
        <v>8396416036</v>
      </c>
      <c r="C369" s="243" t="s">
        <v>1332</v>
      </c>
      <c r="D369" s="244">
        <v>27590</v>
      </c>
      <c r="E369" s="243" t="s">
        <v>870</v>
      </c>
      <c r="F369" s="243" t="s">
        <v>871</v>
      </c>
      <c r="G369" s="243" t="s">
        <v>1145</v>
      </c>
      <c r="H369" s="313">
        <v>4111</v>
      </c>
      <c r="I369" s="243" t="s">
        <v>618</v>
      </c>
      <c r="J369" s="246">
        <v>48</v>
      </c>
    </row>
    <row r="370" spans="1:10" ht="15" x14ac:dyDescent="0.25">
      <c r="A370" s="243">
        <v>10000785</v>
      </c>
      <c r="B370" s="243">
        <v>8404371083</v>
      </c>
      <c r="C370" s="243" t="s">
        <v>1333</v>
      </c>
      <c r="D370" s="244">
        <v>28386</v>
      </c>
      <c r="E370" s="243" t="s">
        <v>1198</v>
      </c>
      <c r="F370" s="243" t="s">
        <v>1199</v>
      </c>
      <c r="G370" s="243" t="s">
        <v>1145</v>
      </c>
      <c r="H370" s="313">
        <v>2910</v>
      </c>
      <c r="I370" s="243" t="s">
        <v>518</v>
      </c>
      <c r="J370" s="246">
        <v>46</v>
      </c>
    </row>
    <row r="371" spans="1:10" ht="15" x14ac:dyDescent="0.25">
      <c r="A371" s="243">
        <v>10000788</v>
      </c>
      <c r="B371" s="243">
        <v>8421461990</v>
      </c>
      <c r="C371" s="243" t="s">
        <v>1334</v>
      </c>
      <c r="D371" s="244">
        <v>30095</v>
      </c>
      <c r="E371" s="243" t="s">
        <v>1138</v>
      </c>
      <c r="F371" s="243" t="s">
        <v>1139</v>
      </c>
      <c r="G371" s="243" t="s">
        <v>1164</v>
      </c>
      <c r="H371" s="313">
        <v>7223</v>
      </c>
      <c r="I371" s="243" t="s">
        <v>709</v>
      </c>
      <c r="J371" s="246">
        <v>41</v>
      </c>
    </row>
    <row r="372" spans="1:10" ht="15" x14ac:dyDescent="0.25">
      <c r="A372" s="243">
        <v>10000797</v>
      </c>
      <c r="B372" s="243">
        <v>8397324542</v>
      </c>
      <c r="C372" s="243" t="s">
        <v>1335</v>
      </c>
      <c r="D372" s="244">
        <v>27681</v>
      </c>
      <c r="E372" s="243" t="s">
        <v>1121</v>
      </c>
      <c r="F372" s="243" t="s">
        <v>1122</v>
      </c>
      <c r="G372" s="243" t="s">
        <v>1109</v>
      </c>
      <c r="H372" s="313">
        <v>2910</v>
      </c>
      <c r="I372" s="243" t="s">
        <v>518</v>
      </c>
      <c r="J372" s="246">
        <v>48</v>
      </c>
    </row>
    <row r="373" spans="1:10" ht="15" x14ac:dyDescent="0.25">
      <c r="A373" s="243">
        <v>10000798</v>
      </c>
      <c r="B373" s="243">
        <v>8408180045</v>
      </c>
      <c r="C373" s="243" t="s">
        <v>1336</v>
      </c>
      <c r="D373" s="244">
        <v>28767</v>
      </c>
      <c r="E373" s="243" t="s">
        <v>1121</v>
      </c>
      <c r="F373" s="243" t="s">
        <v>1122</v>
      </c>
      <c r="G373" s="243" t="s">
        <v>1145</v>
      </c>
      <c r="H373" s="313">
        <v>2910</v>
      </c>
      <c r="I373" s="243" t="s">
        <v>518</v>
      </c>
      <c r="J373" s="246">
        <v>45</v>
      </c>
    </row>
    <row r="374" spans="1:10" ht="15" x14ac:dyDescent="0.25">
      <c r="A374" s="243">
        <v>10000801</v>
      </c>
      <c r="B374" s="243">
        <v>8374203714</v>
      </c>
      <c r="C374" s="243" t="s">
        <v>1337</v>
      </c>
      <c r="D374" s="244">
        <v>25369</v>
      </c>
      <c r="E374" s="243" t="s">
        <v>1141</v>
      </c>
      <c r="F374" s="243" t="s">
        <v>1142</v>
      </c>
      <c r="G374" s="243" t="s">
        <v>1145</v>
      </c>
      <c r="H374" s="313">
        <v>3611</v>
      </c>
      <c r="I374" s="243" t="s">
        <v>581</v>
      </c>
      <c r="J374" s="246">
        <v>54</v>
      </c>
    </row>
    <row r="375" spans="1:10" ht="15" x14ac:dyDescent="0.25">
      <c r="A375" s="243">
        <v>10000802</v>
      </c>
      <c r="B375" s="243">
        <v>8426450946</v>
      </c>
      <c r="C375" s="243" t="s">
        <v>1338</v>
      </c>
      <c r="D375" s="244">
        <v>30594</v>
      </c>
      <c r="E375" s="243" t="s">
        <v>945</v>
      </c>
      <c r="F375" s="243" t="s">
        <v>946</v>
      </c>
      <c r="G375" s="243" t="s">
        <v>1080</v>
      </c>
      <c r="H375" s="313">
        <v>2139</v>
      </c>
      <c r="I375" s="243" t="s">
        <v>425</v>
      </c>
      <c r="J375" s="246">
        <v>40</v>
      </c>
    </row>
    <row r="376" spans="1:10" ht="15" x14ac:dyDescent="0.25">
      <c r="A376" s="243">
        <v>10000803</v>
      </c>
      <c r="B376" s="243">
        <v>8379480910</v>
      </c>
      <c r="C376" s="243" t="s">
        <v>247</v>
      </c>
      <c r="D376" s="244">
        <v>25897</v>
      </c>
      <c r="E376" s="243" t="s">
        <v>1160</v>
      </c>
      <c r="F376" s="243" t="s">
        <v>1161</v>
      </c>
      <c r="G376" s="243" t="s">
        <v>1213</v>
      </c>
      <c r="H376" s="313">
        <v>2711</v>
      </c>
      <c r="I376" s="243" t="s">
        <v>503</v>
      </c>
      <c r="J376" s="246">
        <v>53</v>
      </c>
    </row>
    <row r="377" spans="1:10" ht="15" x14ac:dyDescent="0.25">
      <c r="A377" s="243">
        <v>10000806</v>
      </c>
      <c r="B377" s="243">
        <v>8401873142</v>
      </c>
      <c r="C377" s="243" t="s">
        <v>1339</v>
      </c>
      <c r="D377" s="244">
        <v>28136</v>
      </c>
      <c r="E377" s="243" t="s">
        <v>1141</v>
      </c>
      <c r="F377" s="243" t="s">
        <v>1142</v>
      </c>
      <c r="G377" s="243" t="s">
        <v>1145</v>
      </c>
      <c r="H377" s="313">
        <v>3611</v>
      </c>
      <c r="I377" s="243" t="s">
        <v>581</v>
      </c>
      <c r="J377" s="246">
        <v>46</v>
      </c>
    </row>
    <row r="378" spans="1:10" ht="15" x14ac:dyDescent="0.25">
      <c r="A378" s="243">
        <v>10000811</v>
      </c>
      <c r="B378" s="243">
        <v>8357793207</v>
      </c>
      <c r="C378" s="243" t="s">
        <v>1340</v>
      </c>
      <c r="D378" s="244">
        <v>23728</v>
      </c>
      <c r="E378" s="243" t="s">
        <v>1243</v>
      </c>
      <c r="F378" s="243" t="s">
        <v>1244</v>
      </c>
      <c r="G378" s="243" t="s">
        <v>1109</v>
      </c>
      <c r="H378" s="313">
        <v>2910</v>
      </c>
      <c r="I378" s="243" t="s">
        <v>518</v>
      </c>
      <c r="J378" s="246">
        <v>59</v>
      </c>
    </row>
    <row r="379" spans="1:10" ht="15" x14ac:dyDescent="0.25">
      <c r="A379" s="243">
        <v>10000813</v>
      </c>
      <c r="B379" s="243">
        <v>8414381804</v>
      </c>
      <c r="C379" s="243" t="s">
        <v>1341</v>
      </c>
      <c r="D379" s="244">
        <v>29387</v>
      </c>
      <c r="E379" s="243" t="s">
        <v>1248</v>
      </c>
      <c r="F379" s="243" t="s">
        <v>1249</v>
      </c>
      <c r="G379" s="243" t="s">
        <v>1109</v>
      </c>
      <c r="H379" s="313">
        <v>2910</v>
      </c>
      <c r="I379" s="243" t="s">
        <v>518</v>
      </c>
      <c r="J379" s="246">
        <v>43</v>
      </c>
    </row>
    <row r="380" spans="1:10" ht="15" x14ac:dyDescent="0.25">
      <c r="A380" s="243">
        <v>10000814</v>
      </c>
      <c r="B380" s="243">
        <v>8419842826</v>
      </c>
      <c r="C380" s="243" t="s">
        <v>1342</v>
      </c>
      <c r="D380" s="244">
        <v>29933</v>
      </c>
      <c r="E380" s="243" t="s">
        <v>1150</v>
      </c>
      <c r="F380" s="243" t="s">
        <v>1151</v>
      </c>
      <c r="G380" s="243" t="s">
        <v>1145</v>
      </c>
      <c r="H380" s="313">
        <v>3910</v>
      </c>
      <c r="I380" s="243" t="s">
        <v>616</v>
      </c>
      <c r="J380" s="246">
        <v>42</v>
      </c>
    </row>
    <row r="381" spans="1:10" ht="15" x14ac:dyDescent="0.25">
      <c r="A381" s="243">
        <v>10000819</v>
      </c>
      <c r="B381" s="243">
        <v>8393701074</v>
      </c>
      <c r="C381" s="243" t="s">
        <v>1343</v>
      </c>
      <c r="D381" s="244">
        <v>27319</v>
      </c>
      <c r="E381" s="243" t="s">
        <v>1141</v>
      </c>
      <c r="F381" s="243" t="s">
        <v>1142</v>
      </c>
      <c r="G381" s="243" t="s">
        <v>1109</v>
      </c>
      <c r="H381" s="313">
        <v>2152</v>
      </c>
      <c r="I381" s="243" t="s">
        <v>432</v>
      </c>
      <c r="J381" s="246">
        <v>49</v>
      </c>
    </row>
    <row r="382" spans="1:10" ht="15" x14ac:dyDescent="0.25">
      <c r="A382" s="243">
        <v>10000820</v>
      </c>
      <c r="B382" s="243">
        <v>8400535464</v>
      </c>
      <c r="C382" s="243" t="s">
        <v>1344</v>
      </c>
      <c r="D382" s="244">
        <v>28002</v>
      </c>
      <c r="E382" s="243" t="s">
        <v>1201</v>
      </c>
      <c r="F382" s="243" t="s">
        <v>1202</v>
      </c>
      <c r="G382" s="243" t="s">
        <v>1109</v>
      </c>
      <c r="H382" s="313">
        <v>2910</v>
      </c>
      <c r="I382" s="243" t="s">
        <v>518</v>
      </c>
      <c r="J382" s="246">
        <v>47</v>
      </c>
    </row>
    <row r="383" spans="1:10" ht="15" x14ac:dyDescent="0.25">
      <c r="A383" s="243">
        <v>10000830</v>
      </c>
      <c r="B383" s="243">
        <v>8386094052</v>
      </c>
      <c r="C383" s="243" t="s">
        <v>1345</v>
      </c>
      <c r="D383" s="244">
        <v>26558</v>
      </c>
      <c r="E383" s="243" t="s">
        <v>1141</v>
      </c>
      <c r="F383" s="243" t="s">
        <v>1142</v>
      </c>
      <c r="G383" s="243" t="s">
        <v>1145</v>
      </c>
      <c r="H383" s="313">
        <v>3611</v>
      </c>
      <c r="I383" s="243" t="s">
        <v>581</v>
      </c>
      <c r="J383" s="246">
        <v>51</v>
      </c>
    </row>
    <row r="384" spans="1:10" ht="15" x14ac:dyDescent="0.25">
      <c r="A384" s="243">
        <v>10000831</v>
      </c>
      <c r="B384" s="243">
        <v>8422492644</v>
      </c>
      <c r="C384" s="243" t="s">
        <v>1346</v>
      </c>
      <c r="D384" s="244">
        <v>30198</v>
      </c>
      <c r="E384" s="243" t="s">
        <v>1269</v>
      </c>
      <c r="F384" s="243" t="s">
        <v>1270</v>
      </c>
      <c r="G384" s="243" t="s">
        <v>1109</v>
      </c>
      <c r="H384" s="313">
        <v>2910</v>
      </c>
      <c r="I384" s="243" t="s">
        <v>518</v>
      </c>
      <c r="J384" s="246">
        <v>41</v>
      </c>
    </row>
    <row r="385" spans="1:10" ht="15" x14ac:dyDescent="0.25">
      <c r="A385" s="243">
        <v>10000832</v>
      </c>
      <c r="B385" s="243">
        <v>8416513058</v>
      </c>
      <c r="C385" s="243" t="s">
        <v>1347</v>
      </c>
      <c r="D385" s="244">
        <v>29600</v>
      </c>
      <c r="E385" s="243" t="s">
        <v>1147</v>
      </c>
      <c r="F385" s="243" t="s">
        <v>1148</v>
      </c>
      <c r="G385" s="243" t="s">
        <v>1109</v>
      </c>
      <c r="H385" s="313">
        <v>4122</v>
      </c>
      <c r="I385" s="243" t="s">
        <v>624</v>
      </c>
      <c r="J385" s="246">
        <v>42</v>
      </c>
    </row>
    <row r="386" spans="1:10" ht="15" x14ac:dyDescent="0.25">
      <c r="A386" s="243">
        <v>10000833</v>
      </c>
      <c r="B386" s="243">
        <v>8380550846</v>
      </c>
      <c r="C386" s="243" t="s">
        <v>1348</v>
      </c>
      <c r="D386" s="244">
        <v>26004</v>
      </c>
      <c r="E386" s="243" t="s">
        <v>1138</v>
      </c>
      <c r="F386" s="243" t="s">
        <v>1139</v>
      </c>
      <c r="G386" s="243" t="s">
        <v>1164</v>
      </c>
      <c r="H386" s="313">
        <v>7521</v>
      </c>
      <c r="I386" s="243" t="s">
        <v>748</v>
      </c>
      <c r="J386" s="246">
        <v>52</v>
      </c>
    </row>
    <row r="387" spans="1:10" ht="15" x14ac:dyDescent="0.25">
      <c r="A387" s="243">
        <v>10000840</v>
      </c>
      <c r="B387" s="243">
        <v>8397945369</v>
      </c>
      <c r="C387" s="243" t="s">
        <v>1349</v>
      </c>
      <c r="D387" s="244">
        <v>27743</v>
      </c>
      <c r="E387" s="243" t="s">
        <v>1167</v>
      </c>
      <c r="F387" s="243" t="s">
        <v>1168</v>
      </c>
      <c r="G387" s="243" t="s">
        <v>1145</v>
      </c>
      <c r="H387" s="313">
        <v>3910</v>
      </c>
      <c r="I387" s="243" t="s">
        <v>616</v>
      </c>
      <c r="J387" s="246">
        <v>48</v>
      </c>
    </row>
    <row r="388" spans="1:10" ht="15" x14ac:dyDescent="0.25">
      <c r="A388" s="243">
        <v>10000843</v>
      </c>
      <c r="B388" s="243">
        <v>8420503533</v>
      </c>
      <c r="C388" s="243" t="s">
        <v>1350</v>
      </c>
      <c r="D388" s="244">
        <v>29999</v>
      </c>
      <c r="E388" s="243" t="s">
        <v>1121</v>
      </c>
      <c r="F388" s="243" t="s">
        <v>1122</v>
      </c>
      <c r="G388" s="243" t="s">
        <v>1213</v>
      </c>
      <c r="H388" s="313">
        <v>2711</v>
      </c>
      <c r="I388" s="243" t="s">
        <v>503</v>
      </c>
      <c r="J388" s="246">
        <v>41</v>
      </c>
    </row>
    <row r="389" spans="1:10" ht="15" x14ac:dyDescent="0.25">
      <c r="A389" s="243">
        <v>10000845</v>
      </c>
      <c r="B389" s="243">
        <v>8375101591</v>
      </c>
      <c r="C389" s="243" t="s">
        <v>1351</v>
      </c>
      <c r="D389" s="244">
        <v>25459</v>
      </c>
      <c r="E389" s="243" t="s">
        <v>1150</v>
      </c>
      <c r="F389" s="243" t="s">
        <v>1151</v>
      </c>
      <c r="G389" s="243" t="s">
        <v>1145</v>
      </c>
      <c r="H389" s="313">
        <v>3910</v>
      </c>
      <c r="I389" s="243" t="s">
        <v>616</v>
      </c>
      <c r="J389" s="246">
        <v>54</v>
      </c>
    </row>
    <row r="390" spans="1:10" ht="15" x14ac:dyDescent="0.25">
      <c r="A390" s="243">
        <v>10000846</v>
      </c>
      <c r="B390" s="243">
        <v>8434440679</v>
      </c>
      <c r="C390" s="243" t="s">
        <v>1352</v>
      </c>
      <c r="D390" s="244">
        <v>31393</v>
      </c>
      <c r="E390" s="243" t="s">
        <v>1135</v>
      </c>
      <c r="F390" s="243" t="s">
        <v>1136</v>
      </c>
      <c r="G390" s="243" t="s">
        <v>1145</v>
      </c>
      <c r="H390" s="313">
        <v>2524</v>
      </c>
      <c r="I390" s="243" t="s">
        <v>483</v>
      </c>
      <c r="J390" s="246">
        <v>38</v>
      </c>
    </row>
    <row r="391" spans="1:10" ht="15" x14ac:dyDescent="0.25">
      <c r="A391" s="243">
        <v>10000847</v>
      </c>
      <c r="B391" s="243">
        <v>8413841763</v>
      </c>
      <c r="C391" s="243" t="s">
        <v>1353</v>
      </c>
      <c r="D391" s="244">
        <v>29333</v>
      </c>
      <c r="E391" s="243" t="s">
        <v>1160</v>
      </c>
      <c r="F391" s="243" t="s">
        <v>1161</v>
      </c>
      <c r="G391" s="243" t="s">
        <v>1213</v>
      </c>
      <c r="H391" s="313">
        <v>2711</v>
      </c>
      <c r="I391" s="243" t="s">
        <v>503</v>
      </c>
      <c r="J391" s="246">
        <v>43</v>
      </c>
    </row>
    <row r="392" spans="1:10" ht="15" x14ac:dyDescent="0.25">
      <c r="A392" s="243">
        <v>10000849</v>
      </c>
      <c r="B392" s="243">
        <v>8337512741</v>
      </c>
      <c r="C392" s="243" t="s">
        <v>1354</v>
      </c>
      <c r="D392" s="244">
        <v>21700</v>
      </c>
      <c r="E392" s="243" t="s">
        <v>870</v>
      </c>
      <c r="F392" s="243" t="s">
        <v>871</v>
      </c>
      <c r="G392" s="243" t="s">
        <v>1080</v>
      </c>
      <c r="H392" s="313">
        <v>2117</v>
      </c>
      <c r="I392" s="243" t="s">
        <v>413</v>
      </c>
      <c r="J392" s="246">
        <v>64</v>
      </c>
    </row>
    <row r="393" spans="1:10" ht="15" x14ac:dyDescent="0.25">
      <c r="A393" s="243">
        <v>10000850</v>
      </c>
      <c r="B393" s="243">
        <v>8439131399</v>
      </c>
      <c r="C393" s="243" t="s">
        <v>1355</v>
      </c>
      <c r="D393" s="244">
        <v>31862</v>
      </c>
      <c r="E393" s="243" t="s">
        <v>870</v>
      </c>
      <c r="F393" s="243" t="s">
        <v>871</v>
      </c>
      <c r="G393" s="243" t="s">
        <v>997</v>
      </c>
      <c r="H393" s="313">
        <v>2139</v>
      </c>
      <c r="I393" s="243" t="s">
        <v>425</v>
      </c>
      <c r="J393" s="246">
        <v>36</v>
      </c>
    </row>
    <row r="394" spans="1:10" ht="15" x14ac:dyDescent="0.25">
      <c r="A394" s="243">
        <v>10000866</v>
      </c>
      <c r="B394" s="243">
        <v>8441412952</v>
      </c>
      <c r="C394" s="243" t="s">
        <v>1356</v>
      </c>
      <c r="D394" s="244">
        <v>32090</v>
      </c>
      <c r="E394" s="243" t="s">
        <v>858</v>
      </c>
      <c r="F394" s="243" t="s">
        <v>859</v>
      </c>
      <c r="G394" s="243" t="s">
        <v>872</v>
      </c>
      <c r="H394" s="313">
        <v>2410</v>
      </c>
      <c r="I394" s="243" t="s">
        <v>462</v>
      </c>
      <c r="J394" s="246">
        <v>36</v>
      </c>
    </row>
    <row r="395" spans="1:10" ht="15" x14ac:dyDescent="0.25">
      <c r="A395" s="243">
        <v>10000868</v>
      </c>
      <c r="B395" s="243">
        <v>8408953524</v>
      </c>
      <c r="C395" s="243" t="s">
        <v>1357</v>
      </c>
      <c r="D395" s="244">
        <v>28844</v>
      </c>
      <c r="E395" s="243" t="s">
        <v>884</v>
      </c>
      <c r="F395" s="243" t="s">
        <v>885</v>
      </c>
      <c r="G395" s="243" t="s">
        <v>1358</v>
      </c>
      <c r="H395" s="313">
        <v>2910</v>
      </c>
      <c r="I395" s="243" t="s">
        <v>518</v>
      </c>
      <c r="J395" s="246">
        <v>45</v>
      </c>
    </row>
    <row r="396" spans="1:10" ht="15" x14ac:dyDescent="0.25">
      <c r="A396" s="243">
        <v>10000872</v>
      </c>
      <c r="B396" s="243">
        <v>8412171462</v>
      </c>
      <c r="C396" s="243" t="s">
        <v>1359</v>
      </c>
      <c r="D396" s="244">
        <v>29166</v>
      </c>
      <c r="E396" s="243" t="s">
        <v>858</v>
      </c>
      <c r="F396" s="243" t="s">
        <v>859</v>
      </c>
      <c r="G396" s="243" t="s">
        <v>997</v>
      </c>
      <c r="H396" s="313">
        <v>2117</v>
      </c>
      <c r="I396" s="243" t="s">
        <v>413</v>
      </c>
      <c r="J396" s="246">
        <v>44</v>
      </c>
    </row>
    <row r="397" spans="1:10" ht="15" x14ac:dyDescent="0.25">
      <c r="A397" s="243">
        <v>10000875</v>
      </c>
      <c r="B397" s="243">
        <v>8443330120</v>
      </c>
      <c r="C397" s="243" t="s">
        <v>1360</v>
      </c>
      <c r="D397" s="244">
        <v>32282</v>
      </c>
      <c r="E397" s="243" t="s">
        <v>884</v>
      </c>
      <c r="F397" s="243" t="s">
        <v>885</v>
      </c>
      <c r="G397" s="243" t="s">
        <v>1109</v>
      </c>
      <c r="H397" s="313">
        <v>2149</v>
      </c>
      <c r="I397" s="243" t="s">
        <v>430</v>
      </c>
      <c r="J397" s="246">
        <v>35</v>
      </c>
    </row>
    <row r="398" spans="1:10" ht="15" x14ac:dyDescent="0.25">
      <c r="A398" s="243">
        <v>10000885</v>
      </c>
      <c r="B398" s="243">
        <v>8447501310</v>
      </c>
      <c r="C398" s="243" t="s">
        <v>1361</v>
      </c>
      <c r="D398" s="244">
        <v>32699</v>
      </c>
      <c r="E398" s="243" t="s">
        <v>936</v>
      </c>
      <c r="F398" s="243" t="s">
        <v>937</v>
      </c>
      <c r="G398" s="243" t="s">
        <v>872</v>
      </c>
      <c r="H398" s="313">
        <v>2410</v>
      </c>
      <c r="I398" s="243" t="s">
        <v>462</v>
      </c>
      <c r="J398" s="246">
        <v>34</v>
      </c>
    </row>
    <row r="399" spans="1:10" ht="15" x14ac:dyDescent="0.25">
      <c r="A399" s="243">
        <v>10000886</v>
      </c>
      <c r="B399" s="243">
        <v>8447570010</v>
      </c>
      <c r="C399" s="243" t="s">
        <v>1362</v>
      </c>
      <c r="D399" s="244">
        <v>32706</v>
      </c>
      <c r="E399" s="243" t="s">
        <v>936</v>
      </c>
      <c r="F399" s="243" t="s">
        <v>937</v>
      </c>
      <c r="G399" s="243" t="s">
        <v>872</v>
      </c>
      <c r="H399" s="313">
        <v>2410</v>
      </c>
      <c r="I399" s="243" t="s">
        <v>462</v>
      </c>
      <c r="J399" s="246">
        <v>34</v>
      </c>
    </row>
    <row r="400" spans="1:10" ht="15" x14ac:dyDescent="0.25">
      <c r="A400" s="243">
        <v>10000888</v>
      </c>
      <c r="B400" s="243">
        <v>8386893362</v>
      </c>
      <c r="C400" s="243" t="s">
        <v>1363</v>
      </c>
      <c r="D400" s="244">
        <v>26638</v>
      </c>
      <c r="E400" s="243" t="s">
        <v>858</v>
      </c>
      <c r="F400" s="243" t="s">
        <v>859</v>
      </c>
      <c r="G400" s="243" t="s">
        <v>1080</v>
      </c>
      <c r="H400" s="313">
        <v>2139</v>
      </c>
      <c r="I400" s="243" t="s">
        <v>425</v>
      </c>
      <c r="J400" s="246">
        <v>51</v>
      </c>
    </row>
    <row r="401" spans="1:10" ht="15" x14ac:dyDescent="0.25">
      <c r="A401" s="243">
        <v>10000889</v>
      </c>
      <c r="B401" s="243">
        <v>8427980140</v>
      </c>
      <c r="C401" s="243" t="s">
        <v>1364</v>
      </c>
      <c r="D401" s="244">
        <v>30747</v>
      </c>
      <c r="E401" s="243" t="s">
        <v>858</v>
      </c>
      <c r="F401" s="243" t="s">
        <v>859</v>
      </c>
      <c r="G401" s="243" t="s">
        <v>1080</v>
      </c>
      <c r="H401" s="313">
        <v>2139</v>
      </c>
      <c r="I401" s="243" t="s">
        <v>425</v>
      </c>
      <c r="J401" s="246">
        <v>39</v>
      </c>
    </row>
    <row r="402" spans="1:10" ht="15" x14ac:dyDescent="0.25">
      <c r="A402" s="243">
        <v>10000890</v>
      </c>
      <c r="B402" s="243">
        <v>8446380846</v>
      </c>
      <c r="C402" s="243" t="s">
        <v>1365</v>
      </c>
      <c r="D402" s="244">
        <v>32587</v>
      </c>
      <c r="E402" s="243" t="s">
        <v>963</v>
      </c>
      <c r="F402" s="243" t="s">
        <v>964</v>
      </c>
      <c r="G402" s="243" t="s">
        <v>927</v>
      </c>
      <c r="H402" s="313">
        <v>2139</v>
      </c>
      <c r="I402" s="243" t="s">
        <v>425</v>
      </c>
      <c r="J402" s="246">
        <v>34</v>
      </c>
    </row>
    <row r="403" spans="1:10" ht="15" x14ac:dyDescent="0.25">
      <c r="A403" s="243">
        <v>10000891</v>
      </c>
      <c r="B403" s="243">
        <v>8450063418</v>
      </c>
      <c r="C403" s="243" t="s">
        <v>1366</v>
      </c>
      <c r="D403" s="244">
        <v>32955</v>
      </c>
      <c r="E403" s="243" t="s">
        <v>891</v>
      </c>
      <c r="F403" s="243" t="s">
        <v>892</v>
      </c>
      <c r="G403" s="243" t="s">
        <v>872</v>
      </c>
      <c r="H403" s="313">
        <v>2117</v>
      </c>
      <c r="I403" s="243" t="s">
        <v>462</v>
      </c>
      <c r="J403" s="246">
        <v>33</v>
      </c>
    </row>
    <row r="404" spans="1:10" ht="15" x14ac:dyDescent="0.25">
      <c r="A404" s="243">
        <v>10000892</v>
      </c>
      <c r="B404" s="243">
        <v>8445401858</v>
      </c>
      <c r="C404" s="243" t="s">
        <v>1367</v>
      </c>
      <c r="D404" s="244">
        <v>32489</v>
      </c>
      <c r="E404" s="243" t="s">
        <v>891</v>
      </c>
      <c r="F404" s="243" t="s">
        <v>892</v>
      </c>
      <c r="G404" s="243" t="s">
        <v>872</v>
      </c>
      <c r="H404" s="313">
        <v>2410</v>
      </c>
      <c r="I404" s="243" t="s">
        <v>462</v>
      </c>
      <c r="J404" s="246">
        <v>35</v>
      </c>
    </row>
    <row r="405" spans="1:10" ht="15" x14ac:dyDescent="0.25">
      <c r="A405" s="243">
        <v>10000896</v>
      </c>
      <c r="B405" s="243">
        <v>8448260430</v>
      </c>
      <c r="C405" s="243" t="s">
        <v>1368</v>
      </c>
      <c r="D405" s="244">
        <v>32775</v>
      </c>
      <c r="E405" s="243" t="s">
        <v>1150</v>
      </c>
      <c r="F405" s="243" t="s">
        <v>1151</v>
      </c>
      <c r="G405" s="243" t="s">
        <v>1109</v>
      </c>
      <c r="H405" s="313">
        <v>2910</v>
      </c>
      <c r="I405" s="243" t="s">
        <v>518</v>
      </c>
      <c r="J405" s="246">
        <v>34</v>
      </c>
    </row>
    <row r="406" spans="1:10" ht="15" x14ac:dyDescent="0.25">
      <c r="A406" s="243">
        <v>10000901</v>
      </c>
      <c r="B406" s="243">
        <v>8409494051</v>
      </c>
      <c r="C406" s="243" t="s">
        <v>1369</v>
      </c>
      <c r="D406" s="244">
        <v>28898</v>
      </c>
      <c r="E406" s="243" t="s">
        <v>1121</v>
      </c>
      <c r="F406" s="243" t="s">
        <v>1122</v>
      </c>
      <c r="G406" s="243" t="s">
        <v>1109</v>
      </c>
      <c r="H406" s="313">
        <v>2910</v>
      </c>
      <c r="I406" s="243" t="s">
        <v>518</v>
      </c>
      <c r="J406" s="246">
        <v>44</v>
      </c>
    </row>
    <row r="407" spans="1:10" ht="15" x14ac:dyDescent="0.25">
      <c r="A407" s="243">
        <v>10000902</v>
      </c>
      <c r="B407" s="243">
        <v>8437401119</v>
      </c>
      <c r="C407" s="243" t="s">
        <v>1370</v>
      </c>
      <c r="D407" s="244">
        <v>31689</v>
      </c>
      <c r="E407" s="243" t="s">
        <v>867</v>
      </c>
      <c r="F407" s="243" t="s">
        <v>868</v>
      </c>
      <c r="G407" s="243" t="s">
        <v>1303</v>
      </c>
      <c r="H407" s="313">
        <v>2910</v>
      </c>
      <c r="I407" s="243" t="s">
        <v>518</v>
      </c>
      <c r="J407" s="246">
        <v>37</v>
      </c>
    </row>
    <row r="408" spans="1:10" ht="15" x14ac:dyDescent="0.25">
      <c r="A408" s="243">
        <v>10000903</v>
      </c>
      <c r="B408" s="243">
        <v>8457461427</v>
      </c>
      <c r="C408" s="243" t="s">
        <v>1371</v>
      </c>
      <c r="D408" s="244">
        <v>33695</v>
      </c>
      <c r="E408" s="243" t="s">
        <v>899</v>
      </c>
      <c r="F408" s="243" t="s">
        <v>900</v>
      </c>
      <c r="G408" s="243" t="s">
        <v>1020</v>
      </c>
      <c r="H408" s="313">
        <v>2142</v>
      </c>
      <c r="I408" s="243" t="s">
        <v>462</v>
      </c>
      <c r="J408" s="246">
        <v>31</v>
      </c>
    </row>
    <row r="409" spans="1:10" ht="15" x14ac:dyDescent="0.25">
      <c r="A409" s="243">
        <v>10000906</v>
      </c>
      <c r="B409" s="243">
        <v>8395305044</v>
      </c>
      <c r="C409" s="243" t="s">
        <v>1372</v>
      </c>
      <c r="D409" s="244">
        <v>27479</v>
      </c>
      <c r="E409" s="243" t="s">
        <v>1373</v>
      </c>
      <c r="F409" s="243" t="s">
        <v>1374</v>
      </c>
      <c r="G409" s="243" t="s">
        <v>1080</v>
      </c>
      <c r="H409" s="313">
        <v>2139</v>
      </c>
      <c r="I409" s="243" t="s">
        <v>425</v>
      </c>
      <c r="J409" s="246">
        <v>48</v>
      </c>
    </row>
    <row r="410" spans="1:10" ht="15" x14ac:dyDescent="0.25">
      <c r="A410" s="243">
        <v>10000917</v>
      </c>
      <c r="B410" s="243">
        <v>8392843355</v>
      </c>
      <c r="C410" s="243" t="s">
        <v>1375</v>
      </c>
      <c r="D410" s="244">
        <v>27233</v>
      </c>
      <c r="E410" s="243" t="s">
        <v>1135</v>
      </c>
      <c r="F410" s="243" t="s">
        <v>1136</v>
      </c>
      <c r="G410" s="243" t="s">
        <v>1303</v>
      </c>
      <c r="H410" s="313">
        <v>4229</v>
      </c>
      <c r="I410" s="243" t="s">
        <v>641</v>
      </c>
      <c r="J410" s="246">
        <v>49</v>
      </c>
    </row>
    <row r="411" spans="1:10" ht="15" x14ac:dyDescent="0.25">
      <c r="A411" s="243">
        <v>10000919</v>
      </c>
      <c r="B411" s="243">
        <v>8433380907</v>
      </c>
      <c r="C411" s="243" t="s">
        <v>1376</v>
      </c>
      <c r="D411" s="244">
        <v>31287</v>
      </c>
      <c r="E411" s="243" t="s">
        <v>874</v>
      </c>
      <c r="F411" s="243" t="s">
        <v>875</v>
      </c>
      <c r="G411" s="243" t="s">
        <v>864</v>
      </c>
      <c r="H411" s="313">
        <v>2410</v>
      </c>
      <c r="I411" s="243" t="s">
        <v>462</v>
      </c>
      <c r="J411" s="246">
        <v>38</v>
      </c>
    </row>
    <row r="412" spans="1:10" ht="15" x14ac:dyDescent="0.25">
      <c r="A412" s="243">
        <v>10000920</v>
      </c>
      <c r="B412" s="243">
        <v>8451322220</v>
      </c>
      <c r="C412" s="243" t="s">
        <v>1377</v>
      </c>
      <c r="D412" s="244">
        <v>33081</v>
      </c>
      <c r="E412" s="243" t="s">
        <v>906</v>
      </c>
      <c r="F412" s="243" t="s">
        <v>907</v>
      </c>
      <c r="G412" s="243" t="s">
        <v>1378</v>
      </c>
      <c r="H412" s="313">
        <v>2410</v>
      </c>
      <c r="I412" s="243" t="s">
        <v>462</v>
      </c>
      <c r="J412" s="246">
        <v>33</v>
      </c>
    </row>
    <row r="413" spans="1:10" ht="15" x14ac:dyDescent="0.25">
      <c r="A413" s="243">
        <v>10000925</v>
      </c>
      <c r="B413" s="243">
        <v>8406634006</v>
      </c>
      <c r="C413" s="243" t="s">
        <v>1379</v>
      </c>
      <c r="D413" s="244">
        <v>28612</v>
      </c>
      <c r="E413" s="243" t="s">
        <v>1269</v>
      </c>
      <c r="F413" s="243" t="s">
        <v>1270</v>
      </c>
      <c r="G413" s="243" t="s">
        <v>1145</v>
      </c>
      <c r="H413" s="313">
        <v>3910</v>
      </c>
      <c r="I413" s="243" t="s">
        <v>616</v>
      </c>
      <c r="J413" s="246">
        <v>45</v>
      </c>
    </row>
    <row r="414" spans="1:10" ht="15" x14ac:dyDescent="0.25">
      <c r="A414" s="243">
        <v>10000927</v>
      </c>
      <c r="B414" s="243">
        <v>8443570865</v>
      </c>
      <c r="C414" s="243" t="s">
        <v>1380</v>
      </c>
      <c r="D414" s="244">
        <v>32306</v>
      </c>
      <c r="E414" s="243" t="s">
        <v>870</v>
      </c>
      <c r="F414" s="243" t="s">
        <v>871</v>
      </c>
      <c r="G414" s="243" t="s">
        <v>927</v>
      </c>
      <c r="H414" s="313">
        <v>2169</v>
      </c>
      <c r="I414" s="243" t="s">
        <v>442</v>
      </c>
      <c r="J414" s="246">
        <v>35</v>
      </c>
    </row>
    <row r="415" spans="1:10" ht="15" x14ac:dyDescent="0.25">
      <c r="A415" s="243">
        <v>10000939</v>
      </c>
      <c r="B415" s="243">
        <v>8455343222</v>
      </c>
      <c r="C415" s="243" t="s">
        <v>1381</v>
      </c>
      <c r="D415" s="244">
        <v>33483</v>
      </c>
      <c r="E415" s="243" t="s">
        <v>1126</v>
      </c>
      <c r="F415" s="243" t="s">
        <v>1127</v>
      </c>
      <c r="G415" s="243" t="s">
        <v>1382</v>
      </c>
      <c r="H415" s="313">
        <v>3910</v>
      </c>
      <c r="I415" s="243" t="s">
        <v>616</v>
      </c>
      <c r="J415" s="246">
        <v>32</v>
      </c>
    </row>
    <row r="416" spans="1:10" ht="15" x14ac:dyDescent="0.25">
      <c r="A416" s="243">
        <v>10000940</v>
      </c>
      <c r="B416" s="243">
        <v>8339973762</v>
      </c>
      <c r="C416" s="243" t="s">
        <v>1383</v>
      </c>
      <c r="D416" s="244">
        <v>21946</v>
      </c>
      <c r="E416" s="243" t="s">
        <v>870</v>
      </c>
      <c r="F416" s="243" t="s">
        <v>871</v>
      </c>
      <c r="G416" s="243" t="s">
        <v>1080</v>
      </c>
      <c r="H416" s="313">
        <v>2164</v>
      </c>
      <c r="I416" s="243" t="s">
        <v>437</v>
      </c>
      <c r="J416" s="246">
        <v>63</v>
      </c>
    </row>
    <row r="417" spans="1:10" ht="15" x14ac:dyDescent="0.25">
      <c r="A417" s="243">
        <v>10000944</v>
      </c>
      <c r="B417" s="243">
        <v>8379402995</v>
      </c>
      <c r="C417" s="243" t="s">
        <v>1384</v>
      </c>
      <c r="D417" s="244">
        <v>25889</v>
      </c>
      <c r="E417" s="243" t="s">
        <v>874</v>
      </c>
      <c r="F417" s="243" t="s">
        <v>875</v>
      </c>
      <c r="G417" s="243" t="s">
        <v>872</v>
      </c>
      <c r="H417" s="313">
        <v>2410</v>
      </c>
      <c r="I417" s="243" t="s">
        <v>462</v>
      </c>
      <c r="J417" s="246">
        <v>53</v>
      </c>
    </row>
    <row r="418" spans="1:10" ht="15" x14ac:dyDescent="0.25">
      <c r="A418" s="243">
        <v>10000945</v>
      </c>
      <c r="B418" s="243">
        <v>8432843334</v>
      </c>
      <c r="C418" s="243" t="s">
        <v>1385</v>
      </c>
      <c r="D418" s="244">
        <v>31233</v>
      </c>
      <c r="E418" s="243" t="s">
        <v>899</v>
      </c>
      <c r="F418" s="243" t="s">
        <v>900</v>
      </c>
      <c r="G418" s="243" t="s">
        <v>1080</v>
      </c>
      <c r="H418" s="313">
        <v>2139</v>
      </c>
      <c r="I418" s="243" t="s">
        <v>425</v>
      </c>
      <c r="J418" s="246">
        <v>38</v>
      </c>
    </row>
    <row r="419" spans="1:10" ht="15" x14ac:dyDescent="0.25">
      <c r="A419" s="243">
        <v>10000956</v>
      </c>
      <c r="B419" s="243">
        <v>8455681152</v>
      </c>
      <c r="C419" s="243" t="s">
        <v>1386</v>
      </c>
      <c r="D419" s="244">
        <v>33517</v>
      </c>
      <c r="E419" s="243" t="s">
        <v>1191</v>
      </c>
      <c r="F419" s="243" t="s">
        <v>1192</v>
      </c>
      <c r="G419" s="243" t="s">
        <v>1145</v>
      </c>
      <c r="H419" s="313">
        <v>2142</v>
      </c>
      <c r="I419" s="243" t="s">
        <v>427</v>
      </c>
      <c r="J419" s="246">
        <v>32</v>
      </c>
    </row>
    <row r="420" spans="1:10" ht="15" x14ac:dyDescent="0.25">
      <c r="A420" s="243">
        <v>10000960</v>
      </c>
      <c r="B420" s="243">
        <v>8479172010</v>
      </c>
      <c r="C420" s="243" t="s">
        <v>1387</v>
      </c>
      <c r="D420" s="244">
        <v>35866</v>
      </c>
      <c r="E420" s="243" t="s">
        <v>858</v>
      </c>
      <c r="F420" s="243" t="s">
        <v>859</v>
      </c>
      <c r="G420" s="243" t="s">
        <v>1388</v>
      </c>
      <c r="H420" s="313">
        <v>3134</v>
      </c>
      <c r="I420" s="243" t="s">
        <v>531</v>
      </c>
      <c r="J420" s="246">
        <v>25</v>
      </c>
    </row>
    <row r="421" spans="1:10" ht="15" x14ac:dyDescent="0.25">
      <c r="A421" s="243">
        <v>10000961</v>
      </c>
      <c r="B421" s="243">
        <v>8448060083</v>
      </c>
      <c r="C421" s="243" t="s">
        <v>1389</v>
      </c>
      <c r="D421" s="244">
        <v>32755</v>
      </c>
      <c r="E421" s="243" t="s">
        <v>1390</v>
      </c>
      <c r="F421" s="243" t="s">
        <v>1391</v>
      </c>
      <c r="G421" s="243" t="s">
        <v>1145</v>
      </c>
      <c r="H421" s="313">
        <v>3910</v>
      </c>
      <c r="I421" s="243" t="s">
        <v>616</v>
      </c>
      <c r="J421" s="246">
        <v>34</v>
      </c>
    </row>
    <row r="422" spans="1:10" ht="15" x14ac:dyDescent="0.25">
      <c r="A422" s="243">
        <v>10000963</v>
      </c>
      <c r="B422" s="243">
        <v>8440460899</v>
      </c>
      <c r="C422" s="243" t="s">
        <v>1392</v>
      </c>
      <c r="D422" s="244">
        <v>31995</v>
      </c>
      <c r="E422" s="243" t="s">
        <v>1150</v>
      </c>
      <c r="F422" s="243" t="s">
        <v>1151</v>
      </c>
      <c r="G422" s="243" t="s">
        <v>1145</v>
      </c>
      <c r="H422" s="313">
        <v>2910</v>
      </c>
      <c r="I422" s="243" t="s">
        <v>518</v>
      </c>
      <c r="J422" s="246">
        <v>36</v>
      </c>
    </row>
    <row r="423" spans="1:10" ht="15" x14ac:dyDescent="0.25">
      <c r="A423" s="243">
        <v>10000965</v>
      </c>
      <c r="B423" s="243">
        <v>8418110333</v>
      </c>
      <c r="C423" s="243" t="s">
        <v>1393</v>
      </c>
      <c r="D423" s="244">
        <v>29760</v>
      </c>
      <c r="E423" s="243" t="s">
        <v>1135</v>
      </c>
      <c r="F423" s="243" t="s">
        <v>1136</v>
      </c>
      <c r="G423" s="243" t="s">
        <v>1303</v>
      </c>
      <c r="H423" s="313">
        <v>4229</v>
      </c>
      <c r="I423" s="243" t="s">
        <v>641</v>
      </c>
      <c r="J423" s="246">
        <v>42</v>
      </c>
    </row>
    <row r="424" spans="1:10" ht="15" x14ac:dyDescent="0.25">
      <c r="A424" s="243">
        <v>10000967</v>
      </c>
      <c r="B424" s="243">
        <v>8450130646</v>
      </c>
      <c r="C424" s="243" t="s">
        <v>1394</v>
      </c>
      <c r="D424" s="244">
        <v>32962</v>
      </c>
      <c r="E424" s="243" t="s">
        <v>874</v>
      </c>
      <c r="F424" s="243" t="s">
        <v>875</v>
      </c>
      <c r="G424" s="243" t="s">
        <v>872</v>
      </c>
      <c r="H424" s="313">
        <v>2410</v>
      </c>
      <c r="I424" s="243" t="s">
        <v>462</v>
      </c>
      <c r="J424" s="246">
        <v>33</v>
      </c>
    </row>
    <row r="425" spans="1:10" ht="15" x14ac:dyDescent="0.25">
      <c r="A425" s="243">
        <v>10000972</v>
      </c>
      <c r="B425" s="243">
        <v>8452000928</v>
      </c>
      <c r="C425" s="243" t="s">
        <v>1395</v>
      </c>
      <c r="D425" s="244">
        <v>33149</v>
      </c>
      <c r="E425" s="243" t="s">
        <v>1191</v>
      </c>
      <c r="F425" s="243" t="s">
        <v>1192</v>
      </c>
      <c r="G425" s="243" t="s">
        <v>1109</v>
      </c>
      <c r="H425" s="313">
        <v>2142</v>
      </c>
      <c r="I425" s="243" t="s">
        <v>427</v>
      </c>
      <c r="J425" s="246">
        <v>33</v>
      </c>
    </row>
    <row r="426" spans="1:10" ht="15" x14ac:dyDescent="0.25">
      <c r="A426" s="243">
        <v>10000977</v>
      </c>
      <c r="B426" s="243">
        <v>8460780449</v>
      </c>
      <c r="C426" s="243" t="s">
        <v>1396</v>
      </c>
      <c r="D426" s="244">
        <v>34027</v>
      </c>
      <c r="E426" s="243" t="s">
        <v>945</v>
      </c>
      <c r="F426" s="243" t="s">
        <v>946</v>
      </c>
      <c r="G426" s="243" t="s">
        <v>1080</v>
      </c>
      <c r="H426" s="313">
        <v>2117</v>
      </c>
      <c r="I426" s="243" t="s">
        <v>413</v>
      </c>
      <c r="J426" s="246">
        <v>30</v>
      </c>
    </row>
    <row r="427" spans="1:10" ht="15" x14ac:dyDescent="0.25">
      <c r="A427" s="243">
        <v>10000978</v>
      </c>
      <c r="B427" s="243">
        <v>8428810354</v>
      </c>
      <c r="C427" s="243" t="s">
        <v>1397</v>
      </c>
      <c r="D427" s="244">
        <v>30830</v>
      </c>
      <c r="E427" s="243" t="s">
        <v>877</v>
      </c>
      <c r="F427" s="243" t="s">
        <v>878</v>
      </c>
      <c r="G427" s="243" t="s">
        <v>985</v>
      </c>
      <c r="H427" s="313">
        <v>2410</v>
      </c>
      <c r="I427" s="243" t="s">
        <v>462</v>
      </c>
      <c r="J427" s="246">
        <v>39</v>
      </c>
    </row>
    <row r="428" spans="1:10" ht="15" x14ac:dyDescent="0.25">
      <c r="A428" s="243">
        <v>10000984</v>
      </c>
      <c r="B428" s="243">
        <v>8438652077</v>
      </c>
      <c r="C428" s="243" t="s">
        <v>1398</v>
      </c>
      <c r="D428" s="244">
        <v>31814</v>
      </c>
      <c r="E428" s="243" t="s">
        <v>1258</v>
      </c>
      <c r="F428" s="243" t="s">
        <v>1259</v>
      </c>
      <c r="G428" s="243" t="s">
        <v>1145</v>
      </c>
      <c r="H428" s="313">
        <v>3910</v>
      </c>
      <c r="I428" s="243" t="s">
        <v>616</v>
      </c>
      <c r="J428" s="246">
        <v>36</v>
      </c>
    </row>
    <row r="429" spans="1:10" ht="15" x14ac:dyDescent="0.25">
      <c r="A429" s="243">
        <v>10000987</v>
      </c>
      <c r="B429" s="243">
        <v>8415312261</v>
      </c>
      <c r="C429" s="243" t="s">
        <v>1399</v>
      </c>
      <c r="D429" s="244">
        <v>29480</v>
      </c>
      <c r="E429" s="243" t="s">
        <v>945</v>
      </c>
      <c r="F429" s="243" t="s">
        <v>946</v>
      </c>
      <c r="G429" s="243" t="s">
        <v>997</v>
      </c>
      <c r="H429" s="313">
        <v>2167</v>
      </c>
      <c r="I429" s="243" t="s">
        <v>440</v>
      </c>
      <c r="J429" s="246">
        <v>43</v>
      </c>
    </row>
    <row r="430" spans="1:10" ht="15" x14ac:dyDescent="0.25">
      <c r="A430" s="243">
        <v>10000988</v>
      </c>
      <c r="B430" s="243">
        <v>8419021393</v>
      </c>
      <c r="C430" s="243" t="s">
        <v>1400</v>
      </c>
      <c r="D430" s="244">
        <v>29851</v>
      </c>
      <c r="E430" s="243" t="s">
        <v>1147</v>
      </c>
      <c r="F430" s="243" t="s">
        <v>1148</v>
      </c>
      <c r="G430" s="243" t="s">
        <v>1109</v>
      </c>
      <c r="H430" s="313">
        <v>4134</v>
      </c>
      <c r="I430" s="243" t="s">
        <v>630</v>
      </c>
      <c r="J430" s="246">
        <v>42</v>
      </c>
    </row>
    <row r="431" spans="1:10" ht="15" x14ac:dyDescent="0.25">
      <c r="A431" s="243">
        <v>10000989</v>
      </c>
      <c r="B431" s="243">
        <v>8399020796</v>
      </c>
      <c r="C431" s="243" t="s">
        <v>1401</v>
      </c>
      <c r="D431" s="244">
        <v>27851</v>
      </c>
      <c r="E431" s="243" t="s">
        <v>1201</v>
      </c>
      <c r="F431" s="243" t="s">
        <v>1202</v>
      </c>
      <c r="G431" s="243" t="s">
        <v>1303</v>
      </c>
      <c r="H431" s="313">
        <v>2910</v>
      </c>
      <c r="I431" s="243" t="s">
        <v>518</v>
      </c>
      <c r="J431" s="246">
        <v>47</v>
      </c>
    </row>
    <row r="432" spans="1:10" ht="15" x14ac:dyDescent="0.25">
      <c r="A432" s="243">
        <v>10000993</v>
      </c>
      <c r="B432" s="243">
        <v>8447580458</v>
      </c>
      <c r="C432" s="243" t="s">
        <v>1402</v>
      </c>
      <c r="D432" s="244">
        <v>32707</v>
      </c>
      <c r="E432" s="243" t="s">
        <v>1013</v>
      </c>
      <c r="F432" s="243" t="s">
        <v>1014</v>
      </c>
      <c r="G432" s="243" t="s">
        <v>1020</v>
      </c>
      <c r="H432" s="313">
        <v>2410</v>
      </c>
      <c r="I432" s="243" t="s">
        <v>462</v>
      </c>
      <c r="J432" s="246">
        <v>34</v>
      </c>
    </row>
    <row r="433" spans="1:10" ht="15" x14ac:dyDescent="0.25">
      <c r="A433" s="243">
        <v>10000999</v>
      </c>
      <c r="B433" s="243">
        <v>8458760452</v>
      </c>
      <c r="C433" s="243" t="s">
        <v>1403</v>
      </c>
      <c r="D433" s="244">
        <v>33825</v>
      </c>
      <c r="E433" s="243" t="s">
        <v>1135</v>
      </c>
      <c r="F433" s="243" t="s">
        <v>1136</v>
      </c>
      <c r="G433" s="243" t="s">
        <v>1145</v>
      </c>
      <c r="H433" s="313">
        <v>4229</v>
      </c>
      <c r="I433" s="243" t="s">
        <v>641</v>
      </c>
      <c r="J433" s="246">
        <v>31</v>
      </c>
    </row>
    <row r="434" spans="1:10" ht="15" x14ac:dyDescent="0.25">
      <c r="A434" s="243">
        <v>10001007</v>
      </c>
      <c r="B434" s="243">
        <v>8431812710</v>
      </c>
      <c r="C434" s="243" t="s">
        <v>1404</v>
      </c>
      <c r="D434" s="244">
        <v>31130</v>
      </c>
      <c r="E434" s="243" t="s">
        <v>867</v>
      </c>
      <c r="F434" s="243" t="s">
        <v>868</v>
      </c>
      <c r="G434" s="243" t="s">
        <v>985</v>
      </c>
      <c r="H434" s="313">
        <v>2410</v>
      </c>
      <c r="I434" s="243" t="s">
        <v>462</v>
      </c>
      <c r="J434" s="246">
        <v>38</v>
      </c>
    </row>
    <row r="435" spans="1:10" ht="15" x14ac:dyDescent="0.25">
      <c r="A435" s="243">
        <v>10001008</v>
      </c>
      <c r="B435" s="243">
        <v>8433111434</v>
      </c>
      <c r="C435" s="243" t="s">
        <v>1405</v>
      </c>
      <c r="D435" s="244">
        <v>31260</v>
      </c>
      <c r="E435" s="243" t="s">
        <v>1141</v>
      </c>
      <c r="F435" s="243" t="s">
        <v>1142</v>
      </c>
      <c r="G435" s="243" t="s">
        <v>1145</v>
      </c>
      <c r="H435" s="313">
        <v>3611</v>
      </c>
      <c r="I435" s="243" t="s">
        <v>581</v>
      </c>
      <c r="J435" s="246">
        <v>38</v>
      </c>
    </row>
    <row r="436" spans="1:10" ht="15" x14ac:dyDescent="0.25">
      <c r="A436" s="243">
        <v>10001009</v>
      </c>
      <c r="B436" s="243">
        <v>8442990062</v>
      </c>
      <c r="C436" s="243" t="s">
        <v>197</v>
      </c>
      <c r="D436" s="244">
        <v>32248</v>
      </c>
      <c r="E436" s="243" t="s">
        <v>858</v>
      </c>
      <c r="F436" s="243" t="s">
        <v>859</v>
      </c>
      <c r="G436" s="243" t="s">
        <v>997</v>
      </c>
      <c r="H436" s="313">
        <v>2139</v>
      </c>
      <c r="I436" s="243" t="s">
        <v>425</v>
      </c>
      <c r="J436" s="246">
        <v>35</v>
      </c>
    </row>
    <row r="437" spans="1:10" ht="15" x14ac:dyDescent="0.25">
      <c r="A437" s="243">
        <v>10001010</v>
      </c>
      <c r="B437" s="243">
        <v>8452690312</v>
      </c>
      <c r="C437" s="243" t="s">
        <v>1406</v>
      </c>
      <c r="D437" s="244">
        <v>33218</v>
      </c>
      <c r="E437" s="243" t="s">
        <v>1191</v>
      </c>
      <c r="F437" s="243" t="s">
        <v>1192</v>
      </c>
      <c r="G437" s="243" t="s">
        <v>1145</v>
      </c>
      <c r="H437" s="313">
        <v>2142</v>
      </c>
      <c r="I437" s="243" t="s">
        <v>427</v>
      </c>
      <c r="J437" s="246">
        <v>33</v>
      </c>
    </row>
    <row r="438" spans="1:10" ht="15" x14ac:dyDescent="0.25">
      <c r="A438" s="243">
        <v>10001011</v>
      </c>
      <c r="B438" s="243">
        <v>8427202695</v>
      </c>
      <c r="C438" s="243" t="s">
        <v>1407</v>
      </c>
      <c r="D438" s="244">
        <v>30669</v>
      </c>
      <c r="E438" s="243" t="s">
        <v>936</v>
      </c>
      <c r="F438" s="243" t="s">
        <v>937</v>
      </c>
      <c r="G438" s="243" t="s">
        <v>927</v>
      </c>
      <c r="H438" s="313">
        <v>2139</v>
      </c>
      <c r="I438" s="243" t="s">
        <v>425</v>
      </c>
      <c r="J438" s="246">
        <v>40</v>
      </c>
    </row>
    <row r="439" spans="1:10" ht="15" x14ac:dyDescent="0.25">
      <c r="A439" s="243">
        <v>10001017</v>
      </c>
      <c r="B439" s="243">
        <v>8394092071</v>
      </c>
      <c r="C439" s="243" t="s">
        <v>1408</v>
      </c>
      <c r="D439" s="244">
        <v>27358</v>
      </c>
      <c r="E439" s="243" t="s">
        <v>1147</v>
      </c>
      <c r="F439" s="243" t="s">
        <v>1148</v>
      </c>
      <c r="G439" s="243" t="s">
        <v>1145</v>
      </c>
      <c r="H439" s="313">
        <v>4134</v>
      </c>
      <c r="I439" s="243" t="s">
        <v>630</v>
      </c>
      <c r="J439" s="246">
        <v>49</v>
      </c>
    </row>
    <row r="440" spans="1:10" ht="15" x14ac:dyDescent="0.25">
      <c r="A440" s="243">
        <v>10001018</v>
      </c>
      <c r="B440" s="243">
        <v>8424091655</v>
      </c>
      <c r="C440" s="243" t="s">
        <v>1409</v>
      </c>
      <c r="D440" s="244">
        <v>30358</v>
      </c>
      <c r="E440" s="243" t="s">
        <v>1248</v>
      </c>
      <c r="F440" s="243" t="s">
        <v>1249</v>
      </c>
      <c r="G440" s="243" t="s">
        <v>1145</v>
      </c>
      <c r="H440" s="313">
        <v>3910</v>
      </c>
      <c r="I440" s="243" t="s">
        <v>616</v>
      </c>
      <c r="J440" s="246">
        <v>40</v>
      </c>
    </row>
    <row r="441" spans="1:10" ht="15" x14ac:dyDescent="0.25">
      <c r="A441" s="243">
        <v>10001022</v>
      </c>
      <c r="B441" s="243">
        <v>8351331759</v>
      </c>
      <c r="C441" s="243" t="s">
        <v>296</v>
      </c>
      <c r="D441" s="244">
        <v>23082</v>
      </c>
      <c r="E441" s="243" t="s">
        <v>1201</v>
      </c>
      <c r="F441" s="243" t="s">
        <v>1202</v>
      </c>
      <c r="G441" s="243" t="s">
        <v>1145</v>
      </c>
      <c r="H441" s="313">
        <v>3910</v>
      </c>
      <c r="I441" s="243" t="s">
        <v>616</v>
      </c>
      <c r="J441" s="246">
        <v>60</v>
      </c>
    </row>
    <row r="442" spans="1:10" ht="15" x14ac:dyDescent="0.25">
      <c r="A442" s="243">
        <v>10001025</v>
      </c>
      <c r="B442" s="243">
        <v>8440551258</v>
      </c>
      <c r="C442" s="243" t="s">
        <v>1410</v>
      </c>
      <c r="D442" s="244">
        <v>32004</v>
      </c>
      <c r="E442" s="243" t="s">
        <v>1390</v>
      </c>
      <c r="F442" s="243" t="s">
        <v>1391</v>
      </c>
      <c r="G442" s="243" t="s">
        <v>1145</v>
      </c>
      <c r="H442" s="313">
        <v>3910</v>
      </c>
      <c r="I442" s="243" t="s">
        <v>616</v>
      </c>
      <c r="J442" s="246">
        <v>36</v>
      </c>
    </row>
    <row r="443" spans="1:10" ht="15" x14ac:dyDescent="0.25">
      <c r="A443" s="243">
        <v>10001026</v>
      </c>
      <c r="B443" s="243">
        <v>8366723038</v>
      </c>
      <c r="C443" s="243" t="s">
        <v>1411</v>
      </c>
      <c r="D443" s="244">
        <v>24621</v>
      </c>
      <c r="E443" s="243" t="s">
        <v>880</v>
      </c>
      <c r="F443" s="243" t="s">
        <v>881</v>
      </c>
      <c r="G443" s="243" t="s">
        <v>985</v>
      </c>
      <c r="H443" s="313">
        <v>2410</v>
      </c>
      <c r="I443" s="243" t="s">
        <v>462</v>
      </c>
      <c r="J443" s="246">
        <v>56</v>
      </c>
    </row>
    <row r="444" spans="1:10" ht="15" x14ac:dyDescent="0.25">
      <c r="A444" s="243">
        <v>10001032</v>
      </c>
      <c r="B444" s="243">
        <v>8456811165</v>
      </c>
      <c r="C444" s="243" t="s">
        <v>1412</v>
      </c>
      <c r="D444" s="244">
        <v>33630</v>
      </c>
      <c r="E444" s="243" t="s">
        <v>945</v>
      </c>
      <c r="F444" s="243" t="s">
        <v>946</v>
      </c>
      <c r="G444" s="243" t="s">
        <v>1080</v>
      </c>
      <c r="H444" s="313">
        <v>2117</v>
      </c>
      <c r="I444" s="243" t="s">
        <v>413</v>
      </c>
      <c r="J444" s="246">
        <v>31</v>
      </c>
    </row>
    <row r="445" spans="1:10" ht="15" x14ac:dyDescent="0.25">
      <c r="A445" s="243">
        <v>10001033</v>
      </c>
      <c r="B445" s="243">
        <v>8443481749</v>
      </c>
      <c r="C445" s="243" t="s">
        <v>1413</v>
      </c>
      <c r="D445" s="244">
        <v>32297</v>
      </c>
      <c r="E445" s="243" t="s">
        <v>1191</v>
      </c>
      <c r="F445" s="243" t="s">
        <v>1192</v>
      </c>
      <c r="G445" s="243" t="s">
        <v>1145</v>
      </c>
      <c r="H445" s="313">
        <v>2149</v>
      </c>
      <c r="I445" s="243" t="s">
        <v>430</v>
      </c>
      <c r="J445" s="246">
        <v>35</v>
      </c>
    </row>
    <row r="446" spans="1:10" ht="15" x14ac:dyDescent="0.25">
      <c r="A446" s="243">
        <v>10001035</v>
      </c>
      <c r="B446" s="243">
        <v>8422871416</v>
      </c>
      <c r="C446" s="243" t="s">
        <v>1414</v>
      </c>
      <c r="D446" s="244">
        <v>30236</v>
      </c>
      <c r="E446" s="243" t="s">
        <v>945</v>
      </c>
      <c r="F446" s="243" t="s">
        <v>946</v>
      </c>
      <c r="G446" s="243" t="s">
        <v>974</v>
      </c>
      <c r="H446" s="313">
        <v>2117</v>
      </c>
      <c r="I446" s="243" t="s">
        <v>413</v>
      </c>
      <c r="J446" s="246">
        <v>41</v>
      </c>
    </row>
    <row r="447" spans="1:10" ht="15" x14ac:dyDescent="0.25">
      <c r="A447" s="243">
        <v>10001036</v>
      </c>
      <c r="B447" s="243">
        <v>8425711185</v>
      </c>
      <c r="C447" s="243" t="s">
        <v>1415</v>
      </c>
      <c r="D447" s="244">
        <v>30520</v>
      </c>
      <c r="E447" s="243" t="s">
        <v>1248</v>
      </c>
      <c r="F447" s="243" t="s">
        <v>1249</v>
      </c>
      <c r="G447" s="243" t="s">
        <v>1109</v>
      </c>
      <c r="H447" s="313">
        <v>2910</v>
      </c>
      <c r="I447" s="243" t="s">
        <v>518</v>
      </c>
      <c r="J447" s="246">
        <v>40</v>
      </c>
    </row>
    <row r="448" spans="1:10" ht="15" x14ac:dyDescent="0.25">
      <c r="A448" s="243">
        <v>10001037</v>
      </c>
      <c r="B448" s="243">
        <v>8454831525</v>
      </c>
      <c r="C448" s="243" t="s">
        <v>1416</v>
      </c>
      <c r="D448" s="244">
        <v>33432</v>
      </c>
      <c r="E448" s="243" t="s">
        <v>884</v>
      </c>
      <c r="F448" s="243" t="s">
        <v>885</v>
      </c>
      <c r="G448" s="243" t="s">
        <v>1020</v>
      </c>
      <c r="H448" s="313">
        <v>2410</v>
      </c>
      <c r="I448" s="243" t="s">
        <v>462</v>
      </c>
      <c r="J448" s="246">
        <v>32</v>
      </c>
    </row>
    <row r="449" spans="1:10" ht="15" x14ac:dyDescent="0.25">
      <c r="A449" s="243">
        <v>10001038</v>
      </c>
      <c r="B449" s="243">
        <v>8451860338</v>
      </c>
      <c r="C449" s="243" t="s">
        <v>1417</v>
      </c>
      <c r="D449" s="244">
        <v>33135</v>
      </c>
      <c r="E449" s="243" t="s">
        <v>884</v>
      </c>
      <c r="F449" s="243" t="s">
        <v>885</v>
      </c>
      <c r="G449" s="243" t="s">
        <v>872</v>
      </c>
      <c r="H449" s="313">
        <v>2410</v>
      </c>
      <c r="I449" s="243" t="s">
        <v>462</v>
      </c>
      <c r="J449" s="246">
        <v>33</v>
      </c>
    </row>
    <row r="450" spans="1:10" ht="15" x14ac:dyDescent="0.25">
      <c r="A450" s="243">
        <v>10001039</v>
      </c>
      <c r="B450" s="243">
        <v>8457261002</v>
      </c>
      <c r="C450" s="243" t="s">
        <v>1418</v>
      </c>
      <c r="D450" s="244">
        <v>33675</v>
      </c>
      <c r="E450" s="243" t="s">
        <v>906</v>
      </c>
      <c r="F450" s="243" t="s">
        <v>907</v>
      </c>
      <c r="G450" s="243" t="s">
        <v>872</v>
      </c>
      <c r="H450" s="313">
        <v>2410</v>
      </c>
      <c r="I450" s="243" t="s">
        <v>462</v>
      </c>
      <c r="J450" s="246">
        <v>31</v>
      </c>
    </row>
    <row r="451" spans="1:10" ht="15" x14ac:dyDescent="0.25">
      <c r="A451" s="243">
        <v>10001040</v>
      </c>
      <c r="B451" s="243">
        <v>8448900545</v>
      </c>
      <c r="C451" s="243" t="s">
        <v>1419</v>
      </c>
      <c r="D451" s="244">
        <v>32839</v>
      </c>
      <c r="E451" s="243" t="s">
        <v>906</v>
      </c>
      <c r="F451" s="243" t="s">
        <v>907</v>
      </c>
      <c r="G451" s="243" t="s">
        <v>918</v>
      </c>
      <c r="H451" s="313">
        <v>2410</v>
      </c>
      <c r="I451" s="243" t="s">
        <v>462</v>
      </c>
      <c r="J451" s="246">
        <v>34</v>
      </c>
    </row>
    <row r="452" spans="1:10" ht="15" x14ac:dyDescent="0.25">
      <c r="A452" s="243">
        <v>10001041</v>
      </c>
      <c r="B452" s="243">
        <v>8446950472</v>
      </c>
      <c r="C452" s="243" t="s">
        <v>1294</v>
      </c>
      <c r="D452" s="244">
        <v>32644</v>
      </c>
      <c r="E452" s="243" t="s">
        <v>906</v>
      </c>
      <c r="F452" s="243" t="s">
        <v>907</v>
      </c>
      <c r="G452" s="243" t="s">
        <v>1109</v>
      </c>
      <c r="H452" s="313">
        <v>2910</v>
      </c>
      <c r="I452" s="243" t="s">
        <v>518</v>
      </c>
      <c r="J452" s="246">
        <v>34</v>
      </c>
    </row>
    <row r="453" spans="1:10" ht="15" x14ac:dyDescent="0.25">
      <c r="A453" s="243">
        <v>10001042</v>
      </c>
      <c r="B453" s="243">
        <v>8388983024</v>
      </c>
      <c r="C453" s="243" t="s">
        <v>1420</v>
      </c>
      <c r="D453" s="244">
        <v>26847</v>
      </c>
      <c r="E453" s="243" t="s">
        <v>1191</v>
      </c>
      <c r="F453" s="243" t="s">
        <v>1192</v>
      </c>
      <c r="G453" s="243" t="s">
        <v>1145</v>
      </c>
      <c r="H453" s="313">
        <v>3910</v>
      </c>
      <c r="I453" s="243" t="s">
        <v>616</v>
      </c>
      <c r="J453" s="246">
        <v>50</v>
      </c>
    </row>
    <row r="454" spans="1:10" ht="15" x14ac:dyDescent="0.25">
      <c r="A454" s="243">
        <v>10001050</v>
      </c>
      <c r="B454" s="243">
        <v>8446483645</v>
      </c>
      <c r="C454" s="243" t="s">
        <v>1421</v>
      </c>
      <c r="D454" s="244">
        <v>32597</v>
      </c>
      <c r="E454" s="243" t="s">
        <v>858</v>
      </c>
      <c r="F454" s="243" t="s">
        <v>859</v>
      </c>
      <c r="G454" s="243" t="s">
        <v>1080</v>
      </c>
      <c r="H454" s="313">
        <v>2139</v>
      </c>
      <c r="I454" s="243" t="s">
        <v>425</v>
      </c>
      <c r="J454" s="246">
        <v>34</v>
      </c>
    </row>
    <row r="455" spans="1:10" ht="15" x14ac:dyDescent="0.25">
      <c r="A455" s="243">
        <v>10001051</v>
      </c>
      <c r="B455" s="243">
        <v>8419653322</v>
      </c>
      <c r="C455" s="243" t="s">
        <v>1422</v>
      </c>
      <c r="D455" s="244">
        <v>29914</v>
      </c>
      <c r="E455" s="243" t="s">
        <v>945</v>
      </c>
      <c r="F455" s="243" t="s">
        <v>946</v>
      </c>
      <c r="G455" s="243" t="s">
        <v>927</v>
      </c>
      <c r="H455" s="313">
        <v>2117</v>
      </c>
      <c r="I455" s="243" t="s">
        <v>413</v>
      </c>
      <c r="J455" s="246">
        <v>42</v>
      </c>
    </row>
    <row r="456" spans="1:10" ht="15" x14ac:dyDescent="0.25">
      <c r="A456" s="243">
        <v>10001052</v>
      </c>
      <c r="B456" s="243">
        <v>8442600442</v>
      </c>
      <c r="C456" s="243" t="s">
        <v>1423</v>
      </c>
      <c r="D456" s="244">
        <v>32209</v>
      </c>
      <c r="E456" s="243" t="s">
        <v>936</v>
      </c>
      <c r="F456" s="243" t="s">
        <v>937</v>
      </c>
      <c r="G456" s="243" t="s">
        <v>997</v>
      </c>
      <c r="H456" s="313">
        <v>2139</v>
      </c>
      <c r="I456" s="243" t="s">
        <v>425</v>
      </c>
      <c r="J456" s="246">
        <v>35</v>
      </c>
    </row>
    <row r="457" spans="1:10" ht="15" x14ac:dyDescent="0.25">
      <c r="A457" s="243">
        <v>10001053</v>
      </c>
      <c r="B457" s="243">
        <v>8448413687</v>
      </c>
      <c r="C457" s="243" t="s">
        <v>1424</v>
      </c>
      <c r="D457" s="244">
        <v>32790</v>
      </c>
      <c r="E457" s="243" t="s">
        <v>870</v>
      </c>
      <c r="F457" s="243" t="s">
        <v>871</v>
      </c>
      <c r="G457" s="243" t="s">
        <v>997</v>
      </c>
      <c r="H457" s="313">
        <v>2139</v>
      </c>
      <c r="I457" s="243" t="s">
        <v>425</v>
      </c>
      <c r="J457" s="246">
        <v>34</v>
      </c>
    </row>
    <row r="458" spans="1:10" ht="15" x14ac:dyDescent="0.25">
      <c r="A458" s="243">
        <v>10001054</v>
      </c>
      <c r="B458" s="243">
        <v>8431303115</v>
      </c>
      <c r="C458" s="243" t="s">
        <v>1425</v>
      </c>
      <c r="D458" s="244">
        <v>31079</v>
      </c>
      <c r="E458" s="243" t="s">
        <v>862</v>
      </c>
      <c r="F458" s="243" t="s">
        <v>863</v>
      </c>
      <c r="G458" s="243" t="s">
        <v>1020</v>
      </c>
      <c r="H458" s="313">
        <v>2410</v>
      </c>
      <c r="I458" s="243" t="s">
        <v>462</v>
      </c>
      <c r="J458" s="246">
        <v>38</v>
      </c>
    </row>
    <row r="459" spans="1:10" ht="15" x14ac:dyDescent="0.25">
      <c r="A459" s="243">
        <v>10001059</v>
      </c>
      <c r="B459" s="243">
        <v>8452020228</v>
      </c>
      <c r="C459" s="243" t="s">
        <v>1426</v>
      </c>
      <c r="D459" s="244">
        <v>33151</v>
      </c>
      <c r="E459" s="243" t="s">
        <v>884</v>
      </c>
      <c r="F459" s="243" t="s">
        <v>885</v>
      </c>
      <c r="G459" s="243" t="s">
        <v>1020</v>
      </c>
      <c r="H459" s="313">
        <v>2410</v>
      </c>
      <c r="I459" s="243" t="s">
        <v>462</v>
      </c>
      <c r="J459" s="246">
        <v>33</v>
      </c>
    </row>
    <row r="460" spans="1:10" ht="15" x14ac:dyDescent="0.25">
      <c r="A460" s="243">
        <v>10001062</v>
      </c>
      <c r="B460" s="243">
        <v>8433700847</v>
      </c>
      <c r="C460" s="243" t="s">
        <v>1427</v>
      </c>
      <c r="D460" s="244">
        <v>31319</v>
      </c>
      <c r="E460" s="243" t="s">
        <v>884</v>
      </c>
      <c r="F460" s="243" t="s">
        <v>885</v>
      </c>
      <c r="G460" s="243" t="s">
        <v>927</v>
      </c>
      <c r="H460" s="313">
        <v>2122</v>
      </c>
      <c r="I460" s="243" t="s">
        <v>416</v>
      </c>
      <c r="J460" s="246">
        <v>38</v>
      </c>
    </row>
    <row r="461" spans="1:10" ht="15" x14ac:dyDescent="0.25">
      <c r="A461" s="243">
        <v>10001064</v>
      </c>
      <c r="B461" s="243">
        <v>8416873569</v>
      </c>
      <c r="C461" s="243" t="s">
        <v>1428</v>
      </c>
      <c r="D461" s="244">
        <v>29636</v>
      </c>
      <c r="E461" s="243" t="s">
        <v>1266</v>
      </c>
      <c r="F461" s="243" t="s">
        <v>1267</v>
      </c>
      <c r="G461" s="243" t="s">
        <v>1109</v>
      </c>
      <c r="H461" s="313">
        <v>4112</v>
      </c>
      <c r="I461" s="243" t="s">
        <v>619</v>
      </c>
      <c r="J461" s="246">
        <v>42</v>
      </c>
    </row>
    <row r="462" spans="1:10" ht="15" x14ac:dyDescent="0.25">
      <c r="A462" s="243">
        <v>10001066</v>
      </c>
      <c r="B462" s="243">
        <v>8444651087</v>
      </c>
      <c r="C462" s="243" t="s">
        <v>1429</v>
      </c>
      <c r="D462" s="244">
        <v>32414</v>
      </c>
      <c r="E462" s="243" t="s">
        <v>963</v>
      </c>
      <c r="F462" s="243" t="s">
        <v>964</v>
      </c>
      <c r="G462" s="243" t="s">
        <v>997</v>
      </c>
      <c r="H462" s="313">
        <v>2139</v>
      </c>
      <c r="I462" s="243" t="s">
        <v>425</v>
      </c>
      <c r="J462" s="246">
        <v>35</v>
      </c>
    </row>
    <row r="463" spans="1:10" ht="15" x14ac:dyDescent="0.25">
      <c r="A463" s="243">
        <v>10001074</v>
      </c>
      <c r="B463" s="243">
        <v>8396574812</v>
      </c>
      <c r="C463" s="243" t="s">
        <v>1430</v>
      </c>
      <c r="D463" s="244">
        <v>27606</v>
      </c>
      <c r="E463" s="243" t="s">
        <v>954</v>
      </c>
      <c r="F463" s="243" t="s">
        <v>955</v>
      </c>
      <c r="G463" s="243" t="s">
        <v>864</v>
      </c>
      <c r="H463" s="313">
        <v>1328</v>
      </c>
      <c r="I463" s="243" t="s">
        <v>391</v>
      </c>
      <c r="J463" s="246">
        <v>48</v>
      </c>
    </row>
    <row r="464" spans="1:10" ht="15" x14ac:dyDescent="0.25">
      <c r="A464" s="243">
        <v>10001075</v>
      </c>
      <c r="B464" s="243">
        <v>8426440355</v>
      </c>
      <c r="C464" s="243" t="s">
        <v>1431</v>
      </c>
      <c r="D464" s="244">
        <v>30593</v>
      </c>
      <c r="E464" s="243" t="s">
        <v>858</v>
      </c>
      <c r="F464" s="243" t="s">
        <v>859</v>
      </c>
      <c r="G464" s="243" t="s">
        <v>997</v>
      </c>
      <c r="H464" s="313">
        <v>2139</v>
      </c>
      <c r="I464" s="243" t="s">
        <v>425</v>
      </c>
      <c r="J464" s="246">
        <v>40</v>
      </c>
    </row>
    <row r="465" spans="1:10" ht="15" x14ac:dyDescent="0.25">
      <c r="A465" s="243">
        <v>10001077</v>
      </c>
      <c r="B465" s="243">
        <v>8409092557</v>
      </c>
      <c r="C465" s="243" t="s">
        <v>1432</v>
      </c>
      <c r="D465" s="244">
        <v>28858</v>
      </c>
      <c r="E465" s="243" t="s">
        <v>1201</v>
      </c>
      <c r="F465" s="243" t="s">
        <v>1202</v>
      </c>
      <c r="G465" s="243" t="s">
        <v>1303</v>
      </c>
      <c r="H465" s="313">
        <v>2910</v>
      </c>
      <c r="I465" s="243" t="s">
        <v>518</v>
      </c>
      <c r="J465" s="246">
        <v>44</v>
      </c>
    </row>
    <row r="466" spans="1:10" ht="15" x14ac:dyDescent="0.25">
      <c r="A466" s="243">
        <v>10001084</v>
      </c>
      <c r="B466" s="243">
        <v>8446052717</v>
      </c>
      <c r="C466" s="243" t="s">
        <v>1433</v>
      </c>
      <c r="D466" s="244">
        <v>32554</v>
      </c>
      <c r="E466" s="243" t="s">
        <v>936</v>
      </c>
      <c r="F466" s="243" t="s">
        <v>937</v>
      </c>
      <c r="G466" s="243" t="s">
        <v>927</v>
      </c>
      <c r="H466" s="313">
        <v>2139</v>
      </c>
      <c r="I466" s="243" t="s">
        <v>425</v>
      </c>
      <c r="J466" s="246">
        <v>34</v>
      </c>
    </row>
    <row r="467" spans="1:10" ht="15" x14ac:dyDescent="0.25">
      <c r="A467" s="243">
        <v>10001090</v>
      </c>
      <c r="B467" s="243">
        <v>8460291359</v>
      </c>
      <c r="C467" s="243" t="s">
        <v>1434</v>
      </c>
      <c r="D467" s="244">
        <v>33978</v>
      </c>
      <c r="E467" s="243" t="s">
        <v>906</v>
      </c>
      <c r="F467" s="243" t="s">
        <v>907</v>
      </c>
      <c r="G467" s="243" t="s">
        <v>1109</v>
      </c>
      <c r="H467" s="313">
        <v>2139</v>
      </c>
      <c r="I467" s="243" t="s">
        <v>425</v>
      </c>
      <c r="J467" s="246">
        <v>30</v>
      </c>
    </row>
    <row r="468" spans="1:10" ht="15" x14ac:dyDescent="0.25">
      <c r="A468" s="243">
        <v>10001092</v>
      </c>
      <c r="B468" s="243">
        <v>8335673411</v>
      </c>
      <c r="C468" s="243" t="s">
        <v>1435</v>
      </c>
      <c r="D468" s="244">
        <v>21516</v>
      </c>
      <c r="E468" s="243" t="s">
        <v>1126</v>
      </c>
      <c r="F468" s="243" t="s">
        <v>1127</v>
      </c>
      <c r="G468" s="243" t="s">
        <v>1145</v>
      </c>
      <c r="H468" s="313">
        <v>3910</v>
      </c>
      <c r="I468" s="243" t="s">
        <v>616</v>
      </c>
      <c r="J468" s="246">
        <v>65</v>
      </c>
    </row>
    <row r="469" spans="1:10" ht="15" x14ac:dyDescent="0.25">
      <c r="A469" s="243">
        <v>10001093</v>
      </c>
      <c r="B469" s="243">
        <v>8418640162</v>
      </c>
      <c r="C469" s="243" t="s">
        <v>1436</v>
      </c>
      <c r="D469" s="244">
        <v>29813</v>
      </c>
      <c r="E469" s="243" t="s">
        <v>945</v>
      </c>
      <c r="F469" s="243" t="s">
        <v>946</v>
      </c>
      <c r="G469" s="243" t="s">
        <v>1080</v>
      </c>
      <c r="H469" s="313">
        <v>2165</v>
      </c>
      <c r="I469" s="243" t="s">
        <v>438</v>
      </c>
      <c r="J469" s="246">
        <v>42</v>
      </c>
    </row>
    <row r="470" spans="1:10" ht="15" x14ac:dyDescent="0.25">
      <c r="A470" s="243">
        <v>10001094</v>
      </c>
      <c r="B470" s="243">
        <v>8450390338</v>
      </c>
      <c r="C470" s="243" t="s">
        <v>1437</v>
      </c>
      <c r="D470" s="244">
        <v>32988</v>
      </c>
      <c r="E470" s="243" t="s">
        <v>858</v>
      </c>
      <c r="F470" s="243" t="s">
        <v>859</v>
      </c>
      <c r="G470" s="243" t="s">
        <v>927</v>
      </c>
      <c r="H470" s="313">
        <v>2139</v>
      </c>
      <c r="I470" s="243" t="s">
        <v>425</v>
      </c>
      <c r="J470" s="246">
        <v>33</v>
      </c>
    </row>
    <row r="471" spans="1:10" ht="15" x14ac:dyDescent="0.25">
      <c r="A471" s="243">
        <v>10001097</v>
      </c>
      <c r="B471" s="243">
        <v>8370971679</v>
      </c>
      <c r="C471" s="243" t="s">
        <v>1438</v>
      </c>
      <c r="D471" s="244">
        <v>25046</v>
      </c>
      <c r="E471" s="243" t="s">
        <v>1135</v>
      </c>
      <c r="F471" s="243" t="s">
        <v>1136</v>
      </c>
      <c r="G471" s="243" t="s">
        <v>1109</v>
      </c>
      <c r="H471" s="313">
        <v>4229</v>
      </c>
      <c r="I471" s="243" t="s">
        <v>641</v>
      </c>
      <c r="J471" s="246">
        <v>55</v>
      </c>
    </row>
    <row r="472" spans="1:10" ht="15" x14ac:dyDescent="0.25">
      <c r="A472" s="243">
        <v>10001101</v>
      </c>
      <c r="B472" s="243">
        <v>8461870093</v>
      </c>
      <c r="C472" s="243" t="s">
        <v>1439</v>
      </c>
      <c r="D472" s="244">
        <v>34136</v>
      </c>
      <c r="E472" s="243" t="s">
        <v>891</v>
      </c>
      <c r="F472" s="243" t="s">
        <v>892</v>
      </c>
      <c r="G472" s="243" t="s">
        <v>927</v>
      </c>
      <c r="H472" s="313">
        <v>2117</v>
      </c>
      <c r="I472" s="243" t="s">
        <v>413</v>
      </c>
      <c r="J472" s="246">
        <v>30</v>
      </c>
    </row>
    <row r="473" spans="1:10" ht="15" x14ac:dyDescent="0.25">
      <c r="A473" s="243">
        <v>10001117</v>
      </c>
      <c r="B473" s="243">
        <v>8349722673</v>
      </c>
      <c r="C473" s="243" t="s">
        <v>1440</v>
      </c>
      <c r="D473" s="244">
        <v>22921</v>
      </c>
      <c r="E473" s="243" t="s">
        <v>945</v>
      </c>
      <c r="F473" s="243" t="s">
        <v>946</v>
      </c>
      <c r="G473" s="243" t="s">
        <v>974</v>
      </c>
      <c r="H473" s="313">
        <v>2163</v>
      </c>
      <c r="I473" s="243" t="s">
        <v>436</v>
      </c>
      <c r="J473" s="246">
        <v>61</v>
      </c>
    </row>
    <row r="474" spans="1:10" ht="15" x14ac:dyDescent="0.25">
      <c r="A474" s="243">
        <v>10001118</v>
      </c>
      <c r="B474" s="243">
        <v>8407742120</v>
      </c>
      <c r="C474" s="243" t="s">
        <v>1441</v>
      </c>
      <c r="D474" s="244">
        <v>28723</v>
      </c>
      <c r="E474" s="243" t="s">
        <v>945</v>
      </c>
      <c r="F474" s="243" t="s">
        <v>946</v>
      </c>
      <c r="G474" s="243" t="s">
        <v>974</v>
      </c>
      <c r="H474" s="313">
        <v>2117</v>
      </c>
      <c r="I474" s="243" t="s">
        <v>413</v>
      </c>
      <c r="J474" s="246">
        <v>45</v>
      </c>
    </row>
    <row r="475" spans="1:10" ht="15" x14ac:dyDescent="0.25">
      <c r="A475" s="243">
        <v>10001124</v>
      </c>
      <c r="B475" s="243">
        <v>8334462786</v>
      </c>
      <c r="C475" s="243" t="s">
        <v>1442</v>
      </c>
      <c r="D475" s="244">
        <v>21395</v>
      </c>
      <c r="E475" s="243" t="s">
        <v>1157</v>
      </c>
      <c r="F475" s="243" t="s">
        <v>1158</v>
      </c>
      <c r="G475" s="243" t="s">
        <v>864</v>
      </c>
      <c r="H475" s="313">
        <v>2410</v>
      </c>
      <c r="I475" s="243" t="s">
        <v>462</v>
      </c>
      <c r="J475" s="246">
        <v>65</v>
      </c>
    </row>
    <row r="476" spans="1:10" ht="15" x14ac:dyDescent="0.25">
      <c r="A476" s="243">
        <v>10001125</v>
      </c>
      <c r="B476" s="243">
        <v>8424450205</v>
      </c>
      <c r="C476" s="243" t="s">
        <v>1443</v>
      </c>
      <c r="D476" s="244">
        <v>30394</v>
      </c>
      <c r="E476" s="243" t="s">
        <v>1135</v>
      </c>
      <c r="F476" s="243" t="s">
        <v>1136</v>
      </c>
      <c r="G476" s="243" t="s">
        <v>1109</v>
      </c>
      <c r="H476" s="313">
        <v>4229</v>
      </c>
      <c r="I476" s="243" t="s">
        <v>641</v>
      </c>
      <c r="J476" s="246">
        <v>40</v>
      </c>
    </row>
    <row r="477" spans="1:10" ht="15" x14ac:dyDescent="0.25">
      <c r="A477" s="243">
        <v>10001127</v>
      </c>
      <c r="B477" s="243">
        <v>8424210697</v>
      </c>
      <c r="C477" s="243" t="s">
        <v>1444</v>
      </c>
      <c r="D477" s="244">
        <v>30370</v>
      </c>
      <c r="E477" s="243" t="s">
        <v>936</v>
      </c>
      <c r="F477" s="243" t="s">
        <v>937</v>
      </c>
      <c r="G477" s="243" t="s">
        <v>1445</v>
      </c>
      <c r="H477" s="313">
        <v>3190</v>
      </c>
      <c r="I477" s="243" t="s">
        <v>552</v>
      </c>
      <c r="J477" s="246">
        <v>40</v>
      </c>
    </row>
    <row r="478" spans="1:10" ht="15" x14ac:dyDescent="0.25">
      <c r="A478" s="243">
        <v>10001130</v>
      </c>
      <c r="B478" s="243">
        <v>8462721202</v>
      </c>
      <c r="C478" s="243" t="s">
        <v>1446</v>
      </c>
      <c r="D478" s="244">
        <v>34221</v>
      </c>
      <c r="E478" s="243" t="s">
        <v>936</v>
      </c>
      <c r="F478" s="243" t="s">
        <v>937</v>
      </c>
      <c r="G478" s="243" t="s">
        <v>927</v>
      </c>
      <c r="H478" s="313">
        <v>2139</v>
      </c>
      <c r="I478" s="243" t="s">
        <v>425</v>
      </c>
      <c r="J478" s="246">
        <v>30</v>
      </c>
    </row>
    <row r="479" spans="1:10" ht="15" x14ac:dyDescent="0.25">
      <c r="A479" s="243">
        <v>10001131</v>
      </c>
      <c r="B479" s="243">
        <v>8442692398</v>
      </c>
      <c r="C479" s="243" t="s">
        <v>1447</v>
      </c>
      <c r="D479" s="244">
        <v>32218</v>
      </c>
      <c r="E479" s="243" t="s">
        <v>870</v>
      </c>
      <c r="F479" s="243" t="s">
        <v>871</v>
      </c>
      <c r="G479" s="243" t="s">
        <v>997</v>
      </c>
      <c r="H479" s="313">
        <v>2117</v>
      </c>
      <c r="I479" s="243" t="s">
        <v>413</v>
      </c>
      <c r="J479" s="246">
        <v>35</v>
      </c>
    </row>
    <row r="480" spans="1:10" ht="15" x14ac:dyDescent="0.25">
      <c r="A480" s="243">
        <v>10001133</v>
      </c>
      <c r="B480" s="243">
        <v>8429333843</v>
      </c>
      <c r="C480" s="243" t="s">
        <v>1448</v>
      </c>
      <c r="D480" s="244">
        <v>30882</v>
      </c>
      <c r="E480" s="243" t="s">
        <v>963</v>
      </c>
      <c r="F480" s="243" t="s">
        <v>964</v>
      </c>
      <c r="G480" s="243" t="s">
        <v>1080</v>
      </c>
      <c r="H480" s="313">
        <v>2139</v>
      </c>
      <c r="I480" s="243" t="s">
        <v>425</v>
      </c>
      <c r="J480" s="246">
        <v>39</v>
      </c>
    </row>
    <row r="481" spans="1:10" ht="15" x14ac:dyDescent="0.25">
      <c r="A481" s="243">
        <v>10001134</v>
      </c>
      <c r="B481" s="243">
        <v>8441310858</v>
      </c>
      <c r="C481" s="243" t="s">
        <v>1449</v>
      </c>
      <c r="D481" s="244">
        <v>32080</v>
      </c>
      <c r="E481" s="243" t="s">
        <v>963</v>
      </c>
      <c r="F481" s="243" t="s">
        <v>964</v>
      </c>
      <c r="G481" s="243" t="s">
        <v>997</v>
      </c>
      <c r="H481" s="313">
        <v>2139</v>
      </c>
      <c r="I481" s="243" t="s">
        <v>425</v>
      </c>
      <c r="J481" s="246">
        <v>36</v>
      </c>
    </row>
    <row r="482" spans="1:10" ht="15" x14ac:dyDescent="0.25">
      <c r="A482" s="243">
        <v>10001136</v>
      </c>
      <c r="B482" s="243">
        <v>8396360162</v>
      </c>
      <c r="C482" s="243" t="s">
        <v>1450</v>
      </c>
      <c r="D482" s="244">
        <v>27585</v>
      </c>
      <c r="E482" s="243" t="s">
        <v>1135</v>
      </c>
      <c r="F482" s="243" t="s">
        <v>1136</v>
      </c>
      <c r="G482" s="243" t="s">
        <v>1303</v>
      </c>
      <c r="H482" s="313">
        <v>4229</v>
      </c>
      <c r="I482" s="243" t="s">
        <v>641</v>
      </c>
      <c r="J482" s="246">
        <v>48</v>
      </c>
    </row>
    <row r="483" spans="1:10" ht="15" x14ac:dyDescent="0.25">
      <c r="A483" s="243">
        <v>10001138</v>
      </c>
      <c r="B483" s="243">
        <v>8426043291</v>
      </c>
      <c r="C483" s="243" t="s">
        <v>1451</v>
      </c>
      <c r="D483" s="244">
        <v>30553</v>
      </c>
      <c r="E483" s="243" t="s">
        <v>945</v>
      </c>
      <c r="F483" s="243" t="s">
        <v>946</v>
      </c>
      <c r="G483" s="243" t="s">
        <v>997</v>
      </c>
      <c r="H483" s="313">
        <v>2169</v>
      </c>
      <c r="I483" s="243" t="s">
        <v>442</v>
      </c>
      <c r="J483" s="246">
        <v>40</v>
      </c>
    </row>
    <row r="484" spans="1:10" ht="15" x14ac:dyDescent="0.25">
      <c r="A484" s="243">
        <v>10001139</v>
      </c>
      <c r="B484" s="243">
        <v>8420632767</v>
      </c>
      <c r="C484" s="243" t="s">
        <v>1452</v>
      </c>
      <c r="D484" s="244">
        <v>30012</v>
      </c>
      <c r="E484" s="243" t="s">
        <v>1201</v>
      </c>
      <c r="F484" s="243" t="s">
        <v>1202</v>
      </c>
      <c r="G484" s="243" t="s">
        <v>1303</v>
      </c>
      <c r="H484" s="313">
        <v>2910</v>
      </c>
      <c r="I484" s="243" t="s">
        <v>518</v>
      </c>
      <c r="J484" s="246">
        <v>41</v>
      </c>
    </row>
    <row r="485" spans="1:10" ht="15" x14ac:dyDescent="0.25">
      <c r="A485" s="243">
        <v>10001143</v>
      </c>
      <c r="B485" s="243">
        <v>8459230287</v>
      </c>
      <c r="C485" s="243" t="s">
        <v>1453</v>
      </c>
      <c r="D485" s="244">
        <v>33872</v>
      </c>
      <c r="E485" s="243" t="s">
        <v>1220</v>
      </c>
      <c r="F485" s="243" t="s">
        <v>1221</v>
      </c>
      <c r="G485" s="243" t="s">
        <v>1145</v>
      </c>
      <c r="H485" s="313">
        <v>3910</v>
      </c>
      <c r="I485" s="243" t="s">
        <v>616</v>
      </c>
      <c r="J485" s="246">
        <v>31</v>
      </c>
    </row>
    <row r="486" spans="1:10" ht="15" x14ac:dyDescent="0.25">
      <c r="A486" s="243">
        <v>10001146</v>
      </c>
      <c r="B486" s="243">
        <v>8436690672</v>
      </c>
      <c r="C486" s="243" t="s">
        <v>1454</v>
      </c>
      <c r="D486" s="244">
        <v>31618</v>
      </c>
      <c r="E486" s="243" t="s">
        <v>880</v>
      </c>
      <c r="F486" s="243" t="s">
        <v>881</v>
      </c>
      <c r="G486" s="243" t="s">
        <v>864</v>
      </c>
      <c r="H486" s="313">
        <v>2410</v>
      </c>
      <c r="I486" s="243" t="s">
        <v>462</v>
      </c>
      <c r="J486" s="246">
        <v>37</v>
      </c>
    </row>
    <row r="487" spans="1:10" ht="15" x14ac:dyDescent="0.25">
      <c r="A487" s="243">
        <v>10001147</v>
      </c>
      <c r="B487" s="243">
        <v>8452590628</v>
      </c>
      <c r="C487" s="243" t="s">
        <v>1455</v>
      </c>
      <c r="D487" s="244">
        <v>33208</v>
      </c>
      <c r="E487" s="243" t="s">
        <v>880</v>
      </c>
      <c r="F487" s="243" t="s">
        <v>881</v>
      </c>
      <c r="G487" s="243" t="s">
        <v>1128</v>
      </c>
      <c r="H487" s="313">
        <v>2410</v>
      </c>
      <c r="I487" s="243" t="s">
        <v>462</v>
      </c>
      <c r="J487" s="246">
        <v>33</v>
      </c>
    </row>
    <row r="488" spans="1:10" ht="15" x14ac:dyDescent="0.25">
      <c r="A488" s="243">
        <v>10001149</v>
      </c>
      <c r="B488" s="243">
        <v>8411173119</v>
      </c>
      <c r="C488" s="243" t="s">
        <v>1456</v>
      </c>
      <c r="D488" s="244">
        <v>29066</v>
      </c>
      <c r="E488" s="243" t="s">
        <v>1390</v>
      </c>
      <c r="F488" s="243" t="s">
        <v>1391</v>
      </c>
      <c r="G488" s="243" t="s">
        <v>1109</v>
      </c>
      <c r="H488" s="313">
        <v>2910</v>
      </c>
      <c r="I488" s="243" t="s">
        <v>518</v>
      </c>
      <c r="J488" s="246">
        <v>44</v>
      </c>
    </row>
    <row r="489" spans="1:10" ht="15" x14ac:dyDescent="0.25">
      <c r="A489" s="243">
        <v>10001156</v>
      </c>
      <c r="B489" s="243">
        <v>8433840320</v>
      </c>
      <c r="C489" s="243" t="s">
        <v>1457</v>
      </c>
      <c r="D489" s="244">
        <v>31333</v>
      </c>
      <c r="E489" s="243" t="s">
        <v>945</v>
      </c>
      <c r="F489" s="243" t="s">
        <v>946</v>
      </c>
      <c r="G489" s="243" t="s">
        <v>997</v>
      </c>
      <c r="H489" s="313">
        <v>2169</v>
      </c>
      <c r="I489" s="243" t="s">
        <v>442</v>
      </c>
      <c r="J489" s="246">
        <v>38</v>
      </c>
    </row>
    <row r="490" spans="1:10" ht="15" x14ac:dyDescent="0.25">
      <c r="A490" s="243">
        <v>10001157</v>
      </c>
      <c r="B490" s="243">
        <v>8455030704</v>
      </c>
      <c r="C490" s="243" t="s">
        <v>1458</v>
      </c>
      <c r="D490" s="244">
        <v>33452</v>
      </c>
      <c r="E490" s="243" t="s">
        <v>870</v>
      </c>
      <c r="F490" s="243" t="s">
        <v>871</v>
      </c>
      <c r="G490" s="243" t="s">
        <v>927</v>
      </c>
      <c r="H490" s="313">
        <v>2117</v>
      </c>
      <c r="I490" s="243" t="s">
        <v>413</v>
      </c>
      <c r="J490" s="246">
        <v>32</v>
      </c>
    </row>
    <row r="491" spans="1:10" ht="15" x14ac:dyDescent="0.25">
      <c r="A491" s="243">
        <v>10001160</v>
      </c>
      <c r="B491" s="243">
        <v>8452330308</v>
      </c>
      <c r="C491" s="243" t="s">
        <v>1459</v>
      </c>
      <c r="D491" s="244">
        <v>33182</v>
      </c>
      <c r="E491" s="243" t="s">
        <v>858</v>
      </c>
      <c r="F491" s="243" t="s">
        <v>859</v>
      </c>
      <c r="G491" s="243" t="s">
        <v>927</v>
      </c>
      <c r="H491" s="313">
        <v>2117</v>
      </c>
      <c r="I491" s="243" t="s">
        <v>413</v>
      </c>
      <c r="J491" s="246">
        <v>33</v>
      </c>
    </row>
    <row r="492" spans="1:10" ht="15" x14ac:dyDescent="0.25">
      <c r="A492" s="243">
        <v>10001165</v>
      </c>
      <c r="B492" s="243">
        <v>8420711640</v>
      </c>
      <c r="C492" s="243" t="s">
        <v>1460</v>
      </c>
      <c r="D492" s="244">
        <v>30020</v>
      </c>
      <c r="E492" s="243" t="s">
        <v>936</v>
      </c>
      <c r="F492" s="243" t="s">
        <v>937</v>
      </c>
      <c r="G492" s="243" t="s">
        <v>927</v>
      </c>
      <c r="H492" s="313">
        <v>2118</v>
      </c>
      <c r="I492" s="243" t="s">
        <v>414</v>
      </c>
      <c r="J492" s="246">
        <v>41</v>
      </c>
    </row>
    <row r="493" spans="1:10" ht="15" x14ac:dyDescent="0.25">
      <c r="A493" s="243">
        <v>10001166</v>
      </c>
      <c r="B493" s="243">
        <v>8456232890</v>
      </c>
      <c r="C493" s="243" t="s">
        <v>1461</v>
      </c>
      <c r="D493" s="244">
        <v>33572</v>
      </c>
      <c r="E493" s="243" t="s">
        <v>1126</v>
      </c>
      <c r="F493" s="243" t="s">
        <v>1127</v>
      </c>
      <c r="G493" s="243" t="s">
        <v>1128</v>
      </c>
      <c r="H493" s="313">
        <v>2410</v>
      </c>
      <c r="I493" s="243" t="s">
        <v>462</v>
      </c>
      <c r="J493" s="246">
        <v>32</v>
      </c>
    </row>
    <row r="494" spans="1:10" ht="15" x14ac:dyDescent="0.25">
      <c r="A494" s="243">
        <v>10001167</v>
      </c>
      <c r="B494" s="243">
        <v>8379181603</v>
      </c>
      <c r="C494" s="243" t="s">
        <v>1462</v>
      </c>
      <c r="D494" s="244">
        <v>25867</v>
      </c>
      <c r="E494" s="243" t="s">
        <v>1126</v>
      </c>
      <c r="F494" s="243" t="s">
        <v>1127</v>
      </c>
      <c r="G494" s="243" t="s">
        <v>1145</v>
      </c>
      <c r="H494" s="313">
        <v>2910</v>
      </c>
      <c r="I494" s="243" t="s">
        <v>518</v>
      </c>
      <c r="J494" s="246">
        <v>53</v>
      </c>
    </row>
    <row r="495" spans="1:10" ht="15" x14ac:dyDescent="0.25">
      <c r="A495" s="243">
        <v>10001170</v>
      </c>
      <c r="B495" s="243">
        <v>8445951254</v>
      </c>
      <c r="C495" s="243" t="s">
        <v>1463</v>
      </c>
      <c r="D495" s="244">
        <v>32544</v>
      </c>
      <c r="E495" s="243" t="s">
        <v>888</v>
      </c>
      <c r="F495" s="243" t="s">
        <v>889</v>
      </c>
      <c r="G495" s="243" t="s">
        <v>927</v>
      </c>
      <c r="H495" s="313">
        <v>2624</v>
      </c>
      <c r="I495" s="243" t="s">
        <v>497</v>
      </c>
      <c r="J495" s="246">
        <v>34</v>
      </c>
    </row>
    <row r="496" spans="1:10" ht="15" x14ac:dyDescent="0.25">
      <c r="A496" s="243">
        <v>10001171</v>
      </c>
      <c r="B496" s="243">
        <v>8440181078</v>
      </c>
      <c r="C496" s="243" t="s">
        <v>1464</v>
      </c>
      <c r="D496" s="244">
        <v>31967</v>
      </c>
      <c r="E496" s="243" t="s">
        <v>929</v>
      </c>
      <c r="F496" s="243" t="s">
        <v>930</v>
      </c>
      <c r="G496" s="243" t="s">
        <v>872</v>
      </c>
      <c r="H496" s="313">
        <v>2410</v>
      </c>
      <c r="I496" s="243" t="s">
        <v>462</v>
      </c>
      <c r="J496" s="246">
        <v>36</v>
      </c>
    </row>
    <row r="497" spans="1:10" ht="15" x14ac:dyDescent="0.25">
      <c r="A497" s="243">
        <v>10001175</v>
      </c>
      <c r="B497" s="243">
        <v>8391122697</v>
      </c>
      <c r="C497" s="243" t="s">
        <v>1465</v>
      </c>
      <c r="D497" s="244">
        <v>27061</v>
      </c>
      <c r="E497" s="243" t="s">
        <v>929</v>
      </c>
      <c r="F497" s="243" t="s">
        <v>930</v>
      </c>
      <c r="G497" s="243" t="s">
        <v>985</v>
      </c>
      <c r="H497" s="313">
        <v>2410</v>
      </c>
      <c r="I497" s="243" t="s">
        <v>462</v>
      </c>
      <c r="J497" s="246">
        <v>49</v>
      </c>
    </row>
    <row r="498" spans="1:10" ht="15" x14ac:dyDescent="0.25">
      <c r="A498" s="243">
        <v>10001177</v>
      </c>
      <c r="B498" s="243">
        <v>8415171048</v>
      </c>
      <c r="C498" s="243" t="s">
        <v>1466</v>
      </c>
      <c r="D498" s="244">
        <v>29466</v>
      </c>
      <c r="E498" s="243" t="s">
        <v>1248</v>
      </c>
      <c r="F498" s="243" t="s">
        <v>1249</v>
      </c>
      <c r="G498" s="243" t="s">
        <v>1145</v>
      </c>
      <c r="H498" s="313">
        <v>3910</v>
      </c>
      <c r="I498" s="243" t="s">
        <v>616</v>
      </c>
      <c r="J498" s="246">
        <v>43</v>
      </c>
    </row>
    <row r="499" spans="1:10" ht="15" x14ac:dyDescent="0.25">
      <c r="A499" s="243">
        <v>10001179</v>
      </c>
      <c r="B499" s="243">
        <v>8425000386</v>
      </c>
      <c r="C499" s="243" t="s">
        <v>1467</v>
      </c>
      <c r="D499" s="244">
        <v>30449</v>
      </c>
      <c r="E499" s="243" t="s">
        <v>1243</v>
      </c>
      <c r="F499" s="243" t="s">
        <v>1244</v>
      </c>
      <c r="G499" s="243" t="s">
        <v>1145</v>
      </c>
      <c r="H499" s="313">
        <v>3910</v>
      </c>
      <c r="I499" s="243" t="s">
        <v>616</v>
      </c>
      <c r="J499" s="246">
        <v>40</v>
      </c>
    </row>
    <row r="500" spans="1:10" ht="15" x14ac:dyDescent="0.25">
      <c r="A500" s="243">
        <v>10001182</v>
      </c>
      <c r="B500" s="243">
        <v>8440692994</v>
      </c>
      <c r="C500" s="243" t="s">
        <v>1468</v>
      </c>
      <c r="D500" s="244">
        <v>32018</v>
      </c>
      <c r="E500" s="243" t="s">
        <v>858</v>
      </c>
      <c r="F500" s="243" t="s">
        <v>859</v>
      </c>
      <c r="G500" s="243" t="s">
        <v>1080</v>
      </c>
      <c r="H500" s="313">
        <v>2139</v>
      </c>
      <c r="I500" s="243" t="s">
        <v>425</v>
      </c>
      <c r="J500" s="246">
        <v>36</v>
      </c>
    </row>
    <row r="501" spans="1:10" ht="15" x14ac:dyDescent="0.25">
      <c r="A501" s="243">
        <v>10001183</v>
      </c>
      <c r="B501" s="243">
        <v>8430420215</v>
      </c>
      <c r="C501" s="243" t="s">
        <v>1469</v>
      </c>
      <c r="D501" s="244">
        <v>30991</v>
      </c>
      <c r="E501" s="243" t="s">
        <v>858</v>
      </c>
      <c r="F501" s="243" t="s">
        <v>859</v>
      </c>
      <c r="G501" s="243" t="s">
        <v>1080</v>
      </c>
      <c r="H501" s="313">
        <v>2139</v>
      </c>
      <c r="I501" s="243" t="s">
        <v>425</v>
      </c>
      <c r="J501" s="246">
        <v>39</v>
      </c>
    </row>
    <row r="502" spans="1:10" ht="15" x14ac:dyDescent="0.25">
      <c r="A502" s="243">
        <v>10001188</v>
      </c>
      <c r="B502" s="243">
        <v>8433713434</v>
      </c>
      <c r="C502" s="243" t="s">
        <v>1470</v>
      </c>
      <c r="D502" s="244">
        <v>31320</v>
      </c>
      <c r="E502" s="243" t="s">
        <v>1198</v>
      </c>
      <c r="F502" s="243" t="s">
        <v>1199</v>
      </c>
      <c r="G502" s="243" t="s">
        <v>1145</v>
      </c>
      <c r="H502" s="313">
        <v>3623</v>
      </c>
      <c r="I502" s="243" t="s">
        <v>590</v>
      </c>
      <c r="J502" s="246">
        <v>38</v>
      </c>
    </row>
    <row r="503" spans="1:10" ht="15" x14ac:dyDescent="0.25">
      <c r="A503" s="243">
        <v>10001192</v>
      </c>
      <c r="B503" s="243">
        <v>8331450604</v>
      </c>
      <c r="C503" s="243" t="s">
        <v>1471</v>
      </c>
      <c r="D503" s="244">
        <v>21094</v>
      </c>
      <c r="E503" s="243" t="s">
        <v>1138</v>
      </c>
      <c r="F503" s="243" t="s">
        <v>1139</v>
      </c>
      <c r="G503" s="243" t="s">
        <v>1164</v>
      </c>
      <c r="H503" s="313">
        <v>7524</v>
      </c>
      <c r="I503" s="243" t="s">
        <v>751</v>
      </c>
      <c r="J503" s="246">
        <v>66</v>
      </c>
    </row>
    <row r="504" spans="1:10" ht="15" x14ac:dyDescent="0.25">
      <c r="A504" s="243">
        <v>10001231</v>
      </c>
      <c r="B504" s="243">
        <v>8454431039</v>
      </c>
      <c r="C504" s="243" t="s">
        <v>1472</v>
      </c>
      <c r="D504" s="244">
        <v>33392</v>
      </c>
      <c r="E504" s="243" t="s">
        <v>1198</v>
      </c>
      <c r="F504" s="243" t="s">
        <v>1199</v>
      </c>
      <c r="G504" s="243" t="s">
        <v>1145</v>
      </c>
      <c r="H504" s="313">
        <v>3910</v>
      </c>
      <c r="I504" s="243" t="s">
        <v>616</v>
      </c>
      <c r="J504" s="246">
        <v>32</v>
      </c>
    </row>
    <row r="505" spans="1:10" ht="15" x14ac:dyDescent="0.25">
      <c r="A505" s="243">
        <v>10001232</v>
      </c>
      <c r="B505" s="243">
        <v>8438912923</v>
      </c>
      <c r="C505" s="243" t="s">
        <v>1473</v>
      </c>
      <c r="D505" s="244">
        <v>31840</v>
      </c>
      <c r="E505" s="243" t="s">
        <v>1198</v>
      </c>
      <c r="F505" s="243" t="s">
        <v>1199</v>
      </c>
      <c r="G505" s="243" t="s">
        <v>1145</v>
      </c>
      <c r="H505" s="313">
        <v>3910</v>
      </c>
      <c r="I505" s="243" t="s">
        <v>616</v>
      </c>
      <c r="J505" s="246">
        <v>36</v>
      </c>
    </row>
    <row r="506" spans="1:10" ht="15" x14ac:dyDescent="0.25">
      <c r="A506" s="243">
        <v>10001235</v>
      </c>
      <c r="B506" s="243">
        <v>8408011464</v>
      </c>
      <c r="C506" s="243" t="s">
        <v>1474</v>
      </c>
      <c r="D506" s="244">
        <v>28750</v>
      </c>
      <c r="E506" s="243" t="s">
        <v>1201</v>
      </c>
      <c r="F506" s="243" t="s">
        <v>1202</v>
      </c>
      <c r="G506" s="243" t="s">
        <v>1109</v>
      </c>
      <c r="H506" s="313">
        <v>1419</v>
      </c>
      <c r="I506" s="243" t="s">
        <v>406</v>
      </c>
      <c r="J506" s="246">
        <v>45</v>
      </c>
    </row>
    <row r="507" spans="1:10" ht="15" x14ac:dyDescent="0.25">
      <c r="A507" s="243">
        <v>10001239</v>
      </c>
      <c r="B507" s="243">
        <v>8482380842</v>
      </c>
      <c r="C507" s="243" t="s">
        <v>1475</v>
      </c>
      <c r="D507" s="244">
        <v>36187</v>
      </c>
      <c r="E507" s="243" t="s">
        <v>891</v>
      </c>
      <c r="F507" s="243" t="s">
        <v>892</v>
      </c>
      <c r="G507" s="243" t="s">
        <v>1179</v>
      </c>
      <c r="H507" s="313">
        <v>3139</v>
      </c>
      <c r="I507" s="243" t="s">
        <v>534</v>
      </c>
      <c r="J507" s="246">
        <v>24</v>
      </c>
    </row>
    <row r="508" spans="1:10" ht="15" x14ac:dyDescent="0.25">
      <c r="A508" s="243">
        <v>10001244</v>
      </c>
      <c r="B508" s="243">
        <v>8309423470</v>
      </c>
      <c r="C508" s="243" t="s">
        <v>1476</v>
      </c>
      <c r="D508" s="244">
        <v>18891</v>
      </c>
      <c r="E508" s="243" t="s">
        <v>867</v>
      </c>
      <c r="F508" s="243" t="s">
        <v>868</v>
      </c>
      <c r="G508" s="243" t="s">
        <v>860</v>
      </c>
      <c r="H508" s="313">
        <v>2410</v>
      </c>
      <c r="I508" s="243" t="s">
        <v>462</v>
      </c>
      <c r="J508" s="246">
        <v>72</v>
      </c>
    </row>
    <row r="509" spans="1:10" ht="15" x14ac:dyDescent="0.25">
      <c r="A509" s="243">
        <v>10001251</v>
      </c>
      <c r="B509" s="243">
        <v>8445372106</v>
      </c>
      <c r="C509" s="243" t="s">
        <v>1477</v>
      </c>
      <c r="D509" s="244">
        <v>32486</v>
      </c>
      <c r="E509" s="243" t="s">
        <v>858</v>
      </c>
      <c r="F509" s="243" t="s">
        <v>859</v>
      </c>
      <c r="G509" s="243" t="s">
        <v>1445</v>
      </c>
      <c r="H509" s="313">
        <v>3190</v>
      </c>
      <c r="I509" s="243" t="s">
        <v>552</v>
      </c>
      <c r="J509" s="246">
        <v>35</v>
      </c>
    </row>
    <row r="510" spans="1:10" ht="15" x14ac:dyDescent="0.25">
      <c r="A510" s="243">
        <v>10001256</v>
      </c>
      <c r="B510" s="243">
        <v>8461520602</v>
      </c>
      <c r="C510" s="243" t="s">
        <v>1478</v>
      </c>
      <c r="D510" s="244">
        <v>34101</v>
      </c>
      <c r="E510" s="243" t="s">
        <v>891</v>
      </c>
      <c r="F510" s="243" t="s">
        <v>892</v>
      </c>
      <c r="G510" s="243" t="s">
        <v>927</v>
      </c>
      <c r="H510" s="313">
        <v>2117</v>
      </c>
      <c r="I510" s="243" t="s">
        <v>413</v>
      </c>
      <c r="J510" s="246">
        <v>30</v>
      </c>
    </row>
    <row r="511" spans="1:10" ht="15" x14ac:dyDescent="0.25">
      <c r="A511" s="243">
        <v>10001258</v>
      </c>
      <c r="B511" s="243">
        <v>8412964357</v>
      </c>
      <c r="C511" s="243" t="s">
        <v>1479</v>
      </c>
      <c r="D511" s="244">
        <v>29245</v>
      </c>
      <c r="E511" s="243" t="s">
        <v>1480</v>
      </c>
      <c r="F511" s="243" t="s">
        <v>1481</v>
      </c>
      <c r="G511" s="243" t="s">
        <v>1145</v>
      </c>
      <c r="H511" s="313">
        <v>3910</v>
      </c>
      <c r="I511" s="243" t="s">
        <v>616</v>
      </c>
      <c r="J511" s="246">
        <v>43</v>
      </c>
    </row>
    <row r="512" spans="1:10" ht="15" x14ac:dyDescent="0.25">
      <c r="A512" s="243">
        <v>10001259</v>
      </c>
      <c r="B512" s="243">
        <v>8418153059</v>
      </c>
      <c r="C512" s="243" t="s">
        <v>1482</v>
      </c>
      <c r="D512" s="244">
        <v>29764</v>
      </c>
      <c r="E512" s="243" t="s">
        <v>945</v>
      </c>
      <c r="F512" s="243" t="s">
        <v>946</v>
      </c>
      <c r="G512" s="243" t="s">
        <v>1080</v>
      </c>
      <c r="H512" s="313">
        <v>2139</v>
      </c>
      <c r="I512" s="243" t="s">
        <v>425</v>
      </c>
      <c r="J512" s="246">
        <v>42</v>
      </c>
    </row>
    <row r="513" spans="1:10" ht="15" x14ac:dyDescent="0.25">
      <c r="A513" s="243">
        <v>10001262</v>
      </c>
      <c r="B513" s="243">
        <v>8431123648</v>
      </c>
      <c r="C513" s="243" t="s">
        <v>1483</v>
      </c>
      <c r="D513" s="244">
        <v>31061</v>
      </c>
      <c r="E513" s="243" t="s">
        <v>1121</v>
      </c>
      <c r="F513" s="243" t="s">
        <v>1122</v>
      </c>
      <c r="G513" s="243" t="s">
        <v>1109</v>
      </c>
      <c r="H513" s="313">
        <v>2910</v>
      </c>
      <c r="I513" s="243" t="s">
        <v>518</v>
      </c>
      <c r="J513" s="246">
        <v>38</v>
      </c>
    </row>
    <row r="514" spans="1:10" ht="15" x14ac:dyDescent="0.25">
      <c r="A514" s="243">
        <v>10001274</v>
      </c>
      <c r="B514" s="243">
        <v>8459141144</v>
      </c>
      <c r="C514" s="243" t="s">
        <v>1484</v>
      </c>
      <c r="D514" s="244">
        <v>33863</v>
      </c>
      <c r="E514" s="243" t="s">
        <v>936</v>
      </c>
      <c r="F514" s="243" t="s">
        <v>937</v>
      </c>
      <c r="G514" s="243" t="s">
        <v>1020</v>
      </c>
      <c r="H514" s="313">
        <v>2410</v>
      </c>
      <c r="I514" s="243" t="s">
        <v>462</v>
      </c>
      <c r="J514" s="246">
        <v>31</v>
      </c>
    </row>
    <row r="515" spans="1:10" ht="15" x14ac:dyDescent="0.25">
      <c r="A515" s="243">
        <v>10001275</v>
      </c>
      <c r="B515" s="243">
        <v>8452830645</v>
      </c>
      <c r="C515" s="243" t="s">
        <v>1485</v>
      </c>
      <c r="D515" s="244">
        <v>33232</v>
      </c>
      <c r="E515" s="243" t="s">
        <v>858</v>
      </c>
      <c r="F515" s="243" t="s">
        <v>859</v>
      </c>
      <c r="G515" s="243" t="s">
        <v>927</v>
      </c>
      <c r="H515" s="313">
        <v>2117</v>
      </c>
      <c r="I515" s="243" t="s">
        <v>413</v>
      </c>
      <c r="J515" s="246">
        <v>33</v>
      </c>
    </row>
    <row r="516" spans="1:10" ht="15" x14ac:dyDescent="0.25">
      <c r="A516" s="243">
        <v>10001278</v>
      </c>
      <c r="B516" s="243">
        <v>8388693077</v>
      </c>
      <c r="C516" s="243" t="s">
        <v>1486</v>
      </c>
      <c r="D516" s="244">
        <v>26818</v>
      </c>
      <c r="E516" s="243" t="s">
        <v>942</v>
      </c>
      <c r="F516" s="243" t="s">
        <v>943</v>
      </c>
      <c r="G516" s="243" t="s">
        <v>1020</v>
      </c>
      <c r="H516" s="313">
        <v>2410</v>
      </c>
      <c r="I516" s="243" t="s">
        <v>462</v>
      </c>
      <c r="J516" s="246">
        <v>50</v>
      </c>
    </row>
    <row r="517" spans="1:10" ht="15" x14ac:dyDescent="0.25">
      <c r="A517" s="243">
        <v>10001280</v>
      </c>
      <c r="B517" s="243">
        <v>8473392310</v>
      </c>
      <c r="C517" s="243" t="s">
        <v>1487</v>
      </c>
      <c r="D517" s="244">
        <v>35288</v>
      </c>
      <c r="E517" s="243" t="s">
        <v>870</v>
      </c>
      <c r="F517" s="243" t="s">
        <v>871</v>
      </c>
      <c r="G517" s="243" t="s">
        <v>1145</v>
      </c>
      <c r="H517" s="313">
        <v>3910</v>
      </c>
      <c r="I517" s="243" t="s">
        <v>616</v>
      </c>
      <c r="J517" s="246">
        <v>27</v>
      </c>
    </row>
    <row r="518" spans="1:10" ht="15" x14ac:dyDescent="0.25">
      <c r="A518" s="243">
        <v>10001287</v>
      </c>
      <c r="B518" s="243">
        <v>8464480210</v>
      </c>
      <c r="C518" s="243" t="s">
        <v>1488</v>
      </c>
      <c r="D518" s="244">
        <v>34397</v>
      </c>
      <c r="E518" s="243" t="s">
        <v>1201</v>
      </c>
      <c r="F518" s="243" t="s">
        <v>1202</v>
      </c>
      <c r="G518" s="243" t="s">
        <v>1109</v>
      </c>
      <c r="H518" s="313">
        <v>2910</v>
      </c>
      <c r="I518" s="243" t="s">
        <v>518</v>
      </c>
      <c r="J518" s="246">
        <v>29</v>
      </c>
    </row>
    <row r="519" spans="1:10" ht="15" x14ac:dyDescent="0.25">
      <c r="A519" s="243">
        <v>10001288</v>
      </c>
      <c r="B519" s="243">
        <v>8469560212</v>
      </c>
      <c r="C519" s="243" t="s">
        <v>1489</v>
      </c>
      <c r="D519" s="244">
        <v>34905</v>
      </c>
      <c r="E519" s="243" t="s">
        <v>884</v>
      </c>
      <c r="F519" s="243" t="s">
        <v>885</v>
      </c>
      <c r="G519" s="243" t="s">
        <v>1109</v>
      </c>
      <c r="H519" s="313">
        <v>2149</v>
      </c>
      <c r="I519" s="243" t="s">
        <v>430</v>
      </c>
      <c r="J519" s="246">
        <v>28</v>
      </c>
    </row>
    <row r="520" spans="1:10" ht="15" x14ac:dyDescent="0.25">
      <c r="A520" s="243">
        <v>10001294</v>
      </c>
      <c r="B520" s="243">
        <v>8337633700</v>
      </c>
      <c r="C520" s="243" t="s">
        <v>1490</v>
      </c>
      <c r="D520" s="244">
        <v>21712</v>
      </c>
      <c r="E520" s="243" t="s">
        <v>880</v>
      </c>
      <c r="F520" s="243" t="s">
        <v>881</v>
      </c>
      <c r="G520" s="243" t="s">
        <v>864</v>
      </c>
      <c r="H520" s="313">
        <v>2410</v>
      </c>
      <c r="I520" s="243" t="s">
        <v>462</v>
      </c>
      <c r="J520" s="246">
        <v>64</v>
      </c>
    </row>
    <row r="521" spans="1:10" ht="15" x14ac:dyDescent="0.25">
      <c r="A521" s="243">
        <v>10001295</v>
      </c>
      <c r="B521" s="243">
        <v>8442631402</v>
      </c>
      <c r="C521" s="243" t="s">
        <v>1491</v>
      </c>
      <c r="D521" s="244">
        <v>32212</v>
      </c>
      <c r="E521" s="243" t="s">
        <v>858</v>
      </c>
      <c r="F521" s="243" t="s">
        <v>859</v>
      </c>
      <c r="G521" s="243" t="s">
        <v>997</v>
      </c>
      <c r="H521" s="313">
        <v>2139</v>
      </c>
      <c r="I521" s="243" t="s">
        <v>425</v>
      </c>
      <c r="J521" s="246">
        <v>35</v>
      </c>
    </row>
    <row r="522" spans="1:10" ht="15" x14ac:dyDescent="0.25">
      <c r="A522" s="243">
        <v>10001297</v>
      </c>
      <c r="B522" s="243">
        <v>8435565130</v>
      </c>
      <c r="C522" s="243" t="s">
        <v>1492</v>
      </c>
      <c r="D522" s="244">
        <v>31505</v>
      </c>
      <c r="E522" s="243" t="s">
        <v>858</v>
      </c>
      <c r="F522" s="243" t="s">
        <v>859</v>
      </c>
      <c r="G522" s="243" t="s">
        <v>997</v>
      </c>
      <c r="H522" s="313">
        <v>2139</v>
      </c>
      <c r="I522" s="243" t="s">
        <v>425</v>
      </c>
      <c r="J522" s="246">
        <v>37</v>
      </c>
    </row>
    <row r="523" spans="1:10" ht="15" x14ac:dyDescent="0.25">
      <c r="A523" s="243">
        <v>10001300</v>
      </c>
      <c r="B523" s="243">
        <v>8348612807</v>
      </c>
      <c r="C523" s="243" t="s">
        <v>1493</v>
      </c>
      <c r="D523" s="244">
        <v>22810</v>
      </c>
      <c r="E523" s="243" t="s">
        <v>1126</v>
      </c>
      <c r="F523" s="243" t="s">
        <v>1127</v>
      </c>
      <c r="G523" s="243" t="s">
        <v>1145</v>
      </c>
      <c r="H523" s="313">
        <v>3910</v>
      </c>
      <c r="I523" s="243" t="s">
        <v>616</v>
      </c>
      <c r="J523" s="246">
        <v>61</v>
      </c>
    </row>
    <row r="524" spans="1:10" ht="15" x14ac:dyDescent="0.25">
      <c r="A524" s="243">
        <v>10001303</v>
      </c>
      <c r="B524" s="243">
        <v>8467980052</v>
      </c>
      <c r="C524" s="243" t="s">
        <v>1494</v>
      </c>
      <c r="D524" s="244">
        <v>34747</v>
      </c>
      <c r="E524" s="243" t="s">
        <v>870</v>
      </c>
      <c r="F524" s="243" t="s">
        <v>871</v>
      </c>
      <c r="G524" s="243" t="s">
        <v>1080</v>
      </c>
      <c r="H524" s="313">
        <v>2169</v>
      </c>
      <c r="I524" s="243" t="s">
        <v>442</v>
      </c>
      <c r="J524" s="246">
        <v>28</v>
      </c>
    </row>
    <row r="525" spans="1:10" ht="15" x14ac:dyDescent="0.25">
      <c r="A525" s="243">
        <v>10001310</v>
      </c>
      <c r="B525" s="243">
        <v>8446200813</v>
      </c>
      <c r="C525" s="243" t="s">
        <v>1495</v>
      </c>
      <c r="D525" s="244">
        <v>32569</v>
      </c>
      <c r="E525" s="243" t="s">
        <v>1121</v>
      </c>
      <c r="F525" s="243" t="s">
        <v>1122</v>
      </c>
      <c r="G525" s="243" t="s">
        <v>1145</v>
      </c>
      <c r="H525" s="313">
        <v>3910</v>
      </c>
      <c r="I525" s="243" t="s">
        <v>616</v>
      </c>
      <c r="J525" s="246">
        <v>34</v>
      </c>
    </row>
    <row r="526" spans="1:10" ht="15" x14ac:dyDescent="0.25">
      <c r="A526" s="243">
        <v>10001311</v>
      </c>
      <c r="B526" s="243">
        <v>8469970453</v>
      </c>
      <c r="C526" s="243" t="s">
        <v>221</v>
      </c>
      <c r="D526" s="244">
        <v>34946</v>
      </c>
      <c r="E526" s="243" t="s">
        <v>891</v>
      </c>
      <c r="F526" s="243" t="s">
        <v>892</v>
      </c>
      <c r="G526" s="243" t="s">
        <v>927</v>
      </c>
      <c r="H526" s="313">
        <v>2117</v>
      </c>
      <c r="I526" s="243" t="s">
        <v>413</v>
      </c>
      <c r="J526" s="246">
        <v>28</v>
      </c>
    </row>
    <row r="527" spans="1:10" ht="15" x14ac:dyDescent="0.25">
      <c r="A527" s="243">
        <v>10001316</v>
      </c>
      <c r="B527" s="243">
        <v>8388803441</v>
      </c>
      <c r="C527" s="243" t="s">
        <v>1496</v>
      </c>
      <c r="D527" s="244">
        <v>26829</v>
      </c>
      <c r="E527" s="243" t="s">
        <v>1198</v>
      </c>
      <c r="F527" s="243" t="s">
        <v>1199</v>
      </c>
      <c r="G527" s="243" t="s">
        <v>1145</v>
      </c>
      <c r="H527" s="313">
        <v>4132</v>
      </c>
      <c r="I527" s="243" t="s">
        <v>628</v>
      </c>
      <c r="J527" s="246">
        <v>50</v>
      </c>
    </row>
    <row r="528" spans="1:10" ht="15" x14ac:dyDescent="0.25">
      <c r="A528" s="243">
        <v>10001317</v>
      </c>
      <c r="B528" s="243">
        <v>8440150547</v>
      </c>
      <c r="C528" s="243" t="s">
        <v>1497</v>
      </c>
      <c r="D528" s="244">
        <v>31964</v>
      </c>
      <c r="E528" s="243" t="s">
        <v>1278</v>
      </c>
      <c r="F528" s="243" t="s">
        <v>1279</v>
      </c>
      <c r="G528" s="243" t="s">
        <v>1145</v>
      </c>
      <c r="H528" s="313">
        <v>3910</v>
      </c>
      <c r="I528" s="243" t="s">
        <v>616</v>
      </c>
      <c r="J528" s="246">
        <v>36</v>
      </c>
    </row>
    <row r="529" spans="1:10" ht="15" x14ac:dyDescent="0.25">
      <c r="A529" s="243">
        <v>10001323</v>
      </c>
      <c r="B529" s="243">
        <v>8390694719</v>
      </c>
      <c r="C529" s="243" t="s">
        <v>1498</v>
      </c>
      <c r="D529" s="244">
        <v>27018</v>
      </c>
      <c r="E529" s="243" t="s">
        <v>902</v>
      </c>
      <c r="F529" s="243" t="s">
        <v>903</v>
      </c>
      <c r="G529" s="243" t="s">
        <v>1128</v>
      </c>
      <c r="H529" s="313">
        <v>2410</v>
      </c>
      <c r="I529" s="243" t="s">
        <v>462</v>
      </c>
      <c r="J529" s="246">
        <v>50</v>
      </c>
    </row>
    <row r="530" spans="1:10" ht="15" x14ac:dyDescent="0.25">
      <c r="A530" s="243">
        <v>10001324</v>
      </c>
      <c r="B530" s="243">
        <v>8413364175</v>
      </c>
      <c r="C530" s="243" t="s">
        <v>1499</v>
      </c>
      <c r="D530" s="244">
        <v>29285</v>
      </c>
      <c r="E530" s="243" t="s">
        <v>862</v>
      </c>
      <c r="F530" s="243" t="s">
        <v>863</v>
      </c>
      <c r="G530" s="243" t="s">
        <v>864</v>
      </c>
      <c r="H530" s="313">
        <v>2410</v>
      </c>
      <c r="I530" s="243" t="s">
        <v>462</v>
      </c>
      <c r="J530" s="246">
        <v>43</v>
      </c>
    </row>
    <row r="531" spans="1:10" ht="15" x14ac:dyDescent="0.25">
      <c r="A531" s="243">
        <v>10001327</v>
      </c>
      <c r="B531" s="243">
        <v>8399790605</v>
      </c>
      <c r="C531" s="243" t="s">
        <v>1500</v>
      </c>
      <c r="D531" s="244">
        <v>27928</v>
      </c>
      <c r="E531" s="243" t="s">
        <v>880</v>
      </c>
      <c r="F531" s="243" t="s">
        <v>881</v>
      </c>
      <c r="G531" s="243" t="s">
        <v>864</v>
      </c>
      <c r="H531" s="313">
        <v>2410</v>
      </c>
      <c r="I531" s="243" t="s">
        <v>462</v>
      </c>
      <c r="J531" s="246">
        <v>47</v>
      </c>
    </row>
    <row r="532" spans="1:10" ht="15" x14ac:dyDescent="0.25">
      <c r="A532" s="243">
        <v>10001329</v>
      </c>
      <c r="B532" s="243">
        <v>8452442041</v>
      </c>
      <c r="C532" s="243" t="s">
        <v>1501</v>
      </c>
      <c r="D532" s="244">
        <v>33193</v>
      </c>
      <c r="E532" s="243" t="s">
        <v>1201</v>
      </c>
      <c r="F532" s="243" t="s">
        <v>1202</v>
      </c>
      <c r="G532" s="243" t="s">
        <v>1109</v>
      </c>
      <c r="H532" s="313">
        <v>2910</v>
      </c>
      <c r="I532" s="243" t="s">
        <v>518</v>
      </c>
      <c r="J532" s="246">
        <v>33</v>
      </c>
    </row>
    <row r="533" spans="1:10" ht="15" x14ac:dyDescent="0.25">
      <c r="A533" s="243">
        <v>10001337</v>
      </c>
      <c r="B533" s="243">
        <v>8390823888</v>
      </c>
      <c r="C533" s="243" t="s">
        <v>1502</v>
      </c>
      <c r="D533" s="244">
        <v>27031</v>
      </c>
      <c r="E533" s="243" t="s">
        <v>870</v>
      </c>
      <c r="F533" s="243" t="s">
        <v>871</v>
      </c>
      <c r="G533" s="243" t="s">
        <v>1179</v>
      </c>
      <c r="H533" s="313">
        <v>3139</v>
      </c>
      <c r="I533" s="243" t="s">
        <v>534</v>
      </c>
      <c r="J533" s="246">
        <v>49</v>
      </c>
    </row>
    <row r="534" spans="1:10" ht="15" x14ac:dyDescent="0.25">
      <c r="A534" s="243">
        <v>10001338</v>
      </c>
      <c r="B534" s="243">
        <v>8439632215</v>
      </c>
      <c r="C534" s="243" t="s">
        <v>1503</v>
      </c>
      <c r="D534" s="244">
        <v>31912</v>
      </c>
      <c r="E534" s="243" t="s">
        <v>936</v>
      </c>
      <c r="F534" s="243" t="s">
        <v>937</v>
      </c>
      <c r="G534" s="243" t="s">
        <v>1080</v>
      </c>
      <c r="H534" s="313">
        <v>2121</v>
      </c>
      <c r="I534" s="243" t="s">
        <v>415</v>
      </c>
      <c r="J534" s="246">
        <v>36</v>
      </c>
    </row>
    <row r="535" spans="1:10" ht="15" x14ac:dyDescent="0.25">
      <c r="A535" s="243">
        <v>10001342</v>
      </c>
      <c r="B535" s="243">
        <v>8432463973</v>
      </c>
      <c r="C535" s="243" t="s">
        <v>1504</v>
      </c>
      <c r="D535" s="244">
        <v>31195</v>
      </c>
      <c r="E535" s="243" t="s">
        <v>945</v>
      </c>
      <c r="F535" s="243" t="s">
        <v>946</v>
      </c>
      <c r="G535" s="243" t="s">
        <v>997</v>
      </c>
      <c r="H535" s="313">
        <v>2169</v>
      </c>
      <c r="I535" s="243" t="s">
        <v>442</v>
      </c>
      <c r="J535" s="246">
        <v>38</v>
      </c>
    </row>
    <row r="536" spans="1:10" ht="15" x14ac:dyDescent="0.25">
      <c r="A536" s="243">
        <v>10001343</v>
      </c>
      <c r="B536" s="243">
        <v>8442834311</v>
      </c>
      <c r="C536" s="243" t="s">
        <v>1505</v>
      </c>
      <c r="D536" s="244">
        <v>32232</v>
      </c>
      <c r="E536" s="243" t="s">
        <v>870</v>
      </c>
      <c r="F536" s="243" t="s">
        <v>871</v>
      </c>
      <c r="G536" s="243" t="s">
        <v>927</v>
      </c>
      <c r="H536" s="313">
        <v>2139</v>
      </c>
      <c r="I536" s="243" t="s">
        <v>425</v>
      </c>
      <c r="J536" s="246">
        <v>35</v>
      </c>
    </row>
    <row r="537" spans="1:10" ht="15" x14ac:dyDescent="0.25">
      <c r="A537" s="243">
        <v>10001351</v>
      </c>
      <c r="B537" s="243">
        <v>8476922108</v>
      </c>
      <c r="C537" s="243" t="s">
        <v>1506</v>
      </c>
      <c r="D537" s="244">
        <v>35641</v>
      </c>
      <c r="E537" s="243" t="s">
        <v>963</v>
      </c>
      <c r="F537" s="243" t="s">
        <v>964</v>
      </c>
      <c r="G537" s="243" t="s">
        <v>1145</v>
      </c>
      <c r="H537" s="313">
        <v>3910</v>
      </c>
      <c r="I537" s="243" t="s">
        <v>616</v>
      </c>
      <c r="J537" s="246">
        <v>26</v>
      </c>
    </row>
    <row r="538" spans="1:10" ht="15" x14ac:dyDescent="0.25">
      <c r="A538" s="243">
        <v>10001352</v>
      </c>
      <c r="B538" s="243">
        <v>8404660271</v>
      </c>
      <c r="C538" s="243" t="s">
        <v>1507</v>
      </c>
      <c r="D538" s="244">
        <v>28415</v>
      </c>
      <c r="E538" s="243" t="s">
        <v>880</v>
      </c>
      <c r="F538" s="243" t="s">
        <v>881</v>
      </c>
      <c r="G538" s="243" t="s">
        <v>985</v>
      </c>
      <c r="H538" s="313">
        <v>2410</v>
      </c>
      <c r="I538" s="243" t="s">
        <v>462</v>
      </c>
      <c r="J538" s="246">
        <v>46</v>
      </c>
    </row>
    <row r="539" spans="1:10" ht="15" x14ac:dyDescent="0.25">
      <c r="A539" s="243">
        <v>10001356</v>
      </c>
      <c r="B539" s="243">
        <v>8465950113</v>
      </c>
      <c r="C539" s="243" t="s">
        <v>1508</v>
      </c>
      <c r="D539" s="244">
        <v>34544</v>
      </c>
      <c r="E539" s="243" t="s">
        <v>858</v>
      </c>
      <c r="F539" s="243" t="s">
        <v>859</v>
      </c>
      <c r="G539" s="243" t="s">
        <v>1080</v>
      </c>
      <c r="H539" s="313">
        <v>2117</v>
      </c>
      <c r="I539" s="243" t="s">
        <v>413</v>
      </c>
      <c r="J539" s="246">
        <v>29</v>
      </c>
    </row>
    <row r="540" spans="1:10" ht="15" x14ac:dyDescent="0.25">
      <c r="A540" s="243">
        <v>10001357</v>
      </c>
      <c r="B540" s="243">
        <v>8460541932</v>
      </c>
      <c r="C540" s="243" t="s">
        <v>1509</v>
      </c>
      <c r="D540" s="244">
        <v>34003</v>
      </c>
      <c r="E540" s="243" t="s">
        <v>945</v>
      </c>
      <c r="F540" s="243" t="s">
        <v>946</v>
      </c>
      <c r="G540" s="243" t="s">
        <v>1080</v>
      </c>
      <c r="H540" s="313">
        <v>2139</v>
      </c>
      <c r="I540" s="243" t="s">
        <v>425</v>
      </c>
      <c r="J540" s="246">
        <v>30</v>
      </c>
    </row>
    <row r="541" spans="1:10" ht="15" x14ac:dyDescent="0.25">
      <c r="A541" s="243">
        <v>10001375</v>
      </c>
      <c r="B541" s="243">
        <v>8459382907</v>
      </c>
      <c r="C541" s="243" t="s">
        <v>1510</v>
      </c>
      <c r="D541" s="244">
        <v>33887</v>
      </c>
      <c r="E541" s="243" t="s">
        <v>945</v>
      </c>
      <c r="F541" s="243" t="s">
        <v>946</v>
      </c>
      <c r="G541" s="243" t="s">
        <v>927</v>
      </c>
      <c r="H541" s="313">
        <v>2139</v>
      </c>
      <c r="I541" s="243" t="s">
        <v>425</v>
      </c>
      <c r="J541" s="246">
        <v>31</v>
      </c>
    </row>
    <row r="542" spans="1:10" ht="15" x14ac:dyDescent="0.25">
      <c r="A542" s="243">
        <v>10001384</v>
      </c>
      <c r="B542" s="243">
        <v>8458270471</v>
      </c>
      <c r="C542" s="243" t="s">
        <v>1511</v>
      </c>
      <c r="D542" s="244">
        <v>33776</v>
      </c>
      <c r="E542" s="243" t="s">
        <v>906</v>
      </c>
      <c r="F542" s="243" t="s">
        <v>907</v>
      </c>
      <c r="G542" s="243" t="s">
        <v>1080</v>
      </c>
      <c r="H542" s="313">
        <v>2139</v>
      </c>
      <c r="I542" s="243" t="s">
        <v>425</v>
      </c>
      <c r="J542" s="246">
        <v>31</v>
      </c>
    </row>
    <row r="543" spans="1:10" ht="15" x14ac:dyDescent="0.25">
      <c r="A543" s="243">
        <v>10001385</v>
      </c>
      <c r="B543" s="243">
        <v>8404433356</v>
      </c>
      <c r="C543" s="243" t="s">
        <v>1512</v>
      </c>
      <c r="D543" s="244">
        <v>28392</v>
      </c>
      <c r="E543" s="243" t="s">
        <v>1269</v>
      </c>
      <c r="F543" s="243" t="s">
        <v>1270</v>
      </c>
      <c r="G543" s="243" t="s">
        <v>1145</v>
      </c>
      <c r="H543" s="313">
        <v>2910</v>
      </c>
      <c r="I543" s="243" t="s">
        <v>518</v>
      </c>
      <c r="J543" s="246">
        <v>46</v>
      </c>
    </row>
    <row r="544" spans="1:10" ht="15" x14ac:dyDescent="0.25">
      <c r="A544" s="243">
        <v>10001390</v>
      </c>
      <c r="B544" s="243">
        <v>8470592335</v>
      </c>
      <c r="C544" s="243" t="s">
        <v>1513</v>
      </c>
      <c r="D544" s="244">
        <v>35008</v>
      </c>
      <c r="E544" s="243" t="s">
        <v>1201</v>
      </c>
      <c r="F544" s="243" t="s">
        <v>1202</v>
      </c>
      <c r="G544" s="243" t="s">
        <v>1145</v>
      </c>
      <c r="H544" s="313">
        <v>3910</v>
      </c>
      <c r="I544" s="243" t="s">
        <v>616</v>
      </c>
      <c r="J544" s="246">
        <v>28</v>
      </c>
    </row>
    <row r="545" spans="1:10" ht="15" x14ac:dyDescent="0.25">
      <c r="A545" s="243">
        <v>10001394</v>
      </c>
      <c r="B545" s="243">
        <v>8388380893</v>
      </c>
      <c r="C545" s="243" t="s">
        <v>1514</v>
      </c>
      <c r="D545" s="244">
        <v>26787</v>
      </c>
      <c r="E545" s="243" t="s">
        <v>896</v>
      </c>
      <c r="F545" s="243" t="s">
        <v>897</v>
      </c>
      <c r="G545" s="243" t="s">
        <v>985</v>
      </c>
      <c r="H545" s="313">
        <v>2410</v>
      </c>
      <c r="I545" s="243" t="s">
        <v>462</v>
      </c>
      <c r="J545" s="246">
        <v>50</v>
      </c>
    </row>
    <row r="546" spans="1:10" ht="15" x14ac:dyDescent="0.25">
      <c r="A546" s="243">
        <v>10001396</v>
      </c>
      <c r="B546" s="243">
        <v>8396640327</v>
      </c>
      <c r="C546" s="243" t="s">
        <v>1515</v>
      </c>
      <c r="D546" s="244">
        <v>27613</v>
      </c>
      <c r="E546" s="243" t="s">
        <v>896</v>
      </c>
      <c r="F546" s="243" t="s">
        <v>897</v>
      </c>
      <c r="G546" s="243" t="s">
        <v>864</v>
      </c>
      <c r="H546" s="313">
        <v>2410</v>
      </c>
      <c r="I546" s="243" t="s">
        <v>462</v>
      </c>
      <c r="J546" s="246">
        <v>48</v>
      </c>
    </row>
    <row r="547" spans="1:10" ht="15" x14ac:dyDescent="0.25">
      <c r="A547" s="243">
        <v>10001399</v>
      </c>
      <c r="B547" s="243">
        <v>8460153053</v>
      </c>
      <c r="C547" s="243" t="s">
        <v>1516</v>
      </c>
      <c r="D547" s="244">
        <v>33964</v>
      </c>
      <c r="E547" s="243" t="s">
        <v>1517</v>
      </c>
      <c r="F547" s="243" t="s">
        <v>1518</v>
      </c>
      <c r="G547" s="243" t="s">
        <v>1109</v>
      </c>
      <c r="H547" s="313">
        <v>2910</v>
      </c>
      <c r="I547" s="243" t="s">
        <v>518</v>
      </c>
      <c r="J547" s="246">
        <v>31</v>
      </c>
    </row>
    <row r="548" spans="1:10" ht="15" x14ac:dyDescent="0.25">
      <c r="A548" s="243">
        <v>10001406</v>
      </c>
      <c r="B548" s="243">
        <v>8422620510</v>
      </c>
      <c r="C548" s="243" t="s">
        <v>1519</v>
      </c>
      <c r="D548" s="244">
        <v>30211</v>
      </c>
      <c r="E548" s="243" t="s">
        <v>1013</v>
      </c>
      <c r="F548" s="243" t="s">
        <v>1014</v>
      </c>
      <c r="G548" s="243" t="s">
        <v>1080</v>
      </c>
      <c r="H548" s="313">
        <v>2169</v>
      </c>
      <c r="I548" s="243" t="s">
        <v>442</v>
      </c>
      <c r="J548" s="246">
        <v>41</v>
      </c>
    </row>
    <row r="549" spans="1:10" ht="15" x14ac:dyDescent="0.25">
      <c r="A549" s="243">
        <v>10001408</v>
      </c>
      <c r="B549" s="243">
        <v>8445023675</v>
      </c>
      <c r="C549" s="243" t="s">
        <v>1520</v>
      </c>
      <c r="D549" s="244">
        <v>32451</v>
      </c>
      <c r="E549" s="243" t="s">
        <v>858</v>
      </c>
      <c r="F549" s="243" t="s">
        <v>859</v>
      </c>
      <c r="G549" s="243" t="s">
        <v>864</v>
      </c>
      <c r="H549" s="313">
        <v>2410</v>
      </c>
      <c r="I549" s="243" t="s">
        <v>462</v>
      </c>
      <c r="J549" s="246">
        <v>35</v>
      </c>
    </row>
    <row r="550" spans="1:10" ht="15" x14ac:dyDescent="0.25">
      <c r="A550" s="243">
        <v>10001410</v>
      </c>
      <c r="B550" s="243">
        <v>8476162324</v>
      </c>
      <c r="C550" s="243" t="s">
        <v>219</v>
      </c>
      <c r="D550" s="244">
        <v>35565</v>
      </c>
      <c r="E550" s="243" t="s">
        <v>891</v>
      </c>
      <c r="F550" s="243" t="s">
        <v>892</v>
      </c>
      <c r="G550" s="243" t="s">
        <v>1080</v>
      </c>
      <c r="H550" s="313">
        <v>2117</v>
      </c>
      <c r="I550" s="243" t="s">
        <v>413</v>
      </c>
      <c r="J550" s="246">
        <v>26</v>
      </c>
    </row>
    <row r="551" spans="1:10" ht="15" x14ac:dyDescent="0.25">
      <c r="A551" s="243">
        <v>10001411</v>
      </c>
      <c r="B551" s="243">
        <v>8408352725</v>
      </c>
      <c r="C551" s="243" t="s">
        <v>1521</v>
      </c>
      <c r="D551" s="244">
        <v>28784</v>
      </c>
      <c r="E551" s="243" t="s">
        <v>1150</v>
      </c>
      <c r="F551" s="243" t="s">
        <v>1151</v>
      </c>
      <c r="G551" s="243" t="s">
        <v>1109</v>
      </c>
      <c r="H551" s="313">
        <v>2910</v>
      </c>
      <c r="I551" s="243" t="s">
        <v>518</v>
      </c>
      <c r="J551" s="246">
        <v>45</v>
      </c>
    </row>
    <row r="552" spans="1:10" ht="15" x14ac:dyDescent="0.25">
      <c r="A552" s="243">
        <v>10001417</v>
      </c>
      <c r="B552" s="243">
        <v>8434153491</v>
      </c>
      <c r="C552" s="243" t="s">
        <v>1522</v>
      </c>
      <c r="D552" s="244">
        <v>31364</v>
      </c>
      <c r="E552" s="243" t="s">
        <v>870</v>
      </c>
      <c r="F552" s="243" t="s">
        <v>871</v>
      </c>
      <c r="G552" s="243" t="s">
        <v>997</v>
      </c>
      <c r="H552" s="313">
        <v>2169</v>
      </c>
      <c r="I552" s="243" t="s">
        <v>442</v>
      </c>
      <c r="J552" s="246">
        <v>38</v>
      </c>
    </row>
    <row r="553" spans="1:10" ht="15" x14ac:dyDescent="0.25">
      <c r="A553" s="243">
        <v>10001419</v>
      </c>
      <c r="B553" s="243">
        <v>8359032394</v>
      </c>
      <c r="C553" s="243" t="s">
        <v>1523</v>
      </c>
      <c r="D553" s="244">
        <v>23852</v>
      </c>
      <c r="E553" s="243" t="s">
        <v>867</v>
      </c>
      <c r="F553" s="243" t="s">
        <v>868</v>
      </c>
      <c r="G553" s="243" t="s">
        <v>985</v>
      </c>
      <c r="H553" s="313">
        <v>2410</v>
      </c>
      <c r="I553" s="243" t="s">
        <v>462</v>
      </c>
      <c r="J553" s="246">
        <v>58</v>
      </c>
    </row>
    <row r="554" spans="1:10" ht="15" x14ac:dyDescent="0.25">
      <c r="A554" s="243">
        <v>10001424</v>
      </c>
      <c r="B554" s="243">
        <v>8482470434</v>
      </c>
      <c r="C554" s="243" t="s">
        <v>334</v>
      </c>
      <c r="D554" s="244">
        <v>36196</v>
      </c>
      <c r="E554" s="243" t="s">
        <v>963</v>
      </c>
      <c r="F554" s="243" t="s">
        <v>964</v>
      </c>
      <c r="G554" s="243" t="s">
        <v>1145</v>
      </c>
      <c r="H554" s="313">
        <v>3910</v>
      </c>
      <c r="I554" s="243" t="s">
        <v>616</v>
      </c>
      <c r="J554" s="246">
        <v>24</v>
      </c>
    </row>
    <row r="555" spans="1:10" ht="15" x14ac:dyDescent="0.25">
      <c r="A555" s="243">
        <v>10001425</v>
      </c>
      <c r="B555" s="243">
        <v>8460750965</v>
      </c>
      <c r="C555" s="243" t="s">
        <v>1524</v>
      </c>
      <c r="D555" s="244">
        <v>34024</v>
      </c>
      <c r="E555" s="243" t="s">
        <v>899</v>
      </c>
      <c r="F555" s="243" t="s">
        <v>900</v>
      </c>
      <c r="G555" s="243" t="s">
        <v>1080</v>
      </c>
      <c r="H555" s="313">
        <v>2139</v>
      </c>
      <c r="I555" s="243" t="s">
        <v>425</v>
      </c>
      <c r="J555" s="246">
        <v>30</v>
      </c>
    </row>
    <row r="556" spans="1:10" ht="15" x14ac:dyDescent="0.25">
      <c r="A556" s="243">
        <v>10001431</v>
      </c>
      <c r="B556" s="243">
        <v>8444752533</v>
      </c>
      <c r="C556" s="243" t="s">
        <v>1525</v>
      </c>
      <c r="D556" s="244">
        <v>32424</v>
      </c>
      <c r="E556" s="243" t="s">
        <v>870</v>
      </c>
      <c r="F556" s="243" t="s">
        <v>871</v>
      </c>
      <c r="G556" s="243" t="s">
        <v>997</v>
      </c>
      <c r="H556" s="313">
        <v>2169</v>
      </c>
      <c r="I556" s="243" t="s">
        <v>442</v>
      </c>
      <c r="J556" s="246">
        <v>35</v>
      </c>
    </row>
    <row r="557" spans="1:10" ht="15" x14ac:dyDescent="0.25">
      <c r="A557" s="243">
        <v>10001432</v>
      </c>
      <c r="B557" s="243">
        <v>8408962612</v>
      </c>
      <c r="C557" s="243" t="s">
        <v>1526</v>
      </c>
      <c r="D557" s="244">
        <v>28845</v>
      </c>
      <c r="E557" s="243" t="s">
        <v>1198</v>
      </c>
      <c r="F557" s="243" t="s">
        <v>1199</v>
      </c>
      <c r="G557" s="243" t="s">
        <v>1145</v>
      </c>
      <c r="H557" s="313">
        <v>3623</v>
      </c>
      <c r="I557" s="243" t="s">
        <v>590</v>
      </c>
      <c r="J557" s="246">
        <v>45</v>
      </c>
    </row>
    <row r="558" spans="1:10" ht="15" x14ac:dyDescent="0.25">
      <c r="A558" s="243">
        <v>10001433</v>
      </c>
      <c r="B558" s="243">
        <v>8454831045</v>
      </c>
      <c r="C558" s="243" t="s">
        <v>1527</v>
      </c>
      <c r="D558" s="244">
        <v>33432</v>
      </c>
      <c r="E558" s="243" t="s">
        <v>1198</v>
      </c>
      <c r="F558" s="243" t="s">
        <v>1199</v>
      </c>
      <c r="G558" s="243" t="s">
        <v>1145</v>
      </c>
      <c r="H558" s="313">
        <v>4112</v>
      </c>
      <c r="I558" s="243" t="s">
        <v>619</v>
      </c>
      <c r="J558" s="246">
        <v>32</v>
      </c>
    </row>
    <row r="559" spans="1:10" ht="15" x14ac:dyDescent="0.25">
      <c r="A559" s="243">
        <v>10001434</v>
      </c>
      <c r="B559" s="243">
        <v>8376974440</v>
      </c>
      <c r="C559" s="243" t="s">
        <v>1528</v>
      </c>
      <c r="D559" s="244">
        <v>25646</v>
      </c>
      <c r="E559" s="243" t="s">
        <v>1198</v>
      </c>
      <c r="F559" s="243" t="s">
        <v>1199</v>
      </c>
      <c r="G559" s="243" t="s">
        <v>1145</v>
      </c>
      <c r="H559" s="313">
        <v>3623</v>
      </c>
      <c r="I559" s="243" t="s">
        <v>590</v>
      </c>
      <c r="J559" s="246">
        <v>53</v>
      </c>
    </row>
    <row r="560" spans="1:10" ht="15" x14ac:dyDescent="0.25">
      <c r="A560" s="243">
        <v>10001443</v>
      </c>
      <c r="B560" s="243">
        <v>8472241629</v>
      </c>
      <c r="C560" s="243" t="s">
        <v>1529</v>
      </c>
      <c r="D560" s="244">
        <v>35173</v>
      </c>
      <c r="E560" s="243" t="s">
        <v>858</v>
      </c>
      <c r="F560" s="243" t="s">
        <v>859</v>
      </c>
      <c r="G560" s="243" t="s">
        <v>927</v>
      </c>
      <c r="H560" s="313">
        <v>2118</v>
      </c>
      <c r="I560" s="243" t="s">
        <v>414</v>
      </c>
      <c r="J560" s="246">
        <v>27</v>
      </c>
    </row>
    <row r="561" spans="1:10" ht="15" x14ac:dyDescent="0.25">
      <c r="A561" s="243">
        <v>10001444</v>
      </c>
      <c r="B561" s="243">
        <v>8403941870</v>
      </c>
      <c r="C561" s="243" t="s">
        <v>1530</v>
      </c>
      <c r="D561" s="244">
        <v>28343</v>
      </c>
      <c r="E561" s="243" t="s">
        <v>906</v>
      </c>
      <c r="F561" s="243" t="s">
        <v>907</v>
      </c>
      <c r="G561" s="243" t="s">
        <v>1145</v>
      </c>
      <c r="H561" s="313">
        <v>3910</v>
      </c>
      <c r="I561" s="243" t="s">
        <v>616</v>
      </c>
      <c r="J561" s="246">
        <v>46</v>
      </c>
    </row>
    <row r="562" spans="1:10" ht="15" x14ac:dyDescent="0.25">
      <c r="A562" s="243">
        <v>10001445</v>
      </c>
      <c r="B562" s="243">
        <v>8485252772</v>
      </c>
      <c r="C562" s="243" t="s">
        <v>1531</v>
      </c>
      <c r="D562" s="244">
        <v>36474</v>
      </c>
      <c r="E562" s="243" t="s">
        <v>870</v>
      </c>
      <c r="F562" s="243" t="s">
        <v>871</v>
      </c>
      <c r="G562" s="243" t="s">
        <v>1179</v>
      </c>
      <c r="H562" s="313">
        <v>3139</v>
      </c>
      <c r="I562" s="243" t="s">
        <v>534</v>
      </c>
      <c r="J562" s="246">
        <v>24</v>
      </c>
    </row>
    <row r="563" spans="1:10" ht="15" x14ac:dyDescent="0.25">
      <c r="A563" s="243">
        <v>10001447</v>
      </c>
      <c r="B563" s="243">
        <v>8446302802</v>
      </c>
      <c r="C563" s="243" t="s">
        <v>1532</v>
      </c>
      <c r="D563" s="244">
        <v>32579</v>
      </c>
      <c r="E563" s="243" t="s">
        <v>1150</v>
      </c>
      <c r="F563" s="243" t="s">
        <v>1151</v>
      </c>
      <c r="G563" s="243" t="s">
        <v>1145</v>
      </c>
      <c r="H563" s="313">
        <v>3910</v>
      </c>
      <c r="I563" s="243" t="s">
        <v>616</v>
      </c>
      <c r="J563" s="246">
        <v>34</v>
      </c>
    </row>
    <row r="564" spans="1:10" ht="15" x14ac:dyDescent="0.25">
      <c r="A564" s="243">
        <v>10001448</v>
      </c>
      <c r="B564" s="243">
        <v>8426341128</v>
      </c>
      <c r="C564" s="243" t="s">
        <v>1533</v>
      </c>
      <c r="D564" s="244">
        <v>30583</v>
      </c>
      <c r="E564" s="243" t="s">
        <v>1135</v>
      </c>
      <c r="F564" s="243" t="s">
        <v>1136</v>
      </c>
      <c r="G564" s="243" t="s">
        <v>1145</v>
      </c>
      <c r="H564" s="313">
        <v>4229</v>
      </c>
      <c r="I564" s="243" t="s">
        <v>641</v>
      </c>
      <c r="J564" s="246">
        <v>40</v>
      </c>
    </row>
    <row r="565" spans="1:10" ht="15" x14ac:dyDescent="0.25">
      <c r="A565" s="243">
        <v>10001449</v>
      </c>
      <c r="B565" s="243">
        <v>8408103296</v>
      </c>
      <c r="C565" s="243" t="s">
        <v>1534</v>
      </c>
      <c r="D565" s="244">
        <v>28759</v>
      </c>
      <c r="E565" s="243" t="s">
        <v>1013</v>
      </c>
      <c r="F565" s="243" t="s">
        <v>1014</v>
      </c>
      <c r="G565" s="243" t="s">
        <v>1080</v>
      </c>
      <c r="H565" s="313">
        <v>2118</v>
      </c>
      <c r="I565" s="243" t="s">
        <v>414</v>
      </c>
      <c r="J565" s="246">
        <v>45</v>
      </c>
    </row>
    <row r="566" spans="1:10" ht="15" x14ac:dyDescent="0.25">
      <c r="A566" s="243">
        <v>10001452</v>
      </c>
      <c r="B566" s="243">
        <v>8427353219</v>
      </c>
      <c r="C566" s="243" t="s">
        <v>1535</v>
      </c>
      <c r="D566" s="244">
        <v>30684</v>
      </c>
      <c r="E566" s="243" t="s">
        <v>858</v>
      </c>
      <c r="F566" s="243" t="s">
        <v>859</v>
      </c>
      <c r="G566" s="243" t="s">
        <v>1080</v>
      </c>
      <c r="H566" s="313">
        <v>2139</v>
      </c>
      <c r="I566" s="243" t="s">
        <v>425</v>
      </c>
      <c r="J566" s="246">
        <v>39</v>
      </c>
    </row>
    <row r="567" spans="1:10" ht="15" x14ac:dyDescent="0.25">
      <c r="A567" s="243">
        <v>10001453</v>
      </c>
      <c r="B567" s="243">
        <v>8457050281</v>
      </c>
      <c r="C567" s="243" t="s">
        <v>1536</v>
      </c>
      <c r="D567" s="244">
        <v>33654</v>
      </c>
      <c r="E567" s="243" t="s">
        <v>936</v>
      </c>
      <c r="F567" s="243" t="s">
        <v>937</v>
      </c>
      <c r="G567" s="243" t="s">
        <v>927</v>
      </c>
      <c r="H567" s="313">
        <v>2139</v>
      </c>
      <c r="I567" s="243" t="s">
        <v>425</v>
      </c>
      <c r="J567" s="246">
        <v>31</v>
      </c>
    </row>
    <row r="568" spans="1:10" ht="15" x14ac:dyDescent="0.25">
      <c r="A568" s="243">
        <v>10001456</v>
      </c>
      <c r="B568" s="243">
        <v>8411870324</v>
      </c>
      <c r="C568" s="243" t="s">
        <v>1537</v>
      </c>
      <c r="D568" s="244">
        <v>29136</v>
      </c>
      <c r="E568" s="243" t="s">
        <v>936</v>
      </c>
      <c r="F568" s="243" t="s">
        <v>937</v>
      </c>
      <c r="G568" s="243" t="s">
        <v>1020</v>
      </c>
      <c r="H568" s="313">
        <v>2410</v>
      </c>
      <c r="I568" s="243" t="s">
        <v>462</v>
      </c>
      <c r="J568" s="246">
        <v>44</v>
      </c>
    </row>
    <row r="569" spans="1:10" ht="15" x14ac:dyDescent="0.25">
      <c r="A569" s="243">
        <v>10001460</v>
      </c>
      <c r="B569" s="243">
        <v>8405600728</v>
      </c>
      <c r="C569" s="243" t="s">
        <v>1538</v>
      </c>
      <c r="D569" s="244">
        <v>28509</v>
      </c>
      <c r="E569" s="243" t="s">
        <v>945</v>
      </c>
      <c r="F569" s="243" t="s">
        <v>946</v>
      </c>
      <c r="G569" s="243" t="s">
        <v>997</v>
      </c>
      <c r="H569" s="313">
        <v>2165</v>
      </c>
      <c r="I569" s="243" t="s">
        <v>438</v>
      </c>
      <c r="J569" s="246">
        <v>45</v>
      </c>
    </row>
    <row r="570" spans="1:10" ht="15" x14ac:dyDescent="0.25">
      <c r="A570" s="243">
        <v>10001462</v>
      </c>
      <c r="B570" s="243">
        <v>8408141996</v>
      </c>
      <c r="C570" s="243" t="s">
        <v>1539</v>
      </c>
      <c r="D570" s="244">
        <v>28763</v>
      </c>
      <c r="E570" s="243" t="s">
        <v>1201</v>
      </c>
      <c r="F570" s="243" t="s">
        <v>1202</v>
      </c>
      <c r="G570" s="243" t="s">
        <v>1109</v>
      </c>
      <c r="H570" s="313">
        <v>1419</v>
      </c>
      <c r="I570" s="243" t="s">
        <v>406</v>
      </c>
      <c r="J570" s="246">
        <v>45</v>
      </c>
    </row>
    <row r="571" spans="1:10" ht="15" x14ac:dyDescent="0.25">
      <c r="A571" s="243">
        <v>10001463</v>
      </c>
      <c r="B571" s="243">
        <v>8437320062</v>
      </c>
      <c r="C571" s="243" t="s">
        <v>198</v>
      </c>
      <c r="D571" s="244">
        <v>31681</v>
      </c>
      <c r="E571" s="243" t="s">
        <v>1201</v>
      </c>
      <c r="F571" s="243" t="s">
        <v>1202</v>
      </c>
      <c r="G571" s="243" t="s">
        <v>1109</v>
      </c>
      <c r="H571" s="313">
        <v>2910</v>
      </c>
      <c r="I571" s="243" t="s">
        <v>518</v>
      </c>
      <c r="J571" s="246">
        <v>37</v>
      </c>
    </row>
    <row r="572" spans="1:10" ht="15" x14ac:dyDescent="0.25">
      <c r="A572" s="243">
        <v>10001464</v>
      </c>
      <c r="B572" s="243">
        <v>8355271106</v>
      </c>
      <c r="C572" s="243" t="s">
        <v>1540</v>
      </c>
      <c r="D572" s="244">
        <v>23476</v>
      </c>
      <c r="E572" s="243" t="s">
        <v>1198</v>
      </c>
      <c r="F572" s="243" t="s">
        <v>1199</v>
      </c>
      <c r="G572" s="243" t="s">
        <v>1145</v>
      </c>
      <c r="H572" s="313">
        <v>3623</v>
      </c>
      <c r="I572" s="243" t="s">
        <v>590</v>
      </c>
      <c r="J572" s="246">
        <v>59</v>
      </c>
    </row>
    <row r="573" spans="1:10" ht="15" x14ac:dyDescent="0.25">
      <c r="A573" s="243">
        <v>10001467</v>
      </c>
      <c r="B573" s="243">
        <v>8462260035</v>
      </c>
      <c r="C573" s="243" t="s">
        <v>1541</v>
      </c>
      <c r="D573" s="244">
        <v>34175</v>
      </c>
      <c r="E573" s="243" t="s">
        <v>858</v>
      </c>
      <c r="F573" s="243" t="s">
        <v>859</v>
      </c>
      <c r="G573" s="243" t="s">
        <v>1145</v>
      </c>
      <c r="H573" s="313">
        <v>3910</v>
      </c>
      <c r="I573" s="243" t="s">
        <v>616</v>
      </c>
      <c r="J573" s="246">
        <v>30</v>
      </c>
    </row>
    <row r="574" spans="1:10" ht="15" x14ac:dyDescent="0.25">
      <c r="A574" s="243">
        <v>10001469</v>
      </c>
      <c r="B574" s="243">
        <v>8377610388</v>
      </c>
      <c r="C574" s="243" t="s">
        <v>1542</v>
      </c>
      <c r="D574" s="244">
        <v>25710</v>
      </c>
      <c r="E574" s="243" t="s">
        <v>902</v>
      </c>
      <c r="F574" s="243" t="s">
        <v>903</v>
      </c>
      <c r="G574" s="243" t="s">
        <v>1128</v>
      </c>
      <c r="H574" s="313">
        <v>2410</v>
      </c>
      <c r="I574" s="243" t="s">
        <v>462</v>
      </c>
      <c r="J574" s="246">
        <v>53</v>
      </c>
    </row>
    <row r="575" spans="1:10" ht="15" x14ac:dyDescent="0.25">
      <c r="A575" s="243">
        <v>10001477</v>
      </c>
      <c r="B575" s="243">
        <v>8389152959</v>
      </c>
      <c r="C575" s="243" t="s">
        <v>1543</v>
      </c>
      <c r="D575" s="244">
        <v>26864</v>
      </c>
      <c r="E575" s="243" t="s">
        <v>929</v>
      </c>
      <c r="F575" s="243" t="s">
        <v>930</v>
      </c>
      <c r="G575" s="243" t="s">
        <v>864</v>
      </c>
      <c r="H575" s="313">
        <v>2410</v>
      </c>
      <c r="I575" s="243" t="s">
        <v>462</v>
      </c>
      <c r="J575" s="246">
        <v>50</v>
      </c>
    </row>
    <row r="576" spans="1:10" ht="15" x14ac:dyDescent="0.25">
      <c r="A576" s="243">
        <v>10001478</v>
      </c>
      <c r="B576" s="243">
        <v>8326124451</v>
      </c>
      <c r="C576" s="243" t="s">
        <v>1544</v>
      </c>
      <c r="D576" s="244">
        <v>20561</v>
      </c>
      <c r="E576" s="243" t="s">
        <v>867</v>
      </c>
      <c r="F576" s="243" t="s">
        <v>868</v>
      </c>
      <c r="G576" s="243" t="s">
        <v>860</v>
      </c>
      <c r="H576" s="313">
        <v>2410</v>
      </c>
      <c r="I576" s="243" t="s">
        <v>462</v>
      </c>
      <c r="J576" s="246">
        <v>67</v>
      </c>
    </row>
    <row r="577" spans="1:10" ht="15" x14ac:dyDescent="0.25">
      <c r="A577" s="243">
        <v>10001481</v>
      </c>
      <c r="B577" s="243">
        <v>8421612808</v>
      </c>
      <c r="C577" s="243" t="s">
        <v>1545</v>
      </c>
      <c r="D577" s="244">
        <v>30110</v>
      </c>
      <c r="E577" s="243" t="s">
        <v>906</v>
      </c>
      <c r="F577" s="243" t="s">
        <v>907</v>
      </c>
      <c r="G577" s="243" t="s">
        <v>985</v>
      </c>
      <c r="H577" s="313">
        <v>2410</v>
      </c>
      <c r="I577" s="243" t="s">
        <v>462</v>
      </c>
      <c r="J577" s="246">
        <v>41</v>
      </c>
    </row>
    <row r="578" spans="1:10" ht="15" x14ac:dyDescent="0.25">
      <c r="A578" s="243">
        <v>10001482</v>
      </c>
      <c r="B578" s="243">
        <v>8437130026</v>
      </c>
      <c r="C578" s="243" t="s">
        <v>1546</v>
      </c>
      <c r="D578" s="244">
        <v>31662</v>
      </c>
      <c r="E578" s="243" t="s">
        <v>867</v>
      </c>
      <c r="F578" s="243" t="s">
        <v>868</v>
      </c>
      <c r="G578" s="243" t="s">
        <v>1109</v>
      </c>
      <c r="H578" s="313">
        <v>2910</v>
      </c>
      <c r="I578" s="243" t="s">
        <v>518</v>
      </c>
      <c r="J578" s="246">
        <v>37</v>
      </c>
    </row>
    <row r="579" spans="1:10" ht="15" x14ac:dyDescent="0.25">
      <c r="A579" s="243">
        <v>10001486</v>
      </c>
      <c r="B579" s="243">
        <v>8450852021</v>
      </c>
      <c r="C579" s="243" t="s">
        <v>1547</v>
      </c>
      <c r="D579" s="244">
        <v>33034</v>
      </c>
      <c r="E579" s="243" t="s">
        <v>1201</v>
      </c>
      <c r="F579" s="243" t="s">
        <v>1202</v>
      </c>
      <c r="G579" s="243" t="s">
        <v>1109</v>
      </c>
      <c r="H579" s="313">
        <v>2910</v>
      </c>
      <c r="I579" s="243" t="s">
        <v>518</v>
      </c>
      <c r="J579" s="246">
        <v>33</v>
      </c>
    </row>
    <row r="580" spans="1:10" ht="15" x14ac:dyDescent="0.25">
      <c r="A580" s="243">
        <v>10001490</v>
      </c>
      <c r="B580" s="243">
        <v>8361092331</v>
      </c>
      <c r="C580" s="243" t="s">
        <v>1548</v>
      </c>
      <c r="D580" s="244">
        <v>24058</v>
      </c>
      <c r="E580" s="243" t="s">
        <v>929</v>
      </c>
      <c r="F580" s="243" t="s">
        <v>930</v>
      </c>
      <c r="G580" s="243" t="s">
        <v>985</v>
      </c>
      <c r="H580" s="313">
        <v>2410</v>
      </c>
      <c r="I580" s="243" t="s">
        <v>462</v>
      </c>
      <c r="J580" s="246">
        <v>58</v>
      </c>
    </row>
    <row r="581" spans="1:10" ht="15" x14ac:dyDescent="0.25">
      <c r="A581" s="243">
        <v>10001491</v>
      </c>
      <c r="B581" s="243">
        <v>8380433149</v>
      </c>
      <c r="C581" s="243" t="s">
        <v>1549</v>
      </c>
      <c r="D581" s="244">
        <v>25992</v>
      </c>
      <c r="E581" s="243" t="s">
        <v>1373</v>
      </c>
      <c r="F581" s="243" t="s">
        <v>1374</v>
      </c>
      <c r="G581" s="243" t="s">
        <v>974</v>
      </c>
      <c r="H581" s="313">
        <v>1328</v>
      </c>
      <c r="I581" s="243" t="s">
        <v>391</v>
      </c>
      <c r="J581" s="246">
        <v>52</v>
      </c>
    </row>
    <row r="582" spans="1:10" ht="15" x14ac:dyDescent="0.25">
      <c r="A582" s="243">
        <v>10001505</v>
      </c>
      <c r="B582" s="243">
        <v>8417951342</v>
      </c>
      <c r="C582" s="243" t="s">
        <v>1550</v>
      </c>
      <c r="D582" s="244">
        <v>29744</v>
      </c>
      <c r="E582" s="243" t="s">
        <v>1167</v>
      </c>
      <c r="F582" s="243" t="s">
        <v>1168</v>
      </c>
      <c r="G582" s="243" t="s">
        <v>1109</v>
      </c>
      <c r="H582" s="313">
        <v>2910</v>
      </c>
      <c r="I582" s="243" t="s">
        <v>518</v>
      </c>
      <c r="J582" s="246">
        <v>42</v>
      </c>
    </row>
    <row r="583" spans="1:10" ht="15" x14ac:dyDescent="0.25">
      <c r="A583" s="243">
        <v>10001518</v>
      </c>
      <c r="B583" s="243">
        <v>8464910525</v>
      </c>
      <c r="C583" s="243" t="s">
        <v>1551</v>
      </c>
      <c r="D583" s="244">
        <v>34440</v>
      </c>
      <c r="E583" s="243" t="s">
        <v>945</v>
      </c>
      <c r="F583" s="243" t="s">
        <v>946</v>
      </c>
      <c r="G583" s="243" t="s">
        <v>1080</v>
      </c>
      <c r="H583" s="313">
        <v>2131</v>
      </c>
      <c r="I583" s="243" t="s">
        <v>418</v>
      </c>
      <c r="J583" s="246">
        <v>29</v>
      </c>
    </row>
    <row r="584" spans="1:10" ht="15" x14ac:dyDescent="0.25">
      <c r="A584" s="243">
        <v>10001532</v>
      </c>
      <c r="B584" s="243">
        <v>8416001936</v>
      </c>
      <c r="C584" s="243" t="s">
        <v>1552</v>
      </c>
      <c r="D584" s="244">
        <v>29549</v>
      </c>
      <c r="E584" s="243" t="s">
        <v>1198</v>
      </c>
      <c r="F584" s="243" t="s">
        <v>1199</v>
      </c>
      <c r="G584" s="243" t="s">
        <v>1145</v>
      </c>
      <c r="H584" s="313">
        <v>3623</v>
      </c>
      <c r="I584" s="243" t="s">
        <v>590</v>
      </c>
      <c r="J584" s="246">
        <v>43</v>
      </c>
    </row>
    <row r="585" spans="1:10" ht="15" x14ac:dyDescent="0.25">
      <c r="A585" s="243">
        <v>10001535</v>
      </c>
      <c r="B585" s="243">
        <v>8363194034</v>
      </c>
      <c r="C585" s="243" t="s">
        <v>1553</v>
      </c>
      <c r="D585" s="244">
        <v>24268</v>
      </c>
      <c r="E585" s="243" t="s">
        <v>1138</v>
      </c>
      <c r="F585" s="243" t="s">
        <v>1139</v>
      </c>
      <c r="G585" s="243" t="s">
        <v>1109</v>
      </c>
      <c r="H585" s="313">
        <v>3162</v>
      </c>
      <c r="I585" s="243" t="s">
        <v>547</v>
      </c>
      <c r="J585" s="246">
        <v>57</v>
      </c>
    </row>
    <row r="586" spans="1:10" ht="15" x14ac:dyDescent="0.25">
      <c r="A586" s="243">
        <v>10001538</v>
      </c>
      <c r="B586" s="243">
        <v>8348242694</v>
      </c>
      <c r="C586" s="243" t="s">
        <v>1554</v>
      </c>
      <c r="D586" s="244">
        <v>22773</v>
      </c>
      <c r="E586" s="243" t="s">
        <v>1266</v>
      </c>
      <c r="F586" s="243" t="s">
        <v>1267</v>
      </c>
      <c r="G586" s="243" t="s">
        <v>1109</v>
      </c>
      <c r="H586" s="313">
        <v>2910</v>
      </c>
      <c r="I586" s="243" t="s">
        <v>518</v>
      </c>
      <c r="J586" s="246">
        <v>61</v>
      </c>
    </row>
    <row r="587" spans="1:10" ht="15" x14ac:dyDescent="0.25">
      <c r="A587" s="243">
        <v>10001539</v>
      </c>
      <c r="B587" s="243">
        <v>8366333868</v>
      </c>
      <c r="C587" s="243" t="s">
        <v>1555</v>
      </c>
      <c r="D587" s="244">
        <v>24582</v>
      </c>
      <c r="E587" s="243" t="s">
        <v>929</v>
      </c>
      <c r="F587" s="243" t="s">
        <v>930</v>
      </c>
      <c r="G587" s="243" t="s">
        <v>985</v>
      </c>
      <c r="H587" s="313">
        <v>2410</v>
      </c>
      <c r="I587" s="243" t="s">
        <v>462</v>
      </c>
      <c r="J587" s="246">
        <v>56</v>
      </c>
    </row>
    <row r="588" spans="1:10" ht="15" x14ac:dyDescent="0.25">
      <c r="A588" s="243">
        <v>10001540</v>
      </c>
      <c r="B588" s="243">
        <v>8469202529</v>
      </c>
      <c r="C588" s="243" t="s">
        <v>1556</v>
      </c>
      <c r="D588" s="244">
        <v>34869</v>
      </c>
      <c r="E588" s="243" t="s">
        <v>1248</v>
      </c>
      <c r="F588" s="243" t="s">
        <v>1249</v>
      </c>
      <c r="G588" s="243" t="s">
        <v>1145</v>
      </c>
      <c r="H588" s="313">
        <v>3910</v>
      </c>
      <c r="I588" s="243" t="s">
        <v>616</v>
      </c>
      <c r="J588" s="246">
        <v>28</v>
      </c>
    </row>
    <row r="589" spans="1:10" ht="15" x14ac:dyDescent="0.25">
      <c r="A589" s="243">
        <v>10001544</v>
      </c>
      <c r="B589" s="243">
        <v>8364533339</v>
      </c>
      <c r="C589" s="243" t="s">
        <v>1557</v>
      </c>
      <c r="D589" s="244">
        <v>24402</v>
      </c>
      <c r="E589" s="243" t="s">
        <v>1558</v>
      </c>
      <c r="F589" s="243" t="s">
        <v>1559</v>
      </c>
      <c r="G589" s="243" t="s">
        <v>1109</v>
      </c>
      <c r="H589" s="313">
        <v>1328</v>
      </c>
      <c r="I589" s="243" t="s">
        <v>391</v>
      </c>
      <c r="J589" s="246">
        <v>57</v>
      </c>
    </row>
    <row r="590" spans="1:10" ht="15" x14ac:dyDescent="0.25">
      <c r="A590" s="243">
        <v>10001545</v>
      </c>
      <c r="B590" s="243">
        <v>8445414666</v>
      </c>
      <c r="C590" s="243" t="s">
        <v>1560</v>
      </c>
      <c r="D590" s="244">
        <v>32490</v>
      </c>
      <c r="E590" s="243" t="s">
        <v>945</v>
      </c>
      <c r="F590" s="243" t="s">
        <v>946</v>
      </c>
      <c r="G590" s="243" t="s">
        <v>1080</v>
      </c>
      <c r="H590" s="313">
        <v>2167</v>
      </c>
      <c r="I590" s="243" t="s">
        <v>440</v>
      </c>
      <c r="J590" s="246">
        <v>35</v>
      </c>
    </row>
    <row r="591" spans="1:10" ht="15" x14ac:dyDescent="0.25">
      <c r="A591" s="243">
        <v>10001549</v>
      </c>
      <c r="B591" s="243">
        <v>8406762934</v>
      </c>
      <c r="C591" s="243" t="s">
        <v>1561</v>
      </c>
      <c r="D591" s="244">
        <v>28625</v>
      </c>
      <c r="E591" s="243" t="s">
        <v>906</v>
      </c>
      <c r="F591" s="243" t="s">
        <v>907</v>
      </c>
      <c r="G591" s="243" t="s">
        <v>1145</v>
      </c>
      <c r="H591" s="313">
        <v>3910</v>
      </c>
      <c r="I591" s="243" t="s">
        <v>616</v>
      </c>
      <c r="J591" s="246">
        <v>45</v>
      </c>
    </row>
    <row r="592" spans="1:10" ht="15" x14ac:dyDescent="0.25">
      <c r="A592" s="243">
        <v>10001557</v>
      </c>
      <c r="B592" s="243">
        <v>8471310406</v>
      </c>
      <c r="C592" s="243" t="s">
        <v>1562</v>
      </c>
      <c r="D592" s="244">
        <v>35080</v>
      </c>
      <c r="E592" s="243" t="s">
        <v>942</v>
      </c>
      <c r="F592" s="243" t="s">
        <v>943</v>
      </c>
      <c r="G592" s="243" t="s">
        <v>1020</v>
      </c>
      <c r="H592" s="313">
        <v>2410</v>
      </c>
      <c r="I592" s="243" t="s">
        <v>462</v>
      </c>
      <c r="J592" s="246">
        <v>27</v>
      </c>
    </row>
    <row r="593" spans="1:10" ht="15" x14ac:dyDescent="0.25">
      <c r="A593" s="243">
        <v>10001560</v>
      </c>
      <c r="B593" s="243">
        <v>8403794029</v>
      </c>
      <c r="C593" s="243" t="s">
        <v>1563</v>
      </c>
      <c r="D593" s="244">
        <v>28328</v>
      </c>
      <c r="E593" s="243" t="s">
        <v>1248</v>
      </c>
      <c r="F593" s="243" t="s">
        <v>1249</v>
      </c>
      <c r="G593" s="243" t="s">
        <v>1145</v>
      </c>
      <c r="H593" s="313">
        <v>3910</v>
      </c>
      <c r="I593" s="243" t="s">
        <v>616</v>
      </c>
      <c r="J593" s="246">
        <v>46</v>
      </c>
    </row>
    <row r="594" spans="1:10" ht="15" x14ac:dyDescent="0.25">
      <c r="A594" s="243">
        <v>10001564</v>
      </c>
      <c r="B594" s="243">
        <v>8372591652</v>
      </c>
      <c r="C594" s="243" t="s">
        <v>1564</v>
      </c>
      <c r="D594" s="244">
        <v>25208</v>
      </c>
      <c r="E594" s="243" t="s">
        <v>862</v>
      </c>
      <c r="F594" s="243" t="s">
        <v>863</v>
      </c>
      <c r="G594" s="243" t="s">
        <v>864</v>
      </c>
      <c r="H594" s="313">
        <v>1416</v>
      </c>
      <c r="I594" s="243" t="s">
        <v>405</v>
      </c>
      <c r="J594" s="246">
        <v>54</v>
      </c>
    </row>
    <row r="595" spans="1:10" ht="15" x14ac:dyDescent="0.25">
      <c r="A595" s="243">
        <v>10001566</v>
      </c>
      <c r="B595" s="243">
        <v>8421062379</v>
      </c>
      <c r="C595" s="243" t="s">
        <v>1565</v>
      </c>
      <c r="D595" s="244">
        <v>30055</v>
      </c>
      <c r="E595" s="243" t="s">
        <v>870</v>
      </c>
      <c r="F595" s="243" t="s">
        <v>871</v>
      </c>
      <c r="G595" s="243" t="s">
        <v>1080</v>
      </c>
      <c r="H595" s="313">
        <v>2114</v>
      </c>
      <c r="I595" s="243" t="s">
        <v>410</v>
      </c>
      <c r="J595" s="246">
        <v>41</v>
      </c>
    </row>
    <row r="596" spans="1:10" ht="15" x14ac:dyDescent="0.25">
      <c r="A596" s="243">
        <v>10001569</v>
      </c>
      <c r="B596" s="243">
        <v>8476222777</v>
      </c>
      <c r="C596" s="243" t="s">
        <v>1566</v>
      </c>
      <c r="D596" s="244">
        <v>35571</v>
      </c>
      <c r="E596" s="243" t="s">
        <v>1013</v>
      </c>
      <c r="F596" s="243" t="s">
        <v>1014</v>
      </c>
      <c r="G596" s="243" t="s">
        <v>1020</v>
      </c>
      <c r="H596" s="313">
        <v>2410</v>
      </c>
      <c r="I596" s="243" t="s">
        <v>462</v>
      </c>
      <c r="J596" s="246">
        <v>26</v>
      </c>
    </row>
    <row r="597" spans="1:10" ht="15" x14ac:dyDescent="0.25">
      <c r="A597" s="243">
        <v>10001572</v>
      </c>
      <c r="B597" s="243">
        <v>8391050157</v>
      </c>
      <c r="C597" s="243" t="s">
        <v>1567</v>
      </c>
      <c r="D597" s="244">
        <v>27054</v>
      </c>
      <c r="E597" s="243" t="s">
        <v>1172</v>
      </c>
      <c r="F597" s="243" t="s">
        <v>1173</v>
      </c>
      <c r="G597" s="243" t="s">
        <v>1145</v>
      </c>
      <c r="H597" s="313">
        <v>3910</v>
      </c>
      <c r="I597" s="243" t="s">
        <v>616</v>
      </c>
      <c r="J597" s="246">
        <v>49</v>
      </c>
    </row>
    <row r="598" spans="1:10" ht="15" x14ac:dyDescent="0.25">
      <c r="A598" s="243">
        <v>10001573</v>
      </c>
      <c r="B598" s="243">
        <v>8464521502</v>
      </c>
      <c r="C598" s="243" t="s">
        <v>1568</v>
      </c>
      <c r="D598" s="244">
        <v>34401</v>
      </c>
      <c r="E598" s="243" t="s">
        <v>858</v>
      </c>
      <c r="F598" s="243" t="s">
        <v>859</v>
      </c>
      <c r="G598" s="243" t="s">
        <v>1080</v>
      </c>
      <c r="H598" s="313">
        <v>2117</v>
      </c>
      <c r="I598" s="243" t="s">
        <v>413</v>
      </c>
      <c r="J598" s="246">
        <v>29</v>
      </c>
    </row>
    <row r="599" spans="1:10" ht="15" x14ac:dyDescent="0.25">
      <c r="A599" s="243">
        <v>10001574</v>
      </c>
      <c r="B599" s="243">
        <v>8474180449</v>
      </c>
      <c r="C599" s="243" t="s">
        <v>1569</v>
      </c>
      <c r="D599" s="244">
        <v>35367</v>
      </c>
      <c r="E599" s="243" t="s">
        <v>858</v>
      </c>
      <c r="F599" s="243" t="s">
        <v>859</v>
      </c>
      <c r="G599" s="243" t="s">
        <v>1080</v>
      </c>
      <c r="H599" s="313">
        <v>2117</v>
      </c>
      <c r="I599" s="243" t="s">
        <v>413</v>
      </c>
      <c r="J599" s="246">
        <v>27</v>
      </c>
    </row>
    <row r="600" spans="1:10" ht="15" x14ac:dyDescent="0.25">
      <c r="A600" s="243">
        <v>10001575</v>
      </c>
      <c r="B600" s="243">
        <v>8457790412</v>
      </c>
      <c r="C600" s="243" t="s">
        <v>1570</v>
      </c>
      <c r="D600" s="244">
        <v>33728</v>
      </c>
      <c r="E600" s="243" t="s">
        <v>1167</v>
      </c>
      <c r="F600" s="243" t="s">
        <v>1168</v>
      </c>
      <c r="G600" s="243" t="s">
        <v>1145</v>
      </c>
      <c r="H600" s="313">
        <v>3910</v>
      </c>
      <c r="I600" s="243" t="s">
        <v>616</v>
      </c>
      <c r="J600" s="246">
        <v>31</v>
      </c>
    </row>
    <row r="601" spans="1:10" ht="15" x14ac:dyDescent="0.25">
      <c r="A601" s="243">
        <v>10001577</v>
      </c>
      <c r="B601" s="243">
        <v>8415246099</v>
      </c>
      <c r="C601" s="243" t="s">
        <v>1571</v>
      </c>
      <c r="D601" s="244">
        <v>29473</v>
      </c>
      <c r="E601" s="243" t="s">
        <v>902</v>
      </c>
      <c r="F601" s="243" t="s">
        <v>903</v>
      </c>
      <c r="G601" s="243" t="s">
        <v>1128</v>
      </c>
      <c r="H601" s="313">
        <v>2410</v>
      </c>
      <c r="I601" s="243" t="s">
        <v>462</v>
      </c>
      <c r="J601" s="246">
        <v>43</v>
      </c>
    </row>
    <row r="602" spans="1:10" ht="15" x14ac:dyDescent="0.25">
      <c r="A602" s="243">
        <v>10001578</v>
      </c>
      <c r="B602" s="243">
        <v>8404111863</v>
      </c>
      <c r="C602" s="243" t="s">
        <v>1572</v>
      </c>
      <c r="D602" s="244">
        <v>28360</v>
      </c>
      <c r="E602" s="243" t="s">
        <v>1480</v>
      </c>
      <c r="F602" s="243" t="s">
        <v>1481</v>
      </c>
      <c r="G602" s="243" t="s">
        <v>1109</v>
      </c>
      <c r="H602" s="313">
        <v>2910</v>
      </c>
      <c r="I602" s="243" t="s">
        <v>518</v>
      </c>
      <c r="J602" s="246">
        <v>46</v>
      </c>
    </row>
    <row r="603" spans="1:10" ht="15" x14ac:dyDescent="0.25">
      <c r="A603" s="243">
        <v>10001583</v>
      </c>
      <c r="B603" s="243">
        <v>8440864078</v>
      </c>
      <c r="C603" s="243" t="s">
        <v>1573</v>
      </c>
      <c r="D603" s="244">
        <v>32035</v>
      </c>
      <c r="E603" s="243" t="s">
        <v>877</v>
      </c>
      <c r="F603" s="243" t="s">
        <v>878</v>
      </c>
      <c r="G603" s="243" t="s">
        <v>872</v>
      </c>
      <c r="H603" s="313">
        <v>2410</v>
      </c>
      <c r="I603" s="243" t="s">
        <v>462</v>
      </c>
      <c r="J603" s="246">
        <v>36</v>
      </c>
    </row>
    <row r="604" spans="1:10" ht="15" x14ac:dyDescent="0.25">
      <c r="A604" s="243">
        <v>10001585</v>
      </c>
      <c r="B604" s="243">
        <v>8393461960</v>
      </c>
      <c r="C604" s="243" t="s">
        <v>1574</v>
      </c>
      <c r="D604" s="244">
        <v>27295</v>
      </c>
      <c r="E604" s="243" t="s">
        <v>929</v>
      </c>
      <c r="F604" s="243" t="s">
        <v>930</v>
      </c>
      <c r="G604" s="243" t="s">
        <v>1020</v>
      </c>
      <c r="H604" s="313">
        <v>2410</v>
      </c>
      <c r="I604" s="243" t="s">
        <v>462</v>
      </c>
      <c r="J604" s="246">
        <v>49</v>
      </c>
    </row>
    <row r="605" spans="1:10" ht="15" x14ac:dyDescent="0.25">
      <c r="A605" s="243">
        <v>10001586</v>
      </c>
      <c r="B605" s="243">
        <v>8469240358</v>
      </c>
      <c r="C605" s="243" t="s">
        <v>1575</v>
      </c>
      <c r="D605" s="244">
        <v>34873</v>
      </c>
      <c r="E605" s="243" t="s">
        <v>1141</v>
      </c>
      <c r="F605" s="243" t="s">
        <v>1142</v>
      </c>
      <c r="G605" s="243" t="s">
        <v>1145</v>
      </c>
      <c r="H605" s="313">
        <v>3611</v>
      </c>
      <c r="I605" s="243" t="s">
        <v>581</v>
      </c>
      <c r="J605" s="246">
        <v>28</v>
      </c>
    </row>
    <row r="606" spans="1:10" ht="15" x14ac:dyDescent="0.25">
      <c r="A606" s="243">
        <v>10001605</v>
      </c>
      <c r="B606" s="243">
        <v>8409162962</v>
      </c>
      <c r="C606" s="243" t="s">
        <v>1576</v>
      </c>
      <c r="D606" s="244">
        <v>28865</v>
      </c>
      <c r="E606" s="243" t="s">
        <v>1147</v>
      </c>
      <c r="F606" s="243" t="s">
        <v>1148</v>
      </c>
      <c r="G606" s="243" t="s">
        <v>1109</v>
      </c>
      <c r="H606" s="313">
        <v>4134</v>
      </c>
      <c r="I606" s="243" t="s">
        <v>630</v>
      </c>
      <c r="J606" s="246">
        <v>44</v>
      </c>
    </row>
    <row r="607" spans="1:10" ht="15" x14ac:dyDescent="0.25">
      <c r="A607" s="243">
        <v>10001607</v>
      </c>
      <c r="B607" s="243">
        <v>8401883954</v>
      </c>
      <c r="C607" s="243" t="s">
        <v>1577</v>
      </c>
      <c r="D607" s="244">
        <v>28137</v>
      </c>
      <c r="E607" s="243" t="s">
        <v>1147</v>
      </c>
      <c r="F607" s="243" t="s">
        <v>1148</v>
      </c>
      <c r="G607" s="243" t="s">
        <v>1109</v>
      </c>
      <c r="H607" s="313">
        <v>4134</v>
      </c>
      <c r="I607" s="243" t="s">
        <v>630</v>
      </c>
      <c r="J607" s="246">
        <v>46</v>
      </c>
    </row>
    <row r="608" spans="1:10" ht="15" x14ac:dyDescent="0.25">
      <c r="A608" s="243">
        <v>10001610</v>
      </c>
      <c r="B608" s="243">
        <v>8384883114</v>
      </c>
      <c r="C608" s="243" t="s">
        <v>1578</v>
      </c>
      <c r="D608" s="244">
        <v>26437</v>
      </c>
      <c r="E608" s="243" t="s">
        <v>896</v>
      </c>
      <c r="F608" s="243" t="s">
        <v>897</v>
      </c>
      <c r="G608" s="243" t="s">
        <v>864</v>
      </c>
      <c r="H608" s="313">
        <v>2410</v>
      </c>
      <c r="I608" s="243" t="s">
        <v>462</v>
      </c>
      <c r="J608" s="246">
        <v>51</v>
      </c>
    </row>
    <row r="609" spans="1:10" ht="15" x14ac:dyDescent="0.25">
      <c r="A609" s="243">
        <v>10001612</v>
      </c>
      <c r="B609" s="243">
        <v>8418112433</v>
      </c>
      <c r="C609" s="243" t="s">
        <v>1579</v>
      </c>
      <c r="D609" s="244">
        <v>29760</v>
      </c>
      <c r="E609" s="243" t="s">
        <v>1390</v>
      </c>
      <c r="F609" s="243" t="s">
        <v>1391</v>
      </c>
      <c r="G609" s="243" t="s">
        <v>1145</v>
      </c>
      <c r="H609" s="313">
        <v>3910</v>
      </c>
      <c r="I609" s="243" t="s">
        <v>616</v>
      </c>
      <c r="J609" s="246">
        <v>42</v>
      </c>
    </row>
    <row r="610" spans="1:10" ht="15" x14ac:dyDescent="0.25">
      <c r="A610" s="243">
        <v>10001614</v>
      </c>
      <c r="B610" s="243">
        <v>8466920137</v>
      </c>
      <c r="C610" s="243" t="s">
        <v>1580</v>
      </c>
      <c r="D610" s="244">
        <v>34641</v>
      </c>
      <c r="E610" s="243" t="s">
        <v>945</v>
      </c>
      <c r="F610" s="243" t="s">
        <v>946</v>
      </c>
      <c r="G610" s="243" t="s">
        <v>1080</v>
      </c>
      <c r="H610" s="313">
        <v>2117</v>
      </c>
      <c r="I610" s="243" t="s">
        <v>413</v>
      </c>
      <c r="J610" s="246">
        <v>29</v>
      </c>
    </row>
    <row r="611" spans="1:10" ht="15" x14ac:dyDescent="0.25">
      <c r="A611" s="243">
        <v>10001615</v>
      </c>
      <c r="B611" s="243">
        <v>8457292900</v>
      </c>
      <c r="C611" s="243" t="s">
        <v>1581</v>
      </c>
      <c r="D611" s="244">
        <v>33678</v>
      </c>
      <c r="E611" s="243" t="s">
        <v>963</v>
      </c>
      <c r="F611" s="243" t="s">
        <v>964</v>
      </c>
      <c r="G611" s="243" t="s">
        <v>997</v>
      </c>
      <c r="H611" s="313">
        <v>2113</v>
      </c>
      <c r="I611" s="243" t="s">
        <v>409</v>
      </c>
      <c r="J611" s="246">
        <v>31</v>
      </c>
    </row>
    <row r="612" spans="1:10" ht="15" x14ac:dyDescent="0.25">
      <c r="A612" s="243">
        <v>10001621</v>
      </c>
      <c r="B612" s="243">
        <v>8310892233</v>
      </c>
      <c r="C612" s="243" t="s">
        <v>1582</v>
      </c>
      <c r="D612" s="244">
        <v>19038</v>
      </c>
      <c r="E612" s="243" t="s">
        <v>963</v>
      </c>
      <c r="F612" s="243" t="s">
        <v>964</v>
      </c>
      <c r="G612" s="243" t="s">
        <v>1080</v>
      </c>
      <c r="H612" s="313">
        <v>2117</v>
      </c>
      <c r="I612" s="243" t="s">
        <v>413</v>
      </c>
      <c r="J612" s="246">
        <v>71</v>
      </c>
    </row>
    <row r="613" spans="1:10" ht="15" x14ac:dyDescent="0.25">
      <c r="A613" s="243">
        <v>10001622</v>
      </c>
      <c r="B613" s="243">
        <v>8468030554</v>
      </c>
      <c r="C613" s="243" t="s">
        <v>1583</v>
      </c>
      <c r="D613" s="244">
        <v>34752</v>
      </c>
      <c r="E613" s="243" t="s">
        <v>963</v>
      </c>
      <c r="F613" s="243" t="s">
        <v>964</v>
      </c>
      <c r="G613" s="243" t="s">
        <v>927</v>
      </c>
      <c r="H613" s="313">
        <v>2131</v>
      </c>
      <c r="I613" s="243" t="s">
        <v>418</v>
      </c>
      <c r="J613" s="246">
        <v>28</v>
      </c>
    </row>
    <row r="614" spans="1:10" ht="15" x14ac:dyDescent="0.25">
      <c r="A614" s="243">
        <v>10001624</v>
      </c>
      <c r="B614" s="243">
        <v>8461011201</v>
      </c>
      <c r="C614" s="243" t="s">
        <v>1584</v>
      </c>
      <c r="D614" s="244">
        <v>34050</v>
      </c>
      <c r="E614" s="243" t="s">
        <v>899</v>
      </c>
      <c r="F614" s="243" t="s">
        <v>900</v>
      </c>
      <c r="G614" s="243" t="s">
        <v>1080</v>
      </c>
      <c r="H614" s="313">
        <v>2139</v>
      </c>
      <c r="I614" s="243" t="s">
        <v>425</v>
      </c>
      <c r="J614" s="246">
        <v>30</v>
      </c>
    </row>
    <row r="615" spans="1:10" ht="15" x14ac:dyDescent="0.25">
      <c r="A615" s="243">
        <v>10001626</v>
      </c>
      <c r="B615" s="243">
        <v>8468170232</v>
      </c>
      <c r="C615" s="243" t="s">
        <v>1585</v>
      </c>
      <c r="D615" s="244">
        <v>34766</v>
      </c>
      <c r="E615" s="243" t="s">
        <v>891</v>
      </c>
      <c r="F615" s="243" t="s">
        <v>892</v>
      </c>
      <c r="G615" s="243" t="s">
        <v>927</v>
      </c>
      <c r="H615" s="313">
        <v>2117</v>
      </c>
      <c r="I615" s="243" t="s">
        <v>413</v>
      </c>
      <c r="J615" s="246">
        <v>28</v>
      </c>
    </row>
    <row r="616" spans="1:10" ht="15" x14ac:dyDescent="0.25">
      <c r="A616" s="243">
        <v>10001629</v>
      </c>
      <c r="B616" s="243">
        <v>8471840170</v>
      </c>
      <c r="C616" s="243" t="s">
        <v>1586</v>
      </c>
      <c r="D616" s="244">
        <v>35133</v>
      </c>
      <c r="E616" s="243" t="s">
        <v>891</v>
      </c>
      <c r="F616" s="243" t="s">
        <v>892</v>
      </c>
      <c r="G616" s="243" t="s">
        <v>1080</v>
      </c>
      <c r="H616" s="313">
        <v>2117</v>
      </c>
      <c r="I616" s="243" t="s">
        <v>413</v>
      </c>
      <c r="J616" s="246">
        <v>27</v>
      </c>
    </row>
    <row r="617" spans="1:10" ht="15" x14ac:dyDescent="0.25">
      <c r="A617" s="243">
        <v>10001631</v>
      </c>
      <c r="B617" s="243">
        <v>8451923488</v>
      </c>
      <c r="C617" s="243" t="s">
        <v>1587</v>
      </c>
      <c r="D617" s="244">
        <v>33141</v>
      </c>
      <c r="E617" s="243" t="s">
        <v>929</v>
      </c>
      <c r="F617" s="243" t="s">
        <v>930</v>
      </c>
      <c r="G617" s="243" t="s">
        <v>997</v>
      </c>
      <c r="H617" s="313">
        <v>2624</v>
      </c>
      <c r="I617" s="243" t="s">
        <v>497</v>
      </c>
      <c r="J617" s="246">
        <v>33</v>
      </c>
    </row>
    <row r="618" spans="1:10" ht="15" x14ac:dyDescent="0.25">
      <c r="A618" s="243">
        <v>10001634</v>
      </c>
      <c r="B618" s="243">
        <v>8401243130</v>
      </c>
      <c r="C618" s="243" t="s">
        <v>1588</v>
      </c>
      <c r="D618" s="244">
        <v>28073</v>
      </c>
      <c r="E618" s="243" t="s">
        <v>1062</v>
      </c>
      <c r="F618" s="243" t="s">
        <v>1063</v>
      </c>
      <c r="G618" s="243" t="s">
        <v>1109</v>
      </c>
      <c r="H618" s="313">
        <v>2910</v>
      </c>
      <c r="I618" s="243" t="s">
        <v>518</v>
      </c>
      <c r="J618" s="246">
        <v>47</v>
      </c>
    </row>
    <row r="619" spans="1:10" ht="15" x14ac:dyDescent="0.25">
      <c r="A619" s="243">
        <v>10001637</v>
      </c>
      <c r="B619" s="243">
        <v>8394663109</v>
      </c>
      <c r="C619" s="243" t="s">
        <v>1589</v>
      </c>
      <c r="D619" s="244">
        <v>27415</v>
      </c>
      <c r="E619" s="243" t="s">
        <v>1141</v>
      </c>
      <c r="F619" s="243" t="s">
        <v>1142</v>
      </c>
      <c r="G619" s="243" t="s">
        <v>1145</v>
      </c>
      <c r="H619" s="313">
        <v>3611</v>
      </c>
      <c r="I619" s="243" t="s">
        <v>581</v>
      </c>
      <c r="J619" s="246">
        <v>48</v>
      </c>
    </row>
    <row r="620" spans="1:10" ht="15" x14ac:dyDescent="0.25">
      <c r="A620" s="243">
        <v>10001638</v>
      </c>
      <c r="B620" s="243">
        <v>8445181513</v>
      </c>
      <c r="C620" s="243" t="s">
        <v>1590</v>
      </c>
      <c r="D620" s="244">
        <v>32467</v>
      </c>
      <c r="E620" s="243" t="s">
        <v>1172</v>
      </c>
      <c r="F620" s="243" t="s">
        <v>1173</v>
      </c>
      <c r="G620" s="243" t="s">
        <v>1145</v>
      </c>
      <c r="H620" s="313">
        <v>3910</v>
      </c>
      <c r="I620" s="243" t="s">
        <v>616</v>
      </c>
      <c r="J620" s="246">
        <v>35</v>
      </c>
    </row>
    <row r="621" spans="1:10" ht="15" x14ac:dyDescent="0.25">
      <c r="A621" s="243">
        <v>10001639</v>
      </c>
      <c r="B621" s="243">
        <v>8361864555</v>
      </c>
      <c r="C621" s="243" t="s">
        <v>1591</v>
      </c>
      <c r="D621" s="244">
        <v>24135</v>
      </c>
      <c r="E621" s="243" t="s">
        <v>942</v>
      </c>
      <c r="F621" s="243" t="s">
        <v>943</v>
      </c>
      <c r="G621" s="243" t="s">
        <v>1128</v>
      </c>
      <c r="H621" s="313">
        <v>2410</v>
      </c>
      <c r="I621" s="243" t="s">
        <v>462</v>
      </c>
      <c r="J621" s="246">
        <v>57</v>
      </c>
    </row>
    <row r="622" spans="1:10" ht="15" x14ac:dyDescent="0.25">
      <c r="A622" s="243">
        <v>10001640</v>
      </c>
      <c r="B622" s="243">
        <v>8450532272</v>
      </c>
      <c r="C622" s="243" t="s">
        <v>1592</v>
      </c>
      <c r="D622" s="244">
        <v>33002</v>
      </c>
      <c r="E622" s="243" t="s">
        <v>963</v>
      </c>
      <c r="F622" s="243" t="s">
        <v>964</v>
      </c>
      <c r="G622" s="243" t="s">
        <v>927</v>
      </c>
      <c r="H622" s="313">
        <v>2214</v>
      </c>
      <c r="I622" s="243" t="s">
        <v>446</v>
      </c>
      <c r="J622" s="246">
        <v>33</v>
      </c>
    </row>
    <row r="623" spans="1:10" ht="15" x14ac:dyDescent="0.25">
      <c r="A623" s="243">
        <v>10001642</v>
      </c>
      <c r="B623" s="243">
        <v>8398334916</v>
      </c>
      <c r="C623" s="243" t="s">
        <v>1593</v>
      </c>
      <c r="D623" s="244">
        <v>27782</v>
      </c>
      <c r="E623" s="243" t="s">
        <v>1269</v>
      </c>
      <c r="F623" s="243" t="s">
        <v>1270</v>
      </c>
      <c r="G623" s="243" t="s">
        <v>1109</v>
      </c>
      <c r="H623" s="313">
        <v>2910</v>
      </c>
      <c r="I623" s="243" t="s">
        <v>518</v>
      </c>
      <c r="J623" s="246">
        <v>47</v>
      </c>
    </row>
    <row r="624" spans="1:10" ht="15" x14ac:dyDescent="0.25">
      <c r="A624" s="243">
        <v>10001646</v>
      </c>
      <c r="B624" s="243">
        <v>8434592517</v>
      </c>
      <c r="C624" s="243" t="s">
        <v>1594</v>
      </c>
      <c r="D624" s="244">
        <v>31408</v>
      </c>
      <c r="E624" s="243" t="s">
        <v>888</v>
      </c>
      <c r="F624" s="243" t="s">
        <v>889</v>
      </c>
      <c r="G624" s="243" t="s">
        <v>927</v>
      </c>
      <c r="H624" s="313">
        <v>2624</v>
      </c>
      <c r="I624" s="243" t="s">
        <v>497</v>
      </c>
      <c r="J624" s="246">
        <v>38</v>
      </c>
    </row>
    <row r="625" spans="1:10" ht="15" x14ac:dyDescent="0.25">
      <c r="A625" s="243">
        <v>10001647</v>
      </c>
      <c r="B625" s="243">
        <v>8445040871</v>
      </c>
      <c r="C625" s="243" t="s">
        <v>1595</v>
      </c>
      <c r="D625" s="244">
        <v>32453</v>
      </c>
      <c r="E625" s="243" t="s">
        <v>1198</v>
      </c>
      <c r="F625" s="243" t="s">
        <v>1199</v>
      </c>
      <c r="G625" s="243" t="s">
        <v>1109</v>
      </c>
      <c r="H625" s="313">
        <v>2611</v>
      </c>
      <c r="I625" s="243" t="s">
        <v>488</v>
      </c>
      <c r="J625" s="246">
        <v>35</v>
      </c>
    </row>
    <row r="626" spans="1:10" ht="15" x14ac:dyDescent="0.25">
      <c r="A626" s="243">
        <v>10001648</v>
      </c>
      <c r="B626" s="243">
        <v>8437330769</v>
      </c>
      <c r="C626" s="243" t="s">
        <v>1596</v>
      </c>
      <c r="D626" s="244">
        <v>31682</v>
      </c>
      <c r="E626" s="243" t="s">
        <v>1597</v>
      </c>
      <c r="F626" s="243" t="s">
        <v>1598</v>
      </c>
      <c r="G626" s="243" t="s">
        <v>1109</v>
      </c>
      <c r="H626" s="313">
        <v>1416</v>
      </c>
      <c r="I626" s="243" t="s">
        <v>405</v>
      </c>
      <c r="J626" s="246">
        <v>37</v>
      </c>
    </row>
    <row r="627" spans="1:10" ht="15" x14ac:dyDescent="0.25">
      <c r="A627" s="243">
        <v>10001649</v>
      </c>
      <c r="B627" s="243">
        <v>8472250296</v>
      </c>
      <c r="C627" s="243" t="s">
        <v>1599</v>
      </c>
      <c r="D627" s="244">
        <v>35174</v>
      </c>
      <c r="E627" s="243" t="s">
        <v>963</v>
      </c>
      <c r="F627" s="243" t="s">
        <v>964</v>
      </c>
      <c r="G627" s="243" t="s">
        <v>1080</v>
      </c>
      <c r="H627" s="313">
        <v>2132</v>
      </c>
      <c r="I627" s="243" t="s">
        <v>419</v>
      </c>
      <c r="J627" s="246">
        <v>27</v>
      </c>
    </row>
    <row r="628" spans="1:10" ht="15" x14ac:dyDescent="0.25">
      <c r="A628" s="243">
        <v>10001651</v>
      </c>
      <c r="B628" s="243">
        <v>8376733702</v>
      </c>
      <c r="C628" s="243" t="s">
        <v>1600</v>
      </c>
      <c r="D628" s="244">
        <v>25622</v>
      </c>
      <c r="E628" s="243" t="s">
        <v>1141</v>
      </c>
      <c r="F628" s="243" t="s">
        <v>1142</v>
      </c>
      <c r="G628" s="243" t="s">
        <v>1109</v>
      </c>
      <c r="H628" s="313">
        <v>3611</v>
      </c>
      <c r="I628" s="243" t="s">
        <v>581</v>
      </c>
      <c r="J628" s="246">
        <v>53</v>
      </c>
    </row>
    <row r="629" spans="1:10" ht="15" x14ac:dyDescent="0.25">
      <c r="A629" s="243">
        <v>10001652</v>
      </c>
      <c r="B629" s="243">
        <v>8460271463</v>
      </c>
      <c r="C629" s="243" t="s">
        <v>1601</v>
      </c>
      <c r="D629" s="244">
        <v>33976</v>
      </c>
      <c r="E629" s="243" t="s">
        <v>1198</v>
      </c>
      <c r="F629" s="243" t="s">
        <v>1199</v>
      </c>
      <c r="G629" s="243" t="s">
        <v>1303</v>
      </c>
      <c r="H629" s="313">
        <v>2611</v>
      </c>
      <c r="I629" s="243" t="s">
        <v>488</v>
      </c>
      <c r="J629" s="246">
        <v>30</v>
      </c>
    </row>
    <row r="630" spans="1:10" ht="15" x14ac:dyDescent="0.25">
      <c r="A630" s="243">
        <v>10001654</v>
      </c>
      <c r="B630" s="243">
        <v>8461383214</v>
      </c>
      <c r="C630" s="243" t="s">
        <v>1602</v>
      </c>
      <c r="D630" s="244">
        <v>34087</v>
      </c>
      <c r="E630" s="243" t="s">
        <v>858</v>
      </c>
      <c r="F630" s="243" t="s">
        <v>859</v>
      </c>
      <c r="G630" s="243" t="s">
        <v>1179</v>
      </c>
      <c r="H630" s="313">
        <v>3134</v>
      </c>
      <c r="I630" s="243" t="s">
        <v>531</v>
      </c>
      <c r="J630" s="246">
        <v>30</v>
      </c>
    </row>
    <row r="631" spans="1:10" ht="15" x14ac:dyDescent="0.25">
      <c r="A631" s="243">
        <v>10001655</v>
      </c>
      <c r="B631" s="243">
        <v>8471932784</v>
      </c>
      <c r="C631" s="243" t="s">
        <v>1603</v>
      </c>
      <c r="D631" s="244">
        <v>35142</v>
      </c>
      <c r="E631" s="243" t="s">
        <v>963</v>
      </c>
      <c r="F631" s="243" t="s">
        <v>964</v>
      </c>
      <c r="G631" s="243" t="s">
        <v>1080</v>
      </c>
      <c r="H631" s="313">
        <v>2132</v>
      </c>
      <c r="I631" s="243" t="s">
        <v>419</v>
      </c>
      <c r="J631" s="246">
        <v>27</v>
      </c>
    </row>
    <row r="632" spans="1:10" ht="15" x14ac:dyDescent="0.25">
      <c r="A632" s="243">
        <v>10001658</v>
      </c>
      <c r="B632" s="243">
        <v>8463281443</v>
      </c>
      <c r="C632" s="243" t="s">
        <v>1604</v>
      </c>
      <c r="D632" s="244">
        <v>34277</v>
      </c>
      <c r="E632" s="243" t="s">
        <v>858</v>
      </c>
      <c r="F632" s="243" t="s">
        <v>859</v>
      </c>
      <c r="G632" s="243" t="s">
        <v>1080</v>
      </c>
      <c r="H632" s="313">
        <v>2117</v>
      </c>
      <c r="I632" s="243" t="s">
        <v>413</v>
      </c>
      <c r="J632" s="246">
        <v>30</v>
      </c>
    </row>
    <row r="633" spans="1:10" ht="15" x14ac:dyDescent="0.25">
      <c r="A633" s="243">
        <v>10001660</v>
      </c>
      <c r="B633" s="243">
        <v>8424970721</v>
      </c>
      <c r="C633" s="243" t="s">
        <v>1605</v>
      </c>
      <c r="D633" s="244">
        <v>30446</v>
      </c>
      <c r="E633" s="243" t="s">
        <v>963</v>
      </c>
      <c r="F633" s="243" t="s">
        <v>964</v>
      </c>
      <c r="G633" s="243" t="s">
        <v>1080</v>
      </c>
      <c r="H633" s="313">
        <v>2117</v>
      </c>
      <c r="I633" s="243" t="s">
        <v>413</v>
      </c>
      <c r="J633" s="246">
        <v>40</v>
      </c>
    </row>
    <row r="634" spans="1:10" ht="15" x14ac:dyDescent="0.25">
      <c r="A634" s="243">
        <v>10001666</v>
      </c>
      <c r="B634" s="243">
        <v>8378913287</v>
      </c>
      <c r="C634" s="243" t="s">
        <v>1606</v>
      </c>
      <c r="D634" s="244">
        <v>25840</v>
      </c>
      <c r="E634" s="243" t="s">
        <v>1062</v>
      </c>
      <c r="F634" s="243" t="s">
        <v>1063</v>
      </c>
      <c r="G634" s="243" t="s">
        <v>1109</v>
      </c>
      <c r="H634" s="313">
        <v>2910</v>
      </c>
      <c r="I634" s="243" t="s">
        <v>518</v>
      </c>
      <c r="J634" s="246">
        <v>53</v>
      </c>
    </row>
    <row r="635" spans="1:10" ht="15" x14ac:dyDescent="0.25">
      <c r="A635" s="243">
        <v>10001667</v>
      </c>
      <c r="B635" s="243">
        <v>8473390040</v>
      </c>
      <c r="C635" s="243" t="s">
        <v>1607</v>
      </c>
      <c r="D635" s="244">
        <v>35288</v>
      </c>
      <c r="E635" s="243" t="s">
        <v>1062</v>
      </c>
      <c r="F635" s="243" t="s">
        <v>1063</v>
      </c>
      <c r="G635" s="243" t="s">
        <v>1109</v>
      </c>
      <c r="H635" s="313">
        <v>2910</v>
      </c>
      <c r="I635" s="243" t="s">
        <v>518</v>
      </c>
      <c r="J635" s="246">
        <v>27</v>
      </c>
    </row>
    <row r="636" spans="1:10" ht="15" x14ac:dyDescent="0.25">
      <c r="A636" s="243">
        <v>10001674</v>
      </c>
      <c r="B636" s="243">
        <v>8386143789</v>
      </c>
      <c r="C636" s="243" t="s">
        <v>1608</v>
      </c>
      <c r="D636" s="244">
        <v>26563</v>
      </c>
      <c r="E636" s="243" t="s">
        <v>1558</v>
      </c>
      <c r="F636" s="243" t="s">
        <v>1559</v>
      </c>
      <c r="G636" s="243" t="s">
        <v>1145</v>
      </c>
      <c r="H636" s="313">
        <v>2910</v>
      </c>
      <c r="I636" s="243" t="s">
        <v>518</v>
      </c>
      <c r="J636" s="246">
        <v>51</v>
      </c>
    </row>
    <row r="637" spans="1:10" ht="15" x14ac:dyDescent="0.25">
      <c r="A637" s="243">
        <v>10001675</v>
      </c>
      <c r="B637" s="243">
        <v>8466610820</v>
      </c>
      <c r="C637" s="243" t="s">
        <v>1609</v>
      </c>
      <c r="D637" s="244">
        <v>34610</v>
      </c>
      <c r="E637" s="243" t="s">
        <v>945</v>
      </c>
      <c r="F637" s="243" t="s">
        <v>946</v>
      </c>
      <c r="G637" s="243" t="s">
        <v>927</v>
      </c>
      <c r="H637" s="313">
        <v>2165</v>
      </c>
      <c r="I637" s="243" t="s">
        <v>438</v>
      </c>
      <c r="J637" s="246">
        <v>29</v>
      </c>
    </row>
    <row r="638" spans="1:10" ht="15" x14ac:dyDescent="0.25">
      <c r="A638" s="243">
        <v>10001679</v>
      </c>
      <c r="B638" s="243">
        <v>8457891952</v>
      </c>
      <c r="C638" s="243" t="s">
        <v>1610</v>
      </c>
      <c r="D638" s="244">
        <v>33738</v>
      </c>
      <c r="E638" s="243" t="s">
        <v>891</v>
      </c>
      <c r="F638" s="243" t="s">
        <v>892</v>
      </c>
      <c r="G638" s="243" t="s">
        <v>927</v>
      </c>
      <c r="H638" s="313">
        <v>2117</v>
      </c>
      <c r="I638" s="243" t="s">
        <v>413</v>
      </c>
      <c r="J638" s="246">
        <v>31</v>
      </c>
    </row>
    <row r="639" spans="1:10" ht="15" x14ac:dyDescent="0.25">
      <c r="A639" s="243">
        <v>10001680</v>
      </c>
      <c r="B639" s="243">
        <v>8456941492</v>
      </c>
      <c r="C639" s="243" t="s">
        <v>1611</v>
      </c>
      <c r="D639" s="244">
        <v>33643</v>
      </c>
      <c r="E639" s="243" t="s">
        <v>858</v>
      </c>
      <c r="F639" s="243" t="s">
        <v>859</v>
      </c>
      <c r="G639" s="243" t="s">
        <v>997</v>
      </c>
      <c r="H639" s="313">
        <v>2117</v>
      </c>
      <c r="I639" s="243" t="s">
        <v>413</v>
      </c>
      <c r="J639" s="246">
        <v>31</v>
      </c>
    </row>
    <row r="640" spans="1:10" ht="15" x14ac:dyDescent="0.25">
      <c r="A640" s="243">
        <v>10001684</v>
      </c>
      <c r="B640" s="243">
        <v>8477530106</v>
      </c>
      <c r="C640" s="243" t="s">
        <v>1612</v>
      </c>
      <c r="D640" s="244">
        <v>35702</v>
      </c>
      <c r="E640" s="243" t="s">
        <v>1062</v>
      </c>
      <c r="F640" s="243" t="s">
        <v>1063</v>
      </c>
      <c r="G640" s="243" t="s">
        <v>1109</v>
      </c>
      <c r="H640" s="313">
        <v>2910</v>
      </c>
      <c r="I640" s="243" t="s">
        <v>518</v>
      </c>
      <c r="J640" s="246">
        <v>26</v>
      </c>
    </row>
    <row r="641" spans="1:10" ht="15" x14ac:dyDescent="0.25">
      <c r="A641" s="243">
        <v>10001685</v>
      </c>
      <c r="B641" s="243">
        <v>8392221095</v>
      </c>
      <c r="C641" s="243" t="s">
        <v>1613</v>
      </c>
      <c r="D641" s="244">
        <v>27171</v>
      </c>
      <c r="E641" s="243" t="s">
        <v>899</v>
      </c>
      <c r="F641" s="243" t="s">
        <v>900</v>
      </c>
      <c r="G641" s="243" t="s">
        <v>985</v>
      </c>
      <c r="H641" s="313">
        <v>2410</v>
      </c>
      <c r="I641" s="243" t="s">
        <v>462</v>
      </c>
      <c r="J641" s="246">
        <v>49</v>
      </c>
    </row>
    <row r="642" spans="1:10" ht="15" x14ac:dyDescent="0.25">
      <c r="A642" s="243">
        <v>10001686</v>
      </c>
      <c r="B642" s="243">
        <v>8399572616</v>
      </c>
      <c r="C642" s="243" t="s">
        <v>1614</v>
      </c>
      <c r="D642" s="244">
        <v>27906</v>
      </c>
      <c r="E642" s="243" t="s">
        <v>888</v>
      </c>
      <c r="F642" s="243" t="s">
        <v>889</v>
      </c>
      <c r="G642" s="243" t="s">
        <v>1145</v>
      </c>
      <c r="H642" s="313">
        <v>2910</v>
      </c>
      <c r="I642" s="243" t="s">
        <v>518</v>
      </c>
      <c r="J642" s="246">
        <v>47</v>
      </c>
    </row>
    <row r="643" spans="1:10" ht="15" x14ac:dyDescent="0.25">
      <c r="A643" s="243">
        <v>10001690</v>
      </c>
      <c r="B643" s="243">
        <v>8459031489</v>
      </c>
      <c r="C643" s="243" t="s">
        <v>220</v>
      </c>
      <c r="D643" s="244">
        <v>33852</v>
      </c>
      <c r="E643" s="243" t="s">
        <v>891</v>
      </c>
      <c r="F643" s="243" t="s">
        <v>892</v>
      </c>
      <c r="G643" s="243" t="s">
        <v>1080</v>
      </c>
      <c r="H643" s="313">
        <v>2117</v>
      </c>
      <c r="I643" s="243" t="s">
        <v>413</v>
      </c>
      <c r="J643" s="246">
        <v>31</v>
      </c>
    </row>
    <row r="644" spans="1:10" ht="15" x14ac:dyDescent="0.25">
      <c r="A644" s="243">
        <v>10001693</v>
      </c>
      <c r="B644" s="243">
        <v>8407774197</v>
      </c>
      <c r="C644" s="243" t="s">
        <v>1615</v>
      </c>
      <c r="D644" s="244">
        <v>28726</v>
      </c>
      <c r="E644" s="243" t="s">
        <v>1517</v>
      </c>
      <c r="F644" s="243" t="s">
        <v>1518</v>
      </c>
      <c r="G644" s="243" t="s">
        <v>1109</v>
      </c>
      <c r="H644" s="313">
        <v>3632</v>
      </c>
      <c r="I644" s="243" t="s">
        <v>593</v>
      </c>
      <c r="J644" s="246">
        <v>45</v>
      </c>
    </row>
    <row r="645" spans="1:10" ht="15" x14ac:dyDescent="0.25">
      <c r="A645" s="243">
        <v>10001699</v>
      </c>
      <c r="B645" s="243">
        <v>8329093492</v>
      </c>
      <c r="C645" s="243" t="s">
        <v>1616</v>
      </c>
      <c r="D645" s="244">
        <v>20858</v>
      </c>
      <c r="E645" s="243" t="s">
        <v>1617</v>
      </c>
      <c r="F645" s="243" t="s">
        <v>1618</v>
      </c>
      <c r="G645" s="243" t="s">
        <v>1164</v>
      </c>
      <c r="H645" s="313">
        <v>9231</v>
      </c>
      <c r="I645" s="243" t="s">
        <v>826</v>
      </c>
      <c r="J645" s="246">
        <v>66</v>
      </c>
    </row>
    <row r="646" spans="1:10" ht="15" x14ac:dyDescent="0.25">
      <c r="A646" s="243">
        <v>10001700</v>
      </c>
      <c r="B646" s="243">
        <v>8329223957</v>
      </c>
      <c r="C646" s="243" t="s">
        <v>1619</v>
      </c>
      <c r="D646" s="244">
        <v>20871</v>
      </c>
      <c r="E646" s="243" t="s">
        <v>1620</v>
      </c>
      <c r="F646" s="243" t="s">
        <v>1621</v>
      </c>
      <c r="G646" s="243" t="s">
        <v>864</v>
      </c>
      <c r="H646" s="313">
        <v>2410</v>
      </c>
      <c r="I646" s="243" t="s">
        <v>462</v>
      </c>
      <c r="J646" s="246">
        <v>66</v>
      </c>
    </row>
    <row r="647" spans="1:10" ht="15" x14ac:dyDescent="0.25">
      <c r="A647" s="243">
        <v>10001701</v>
      </c>
      <c r="B647" s="243">
        <v>8330423271</v>
      </c>
      <c r="C647" s="243" t="s">
        <v>1622</v>
      </c>
      <c r="D647" s="244">
        <v>20991</v>
      </c>
      <c r="E647" s="243" t="s">
        <v>1623</v>
      </c>
      <c r="F647" s="243" t="s">
        <v>1624</v>
      </c>
      <c r="G647" s="243" t="s">
        <v>1109</v>
      </c>
      <c r="H647" s="313">
        <v>2910</v>
      </c>
      <c r="I647" s="243" t="s">
        <v>518</v>
      </c>
      <c r="J647" s="246">
        <v>66</v>
      </c>
    </row>
    <row r="648" spans="1:10" ht="15" x14ac:dyDescent="0.25">
      <c r="A648" s="243">
        <v>10001702</v>
      </c>
      <c r="B648" s="243">
        <v>8331062841</v>
      </c>
      <c r="C648" s="243" t="s">
        <v>1625</v>
      </c>
      <c r="D648" s="244">
        <v>21055</v>
      </c>
      <c r="E648" s="243" t="s">
        <v>1626</v>
      </c>
      <c r="F648" s="243" t="s">
        <v>1627</v>
      </c>
      <c r="G648" s="243" t="s">
        <v>1628</v>
      </c>
      <c r="H648" s="313">
        <v>2410</v>
      </c>
      <c r="I648" s="243" t="s">
        <v>462</v>
      </c>
      <c r="J648" s="246">
        <v>66</v>
      </c>
    </row>
    <row r="649" spans="1:10" ht="15" x14ac:dyDescent="0.25">
      <c r="A649" s="243">
        <v>10001703</v>
      </c>
      <c r="B649" s="243">
        <v>8331913493</v>
      </c>
      <c r="C649" s="243" t="s">
        <v>1629</v>
      </c>
      <c r="D649" s="244">
        <v>21140</v>
      </c>
      <c r="E649" s="243" t="s">
        <v>1626</v>
      </c>
      <c r="F649" s="243" t="s">
        <v>1627</v>
      </c>
      <c r="G649" s="243" t="s">
        <v>1630</v>
      </c>
      <c r="H649" s="313">
        <v>1328</v>
      </c>
      <c r="I649" s="243" t="s">
        <v>391</v>
      </c>
      <c r="J649" s="246">
        <v>66</v>
      </c>
    </row>
    <row r="650" spans="1:10" ht="15" x14ac:dyDescent="0.25">
      <c r="A650" s="243">
        <v>10001704</v>
      </c>
      <c r="B650" s="243">
        <v>8334263570</v>
      </c>
      <c r="C650" s="243" t="s">
        <v>1631</v>
      </c>
      <c r="D650" s="244">
        <v>21375</v>
      </c>
      <c r="E650" s="243" t="s">
        <v>1632</v>
      </c>
      <c r="F650" s="243" t="s">
        <v>1633</v>
      </c>
      <c r="G650" s="243" t="s">
        <v>1164</v>
      </c>
      <c r="H650" s="313">
        <v>7223</v>
      </c>
      <c r="I650" s="243" t="s">
        <v>709</v>
      </c>
      <c r="J650" s="246">
        <v>65</v>
      </c>
    </row>
    <row r="651" spans="1:10" ht="15" x14ac:dyDescent="0.25">
      <c r="A651" s="243">
        <v>10001705</v>
      </c>
      <c r="B651" s="243">
        <v>8335033226</v>
      </c>
      <c r="C651" s="243" t="s">
        <v>1634</v>
      </c>
      <c r="D651" s="244">
        <v>21452</v>
      </c>
      <c r="E651" s="243" t="s">
        <v>1632</v>
      </c>
      <c r="F651" s="243" t="s">
        <v>1633</v>
      </c>
      <c r="G651" s="243" t="s">
        <v>1164</v>
      </c>
      <c r="H651" s="313">
        <v>9231</v>
      </c>
      <c r="I651" s="243" t="s">
        <v>826</v>
      </c>
      <c r="J651" s="246">
        <v>65</v>
      </c>
    </row>
    <row r="652" spans="1:10" ht="15" x14ac:dyDescent="0.25">
      <c r="A652" s="243">
        <v>10001706</v>
      </c>
      <c r="B652" s="243">
        <v>8340433393</v>
      </c>
      <c r="C652" s="243" t="s">
        <v>1635</v>
      </c>
      <c r="D652" s="244">
        <v>21992</v>
      </c>
      <c r="E652" s="243" t="s">
        <v>1626</v>
      </c>
      <c r="F652" s="243" t="s">
        <v>1627</v>
      </c>
      <c r="G652" s="243" t="s">
        <v>1636</v>
      </c>
      <c r="H652" s="313">
        <v>2410</v>
      </c>
      <c r="I652" s="243" t="s">
        <v>462</v>
      </c>
      <c r="J652" s="246">
        <v>63</v>
      </c>
    </row>
    <row r="653" spans="1:10" ht="15" x14ac:dyDescent="0.25">
      <c r="A653" s="243">
        <v>10001707</v>
      </c>
      <c r="B653" s="243">
        <v>8346702302</v>
      </c>
      <c r="C653" s="243" t="s">
        <v>1637</v>
      </c>
      <c r="D653" s="244">
        <v>22619</v>
      </c>
      <c r="E653" s="243" t="s">
        <v>1617</v>
      </c>
      <c r="F653" s="243" t="s">
        <v>1618</v>
      </c>
      <c r="G653" s="243" t="s">
        <v>1164</v>
      </c>
      <c r="H653" s="313">
        <v>9231</v>
      </c>
      <c r="I653" s="243" t="s">
        <v>826</v>
      </c>
      <c r="J653" s="246">
        <v>62</v>
      </c>
    </row>
    <row r="654" spans="1:10" ht="15" x14ac:dyDescent="0.25">
      <c r="A654" s="243">
        <v>10001708</v>
      </c>
      <c r="B654" s="243">
        <v>8347162905</v>
      </c>
      <c r="C654" s="243" t="s">
        <v>1638</v>
      </c>
      <c r="D654" s="244">
        <v>22665</v>
      </c>
      <c r="E654" s="243" t="s">
        <v>1639</v>
      </c>
      <c r="F654" s="243" t="s">
        <v>1640</v>
      </c>
      <c r="G654" s="243" t="s">
        <v>1145</v>
      </c>
      <c r="H654" s="313">
        <v>4112</v>
      </c>
      <c r="I654" s="243" t="s">
        <v>619</v>
      </c>
      <c r="J654" s="246">
        <v>61</v>
      </c>
    </row>
    <row r="655" spans="1:10" ht="15" x14ac:dyDescent="0.25">
      <c r="A655" s="243">
        <v>10001709</v>
      </c>
      <c r="B655" s="243">
        <v>8347572488</v>
      </c>
      <c r="C655" s="243" t="s">
        <v>1641</v>
      </c>
      <c r="D655" s="244">
        <v>22706</v>
      </c>
      <c r="E655" s="243" t="s">
        <v>1617</v>
      </c>
      <c r="F655" s="243" t="s">
        <v>1618</v>
      </c>
      <c r="G655" s="243" t="s">
        <v>1164</v>
      </c>
      <c r="H655" s="313">
        <v>9231</v>
      </c>
      <c r="I655" s="243" t="s">
        <v>826</v>
      </c>
      <c r="J655" s="246">
        <v>61</v>
      </c>
    </row>
    <row r="656" spans="1:10" ht="15" x14ac:dyDescent="0.25">
      <c r="A656" s="243">
        <v>10001710</v>
      </c>
      <c r="B656" s="243">
        <v>8347962146</v>
      </c>
      <c r="C656" s="243" t="s">
        <v>1642</v>
      </c>
      <c r="D656" s="244">
        <v>22745</v>
      </c>
      <c r="E656" s="243" t="s">
        <v>1617</v>
      </c>
      <c r="F656" s="243" t="s">
        <v>1618</v>
      </c>
      <c r="G656" s="243" t="s">
        <v>1643</v>
      </c>
      <c r="H656" s="313">
        <v>9231</v>
      </c>
      <c r="I656" s="243" t="s">
        <v>826</v>
      </c>
      <c r="J656" s="246">
        <v>61</v>
      </c>
    </row>
    <row r="657" spans="1:10" ht="15" x14ac:dyDescent="0.25">
      <c r="A657" s="243">
        <v>10001712</v>
      </c>
      <c r="B657" s="243">
        <v>8355333578</v>
      </c>
      <c r="C657" s="243" t="s">
        <v>1644</v>
      </c>
      <c r="D657" s="244">
        <v>23482</v>
      </c>
      <c r="E657" s="243" t="s">
        <v>1632</v>
      </c>
      <c r="F657" s="243" t="s">
        <v>1633</v>
      </c>
      <c r="G657" s="243" t="s">
        <v>1164</v>
      </c>
      <c r="H657" s="313">
        <v>7524</v>
      </c>
      <c r="I657" s="243" t="s">
        <v>751</v>
      </c>
      <c r="J657" s="246">
        <v>59</v>
      </c>
    </row>
    <row r="658" spans="1:10" ht="15" x14ac:dyDescent="0.25">
      <c r="A658" s="243">
        <v>10001713</v>
      </c>
      <c r="B658" s="243">
        <v>8355491459</v>
      </c>
      <c r="C658" s="243" t="s">
        <v>1645</v>
      </c>
      <c r="D658" s="244">
        <v>23498</v>
      </c>
      <c r="E658" s="243" t="s">
        <v>1620</v>
      </c>
      <c r="F658" s="243" t="s">
        <v>1621</v>
      </c>
      <c r="G658" s="243" t="s">
        <v>864</v>
      </c>
      <c r="H658" s="313">
        <v>2410</v>
      </c>
      <c r="I658" s="243" t="s">
        <v>462</v>
      </c>
      <c r="J658" s="246">
        <v>59</v>
      </c>
    </row>
    <row r="659" spans="1:10" ht="15" x14ac:dyDescent="0.25">
      <c r="A659" s="243">
        <v>10001714</v>
      </c>
      <c r="B659" s="243">
        <v>8355642937</v>
      </c>
      <c r="C659" s="243" t="s">
        <v>1646</v>
      </c>
      <c r="D659" s="244">
        <v>23513</v>
      </c>
      <c r="E659" s="243" t="s">
        <v>1620</v>
      </c>
      <c r="F659" s="243" t="s">
        <v>1621</v>
      </c>
      <c r="G659" s="243" t="s">
        <v>1628</v>
      </c>
      <c r="H659" s="313">
        <v>2410</v>
      </c>
      <c r="I659" s="243" t="s">
        <v>462</v>
      </c>
      <c r="J659" s="246">
        <v>59</v>
      </c>
    </row>
    <row r="660" spans="1:10" ht="15" x14ac:dyDescent="0.25">
      <c r="A660" s="243">
        <v>10001715</v>
      </c>
      <c r="B660" s="243">
        <v>8357182429</v>
      </c>
      <c r="C660" s="243" t="s">
        <v>1647</v>
      </c>
      <c r="D660" s="244">
        <v>23667</v>
      </c>
      <c r="E660" s="243" t="s">
        <v>1639</v>
      </c>
      <c r="F660" s="243" t="s">
        <v>1640</v>
      </c>
      <c r="G660" s="243" t="s">
        <v>1109</v>
      </c>
      <c r="H660" s="313">
        <v>4112</v>
      </c>
      <c r="I660" s="243" t="s">
        <v>619</v>
      </c>
      <c r="J660" s="246">
        <v>59</v>
      </c>
    </row>
    <row r="661" spans="1:10" ht="15" x14ac:dyDescent="0.25">
      <c r="A661" s="243">
        <v>10001717</v>
      </c>
      <c r="B661" s="243">
        <v>8359752680</v>
      </c>
      <c r="C661" s="243" t="s">
        <v>1648</v>
      </c>
      <c r="D661" s="244">
        <v>23924</v>
      </c>
      <c r="E661" s="243" t="s">
        <v>1632</v>
      </c>
      <c r="F661" s="243" t="s">
        <v>1633</v>
      </c>
      <c r="G661" s="243" t="s">
        <v>1109</v>
      </c>
      <c r="H661" s="313">
        <v>3190</v>
      </c>
      <c r="I661" s="243" t="s">
        <v>552</v>
      </c>
      <c r="J661" s="246">
        <v>58</v>
      </c>
    </row>
    <row r="662" spans="1:10" ht="15" x14ac:dyDescent="0.25">
      <c r="A662" s="243">
        <v>10001718</v>
      </c>
      <c r="B662" s="243">
        <v>8360023166</v>
      </c>
      <c r="C662" s="243" t="s">
        <v>1649</v>
      </c>
      <c r="D662" s="244">
        <v>23951</v>
      </c>
      <c r="E662" s="243" t="s">
        <v>1626</v>
      </c>
      <c r="F662" s="243" t="s">
        <v>1627</v>
      </c>
      <c r="G662" s="243" t="s">
        <v>864</v>
      </c>
      <c r="H662" s="313">
        <v>1328</v>
      </c>
      <c r="I662" s="243" t="s">
        <v>391</v>
      </c>
      <c r="J662" s="246">
        <v>58</v>
      </c>
    </row>
    <row r="663" spans="1:10" ht="15" x14ac:dyDescent="0.25">
      <c r="A663" s="243">
        <v>10001719</v>
      </c>
      <c r="B663" s="243">
        <v>8360112924</v>
      </c>
      <c r="C663" s="243" t="s">
        <v>1650</v>
      </c>
      <c r="D663" s="244">
        <v>23960</v>
      </c>
      <c r="E663" s="243" t="s">
        <v>1626</v>
      </c>
      <c r="F663" s="243" t="s">
        <v>1627</v>
      </c>
      <c r="G663" s="243" t="s">
        <v>1651</v>
      </c>
      <c r="H663" s="313">
        <v>2410</v>
      </c>
      <c r="I663" s="243" t="s">
        <v>462</v>
      </c>
      <c r="J663" s="246">
        <v>58</v>
      </c>
    </row>
    <row r="664" spans="1:10" ht="15" x14ac:dyDescent="0.25">
      <c r="A664" s="243">
        <v>10001720</v>
      </c>
      <c r="B664" s="243">
        <v>8361381112</v>
      </c>
      <c r="C664" s="243" t="s">
        <v>1652</v>
      </c>
      <c r="D664" s="244">
        <v>24087</v>
      </c>
      <c r="E664" s="243" t="s">
        <v>1623</v>
      </c>
      <c r="F664" s="243" t="s">
        <v>1624</v>
      </c>
      <c r="G664" s="243" t="s">
        <v>1109</v>
      </c>
      <c r="H664" s="313">
        <v>2910</v>
      </c>
      <c r="I664" s="243" t="s">
        <v>518</v>
      </c>
      <c r="J664" s="246">
        <v>58</v>
      </c>
    </row>
    <row r="665" spans="1:10" ht="15" x14ac:dyDescent="0.25">
      <c r="A665" s="243">
        <v>10001721</v>
      </c>
      <c r="B665" s="243">
        <v>8362422726</v>
      </c>
      <c r="C665" s="243" t="s">
        <v>1653</v>
      </c>
      <c r="D665" s="244">
        <v>24191</v>
      </c>
      <c r="E665" s="243" t="s">
        <v>1654</v>
      </c>
      <c r="F665" s="243" t="s">
        <v>1655</v>
      </c>
      <c r="G665" s="243" t="s">
        <v>1656</v>
      </c>
      <c r="H665" s="313">
        <v>2711</v>
      </c>
      <c r="I665" s="243" t="s">
        <v>503</v>
      </c>
      <c r="J665" s="246">
        <v>57</v>
      </c>
    </row>
    <row r="666" spans="1:10" ht="15" x14ac:dyDescent="0.25">
      <c r="A666" s="243">
        <v>10001722</v>
      </c>
      <c r="B666" s="243">
        <v>8362921579</v>
      </c>
      <c r="C666" s="243" t="s">
        <v>1657</v>
      </c>
      <c r="D666" s="244">
        <v>24241</v>
      </c>
      <c r="E666" s="243" t="s">
        <v>1623</v>
      </c>
      <c r="F666" s="243" t="s">
        <v>1624</v>
      </c>
      <c r="G666" s="243" t="s">
        <v>1145</v>
      </c>
      <c r="H666" s="313">
        <v>4112</v>
      </c>
      <c r="I666" s="243" t="s">
        <v>619</v>
      </c>
      <c r="J666" s="246">
        <v>57</v>
      </c>
    </row>
    <row r="667" spans="1:10" ht="15" x14ac:dyDescent="0.25">
      <c r="A667" s="243">
        <v>10001723</v>
      </c>
      <c r="B667" s="243">
        <v>8363643505</v>
      </c>
      <c r="C667" s="243" t="s">
        <v>1658</v>
      </c>
      <c r="D667" s="244">
        <v>24313</v>
      </c>
      <c r="E667" s="243" t="s">
        <v>1626</v>
      </c>
      <c r="F667" s="243" t="s">
        <v>1627</v>
      </c>
      <c r="G667" s="243" t="s">
        <v>1636</v>
      </c>
      <c r="H667" s="313">
        <v>2410</v>
      </c>
      <c r="I667" s="243" t="s">
        <v>462</v>
      </c>
      <c r="J667" s="246">
        <v>57</v>
      </c>
    </row>
    <row r="668" spans="1:10" ht="15" x14ac:dyDescent="0.25">
      <c r="A668" s="243">
        <v>10001724</v>
      </c>
      <c r="B668" s="243">
        <v>8366693341</v>
      </c>
      <c r="C668" s="243" t="s">
        <v>1659</v>
      </c>
      <c r="D668" s="244">
        <v>24618</v>
      </c>
      <c r="E668" s="243" t="s">
        <v>1639</v>
      </c>
      <c r="F668" s="243" t="s">
        <v>1640</v>
      </c>
      <c r="G668" s="243" t="s">
        <v>1145</v>
      </c>
      <c r="H668" s="313">
        <v>3614</v>
      </c>
      <c r="I668" s="243" t="s">
        <v>585</v>
      </c>
      <c r="J668" s="246">
        <v>56</v>
      </c>
    </row>
    <row r="669" spans="1:10" ht="15" x14ac:dyDescent="0.25">
      <c r="A669" s="243">
        <v>10001726</v>
      </c>
      <c r="B669" s="243">
        <v>8368910234</v>
      </c>
      <c r="C669" s="243" t="s">
        <v>1660</v>
      </c>
      <c r="D669" s="244">
        <v>24840</v>
      </c>
      <c r="E669" s="243" t="s">
        <v>1632</v>
      </c>
      <c r="F669" s="243" t="s">
        <v>1633</v>
      </c>
      <c r="G669" s="243" t="s">
        <v>1145</v>
      </c>
      <c r="H669" s="313">
        <v>3614</v>
      </c>
      <c r="I669" s="243" t="s">
        <v>585</v>
      </c>
      <c r="J669" s="246">
        <v>55</v>
      </c>
    </row>
    <row r="670" spans="1:10" ht="15" x14ac:dyDescent="0.25">
      <c r="A670" s="243">
        <v>10001727</v>
      </c>
      <c r="B670" s="243">
        <v>8373774033</v>
      </c>
      <c r="C670" s="243" t="s">
        <v>1661</v>
      </c>
      <c r="D670" s="244">
        <v>25326</v>
      </c>
      <c r="E670" s="243" t="s">
        <v>1617</v>
      </c>
      <c r="F670" s="243" t="s">
        <v>1618</v>
      </c>
      <c r="G670" s="243" t="s">
        <v>1643</v>
      </c>
      <c r="H670" s="313">
        <v>9231</v>
      </c>
      <c r="I670" s="243" t="s">
        <v>826</v>
      </c>
      <c r="J670" s="246">
        <v>54</v>
      </c>
    </row>
    <row r="671" spans="1:10" ht="15" x14ac:dyDescent="0.25">
      <c r="A671" s="243">
        <v>10001731</v>
      </c>
      <c r="B671" s="243">
        <v>8387024724</v>
      </c>
      <c r="C671" s="243" t="s">
        <v>1662</v>
      </c>
      <c r="D671" s="244">
        <v>26651</v>
      </c>
      <c r="E671" s="243" t="s">
        <v>1654</v>
      </c>
      <c r="F671" s="243" t="s">
        <v>1655</v>
      </c>
      <c r="G671" s="243" t="s">
        <v>1656</v>
      </c>
      <c r="H671" s="313">
        <v>2711</v>
      </c>
      <c r="I671" s="243" t="s">
        <v>503</v>
      </c>
      <c r="J671" s="246">
        <v>51</v>
      </c>
    </row>
    <row r="672" spans="1:10" ht="15" x14ac:dyDescent="0.25">
      <c r="A672" s="243">
        <v>10001732</v>
      </c>
      <c r="B672" s="243">
        <v>8387843466</v>
      </c>
      <c r="C672" s="243" t="s">
        <v>1663</v>
      </c>
      <c r="D672" s="244">
        <v>26733</v>
      </c>
      <c r="E672" s="243" t="s">
        <v>1626</v>
      </c>
      <c r="F672" s="243" t="s">
        <v>1627</v>
      </c>
      <c r="G672" s="243" t="s">
        <v>1628</v>
      </c>
      <c r="H672" s="313">
        <v>2410</v>
      </c>
      <c r="I672" s="243" t="s">
        <v>462</v>
      </c>
      <c r="J672" s="246">
        <v>50</v>
      </c>
    </row>
    <row r="673" spans="1:10" ht="15" x14ac:dyDescent="0.25">
      <c r="A673" s="243">
        <v>10001733</v>
      </c>
      <c r="B673" s="243">
        <v>8401914213</v>
      </c>
      <c r="C673" s="243" t="s">
        <v>1664</v>
      </c>
      <c r="D673" s="244">
        <v>28140</v>
      </c>
      <c r="E673" s="243" t="s">
        <v>1620</v>
      </c>
      <c r="F673" s="243" t="s">
        <v>1621</v>
      </c>
      <c r="G673" s="243" t="s">
        <v>864</v>
      </c>
      <c r="H673" s="313">
        <v>2410</v>
      </c>
      <c r="I673" s="243" t="s">
        <v>462</v>
      </c>
      <c r="J673" s="246">
        <v>46</v>
      </c>
    </row>
    <row r="674" spans="1:10" ht="15" x14ac:dyDescent="0.25">
      <c r="A674" s="243">
        <v>10001735</v>
      </c>
      <c r="B674" s="243">
        <v>8406113413</v>
      </c>
      <c r="C674" s="243" t="s">
        <v>1665</v>
      </c>
      <c r="D674" s="244">
        <v>28560</v>
      </c>
      <c r="E674" s="243" t="s">
        <v>1639</v>
      </c>
      <c r="F674" s="243" t="s">
        <v>1640</v>
      </c>
      <c r="G674" s="243" t="s">
        <v>1109</v>
      </c>
      <c r="H674" s="313">
        <v>3614</v>
      </c>
      <c r="I674" s="243" t="s">
        <v>585</v>
      </c>
      <c r="J674" s="246">
        <v>45</v>
      </c>
    </row>
    <row r="675" spans="1:10" ht="15" x14ac:dyDescent="0.25">
      <c r="A675" s="243">
        <v>10001736</v>
      </c>
      <c r="B675" s="243">
        <v>8406992026</v>
      </c>
      <c r="C675" s="243" t="s">
        <v>1335</v>
      </c>
      <c r="D675" s="244">
        <v>28648</v>
      </c>
      <c r="E675" s="243" t="s">
        <v>1632</v>
      </c>
      <c r="F675" s="243" t="s">
        <v>1633</v>
      </c>
      <c r="G675" s="243" t="s">
        <v>1164</v>
      </c>
      <c r="H675" s="313">
        <v>9231</v>
      </c>
      <c r="I675" s="243" t="s">
        <v>826</v>
      </c>
      <c r="J675" s="246">
        <v>45</v>
      </c>
    </row>
    <row r="676" spans="1:10" ht="15" x14ac:dyDescent="0.25">
      <c r="A676" s="243">
        <v>10001737</v>
      </c>
      <c r="B676" s="243">
        <v>8407780618</v>
      </c>
      <c r="C676" s="243" t="s">
        <v>1666</v>
      </c>
      <c r="D676" s="244">
        <v>28727</v>
      </c>
      <c r="E676" s="243" t="s">
        <v>1667</v>
      </c>
      <c r="F676" s="243" t="s">
        <v>1668</v>
      </c>
      <c r="G676" s="243" t="s">
        <v>1164</v>
      </c>
      <c r="H676" s="313">
        <v>8416</v>
      </c>
      <c r="I676" s="243" t="s">
        <v>804</v>
      </c>
      <c r="J676" s="246">
        <v>45</v>
      </c>
    </row>
    <row r="677" spans="1:10" ht="15" x14ac:dyDescent="0.25">
      <c r="A677" s="243">
        <v>10001738</v>
      </c>
      <c r="B677" s="243">
        <v>8411453715</v>
      </c>
      <c r="C677" s="243" t="s">
        <v>1669</v>
      </c>
      <c r="D677" s="244">
        <v>29094</v>
      </c>
      <c r="E677" s="243" t="s">
        <v>1632</v>
      </c>
      <c r="F677" s="243" t="s">
        <v>1633</v>
      </c>
      <c r="G677" s="243" t="s">
        <v>1164</v>
      </c>
      <c r="H677" s="313">
        <v>6115</v>
      </c>
      <c r="I677" s="243" t="s">
        <v>686</v>
      </c>
      <c r="J677" s="246">
        <v>44</v>
      </c>
    </row>
    <row r="678" spans="1:10" ht="15" x14ac:dyDescent="0.25">
      <c r="A678" s="243">
        <v>10001739</v>
      </c>
      <c r="B678" s="243">
        <v>8411521834</v>
      </c>
      <c r="C678" s="243" t="s">
        <v>1670</v>
      </c>
      <c r="D678" s="244">
        <v>29101</v>
      </c>
      <c r="E678" s="243" t="s">
        <v>1671</v>
      </c>
      <c r="F678" s="243" t="s">
        <v>1122</v>
      </c>
      <c r="G678" s="243" t="s">
        <v>1145</v>
      </c>
      <c r="H678" s="313">
        <v>3910</v>
      </c>
      <c r="I678" s="243" t="s">
        <v>616</v>
      </c>
      <c r="J678" s="246">
        <v>44</v>
      </c>
    </row>
    <row r="679" spans="1:10" ht="15" x14ac:dyDescent="0.25">
      <c r="A679" s="243">
        <v>10001740</v>
      </c>
      <c r="B679" s="243">
        <v>8417903070</v>
      </c>
      <c r="C679" s="243" t="s">
        <v>1672</v>
      </c>
      <c r="D679" s="244">
        <v>29739</v>
      </c>
      <c r="E679" s="243" t="s">
        <v>1673</v>
      </c>
      <c r="F679" s="243" t="s">
        <v>1674</v>
      </c>
      <c r="G679" s="243" t="s">
        <v>1145</v>
      </c>
      <c r="H679" s="313">
        <v>3632</v>
      </c>
      <c r="I679" s="243" t="s">
        <v>593</v>
      </c>
      <c r="J679" s="246">
        <v>42</v>
      </c>
    </row>
    <row r="680" spans="1:10" ht="15" x14ac:dyDescent="0.25">
      <c r="A680" s="243">
        <v>10001741</v>
      </c>
      <c r="B680" s="243">
        <v>8418523018</v>
      </c>
      <c r="C680" s="243" t="s">
        <v>1675</v>
      </c>
      <c r="D680" s="244">
        <v>29801</v>
      </c>
      <c r="E680" s="243" t="s">
        <v>1632</v>
      </c>
      <c r="F680" s="243" t="s">
        <v>1633</v>
      </c>
      <c r="G680" s="243" t="s">
        <v>1164</v>
      </c>
      <c r="H680" s="313">
        <v>6115</v>
      </c>
      <c r="I680" s="243" t="s">
        <v>686</v>
      </c>
      <c r="J680" s="246">
        <v>42</v>
      </c>
    </row>
    <row r="681" spans="1:10" ht="15" x14ac:dyDescent="0.25">
      <c r="A681" s="243">
        <v>10001742</v>
      </c>
      <c r="B681" s="243">
        <v>8420351687</v>
      </c>
      <c r="C681" s="243" t="s">
        <v>1676</v>
      </c>
      <c r="D681" s="244">
        <v>29984</v>
      </c>
      <c r="E681" s="243" t="s">
        <v>1617</v>
      </c>
      <c r="F681" s="243" t="s">
        <v>1618</v>
      </c>
      <c r="G681" s="243" t="s">
        <v>1164</v>
      </c>
      <c r="H681" s="313">
        <v>9112</v>
      </c>
      <c r="I681" s="243" t="s">
        <v>815</v>
      </c>
      <c r="J681" s="246">
        <v>41</v>
      </c>
    </row>
    <row r="682" spans="1:10" ht="15" x14ac:dyDescent="0.25">
      <c r="A682" s="243">
        <v>10001743</v>
      </c>
      <c r="B682" s="243">
        <v>8432283533</v>
      </c>
      <c r="C682" s="243" t="s">
        <v>1677</v>
      </c>
      <c r="D682" s="244">
        <v>31177</v>
      </c>
      <c r="E682" s="243" t="s">
        <v>1667</v>
      </c>
      <c r="F682" s="243" t="s">
        <v>1668</v>
      </c>
      <c r="G682" s="243" t="s">
        <v>1145</v>
      </c>
      <c r="H682" s="313">
        <v>3142</v>
      </c>
      <c r="I682" s="243" t="s">
        <v>536</v>
      </c>
      <c r="J682" s="246">
        <v>38</v>
      </c>
    </row>
    <row r="683" spans="1:10" ht="15" x14ac:dyDescent="0.25">
      <c r="A683" s="243">
        <v>10001744</v>
      </c>
      <c r="B683" s="243">
        <v>8438330428</v>
      </c>
      <c r="C683" s="243" t="s">
        <v>1678</v>
      </c>
      <c r="D683" s="244">
        <v>31782</v>
      </c>
      <c r="E683" s="243" t="s">
        <v>1679</v>
      </c>
      <c r="F683" s="243" t="s">
        <v>1680</v>
      </c>
      <c r="G683" s="243" t="s">
        <v>1145</v>
      </c>
      <c r="H683" s="313">
        <v>4229</v>
      </c>
      <c r="I683" s="243" t="s">
        <v>641</v>
      </c>
      <c r="J683" s="246">
        <v>36</v>
      </c>
    </row>
    <row r="684" spans="1:10" ht="15" x14ac:dyDescent="0.25">
      <c r="A684" s="243">
        <v>10001745</v>
      </c>
      <c r="B684" s="243">
        <v>8441091919</v>
      </c>
      <c r="C684" s="243" t="s">
        <v>1681</v>
      </c>
      <c r="D684" s="244">
        <v>32058</v>
      </c>
      <c r="E684" s="243" t="s">
        <v>1626</v>
      </c>
      <c r="F684" s="243" t="s">
        <v>1627</v>
      </c>
      <c r="G684" s="243" t="s">
        <v>1020</v>
      </c>
      <c r="H684" s="313">
        <v>2410</v>
      </c>
      <c r="I684" s="243" t="s">
        <v>462</v>
      </c>
      <c r="J684" s="246">
        <v>36</v>
      </c>
    </row>
    <row r="685" spans="1:10" ht="15" x14ac:dyDescent="0.25">
      <c r="A685" s="243">
        <v>10001746</v>
      </c>
      <c r="B685" s="243">
        <v>8442761829</v>
      </c>
      <c r="C685" s="243" t="s">
        <v>1682</v>
      </c>
      <c r="D685" s="244">
        <v>32225</v>
      </c>
      <c r="E685" s="243" t="s">
        <v>1617</v>
      </c>
      <c r="F685" s="243" t="s">
        <v>1618</v>
      </c>
      <c r="G685" s="243" t="s">
        <v>1145</v>
      </c>
      <c r="H685" s="313">
        <v>4229</v>
      </c>
      <c r="I685" s="243" t="s">
        <v>641</v>
      </c>
      <c r="J685" s="246">
        <v>35</v>
      </c>
    </row>
    <row r="686" spans="1:10" ht="15" x14ac:dyDescent="0.25">
      <c r="A686" s="243">
        <v>10001747</v>
      </c>
      <c r="B686" s="243">
        <v>8445312235</v>
      </c>
      <c r="C686" s="243" t="s">
        <v>1683</v>
      </c>
      <c r="D686" s="244">
        <v>32480</v>
      </c>
      <c r="E686" s="243" t="s">
        <v>1684</v>
      </c>
      <c r="F686" s="243" t="s">
        <v>1685</v>
      </c>
      <c r="G686" s="243" t="s">
        <v>1145</v>
      </c>
      <c r="H686" s="313">
        <v>2910</v>
      </c>
      <c r="I686" s="243" t="s">
        <v>518</v>
      </c>
      <c r="J686" s="246">
        <v>35</v>
      </c>
    </row>
    <row r="687" spans="1:10" ht="15" x14ac:dyDescent="0.25">
      <c r="A687" s="243">
        <v>10001748</v>
      </c>
      <c r="B687" s="243">
        <v>8446122928</v>
      </c>
      <c r="C687" s="243" t="s">
        <v>1686</v>
      </c>
      <c r="D687" s="244">
        <v>32561</v>
      </c>
      <c r="E687" s="243" t="s">
        <v>1679</v>
      </c>
      <c r="F687" s="243" t="s">
        <v>1680</v>
      </c>
      <c r="G687" s="243" t="s">
        <v>1145</v>
      </c>
      <c r="H687" s="313">
        <v>4229</v>
      </c>
      <c r="I687" s="243" t="s">
        <v>641</v>
      </c>
      <c r="J687" s="246">
        <v>34</v>
      </c>
    </row>
    <row r="688" spans="1:10" ht="15" x14ac:dyDescent="0.25">
      <c r="A688" s="243">
        <v>10001749</v>
      </c>
      <c r="B688" s="243">
        <v>8446882825</v>
      </c>
      <c r="C688" s="243" t="s">
        <v>1687</v>
      </c>
      <c r="D688" s="244">
        <v>32637</v>
      </c>
      <c r="E688" s="243" t="s">
        <v>1684</v>
      </c>
      <c r="F688" s="243" t="s">
        <v>1685</v>
      </c>
      <c r="G688" s="243" t="s">
        <v>1145</v>
      </c>
      <c r="H688" s="313">
        <v>3910</v>
      </c>
      <c r="I688" s="243" t="s">
        <v>616</v>
      </c>
      <c r="J688" s="246">
        <v>34</v>
      </c>
    </row>
    <row r="689" spans="1:10" ht="15" x14ac:dyDescent="0.25">
      <c r="A689" s="243">
        <v>10001750</v>
      </c>
      <c r="B689" s="243">
        <v>8449600928</v>
      </c>
      <c r="C689" s="243" t="s">
        <v>1688</v>
      </c>
      <c r="D689" s="244">
        <v>32909</v>
      </c>
      <c r="E689" s="243" t="s">
        <v>1667</v>
      </c>
      <c r="F689" s="243" t="s">
        <v>1668</v>
      </c>
      <c r="G689" s="243" t="s">
        <v>1145</v>
      </c>
      <c r="H689" s="313">
        <v>2152</v>
      </c>
      <c r="I689" s="243" t="s">
        <v>432</v>
      </c>
      <c r="J689" s="246">
        <v>33</v>
      </c>
    </row>
    <row r="690" spans="1:10" ht="15" x14ac:dyDescent="0.25">
      <c r="A690" s="243">
        <v>10001751</v>
      </c>
      <c r="B690" s="243">
        <v>8453751919</v>
      </c>
      <c r="C690" s="243" t="s">
        <v>1689</v>
      </c>
      <c r="D690" s="244">
        <v>33324</v>
      </c>
      <c r="E690" s="243" t="s">
        <v>1673</v>
      </c>
      <c r="F690" s="243" t="s">
        <v>1674</v>
      </c>
      <c r="G690" s="243" t="s">
        <v>1145</v>
      </c>
      <c r="H690" s="313">
        <v>3632</v>
      </c>
      <c r="I690" s="243" t="s">
        <v>593</v>
      </c>
      <c r="J690" s="246">
        <v>32</v>
      </c>
    </row>
    <row r="691" spans="1:10" ht="15" x14ac:dyDescent="0.25">
      <c r="A691" s="243">
        <v>10001753</v>
      </c>
      <c r="B691" s="243">
        <v>8365902559</v>
      </c>
      <c r="C691" s="243" t="s">
        <v>1690</v>
      </c>
      <c r="D691" s="244">
        <v>24539</v>
      </c>
      <c r="E691" s="243" t="s">
        <v>1632</v>
      </c>
      <c r="F691" s="243" t="s">
        <v>1633</v>
      </c>
      <c r="G691" s="243" t="s">
        <v>1164</v>
      </c>
      <c r="H691" s="313">
        <v>7521</v>
      </c>
      <c r="I691" s="243" t="s">
        <v>748</v>
      </c>
      <c r="J691" s="246">
        <v>56</v>
      </c>
    </row>
    <row r="692" spans="1:10" ht="15" x14ac:dyDescent="0.25">
      <c r="A692" s="243">
        <v>10001754</v>
      </c>
      <c r="B692" s="243">
        <v>8446400413</v>
      </c>
      <c r="C692" s="243" t="s">
        <v>1691</v>
      </c>
      <c r="D692" s="244">
        <v>32589</v>
      </c>
      <c r="E692" s="243" t="s">
        <v>1667</v>
      </c>
      <c r="F692" s="243" t="s">
        <v>1668</v>
      </c>
      <c r="G692" s="243" t="s">
        <v>1145</v>
      </c>
      <c r="H692" s="313">
        <v>3142</v>
      </c>
      <c r="I692" s="243" t="s">
        <v>536</v>
      </c>
      <c r="J692" s="246">
        <v>34</v>
      </c>
    </row>
    <row r="693" spans="1:10" ht="15" x14ac:dyDescent="0.25">
      <c r="A693" s="243">
        <v>10001755</v>
      </c>
      <c r="B693" s="243">
        <v>8474010640</v>
      </c>
      <c r="C693" s="243" t="s">
        <v>1692</v>
      </c>
      <c r="D693" s="244">
        <v>35350</v>
      </c>
      <c r="E693" s="243" t="s">
        <v>1654</v>
      </c>
      <c r="F693" s="243" t="s">
        <v>1655</v>
      </c>
      <c r="G693" s="243" t="s">
        <v>1213</v>
      </c>
      <c r="H693" s="313">
        <v>2711</v>
      </c>
      <c r="I693" s="243" t="s">
        <v>503</v>
      </c>
      <c r="J693" s="246">
        <v>27</v>
      </c>
    </row>
    <row r="694" spans="1:10" ht="15" x14ac:dyDescent="0.25">
      <c r="A694" s="243">
        <v>10001756</v>
      </c>
      <c r="B694" s="243">
        <v>8390832461</v>
      </c>
      <c r="C694" s="243" t="s">
        <v>1693</v>
      </c>
      <c r="D694" s="244">
        <v>27032</v>
      </c>
      <c r="E694" s="243" t="s">
        <v>1620</v>
      </c>
      <c r="F694" s="243" t="s">
        <v>1621</v>
      </c>
      <c r="G694" s="243" t="s">
        <v>1128</v>
      </c>
      <c r="H694" s="313">
        <v>2410</v>
      </c>
      <c r="I694" s="243" t="s">
        <v>462</v>
      </c>
      <c r="J694" s="246">
        <v>49</v>
      </c>
    </row>
    <row r="695" spans="1:10" ht="15" x14ac:dyDescent="0.25">
      <c r="A695" s="243">
        <v>10001757</v>
      </c>
      <c r="B695" s="243">
        <v>8367553926</v>
      </c>
      <c r="C695" s="243" t="s">
        <v>1694</v>
      </c>
      <c r="D695" s="244">
        <v>24704</v>
      </c>
      <c r="E695" s="243" t="s">
        <v>1620</v>
      </c>
      <c r="F695" s="243" t="s">
        <v>1621</v>
      </c>
      <c r="G695" s="243" t="s">
        <v>1128</v>
      </c>
      <c r="H695" s="313">
        <v>2410</v>
      </c>
      <c r="I695" s="243" t="s">
        <v>462</v>
      </c>
      <c r="J695" s="246">
        <v>56</v>
      </c>
    </row>
    <row r="696" spans="1:10" ht="15" x14ac:dyDescent="0.25">
      <c r="A696" s="243">
        <v>10001758</v>
      </c>
      <c r="B696" s="243">
        <v>8360630372</v>
      </c>
      <c r="C696" s="243" t="s">
        <v>1695</v>
      </c>
      <c r="D696" s="244">
        <v>24012</v>
      </c>
      <c r="E696" s="243" t="s">
        <v>1632</v>
      </c>
      <c r="F696" s="243" t="s">
        <v>1633</v>
      </c>
      <c r="G696" s="243" t="s">
        <v>1164</v>
      </c>
      <c r="H696" s="313">
        <v>7535</v>
      </c>
      <c r="I696" s="243" t="s">
        <v>757</v>
      </c>
      <c r="J696" s="246">
        <v>58</v>
      </c>
    </row>
    <row r="697" spans="1:10" ht="15" x14ac:dyDescent="0.25">
      <c r="A697" s="243">
        <v>10001761</v>
      </c>
      <c r="B697" s="243">
        <v>8459483118</v>
      </c>
      <c r="C697" s="243" t="s">
        <v>1696</v>
      </c>
      <c r="D697" s="244">
        <v>33897</v>
      </c>
      <c r="E697" s="243" t="s">
        <v>1278</v>
      </c>
      <c r="F697" s="243" t="s">
        <v>1279</v>
      </c>
      <c r="G697" s="243" t="s">
        <v>1145</v>
      </c>
      <c r="H697" s="313">
        <v>3632</v>
      </c>
      <c r="I697" s="243" t="s">
        <v>593</v>
      </c>
      <c r="J697" s="246">
        <v>31</v>
      </c>
    </row>
    <row r="698" spans="1:10" ht="15" x14ac:dyDescent="0.25">
      <c r="A698" s="243">
        <v>10001762</v>
      </c>
      <c r="B698" s="243">
        <v>8425033721</v>
      </c>
      <c r="C698" s="243" t="s">
        <v>1697</v>
      </c>
      <c r="D698" s="244">
        <v>30452</v>
      </c>
      <c r="E698" s="243" t="s">
        <v>1278</v>
      </c>
      <c r="F698" s="243" t="s">
        <v>1279</v>
      </c>
      <c r="G698" s="243" t="s">
        <v>1145</v>
      </c>
      <c r="H698" s="313">
        <v>4112</v>
      </c>
      <c r="I698" s="243" t="s">
        <v>619</v>
      </c>
      <c r="J698" s="246">
        <v>40</v>
      </c>
    </row>
    <row r="699" spans="1:10" ht="15" x14ac:dyDescent="0.25">
      <c r="A699" s="243">
        <v>10001763</v>
      </c>
      <c r="B699" s="243">
        <v>8396663947</v>
      </c>
      <c r="C699" s="243" t="s">
        <v>1698</v>
      </c>
      <c r="D699" s="244">
        <v>27615</v>
      </c>
      <c r="E699" s="243" t="s">
        <v>1121</v>
      </c>
      <c r="F699" s="243" t="s">
        <v>1122</v>
      </c>
      <c r="G699" s="243" t="s">
        <v>1145</v>
      </c>
      <c r="H699" s="313">
        <v>3910</v>
      </c>
      <c r="I699" s="243" t="s">
        <v>616</v>
      </c>
      <c r="J699" s="246">
        <v>48</v>
      </c>
    </row>
    <row r="700" spans="1:10" ht="15" x14ac:dyDescent="0.25">
      <c r="A700" s="243">
        <v>10001764</v>
      </c>
      <c r="B700" s="243">
        <v>8455691255</v>
      </c>
      <c r="C700" s="243" t="s">
        <v>1699</v>
      </c>
      <c r="D700" s="244">
        <v>33518</v>
      </c>
      <c r="E700" s="243" t="s">
        <v>920</v>
      </c>
      <c r="F700" s="243" t="s">
        <v>921</v>
      </c>
      <c r="G700" s="243" t="s">
        <v>1109</v>
      </c>
      <c r="H700" s="313">
        <v>2910</v>
      </c>
      <c r="I700" s="243" t="s">
        <v>518</v>
      </c>
      <c r="J700" s="246">
        <v>32</v>
      </c>
    </row>
    <row r="701" spans="1:10" ht="15" x14ac:dyDescent="0.25">
      <c r="A701" s="243">
        <v>10001766</v>
      </c>
      <c r="B701" s="243">
        <v>8382191150</v>
      </c>
      <c r="C701" s="243" t="s">
        <v>1700</v>
      </c>
      <c r="D701" s="244">
        <v>26168</v>
      </c>
      <c r="E701" s="243" t="s">
        <v>1013</v>
      </c>
      <c r="F701" s="243" t="s">
        <v>1014</v>
      </c>
      <c r="G701" s="243" t="s">
        <v>864</v>
      </c>
      <c r="H701" s="313">
        <v>1328</v>
      </c>
      <c r="I701" s="243" t="s">
        <v>391</v>
      </c>
      <c r="J701" s="246">
        <v>52</v>
      </c>
    </row>
    <row r="702" spans="1:10" ht="15" x14ac:dyDescent="0.25">
      <c r="A702" s="243">
        <v>10001768</v>
      </c>
      <c r="B702" s="243">
        <v>8477121125</v>
      </c>
      <c r="C702" s="243" t="s">
        <v>1701</v>
      </c>
      <c r="D702" s="244">
        <v>35661</v>
      </c>
      <c r="E702" s="243" t="s">
        <v>1013</v>
      </c>
      <c r="F702" s="243" t="s">
        <v>1014</v>
      </c>
      <c r="G702" s="243" t="s">
        <v>1080</v>
      </c>
      <c r="H702" s="313">
        <v>2118</v>
      </c>
      <c r="I702" s="243" t="s">
        <v>414</v>
      </c>
      <c r="J702" s="246">
        <v>26</v>
      </c>
    </row>
    <row r="703" spans="1:10" ht="15" x14ac:dyDescent="0.25">
      <c r="A703" s="243">
        <v>10001773</v>
      </c>
      <c r="B703" s="243">
        <v>8363073083</v>
      </c>
      <c r="C703" s="243" t="s">
        <v>1702</v>
      </c>
      <c r="D703" s="244">
        <v>24256</v>
      </c>
      <c r="E703" s="243" t="s">
        <v>880</v>
      </c>
      <c r="F703" s="243" t="s">
        <v>881</v>
      </c>
      <c r="G703" s="243" t="s">
        <v>864</v>
      </c>
      <c r="H703" s="313">
        <v>2410</v>
      </c>
      <c r="I703" s="243" t="s">
        <v>462</v>
      </c>
      <c r="J703" s="246">
        <v>57</v>
      </c>
    </row>
    <row r="704" spans="1:10" ht="15" x14ac:dyDescent="0.25">
      <c r="A704" s="243">
        <v>10001778</v>
      </c>
      <c r="B704" s="243">
        <v>8457084143</v>
      </c>
      <c r="C704" s="243" t="s">
        <v>1703</v>
      </c>
      <c r="D704" s="244">
        <v>33657</v>
      </c>
      <c r="E704" s="243" t="s">
        <v>891</v>
      </c>
      <c r="F704" s="243" t="s">
        <v>892</v>
      </c>
      <c r="G704" s="243" t="s">
        <v>1080</v>
      </c>
      <c r="H704" s="313">
        <v>2117</v>
      </c>
      <c r="I704" s="243" t="s">
        <v>413</v>
      </c>
      <c r="J704" s="246">
        <v>31</v>
      </c>
    </row>
    <row r="705" spans="1:10" ht="15" x14ac:dyDescent="0.25">
      <c r="A705" s="243">
        <v>10001779</v>
      </c>
      <c r="B705" s="243">
        <v>8477853010</v>
      </c>
      <c r="C705" s="243" t="s">
        <v>1704</v>
      </c>
      <c r="D705" s="244">
        <v>35734</v>
      </c>
      <c r="E705" s="243" t="s">
        <v>858</v>
      </c>
      <c r="F705" s="243" t="s">
        <v>859</v>
      </c>
      <c r="G705" s="243" t="s">
        <v>1080</v>
      </c>
      <c r="H705" s="313">
        <v>3190</v>
      </c>
      <c r="I705" s="243" t="s">
        <v>552</v>
      </c>
      <c r="J705" s="246">
        <v>26</v>
      </c>
    </row>
    <row r="706" spans="1:10" ht="15" x14ac:dyDescent="0.25">
      <c r="A706" s="243">
        <v>10001780</v>
      </c>
      <c r="B706" s="243">
        <v>8449770939</v>
      </c>
      <c r="C706" s="243" t="s">
        <v>1705</v>
      </c>
      <c r="D706" s="244">
        <v>32926</v>
      </c>
      <c r="E706" s="243" t="s">
        <v>867</v>
      </c>
      <c r="F706" s="243" t="s">
        <v>868</v>
      </c>
      <c r="G706" s="243" t="s">
        <v>974</v>
      </c>
      <c r="H706" s="313">
        <v>2629</v>
      </c>
      <c r="I706" s="243" t="s">
        <v>502</v>
      </c>
      <c r="J706" s="246">
        <v>33</v>
      </c>
    </row>
    <row r="707" spans="1:10" ht="15" x14ac:dyDescent="0.25">
      <c r="A707" s="243">
        <v>10001782</v>
      </c>
      <c r="B707" s="243">
        <v>8456630403</v>
      </c>
      <c r="C707" s="243" t="s">
        <v>1706</v>
      </c>
      <c r="D707" s="244">
        <v>33612</v>
      </c>
      <c r="E707" s="243" t="s">
        <v>929</v>
      </c>
      <c r="F707" s="243" t="s">
        <v>930</v>
      </c>
      <c r="G707" s="243" t="s">
        <v>918</v>
      </c>
      <c r="H707" s="313">
        <v>2410</v>
      </c>
      <c r="I707" s="243" t="s">
        <v>462</v>
      </c>
      <c r="J707" s="246">
        <v>31</v>
      </c>
    </row>
    <row r="708" spans="1:10" ht="15" x14ac:dyDescent="0.25">
      <c r="A708" s="243">
        <v>10001785</v>
      </c>
      <c r="B708" s="243">
        <v>8412150252</v>
      </c>
      <c r="C708" s="243" t="s">
        <v>1707</v>
      </c>
      <c r="D708" s="244">
        <v>29164</v>
      </c>
      <c r="E708" s="243" t="s">
        <v>858</v>
      </c>
      <c r="F708" s="243" t="s">
        <v>859</v>
      </c>
      <c r="G708" s="243" t="s">
        <v>997</v>
      </c>
      <c r="H708" s="313">
        <v>2117</v>
      </c>
      <c r="I708" s="243" t="s">
        <v>413</v>
      </c>
      <c r="J708" s="246">
        <v>44</v>
      </c>
    </row>
    <row r="709" spans="1:10" ht="15" x14ac:dyDescent="0.25">
      <c r="A709" s="243">
        <v>10001786</v>
      </c>
      <c r="B709" s="243">
        <v>8466910670</v>
      </c>
      <c r="C709" s="243" t="s">
        <v>1708</v>
      </c>
      <c r="D709" s="244">
        <v>34640</v>
      </c>
      <c r="E709" s="243" t="s">
        <v>1013</v>
      </c>
      <c r="F709" s="243" t="s">
        <v>1014</v>
      </c>
      <c r="G709" s="243" t="s">
        <v>1080</v>
      </c>
      <c r="H709" s="313">
        <v>2118</v>
      </c>
      <c r="I709" s="243" t="s">
        <v>414</v>
      </c>
      <c r="J709" s="246">
        <v>29</v>
      </c>
    </row>
    <row r="710" spans="1:10" ht="15" x14ac:dyDescent="0.25">
      <c r="A710" s="243">
        <v>10001788</v>
      </c>
      <c r="B710" s="243">
        <v>8460470792</v>
      </c>
      <c r="C710" s="243" t="s">
        <v>1709</v>
      </c>
      <c r="D710" s="244">
        <v>33996</v>
      </c>
      <c r="E710" s="243" t="s">
        <v>870</v>
      </c>
      <c r="F710" s="243" t="s">
        <v>871</v>
      </c>
      <c r="G710" s="243" t="s">
        <v>1080</v>
      </c>
      <c r="H710" s="313">
        <v>2117</v>
      </c>
      <c r="I710" s="243" t="s">
        <v>413</v>
      </c>
      <c r="J710" s="246">
        <v>30</v>
      </c>
    </row>
    <row r="711" spans="1:10" ht="15" x14ac:dyDescent="0.25">
      <c r="A711" s="243">
        <v>10001791</v>
      </c>
      <c r="B711" s="243">
        <v>8439851952</v>
      </c>
      <c r="C711" s="243" t="s">
        <v>1710</v>
      </c>
      <c r="D711" s="244">
        <v>31934</v>
      </c>
      <c r="E711" s="243" t="s">
        <v>963</v>
      </c>
      <c r="F711" s="243" t="s">
        <v>964</v>
      </c>
      <c r="G711" s="243" t="s">
        <v>997</v>
      </c>
      <c r="H711" s="313">
        <v>2169</v>
      </c>
      <c r="I711" s="243" t="s">
        <v>442</v>
      </c>
      <c r="J711" s="246">
        <v>36</v>
      </c>
    </row>
    <row r="712" spans="1:10" ht="15" x14ac:dyDescent="0.25">
      <c r="A712" s="243">
        <v>10001792</v>
      </c>
      <c r="B712" s="243">
        <v>8429253254</v>
      </c>
      <c r="C712" s="243" t="s">
        <v>1711</v>
      </c>
      <c r="D712" s="244">
        <v>30874</v>
      </c>
      <c r="E712" s="243" t="s">
        <v>936</v>
      </c>
      <c r="F712" s="243" t="s">
        <v>937</v>
      </c>
      <c r="G712" s="243" t="s">
        <v>1080</v>
      </c>
      <c r="H712" s="313">
        <v>2165</v>
      </c>
      <c r="I712" s="243" t="s">
        <v>438</v>
      </c>
      <c r="J712" s="246">
        <v>39</v>
      </c>
    </row>
    <row r="713" spans="1:10" ht="15" x14ac:dyDescent="0.25">
      <c r="A713" s="243">
        <v>10001793</v>
      </c>
      <c r="B713" s="243">
        <v>8437480957</v>
      </c>
      <c r="C713" s="243" t="s">
        <v>1712</v>
      </c>
      <c r="D713" s="244">
        <v>31697</v>
      </c>
      <c r="E713" s="243" t="s">
        <v>963</v>
      </c>
      <c r="F713" s="243" t="s">
        <v>964</v>
      </c>
      <c r="G713" s="243" t="s">
        <v>997</v>
      </c>
      <c r="H713" s="313">
        <v>2214</v>
      </c>
      <c r="I713" s="243" t="s">
        <v>446</v>
      </c>
      <c r="J713" s="246">
        <v>37</v>
      </c>
    </row>
    <row r="714" spans="1:10" ht="15" x14ac:dyDescent="0.25">
      <c r="A714" s="243">
        <v>10001794</v>
      </c>
      <c r="B714" s="243">
        <v>8442082794</v>
      </c>
      <c r="C714" s="243" t="s">
        <v>1713</v>
      </c>
      <c r="D714" s="244">
        <v>32157</v>
      </c>
      <c r="E714" s="243" t="s">
        <v>963</v>
      </c>
      <c r="F714" s="243" t="s">
        <v>964</v>
      </c>
      <c r="G714" s="243" t="s">
        <v>997</v>
      </c>
      <c r="H714" s="313">
        <v>2139</v>
      </c>
      <c r="I714" s="243" t="s">
        <v>425</v>
      </c>
      <c r="J714" s="246">
        <v>35</v>
      </c>
    </row>
    <row r="715" spans="1:10" ht="15" x14ac:dyDescent="0.25">
      <c r="A715" s="243">
        <v>10001795</v>
      </c>
      <c r="B715" s="243">
        <v>8447772748</v>
      </c>
      <c r="C715" s="243" t="s">
        <v>1714</v>
      </c>
      <c r="D715" s="244">
        <v>32726</v>
      </c>
      <c r="E715" s="243" t="s">
        <v>870</v>
      </c>
      <c r="F715" s="243" t="s">
        <v>871</v>
      </c>
      <c r="G715" s="243" t="s">
        <v>997</v>
      </c>
      <c r="H715" s="313">
        <v>2117</v>
      </c>
      <c r="I715" s="243" t="s">
        <v>413</v>
      </c>
      <c r="J715" s="246">
        <v>34</v>
      </c>
    </row>
    <row r="716" spans="1:10" ht="15" x14ac:dyDescent="0.25">
      <c r="A716" s="243">
        <v>10001796</v>
      </c>
      <c r="B716" s="243">
        <v>8367122739</v>
      </c>
      <c r="C716" s="243" t="s">
        <v>1715</v>
      </c>
      <c r="D716" s="244">
        <v>24661</v>
      </c>
      <c r="E716" s="243" t="s">
        <v>888</v>
      </c>
      <c r="F716" s="243" t="s">
        <v>889</v>
      </c>
      <c r="G716" s="243" t="s">
        <v>1109</v>
      </c>
      <c r="H716" s="313">
        <v>2910</v>
      </c>
      <c r="I716" s="243" t="s">
        <v>518</v>
      </c>
      <c r="J716" s="246">
        <v>56</v>
      </c>
    </row>
    <row r="717" spans="1:10" ht="15" x14ac:dyDescent="0.25">
      <c r="A717" s="243">
        <v>10001799</v>
      </c>
      <c r="B717" s="243">
        <v>8442530479</v>
      </c>
      <c r="C717" s="243" t="s">
        <v>1716</v>
      </c>
      <c r="D717" s="244">
        <v>32202</v>
      </c>
      <c r="E717" s="243" t="s">
        <v>888</v>
      </c>
      <c r="F717" s="243" t="s">
        <v>889</v>
      </c>
      <c r="G717" s="243" t="s">
        <v>1109</v>
      </c>
      <c r="H717" s="313">
        <v>2910</v>
      </c>
      <c r="I717" s="243" t="s">
        <v>518</v>
      </c>
      <c r="J717" s="246">
        <v>35</v>
      </c>
    </row>
    <row r="718" spans="1:10" ht="15" x14ac:dyDescent="0.25">
      <c r="A718" s="243">
        <v>10001800</v>
      </c>
      <c r="B718" s="243">
        <v>8415300263</v>
      </c>
      <c r="C718" s="243" t="s">
        <v>1717</v>
      </c>
      <c r="D718" s="244">
        <v>29479</v>
      </c>
      <c r="E718" s="243" t="s">
        <v>1248</v>
      </c>
      <c r="F718" s="243" t="s">
        <v>1249</v>
      </c>
      <c r="G718" s="243" t="s">
        <v>1109</v>
      </c>
      <c r="H718" s="313">
        <v>2910</v>
      </c>
      <c r="I718" s="243" t="s">
        <v>518</v>
      </c>
      <c r="J718" s="246">
        <v>43</v>
      </c>
    </row>
    <row r="719" spans="1:10" ht="15" x14ac:dyDescent="0.25">
      <c r="A719" s="243">
        <v>10001804</v>
      </c>
      <c r="B719" s="243">
        <v>8391833836</v>
      </c>
      <c r="C719" s="243" t="s">
        <v>1718</v>
      </c>
      <c r="D719" s="244">
        <v>27132</v>
      </c>
      <c r="E719" s="243" t="s">
        <v>896</v>
      </c>
      <c r="F719" s="243" t="s">
        <v>897</v>
      </c>
      <c r="G719" s="243" t="s">
        <v>872</v>
      </c>
      <c r="H719" s="313">
        <v>2410</v>
      </c>
      <c r="I719" s="243" t="s">
        <v>462</v>
      </c>
      <c r="J719" s="246">
        <v>49</v>
      </c>
    </row>
    <row r="720" spans="1:10" ht="15" x14ac:dyDescent="0.25">
      <c r="A720" s="243">
        <v>10001805</v>
      </c>
      <c r="B720" s="243">
        <v>8464342063</v>
      </c>
      <c r="C720" s="243" t="s">
        <v>1719</v>
      </c>
      <c r="D720" s="244">
        <v>34383</v>
      </c>
      <c r="E720" s="243" t="s">
        <v>1390</v>
      </c>
      <c r="F720" s="243" t="s">
        <v>1391</v>
      </c>
      <c r="G720" s="243" t="s">
        <v>1145</v>
      </c>
      <c r="H720" s="313">
        <v>3910</v>
      </c>
      <c r="I720" s="243" t="s">
        <v>616</v>
      </c>
      <c r="J720" s="246">
        <v>29</v>
      </c>
    </row>
    <row r="721" spans="1:10" ht="15" x14ac:dyDescent="0.25">
      <c r="A721" s="243">
        <v>10001806</v>
      </c>
      <c r="B721" s="243">
        <v>8382053971</v>
      </c>
      <c r="C721" s="243" t="s">
        <v>1720</v>
      </c>
      <c r="D721" s="244">
        <v>26154</v>
      </c>
      <c r="E721" s="243" t="s">
        <v>880</v>
      </c>
      <c r="F721" s="243" t="s">
        <v>881</v>
      </c>
      <c r="G721" s="243" t="s">
        <v>985</v>
      </c>
      <c r="H721" s="313">
        <v>2410</v>
      </c>
      <c r="I721" s="243" t="s">
        <v>462</v>
      </c>
      <c r="J721" s="246">
        <v>52</v>
      </c>
    </row>
    <row r="722" spans="1:10" ht="15" x14ac:dyDescent="0.25">
      <c r="A722" s="243">
        <v>10001807</v>
      </c>
      <c r="B722" s="243">
        <v>8360241228</v>
      </c>
      <c r="C722" s="243" t="s">
        <v>1721</v>
      </c>
      <c r="D722" s="244">
        <v>23973</v>
      </c>
      <c r="E722" s="243" t="s">
        <v>1617</v>
      </c>
      <c r="F722" s="243" t="s">
        <v>1618</v>
      </c>
      <c r="G722" s="243" t="s">
        <v>1722</v>
      </c>
      <c r="H722" s="313">
        <v>9231</v>
      </c>
      <c r="I722" s="243" t="s">
        <v>826</v>
      </c>
      <c r="J722" s="246">
        <v>58</v>
      </c>
    </row>
    <row r="723" spans="1:10" ht="15" x14ac:dyDescent="0.25">
      <c r="A723" s="243">
        <v>10001808</v>
      </c>
      <c r="B723" s="243">
        <v>8381284139</v>
      </c>
      <c r="C723" s="243" t="s">
        <v>1723</v>
      </c>
      <c r="D723" s="244">
        <v>26077</v>
      </c>
      <c r="E723" s="243" t="s">
        <v>1141</v>
      </c>
      <c r="F723" s="243" t="s">
        <v>1142</v>
      </c>
      <c r="G723" s="243" t="s">
        <v>1109</v>
      </c>
      <c r="H723" s="313">
        <v>2624</v>
      </c>
      <c r="I723" s="243" t="s">
        <v>497</v>
      </c>
      <c r="J723" s="246">
        <v>52</v>
      </c>
    </row>
    <row r="724" spans="1:10" ht="15" x14ac:dyDescent="0.25">
      <c r="A724" s="243">
        <v>10001809</v>
      </c>
      <c r="B724" s="243">
        <v>8456822582</v>
      </c>
      <c r="C724" s="243" t="s">
        <v>1724</v>
      </c>
      <c r="D724" s="244">
        <v>33631</v>
      </c>
      <c r="E724" s="243" t="s">
        <v>936</v>
      </c>
      <c r="F724" s="243" t="s">
        <v>937</v>
      </c>
      <c r="G724" s="243" t="s">
        <v>1080</v>
      </c>
      <c r="H724" s="313">
        <v>2121</v>
      </c>
      <c r="I724" s="243" t="s">
        <v>415</v>
      </c>
      <c r="J724" s="246">
        <v>31</v>
      </c>
    </row>
    <row r="725" spans="1:10" ht="15" x14ac:dyDescent="0.25">
      <c r="A725" s="243">
        <v>10001811</v>
      </c>
      <c r="B725" s="243">
        <v>8435150860</v>
      </c>
      <c r="C725" s="243" t="s">
        <v>1725</v>
      </c>
      <c r="D725" s="244">
        <v>31464</v>
      </c>
      <c r="E725" s="243" t="s">
        <v>870</v>
      </c>
      <c r="F725" s="243" t="s">
        <v>871</v>
      </c>
      <c r="G725" s="243" t="s">
        <v>997</v>
      </c>
      <c r="H725" s="313">
        <v>2167</v>
      </c>
      <c r="I725" s="243" t="s">
        <v>440</v>
      </c>
      <c r="J725" s="246">
        <v>37</v>
      </c>
    </row>
    <row r="726" spans="1:10" ht="15" x14ac:dyDescent="0.25">
      <c r="A726" s="243">
        <v>10001813</v>
      </c>
      <c r="B726" s="243">
        <v>8453283079</v>
      </c>
      <c r="C726" s="243" t="s">
        <v>1726</v>
      </c>
      <c r="D726" s="244">
        <v>33277</v>
      </c>
      <c r="E726" s="243" t="s">
        <v>929</v>
      </c>
      <c r="F726" s="243" t="s">
        <v>930</v>
      </c>
      <c r="G726" s="243" t="s">
        <v>918</v>
      </c>
      <c r="H726" s="313">
        <v>2410</v>
      </c>
      <c r="I726" s="243" t="s">
        <v>462</v>
      </c>
      <c r="J726" s="246">
        <v>32</v>
      </c>
    </row>
    <row r="727" spans="1:10" ht="15" x14ac:dyDescent="0.25">
      <c r="A727" s="243">
        <v>10001814</v>
      </c>
      <c r="B727" s="243">
        <v>8387485616</v>
      </c>
      <c r="C727" s="243" t="s">
        <v>1727</v>
      </c>
      <c r="D727" s="244">
        <v>26697</v>
      </c>
      <c r="E727" s="243" t="s">
        <v>963</v>
      </c>
      <c r="F727" s="243" t="s">
        <v>964</v>
      </c>
      <c r="G727" s="243" t="s">
        <v>1080</v>
      </c>
      <c r="H727" s="313">
        <v>2117</v>
      </c>
      <c r="I727" s="243" t="s">
        <v>413</v>
      </c>
      <c r="J727" s="246">
        <v>50</v>
      </c>
    </row>
    <row r="728" spans="1:10" ht="15" x14ac:dyDescent="0.25">
      <c r="A728" s="243">
        <v>10001815</v>
      </c>
      <c r="B728" s="243">
        <v>8468362336</v>
      </c>
      <c r="C728" s="243" t="s">
        <v>1728</v>
      </c>
      <c r="D728" s="244">
        <v>34785</v>
      </c>
      <c r="E728" s="243" t="s">
        <v>945</v>
      </c>
      <c r="F728" s="243" t="s">
        <v>946</v>
      </c>
      <c r="G728" s="243" t="s">
        <v>1080</v>
      </c>
      <c r="H728" s="313">
        <v>2167</v>
      </c>
      <c r="I728" s="243" t="s">
        <v>440</v>
      </c>
      <c r="J728" s="246">
        <v>28</v>
      </c>
    </row>
    <row r="729" spans="1:10" ht="15" x14ac:dyDescent="0.25">
      <c r="A729" s="243">
        <v>10001816</v>
      </c>
      <c r="B729" s="243">
        <v>8465090238</v>
      </c>
      <c r="C729" s="243" t="s">
        <v>1729</v>
      </c>
      <c r="D729" s="244">
        <v>34458</v>
      </c>
      <c r="E729" s="243" t="s">
        <v>1147</v>
      </c>
      <c r="F729" s="243" t="s">
        <v>1148</v>
      </c>
      <c r="G729" s="243" t="s">
        <v>1145</v>
      </c>
      <c r="H729" s="313">
        <v>4134</v>
      </c>
      <c r="I729" s="243" t="s">
        <v>630</v>
      </c>
      <c r="J729" s="246">
        <v>29</v>
      </c>
    </row>
    <row r="730" spans="1:10" ht="15" x14ac:dyDescent="0.25">
      <c r="A730" s="243">
        <v>10001818</v>
      </c>
      <c r="B730" s="243">
        <v>8459273199</v>
      </c>
      <c r="C730" s="243" t="s">
        <v>1730</v>
      </c>
      <c r="D730" s="244">
        <v>33876</v>
      </c>
      <c r="E730" s="243" t="s">
        <v>1684</v>
      </c>
      <c r="F730" s="243" t="s">
        <v>1685</v>
      </c>
      <c r="G730" s="243" t="s">
        <v>1145</v>
      </c>
      <c r="H730" s="313">
        <v>3910</v>
      </c>
      <c r="I730" s="243" t="s">
        <v>616</v>
      </c>
      <c r="J730" s="246">
        <v>31</v>
      </c>
    </row>
    <row r="731" spans="1:10" ht="15" x14ac:dyDescent="0.25">
      <c r="A731" s="243">
        <v>10001823</v>
      </c>
      <c r="B731" s="243">
        <v>8452851529</v>
      </c>
      <c r="C731" s="243" t="s">
        <v>1731</v>
      </c>
      <c r="D731" s="244">
        <v>33234</v>
      </c>
      <c r="E731" s="243" t="s">
        <v>1121</v>
      </c>
      <c r="F731" s="243" t="s">
        <v>1122</v>
      </c>
      <c r="G731" s="243" t="s">
        <v>1145</v>
      </c>
      <c r="H731" s="313">
        <v>3910</v>
      </c>
      <c r="I731" s="243" t="s">
        <v>616</v>
      </c>
      <c r="J731" s="246">
        <v>33</v>
      </c>
    </row>
    <row r="732" spans="1:10" ht="15" x14ac:dyDescent="0.25">
      <c r="A732" s="243">
        <v>10001829</v>
      </c>
      <c r="B732" s="243">
        <v>8400125053</v>
      </c>
      <c r="C732" s="243" t="s">
        <v>1732</v>
      </c>
      <c r="D732" s="244">
        <v>27961</v>
      </c>
      <c r="E732" s="243" t="s">
        <v>896</v>
      </c>
      <c r="F732" s="243" t="s">
        <v>897</v>
      </c>
      <c r="G732" s="243" t="s">
        <v>872</v>
      </c>
      <c r="H732" s="313">
        <v>2410</v>
      </c>
      <c r="I732" s="243" t="s">
        <v>462</v>
      </c>
      <c r="J732" s="246">
        <v>47</v>
      </c>
    </row>
    <row r="733" spans="1:10" ht="15" x14ac:dyDescent="0.25">
      <c r="A733" s="243">
        <v>10001830</v>
      </c>
      <c r="B733" s="243">
        <v>8447572374</v>
      </c>
      <c r="C733" s="243" t="s">
        <v>1733</v>
      </c>
      <c r="D733" s="244">
        <v>32706</v>
      </c>
      <c r="E733" s="243" t="s">
        <v>1135</v>
      </c>
      <c r="F733" s="243" t="s">
        <v>1136</v>
      </c>
      <c r="G733" s="243" t="s">
        <v>1303</v>
      </c>
      <c r="H733" s="313">
        <v>4229</v>
      </c>
      <c r="I733" s="243" t="s">
        <v>641</v>
      </c>
      <c r="J733" s="246">
        <v>34</v>
      </c>
    </row>
    <row r="734" spans="1:10" ht="15" x14ac:dyDescent="0.25">
      <c r="A734" s="243">
        <v>10001832</v>
      </c>
      <c r="B734" s="243">
        <v>8447632261</v>
      </c>
      <c r="C734" s="243" t="s">
        <v>250</v>
      </c>
      <c r="D734" s="244">
        <v>32712</v>
      </c>
      <c r="E734" s="243" t="s">
        <v>858</v>
      </c>
      <c r="F734" s="243" t="s">
        <v>859</v>
      </c>
      <c r="G734" s="243" t="s">
        <v>1080</v>
      </c>
      <c r="H734" s="313">
        <v>2139</v>
      </c>
      <c r="I734" s="243" t="s">
        <v>425</v>
      </c>
      <c r="J734" s="246">
        <v>34</v>
      </c>
    </row>
    <row r="735" spans="1:10" ht="15" x14ac:dyDescent="0.25">
      <c r="A735" s="243">
        <v>10001835</v>
      </c>
      <c r="B735" s="243">
        <v>8397883924</v>
      </c>
      <c r="C735" s="243" t="s">
        <v>1734</v>
      </c>
      <c r="D735" s="244">
        <v>27737</v>
      </c>
      <c r="E735" s="243" t="s">
        <v>1248</v>
      </c>
      <c r="F735" s="243" t="s">
        <v>1249</v>
      </c>
      <c r="G735" s="243" t="s">
        <v>1145</v>
      </c>
      <c r="H735" s="313">
        <v>2910</v>
      </c>
      <c r="I735" s="243" t="s">
        <v>518</v>
      </c>
      <c r="J735" s="246">
        <v>48</v>
      </c>
    </row>
    <row r="736" spans="1:10" ht="15" x14ac:dyDescent="0.25">
      <c r="A736" s="243">
        <v>10001838</v>
      </c>
      <c r="B736" s="243">
        <v>8354930351</v>
      </c>
      <c r="C736" s="243" t="s">
        <v>1324</v>
      </c>
      <c r="D736" s="244">
        <v>23442</v>
      </c>
      <c r="E736" s="243" t="s">
        <v>1138</v>
      </c>
      <c r="F736" s="243" t="s">
        <v>1139</v>
      </c>
      <c r="G736" s="243" t="s">
        <v>1164</v>
      </c>
      <c r="H736" s="313">
        <v>7521</v>
      </c>
      <c r="I736" s="243" t="s">
        <v>748</v>
      </c>
      <c r="J736" s="246">
        <v>59</v>
      </c>
    </row>
    <row r="737" spans="1:10" ht="15" x14ac:dyDescent="0.25">
      <c r="A737" s="243">
        <v>10001845</v>
      </c>
      <c r="B737" s="243">
        <v>8477402981</v>
      </c>
      <c r="C737" s="243" t="s">
        <v>1735</v>
      </c>
      <c r="D737" s="244">
        <v>35689</v>
      </c>
      <c r="E737" s="243" t="s">
        <v>858</v>
      </c>
      <c r="F737" s="243" t="s">
        <v>859</v>
      </c>
      <c r="G737" s="243" t="s">
        <v>1080</v>
      </c>
      <c r="H737" s="313">
        <v>2117</v>
      </c>
      <c r="I737" s="243" t="s">
        <v>413</v>
      </c>
      <c r="J737" s="246">
        <v>26</v>
      </c>
    </row>
    <row r="738" spans="1:10" ht="15" x14ac:dyDescent="0.25">
      <c r="A738" s="243">
        <v>10001846</v>
      </c>
      <c r="B738" s="243">
        <v>8392431405</v>
      </c>
      <c r="C738" s="243" t="s">
        <v>1736</v>
      </c>
      <c r="D738" s="244">
        <v>27192</v>
      </c>
      <c r="E738" s="243" t="s">
        <v>1373</v>
      </c>
      <c r="F738" s="243" t="s">
        <v>1374</v>
      </c>
      <c r="G738" s="243" t="s">
        <v>1080</v>
      </c>
      <c r="H738" s="313">
        <v>2117</v>
      </c>
      <c r="I738" s="243" t="s">
        <v>413</v>
      </c>
      <c r="J738" s="246">
        <v>49</v>
      </c>
    </row>
    <row r="739" spans="1:10" ht="15" x14ac:dyDescent="0.25">
      <c r="A739" s="243">
        <v>10001851</v>
      </c>
      <c r="B739" s="243">
        <v>8470832808</v>
      </c>
      <c r="C739" s="243" t="s">
        <v>1737</v>
      </c>
      <c r="D739" s="244">
        <v>35032</v>
      </c>
      <c r="E739" s="243" t="s">
        <v>1269</v>
      </c>
      <c r="F739" s="243" t="s">
        <v>1270</v>
      </c>
      <c r="G739" s="243" t="s">
        <v>1145</v>
      </c>
      <c r="H739" s="313">
        <v>3910</v>
      </c>
      <c r="I739" s="243" t="s">
        <v>616</v>
      </c>
      <c r="J739" s="246">
        <v>28</v>
      </c>
    </row>
    <row r="740" spans="1:10" ht="15" x14ac:dyDescent="0.25">
      <c r="A740" s="243">
        <v>10001854</v>
      </c>
      <c r="B740" s="243">
        <v>8463041248</v>
      </c>
      <c r="C740" s="243" t="s">
        <v>1738</v>
      </c>
      <c r="D740" s="244">
        <v>34253</v>
      </c>
      <c r="E740" s="243" t="s">
        <v>1138</v>
      </c>
      <c r="F740" s="243" t="s">
        <v>1139</v>
      </c>
      <c r="G740" s="243" t="s">
        <v>1109</v>
      </c>
      <c r="H740" s="313">
        <v>3163</v>
      </c>
      <c r="I740" s="243" t="s">
        <v>548</v>
      </c>
      <c r="J740" s="246">
        <v>30</v>
      </c>
    </row>
    <row r="741" spans="1:10" ht="15" x14ac:dyDescent="0.25">
      <c r="A741" s="243">
        <v>10001857</v>
      </c>
      <c r="B741" s="243">
        <v>8347262403</v>
      </c>
      <c r="C741" s="243" t="s">
        <v>1739</v>
      </c>
      <c r="D741" s="244">
        <v>22675</v>
      </c>
      <c r="E741" s="243" t="s">
        <v>1480</v>
      </c>
      <c r="F741" s="243" t="s">
        <v>1481</v>
      </c>
      <c r="G741" s="243" t="s">
        <v>1109</v>
      </c>
      <c r="H741" s="313">
        <v>1419</v>
      </c>
      <c r="I741" s="243" t="s">
        <v>406</v>
      </c>
      <c r="J741" s="246">
        <v>61</v>
      </c>
    </row>
    <row r="742" spans="1:10" ht="15" x14ac:dyDescent="0.25">
      <c r="A742" s="243">
        <v>10001859</v>
      </c>
      <c r="B742" s="243">
        <v>8443273798</v>
      </c>
      <c r="C742" s="243" t="s">
        <v>1740</v>
      </c>
      <c r="D742" s="244">
        <v>32276</v>
      </c>
      <c r="E742" s="243" t="s">
        <v>942</v>
      </c>
      <c r="F742" s="243" t="s">
        <v>943</v>
      </c>
      <c r="G742" s="243" t="s">
        <v>1020</v>
      </c>
      <c r="H742" s="313">
        <v>2410</v>
      </c>
      <c r="I742" s="243" t="s">
        <v>462</v>
      </c>
      <c r="J742" s="246">
        <v>35</v>
      </c>
    </row>
    <row r="743" spans="1:10" ht="15" x14ac:dyDescent="0.25">
      <c r="A743" s="243">
        <v>10001861</v>
      </c>
      <c r="B743" s="243">
        <v>8392061268</v>
      </c>
      <c r="C743" s="243" t="s">
        <v>1741</v>
      </c>
      <c r="D743" s="244">
        <v>27155</v>
      </c>
      <c r="E743" s="243" t="s">
        <v>1626</v>
      </c>
      <c r="F743" s="243" t="s">
        <v>1627</v>
      </c>
      <c r="G743" s="243" t="s">
        <v>1651</v>
      </c>
      <c r="H743" s="313">
        <v>2410</v>
      </c>
      <c r="I743" s="243" t="s">
        <v>462</v>
      </c>
      <c r="J743" s="246">
        <v>49</v>
      </c>
    </row>
    <row r="744" spans="1:10" ht="15" x14ac:dyDescent="0.25">
      <c r="A744" s="243">
        <v>10001863</v>
      </c>
      <c r="B744" s="243">
        <v>8451324509</v>
      </c>
      <c r="C744" s="243" t="s">
        <v>192</v>
      </c>
      <c r="D744" s="244">
        <v>33081</v>
      </c>
      <c r="E744" s="243" t="s">
        <v>870</v>
      </c>
      <c r="F744" s="243" t="s">
        <v>871</v>
      </c>
      <c r="G744" s="243" t="s">
        <v>927</v>
      </c>
      <c r="H744" s="313">
        <v>2139</v>
      </c>
      <c r="I744" s="243" t="s">
        <v>425</v>
      </c>
      <c r="J744" s="246">
        <v>33</v>
      </c>
    </row>
    <row r="745" spans="1:10" ht="15" x14ac:dyDescent="0.25">
      <c r="A745" s="243">
        <v>10001871</v>
      </c>
      <c r="B745" s="243">
        <v>8463660355</v>
      </c>
      <c r="C745" s="243" t="s">
        <v>1742</v>
      </c>
      <c r="D745" s="244">
        <v>34315</v>
      </c>
      <c r="E745" s="243" t="s">
        <v>906</v>
      </c>
      <c r="F745" s="243" t="s">
        <v>907</v>
      </c>
      <c r="G745" s="243" t="s">
        <v>1303</v>
      </c>
      <c r="H745" s="313">
        <v>2910</v>
      </c>
      <c r="I745" s="243" t="s">
        <v>518</v>
      </c>
      <c r="J745" s="246">
        <v>30</v>
      </c>
    </row>
    <row r="746" spans="1:10" ht="15" x14ac:dyDescent="0.25">
      <c r="A746" s="243">
        <v>10001877</v>
      </c>
      <c r="B746" s="243">
        <v>8474940427</v>
      </c>
      <c r="C746" s="243" t="s">
        <v>1743</v>
      </c>
      <c r="D746" s="244">
        <v>35443</v>
      </c>
      <c r="E746" s="243" t="s">
        <v>1480</v>
      </c>
      <c r="F746" s="243" t="s">
        <v>1481</v>
      </c>
      <c r="G746" s="243" t="s">
        <v>1109</v>
      </c>
      <c r="H746" s="313">
        <v>3910</v>
      </c>
      <c r="I746" s="243" t="s">
        <v>616</v>
      </c>
      <c r="J746" s="246">
        <v>26</v>
      </c>
    </row>
    <row r="747" spans="1:10" ht="15" x14ac:dyDescent="0.25">
      <c r="A747" s="243">
        <v>10001878</v>
      </c>
      <c r="B747" s="243">
        <v>8412103416</v>
      </c>
      <c r="C747" s="243" t="s">
        <v>1744</v>
      </c>
      <c r="D747" s="244">
        <v>29159</v>
      </c>
      <c r="E747" s="243" t="s">
        <v>1558</v>
      </c>
      <c r="F747" s="243" t="s">
        <v>1559</v>
      </c>
      <c r="G747" s="243" t="s">
        <v>1109</v>
      </c>
      <c r="H747" s="313">
        <v>2910</v>
      </c>
      <c r="I747" s="243" t="s">
        <v>518</v>
      </c>
      <c r="J747" s="246">
        <v>44</v>
      </c>
    </row>
    <row r="748" spans="1:10" ht="15" x14ac:dyDescent="0.25">
      <c r="A748" s="243">
        <v>10001879</v>
      </c>
      <c r="B748" s="243">
        <v>8341603020</v>
      </c>
      <c r="C748" s="243" t="s">
        <v>1745</v>
      </c>
      <c r="D748" s="244">
        <v>22109</v>
      </c>
      <c r="E748" s="243" t="s">
        <v>929</v>
      </c>
      <c r="F748" s="243" t="s">
        <v>930</v>
      </c>
      <c r="G748" s="243" t="s">
        <v>860</v>
      </c>
      <c r="H748" s="313">
        <v>2410</v>
      </c>
      <c r="I748" s="243" t="s">
        <v>462</v>
      </c>
      <c r="J748" s="246">
        <v>63</v>
      </c>
    </row>
    <row r="749" spans="1:10" ht="15" x14ac:dyDescent="0.25">
      <c r="A749" s="243">
        <v>10001887</v>
      </c>
      <c r="B749" s="243">
        <v>8462701147</v>
      </c>
      <c r="C749" s="243" t="s">
        <v>1746</v>
      </c>
      <c r="D749" s="244">
        <v>34219</v>
      </c>
      <c r="E749" s="243" t="s">
        <v>888</v>
      </c>
      <c r="F749" s="243" t="s">
        <v>889</v>
      </c>
      <c r="G749" s="243" t="s">
        <v>927</v>
      </c>
      <c r="H749" s="313">
        <v>2532</v>
      </c>
      <c r="I749" s="243" t="s">
        <v>485</v>
      </c>
      <c r="J749" s="246">
        <v>30</v>
      </c>
    </row>
    <row r="750" spans="1:10" ht="15" x14ac:dyDescent="0.25">
      <c r="A750" s="243">
        <v>10001888</v>
      </c>
      <c r="B750" s="243">
        <v>8384415307</v>
      </c>
      <c r="C750" s="243" t="s">
        <v>1747</v>
      </c>
      <c r="D750" s="244">
        <v>26390</v>
      </c>
      <c r="E750" s="243" t="s">
        <v>891</v>
      </c>
      <c r="F750" s="243" t="s">
        <v>892</v>
      </c>
      <c r="G750" s="243" t="s">
        <v>974</v>
      </c>
      <c r="H750" s="313">
        <v>2139</v>
      </c>
      <c r="I750" s="243" t="s">
        <v>425</v>
      </c>
      <c r="J750" s="246">
        <v>51</v>
      </c>
    </row>
    <row r="751" spans="1:10" ht="15" x14ac:dyDescent="0.25">
      <c r="A751" s="243">
        <v>10001889</v>
      </c>
      <c r="B751" s="243">
        <v>8476082037</v>
      </c>
      <c r="C751" s="243" t="s">
        <v>218</v>
      </c>
      <c r="D751" s="244">
        <v>35557</v>
      </c>
      <c r="E751" s="243" t="s">
        <v>1201</v>
      </c>
      <c r="F751" s="243" t="s">
        <v>1202</v>
      </c>
      <c r="G751" s="243" t="s">
        <v>1145</v>
      </c>
      <c r="H751" s="313">
        <v>3910</v>
      </c>
      <c r="I751" s="243" t="s">
        <v>616</v>
      </c>
      <c r="J751" s="246">
        <v>26</v>
      </c>
    </row>
    <row r="752" spans="1:10" ht="15" x14ac:dyDescent="0.25">
      <c r="A752" s="243">
        <v>10001890</v>
      </c>
      <c r="B752" s="243">
        <v>8458363844</v>
      </c>
      <c r="C752" s="243" t="s">
        <v>1748</v>
      </c>
      <c r="D752" s="244">
        <v>33785</v>
      </c>
      <c r="E752" s="243" t="s">
        <v>870</v>
      </c>
      <c r="F752" s="243" t="s">
        <v>871</v>
      </c>
      <c r="G752" s="243" t="s">
        <v>1080</v>
      </c>
      <c r="H752" s="313">
        <v>2910</v>
      </c>
      <c r="I752" s="243" t="s">
        <v>518</v>
      </c>
      <c r="J752" s="246">
        <v>31</v>
      </c>
    </row>
    <row r="753" spans="1:10" ht="15" x14ac:dyDescent="0.25">
      <c r="A753" s="243">
        <v>10001891</v>
      </c>
      <c r="B753" s="243">
        <v>8461660684</v>
      </c>
      <c r="C753" s="243" t="s">
        <v>1749</v>
      </c>
      <c r="D753" s="244">
        <v>34115</v>
      </c>
      <c r="E753" s="243" t="s">
        <v>858</v>
      </c>
      <c r="F753" s="243" t="s">
        <v>859</v>
      </c>
      <c r="G753" s="243" t="s">
        <v>927</v>
      </c>
      <c r="H753" s="313">
        <v>2910</v>
      </c>
      <c r="I753" s="243" t="s">
        <v>518</v>
      </c>
      <c r="J753" s="246">
        <v>30</v>
      </c>
    </row>
    <row r="754" spans="1:10" ht="15" x14ac:dyDescent="0.25">
      <c r="A754" s="243">
        <v>10001892</v>
      </c>
      <c r="B754" s="243">
        <v>8483220415</v>
      </c>
      <c r="C754" s="243" t="s">
        <v>1750</v>
      </c>
      <c r="D754" s="244">
        <v>36271</v>
      </c>
      <c r="E754" s="243" t="s">
        <v>899</v>
      </c>
      <c r="F754" s="243" t="s">
        <v>900</v>
      </c>
      <c r="G754" s="243" t="s">
        <v>1080</v>
      </c>
      <c r="H754" s="313">
        <v>2139</v>
      </c>
      <c r="I754" s="243" t="s">
        <v>425</v>
      </c>
      <c r="J754" s="246">
        <v>24</v>
      </c>
    </row>
    <row r="755" spans="1:10" ht="15" x14ac:dyDescent="0.25">
      <c r="A755" s="243">
        <v>10001893</v>
      </c>
      <c r="B755" s="243">
        <v>8459421406</v>
      </c>
      <c r="C755" s="243" t="s">
        <v>1751</v>
      </c>
      <c r="D755" s="244">
        <v>33891</v>
      </c>
      <c r="E755" s="243" t="s">
        <v>963</v>
      </c>
      <c r="F755" s="243" t="s">
        <v>964</v>
      </c>
      <c r="G755" s="243" t="s">
        <v>1080</v>
      </c>
      <c r="H755" s="313">
        <v>2131</v>
      </c>
      <c r="I755" s="243" t="s">
        <v>418</v>
      </c>
      <c r="J755" s="246">
        <v>31</v>
      </c>
    </row>
    <row r="756" spans="1:10" ht="15" x14ac:dyDescent="0.25">
      <c r="A756" s="243">
        <v>10001894</v>
      </c>
      <c r="B756" s="243">
        <v>8332374189</v>
      </c>
      <c r="C756" s="243" t="s">
        <v>339</v>
      </c>
      <c r="D756" s="244">
        <v>21186</v>
      </c>
      <c r="E756" s="243" t="s">
        <v>963</v>
      </c>
      <c r="F756" s="243" t="s">
        <v>964</v>
      </c>
      <c r="G756" s="243" t="s">
        <v>1145</v>
      </c>
      <c r="H756" s="313">
        <v>3910</v>
      </c>
      <c r="I756" s="243" t="s">
        <v>616</v>
      </c>
      <c r="J756" s="246">
        <v>65</v>
      </c>
    </row>
    <row r="757" spans="1:10" ht="15" x14ac:dyDescent="0.25">
      <c r="A757" s="243">
        <v>10001895</v>
      </c>
      <c r="B757" s="243">
        <v>8441923213</v>
      </c>
      <c r="C757" s="243" t="s">
        <v>1752</v>
      </c>
      <c r="D757" s="244">
        <v>32141</v>
      </c>
      <c r="E757" s="243" t="s">
        <v>1390</v>
      </c>
      <c r="F757" s="243" t="s">
        <v>1391</v>
      </c>
      <c r="G757" s="243" t="s">
        <v>1145</v>
      </c>
      <c r="H757" s="313">
        <v>3410</v>
      </c>
      <c r="I757" s="243" t="s">
        <v>574</v>
      </c>
      <c r="J757" s="246">
        <v>36</v>
      </c>
    </row>
    <row r="758" spans="1:10" ht="15" x14ac:dyDescent="0.25">
      <c r="A758" s="243">
        <v>10001896</v>
      </c>
      <c r="B758" s="243">
        <v>8401954231</v>
      </c>
      <c r="C758" s="243" t="s">
        <v>1753</v>
      </c>
      <c r="D758" s="244">
        <v>28144</v>
      </c>
      <c r="E758" s="243" t="s">
        <v>862</v>
      </c>
      <c r="F758" s="243" t="s">
        <v>863</v>
      </c>
      <c r="G758" s="243" t="s">
        <v>864</v>
      </c>
      <c r="H758" s="313">
        <v>1328</v>
      </c>
      <c r="I758" s="243" t="s">
        <v>391</v>
      </c>
      <c r="J758" s="246">
        <v>46</v>
      </c>
    </row>
    <row r="759" spans="1:10" ht="15" x14ac:dyDescent="0.25">
      <c r="A759" s="243">
        <v>10001897</v>
      </c>
      <c r="B759" s="243">
        <v>8456510645</v>
      </c>
      <c r="C759" s="243" t="s">
        <v>1754</v>
      </c>
      <c r="D759" s="244">
        <v>33600</v>
      </c>
      <c r="E759" s="243" t="s">
        <v>929</v>
      </c>
      <c r="F759" s="243" t="s">
        <v>930</v>
      </c>
      <c r="G759" s="243" t="s">
        <v>918</v>
      </c>
      <c r="H759" s="313">
        <v>2410</v>
      </c>
      <c r="I759" s="243" t="s">
        <v>462</v>
      </c>
      <c r="J759" s="246">
        <v>32</v>
      </c>
    </row>
    <row r="760" spans="1:10" ht="15" x14ac:dyDescent="0.25">
      <c r="A760" s="243">
        <v>10001898</v>
      </c>
      <c r="B760" s="243">
        <v>8456992658</v>
      </c>
      <c r="C760" s="243" t="s">
        <v>1755</v>
      </c>
      <c r="D760" s="244">
        <v>33648</v>
      </c>
      <c r="E760" s="243" t="s">
        <v>874</v>
      </c>
      <c r="F760" s="243" t="s">
        <v>875</v>
      </c>
      <c r="G760" s="243" t="s">
        <v>918</v>
      </c>
      <c r="H760" s="313">
        <v>2410</v>
      </c>
      <c r="I760" s="243" t="s">
        <v>462</v>
      </c>
      <c r="J760" s="246">
        <v>31</v>
      </c>
    </row>
    <row r="761" spans="1:10" ht="15" x14ac:dyDescent="0.25">
      <c r="A761" s="243">
        <v>10001899</v>
      </c>
      <c r="B761" s="243">
        <v>8459312267</v>
      </c>
      <c r="C761" s="243" t="s">
        <v>1756</v>
      </c>
      <c r="D761" s="244">
        <v>33880</v>
      </c>
      <c r="E761" s="243" t="s">
        <v>1597</v>
      </c>
      <c r="F761" s="243" t="s">
        <v>1598</v>
      </c>
      <c r="G761" s="243" t="s">
        <v>1145</v>
      </c>
      <c r="H761" s="313">
        <v>3632</v>
      </c>
      <c r="I761" s="243" t="s">
        <v>593</v>
      </c>
      <c r="J761" s="246">
        <v>31</v>
      </c>
    </row>
    <row r="762" spans="1:10" ht="15" x14ac:dyDescent="0.25">
      <c r="A762" s="243">
        <v>10001900</v>
      </c>
      <c r="B762" s="243">
        <v>8469340409</v>
      </c>
      <c r="C762" s="243" t="s">
        <v>1757</v>
      </c>
      <c r="D762" s="244">
        <v>34883</v>
      </c>
      <c r="E762" s="243" t="s">
        <v>1278</v>
      </c>
      <c r="F762" s="243" t="s">
        <v>1279</v>
      </c>
      <c r="G762" s="243" t="s">
        <v>1145</v>
      </c>
      <c r="H762" s="313">
        <v>3632</v>
      </c>
      <c r="I762" s="243" t="s">
        <v>593</v>
      </c>
      <c r="J762" s="246">
        <v>28</v>
      </c>
    </row>
    <row r="763" spans="1:10" ht="15" x14ac:dyDescent="0.25">
      <c r="A763" s="243">
        <v>10001902</v>
      </c>
      <c r="B763" s="243">
        <v>8381002001</v>
      </c>
      <c r="C763" s="243" t="s">
        <v>1758</v>
      </c>
      <c r="D763" s="244">
        <v>26049</v>
      </c>
      <c r="E763" s="243" t="s">
        <v>1126</v>
      </c>
      <c r="F763" s="243" t="s">
        <v>1127</v>
      </c>
      <c r="G763" s="243" t="s">
        <v>1145</v>
      </c>
      <c r="H763" s="313">
        <v>2910</v>
      </c>
      <c r="I763" s="243" t="s">
        <v>518</v>
      </c>
      <c r="J763" s="246">
        <v>52</v>
      </c>
    </row>
    <row r="764" spans="1:10" ht="15" x14ac:dyDescent="0.25">
      <c r="A764" s="243">
        <v>10001905</v>
      </c>
      <c r="B764" s="243">
        <v>8425661145</v>
      </c>
      <c r="C764" s="243" t="s">
        <v>1759</v>
      </c>
      <c r="D764" s="244">
        <v>30515</v>
      </c>
      <c r="E764" s="243" t="s">
        <v>963</v>
      </c>
      <c r="F764" s="243" t="s">
        <v>964</v>
      </c>
      <c r="G764" s="243" t="s">
        <v>997</v>
      </c>
      <c r="H764" s="313">
        <v>2139</v>
      </c>
      <c r="I764" s="243" t="s">
        <v>425</v>
      </c>
      <c r="J764" s="246">
        <v>40</v>
      </c>
    </row>
    <row r="765" spans="1:10" ht="15" x14ac:dyDescent="0.25">
      <c r="A765" s="243">
        <v>10001907</v>
      </c>
      <c r="B765" s="243">
        <v>8430140549</v>
      </c>
      <c r="C765" s="243" t="s">
        <v>212</v>
      </c>
      <c r="D765" s="244">
        <v>30963</v>
      </c>
      <c r="E765" s="243" t="s">
        <v>963</v>
      </c>
      <c r="F765" s="243" t="s">
        <v>964</v>
      </c>
      <c r="G765" s="243" t="s">
        <v>1109</v>
      </c>
      <c r="H765" s="313">
        <v>2910</v>
      </c>
      <c r="I765" s="243" t="s">
        <v>518</v>
      </c>
      <c r="J765" s="246">
        <v>39</v>
      </c>
    </row>
    <row r="766" spans="1:10" ht="15" x14ac:dyDescent="0.25">
      <c r="A766" s="243">
        <v>10001908</v>
      </c>
      <c r="B766" s="243">
        <v>8459972100</v>
      </c>
      <c r="C766" s="243" t="s">
        <v>1760</v>
      </c>
      <c r="D766" s="244">
        <v>33946</v>
      </c>
      <c r="E766" s="243" t="s">
        <v>858</v>
      </c>
      <c r="F766" s="243" t="s">
        <v>859</v>
      </c>
      <c r="G766" s="243" t="s">
        <v>1080</v>
      </c>
      <c r="H766" s="313">
        <v>2139</v>
      </c>
      <c r="I766" s="243" t="s">
        <v>425</v>
      </c>
      <c r="J766" s="246">
        <v>31</v>
      </c>
    </row>
    <row r="767" spans="1:10" ht="15" x14ac:dyDescent="0.25">
      <c r="A767" s="243">
        <v>10001914</v>
      </c>
      <c r="B767" s="243">
        <v>8388324136</v>
      </c>
      <c r="C767" s="243" t="s">
        <v>1761</v>
      </c>
      <c r="D767" s="244">
        <v>26781</v>
      </c>
      <c r="E767" s="243" t="s">
        <v>945</v>
      </c>
      <c r="F767" s="243" t="s">
        <v>946</v>
      </c>
      <c r="G767" s="243" t="s">
        <v>1080</v>
      </c>
      <c r="H767" s="313">
        <v>2139</v>
      </c>
      <c r="I767" s="243" t="s">
        <v>425</v>
      </c>
      <c r="J767" s="246">
        <v>50</v>
      </c>
    </row>
    <row r="768" spans="1:10" ht="15" x14ac:dyDescent="0.25">
      <c r="A768" s="243">
        <v>10001915</v>
      </c>
      <c r="B768" s="243">
        <v>8426662528</v>
      </c>
      <c r="C768" s="243" t="s">
        <v>1762</v>
      </c>
      <c r="D768" s="244">
        <v>30615</v>
      </c>
      <c r="E768" s="243" t="s">
        <v>945</v>
      </c>
      <c r="F768" s="243" t="s">
        <v>946</v>
      </c>
      <c r="G768" s="243" t="s">
        <v>1080</v>
      </c>
      <c r="H768" s="313">
        <v>2139</v>
      </c>
      <c r="I768" s="243" t="s">
        <v>425</v>
      </c>
      <c r="J768" s="246">
        <v>40</v>
      </c>
    </row>
    <row r="769" spans="1:10" ht="15" x14ac:dyDescent="0.25">
      <c r="A769" s="243">
        <v>10001916</v>
      </c>
      <c r="B769" s="243">
        <v>8330572722</v>
      </c>
      <c r="C769" s="243" t="s">
        <v>1763</v>
      </c>
      <c r="D769" s="244">
        <v>21006</v>
      </c>
      <c r="E769" s="243" t="s">
        <v>945</v>
      </c>
      <c r="F769" s="243" t="s">
        <v>946</v>
      </c>
      <c r="G769" s="243" t="s">
        <v>1145</v>
      </c>
      <c r="H769" s="313">
        <v>3910</v>
      </c>
      <c r="I769" s="243" t="s">
        <v>616</v>
      </c>
      <c r="J769" s="246">
        <v>66</v>
      </c>
    </row>
    <row r="770" spans="1:10" ht="15" x14ac:dyDescent="0.25">
      <c r="A770" s="243">
        <v>10001918</v>
      </c>
      <c r="B770" s="243">
        <v>8411242498</v>
      </c>
      <c r="C770" s="243" t="s">
        <v>1764</v>
      </c>
      <c r="D770" s="244">
        <v>29073</v>
      </c>
      <c r="E770" s="243" t="s">
        <v>945</v>
      </c>
      <c r="F770" s="243" t="s">
        <v>946</v>
      </c>
      <c r="G770" s="243" t="s">
        <v>1080</v>
      </c>
      <c r="H770" s="313">
        <v>2161</v>
      </c>
      <c r="I770" s="243" t="s">
        <v>435</v>
      </c>
      <c r="J770" s="246">
        <v>44</v>
      </c>
    </row>
    <row r="771" spans="1:10" ht="15" x14ac:dyDescent="0.25">
      <c r="A771" s="243">
        <v>10001919</v>
      </c>
      <c r="B771" s="243">
        <v>8427861834</v>
      </c>
      <c r="C771" s="243" t="s">
        <v>1765</v>
      </c>
      <c r="D771" s="244">
        <v>30735</v>
      </c>
      <c r="E771" s="243" t="s">
        <v>1135</v>
      </c>
      <c r="F771" s="243" t="s">
        <v>1136</v>
      </c>
      <c r="G771" s="243" t="s">
        <v>1109</v>
      </c>
      <c r="H771" s="313">
        <v>4229</v>
      </c>
      <c r="I771" s="243" t="s">
        <v>641</v>
      </c>
      <c r="J771" s="246">
        <v>39</v>
      </c>
    </row>
    <row r="772" spans="1:10" ht="15" x14ac:dyDescent="0.25">
      <c r="A772" s="243">
        <v>10001921</v>
      </c>
      <c r="B772" s="243">
        <v>8469730517</v>
      </c>
      <c r="C772" s="243" t="s">
        <v>1766</v>
      </c>
      <c r="D772" s="244">
        <v>34922</v>
      </c>
      <c r="E772" s="243" t="s">
        <v>1269</v>
      </c>
      <c r="F772" s="243" t="s">
        <v>1270</v>
      </c>
      <c r="G772" s="243" t="s">
        <v>1145</v>
      </c>
      <c r="H772" s="313">
        <v>3910</v>
      </c>
      <c r="I772" s="243" t="s">
        <v>616</v>
      </c>
      <c r="J772" s="246">
        <v>28</v>
      </c>
    </row>
    <row r="773" spans="1:10" ht="15" x14ac:dyDescent="0.25">
      <c r="A773" s="243">
        <v>10001922</v>
      </c>
      <c r="B773" s="243">
        <v>8392460766</v>
      </c>
      <c r="C773" s="243" t="s">
        <v>1767</v>
      </c>
      <c r="D773" s="244">
        <v>27195</v>
      </c>
      <c r="E773" s="243" t="s">
        <v>1258</v>
      </c>
      <c r="F773" s="243" t="s">
        <v>1259</v>
      </c>
      <c r="G773" s="243" t="s">
        <v>1109</v>
      </c>
      <c r="H773" s="313">
        <v>2910</v>
      </c>
      <c r="I773" s="243" t="s">
        <v>518</v>
      </c>
      <c r="J773" s="246">
        <v>49</v>
      </c>
    </row>
    <row r="774" spans="1:10" ht="15" x14ac:dyDescent="0.25">
      <c r="A774" s="243">
        <v>10001923</v>
      </c>
      <c r="B774" s="243">
        <v>8443541296</v>
      </c>
      <c r="C774" s="243" t="s">
        <v>1768</v>
      </c>
      <c r="D774" s="244">
        <v>32303</v>
      </c>
      <c r="E774" s="243" t="s">
        <v>1135</v>
      </c>
      <c r="F774" s="243" t="s">
        <v>1136</v>
      </c>
      <c r="G774" s="243" t="s">
        <v>1109</v>
      </c>
      <c r="H774" s="313">
        <v>4229</v>
      </c>
      <c r="I774" s="243" t="s">
        <v>641</v>
      </c>
      <c r="J774" s="246">
        <v>35</v>
      </c>
    </row>
    <row r="775" spans="1:10" ht="15" x14ac:dyDescent="0.25">
      <c r="A775" s="243">
        <v>10001924</v>
      </c>
      <c r="B775" s="243">
        <v>8395723636</v>
      </c>
      <c r="C775" s="243" t="s">
        <v>1769</v>
      </c>
      <c r="D775" s="244">
        <v>27521</v>
      </c>
      <c r="E775" s="243" t="s">
        <v>867</v>
      </c>
      <c r="F775" s="243" t="s">
        <v>868</v>
      </c>
      <c r="G775" s="243" t="s">
        <v>872</v>
      </c>
      <c r="H775" s="313">
        <v>2410</v>
      </c>
      <c r="I775" s="243" t="s">
        <v>462</v>
      </c>
      <c r="J775" s="246">
        <v>48</v>
      </c>
    </row>
    <row r="776" spans="1:10" ht="15" x14ac:dyDescent="0.25">
      <c r="A776" s="243">
        <v>10001928</v>
      </c>
      <c r="B776" s="243">
        <v>8399494542</v>
      </c>
      <c r="C776" s="243" t="s">
        <v>1770</v>
      </c>
      <c r="D776" s="244">
        <v>27898</v>
      </c>
      <c r="E776" s="243" t="s">
        <v>1390</v>
      </c>
      <c r="F776" s="243" t="s">
        <v>1391</v>
      </c>
      <c r="G776" s="243" t="s">
        <v>1145</v>
      </c>
      <c r="H776" s="313">
        <v>3910</v>
      </c>
      <c r="I776" s="243" t="s">
        <v>616</v>
      </c>
      <c r="J776" s="246">
        <v>47</v>
      </c>
    </row>
    <row r="777" spans="1:10" ht="15" x14ac:dyDescent="0.25">
      <c r="A777" s="243">
        <v>10001931</v>
      </c>
      <c r="B777" s="243">
        <v>8486570808</v>
      </c>
      <c r="C777" s="243" t="s">
        <v>1771</v>
      </c>
      <c r="D777" s="244">
        <v>36606</v>
      </c>
      <c r="E777" s="243" t="s">
        <v>858</v>
      </c>
      <c r="F777" s="243" t="s">
        <v>859</v>
      </c>
      <c r="G777" s="243" t="s">
        <v>1145</v>
      </c>
      <c r="H777" s="313">
        <v>3910</v>
      </c>
      <c r="I777" s="243" t="s">
        <v>616</v>
      </c>
      <c r="J777" s="246">
        <v>23</v>
      </c>
    </row>
    <row r="778" spans="1:10" ht="15" x14ac:dyDescent="0.25">
      <c r="A778" s="243">
        <v>10001932</v>
      </c>
      <c r="B778" s="243">
        <v>8421413546</v>
      </c>
      <c r="C778" s="243" t="s">
        <v>1772</v>
      </c>
      <c r="D778" s="244">
        <v>30090</v>
      </c>
      <c r="E778" s="243" t="s">
        <v>929</v>
      </c>
      <c r="F778" s="243" t="s">
        <v>930</v>
      </c>
      <c r="G778" s="243" t="s">
        <v>985</v>
      </c>
      <c r="H778" s="313">
        <v>2410</v>
      </c>
      <c r="I778" s="243" t="s">
        <v>462</v>
      </c>
      <c r="J778" s="246">
        <v>41</v>
      </c>
    </row>
    <row r="779" spans="1:10" ht="15" x14ac:dyDescent="0.25">
      <c r="A779" s="243">
        <v>10001934</v>
      </c>
      <c r="B779" s="243">
        <v>8408820435</v>
      </c>
      <c r="C779" s="243" t="s">
        <v>1773</v>
      </c>
      <c r="D779" s="244">
        <v>28831</v>
      </c>
      <c r="E779" s="243" t="s">
        <v>1147</v>
      </c>
      <c r="F779" s="243" t="s">
        <v>1148</v>
      </c>
      <c r="G779" s="243" t="s">
        <v>1109</v>
      </c>
      <c r="H779" s="313">
        <v>1412</v>
      </c>
      <c r="I779" s="243" t="s">
        <v>401</v>
      </c>
      <c r="J779" s="246">
        <v>45</v>
      </c>
    </row>
    <row r="780" spans="1:10" ht="15" x14ac:dyDescent="0.25">
      <c r="A780" s="243">
        <v>10001936</v>
      </c>
      <c r="B780" s="243">
        <v>8471202522</v>
      </c>
      <c r="C780" s="243" t="s">
        <v>1233</v>
      </c>
      <c r="D780" s="244">
        <v>35069</v>
      </c>
      <c r="E780" s="243" t="s">
        <v>1278</v>
      </c>
      <c r="F780" s="243" t="s">
        <v>1279</v>
      </c>
      <c r="G780" s="243" t="s">
        <v>1145</v>
      </c>
      <c r="H780" s="313">
        <v>3632</v>
      </c>
      <c r="I780" s="243" t="s">
        <v>593</v>
      </c>
      <c r="J780" s="246">
        <v>27</v>
      </c>
    </row>
    <row r="781" spans="1:10" ht="15" x14ac:dyDescent="0.25">
      <c r="A781" s="243">
        <v>10001938</v>
      </c>
      <c r="B781" s="243">
        <v>8380284038</v>
      </c>
      <c r="C781" s="243" t="s">
        <v>1774</v>
      </c>
      <c r="D781" s="244">
        <v>25977</v>
      </c>
      <c r="E781" s="243" t="s">
        <v>945</v>
      </c>
      <c r="F781" s="243" t="s">
        <v>946</v>
      </c>
      <c r="G781" s="243" t="s">
        <v>1080</v>
      </c>
      <c r="H781" s="313">
        <v>2139</v>
      </c>
      <c r="I781" s="243" t="s">
        <v>425</v>
      </c>
      <c r="J781" s="246">
        <v>52</v>
      </c>
    </row>
    <row r="782" spans="1:10" ht="15" x14ac:dyDescent="0.25">
      <c r="A782" s="243">
        <v>10001940</v>
      </c>
      <c r="B782" s="243">
        <v>8431501502</v>
      </c>
      <c r="C782" s="243" t="s">
        <v>1775</v>
      </c>
      <c r="D782" s="244">
        <v>31099</v>
      </c>
      <c r="E782" s="243" t="s">
        <v>1147</v>
      </c>
      <c r="F782" s="243" t="s">
        <v>1148</v>
      </c>
      <c r="G782" s="243" t="s">
        <v>1145</v>
      </c>
      <c r="H782" s="313">
        <v>4122</v>
      </c>
      <c r="I782" s="243" t="s">
        <v>624</v>
      </c>
      <c r="J782" s="246">
        <v>38</v>
      </c>
    </row>
    <row r="783" spans="1:10" ht="15" x14ac:dyDescent="0.25">
      <c r="A783" s="243">
        <v>10001942</v>
      </c>
      <c r="B783" s="243">
        <v>8470952773</v>
      </c>
      <c r="C783" s="243" t="s">
        <v>1776</v>
      </c>
      <c r="D783" s="244">
        <v>35044</v>
      </c>
      <c r="E783" s="243" t="s">
        <v>1135</v>
      </c>
      <c r="F783" s="243" t="s">
        <v>1136</v>
      </c>
      <c r="G783" s="243" t="s">
        <v>1145</v>
      </c>
      <c r="H783" s="313">
        <v>4229</v>
      </c>
      <c r="I783" s="243" t="s">
        <v>641</v>
      </c>
      <c r="J783" s="246">
        <v>28</v>
      </c>
    </row>
    <row r="784" spans="1:10" ht="15" x14ac:dyDescent="0.25">
      <c r="A784" s="243">
        <v>10001945</v>
      </c>
      <c r="B784" s="243">
        <v>8479830956</v>
      </c>
      <c r="C784" s="243" t="s">
        <v>1777</v>
      </c>
      <c r="D784" s="244">
        <v>35932</v>
      </c>
      <c r="E784" s="243" t="s">
        <v>884</v>
      </c>
      <c r="F784" s="243" t="s">
        <v>885</v>
      </c>
      <c r="G784" s="243" t="s">
        <v>1109</v>
      </c>
      <c r="H784" s="313">
        <v>2149</v>
      </c>
      <c r="I784" s="243" t="s">
        <v>430</v>
      </c>
      <c r="J784" s="246">
        <v>25</v>
      </c>
    </row>
    <row r="785" spans="1:10" ht="15" x14ac:dyDescent="0.25">
      <c r="A785" s="243">
        <v>10001946</v>
      </c>
      <c r="B785" s="243">
        <v>8353902435</v>
      </c>
      <c r="C785" s="243" t="s">
        <v>245</v>
      </c>
      <c r="D785" s="244">
        <v>23339</v>
      </c>
      <c r="E785" s="243" t="s">
        <v>858</v>
      </c>
      <c r="F785" s="243" t="s">
        <v>859</v>
      </c>
      <c r="G785" s="243" t="s">
        <v>1080</v>
      </c>
      <c r="H785" s="313">
        <v>2117</v>
      </c>
      <c r="I785" s="243" t="s">
        <v>413</v>
      </c>
      <c r="J785" s="246">
        <v>60</v>
      </c>
    </row>
    <row r="786" spans="1:10" ht="15" x14ac:dyDescent="0.25">
      <c r="A786" s="243">
        <v>10001949</v>
      </c>
      <c r="B786" s="243">
        <v>8354163245</v>
      </c>
      <c r="C786" s="243" t="s">
        <v>1778</v>
      </c>
      <c r="D786" s="244">
        <v>23365</v>
      </c>
      <c r="E786" s="243" t="s">
        <v>945</v>
      </c>
      <c r="F786" s="243" t="s">
        <v>946</v>
      </c>
      <c r="G786" s="243" t="s">
        <v>1179</v>
      </c>
      <c r="H786" s="313">
        <v>3115</v>
      </c>
      <c r="I786" s="243" t="s">
        <v>523</v>
      </c>
      <c r="J786" s="246">
        <v>60</v>
      </c>
    </row>
    <row r="787" spans="1:10" ht="15" x14ac:dyDescent="0.25">
      <c r="A787" s="243">
        <v>10001950</v>
      </c>
      <c r="B787" s="243">
        <v>8458500310</v>
      </c>
      <c r="C787" s="243" t="s">
        <v>1779</v>
      </c>
      <c r="D787" s="244">
        <v>33799</v>
      </c>
      <c r="E787" s="243" t="s">
        <v>1373</v>
      </c>
      <c r="F787" s="243" t="s">
        <v>1374</v>
      </c>
      <c r="G787" s="243" t="s">
        <v>1109</v>
      </c>
      <c r="H787" s="313">
        <v>2910</v>
      </c>
      <c r="I787" s="243" t="s">
        <v>518</v>
      </c>
      <c r="J787" s="246">
        <v>31</v>
      </c>
    </row>
    <row r="788" spans="1:10" ht="15" x14ac:dyDescent="0.25">
      <c r="A788" s="243">
        <v>10001951</v>
      </c>
      <c r="B788" s="243">
        <v>8447622487</v>
      </c>
      <c r="C788" s="243" t="s">
        <v>1780</v>
      </c>
      <c r="D788" s="244">
        <v>32711</v>
      </c>
      <c r="E788" s="243" t="s">
        <v>1141</v>
      </c>
      <c r="F788" s="243" t="s">
        <v>1142</v>
      </c>
      <c r="G788" s="243" t="s">
        <v>1145</v>
      </c>
      <c r="H788" s="313">
        <v>3611</v>
      </c>
      <c r="I788" s="243" t="s">
        <v>581</v>
      </c>
      <c r="J788" s="246">
        <v>34</v>
      </c>
    </row>
    <row r="789" spans="1:10" ht="15" x14ac:dyDescent="0.25">
      <c r="A789" s="243">
        <v>10001958</v>
      </c>
      <c r="B789" s="243">
        <v>8429410953</v>
      </c>
      <c r="C789" s="243" t="s">
        <v>1781</v>
      </c>
      <c r="D789" s="244">
        <v>30890</v>
      </c>
      <c r="E789" s="243" t="s">
        <v>1147</v>
      </c>
      <c r="F789" s="243" t="s">
        <v>1148</v>
      </c>
      <c r="G789" s="243" t="s">
        <v>1145</v>
      </c>
      <c r="H789" s="313">
        <v>4134</v>
      </c>
      <c r="I789" s="243" t="s">
        <v>630</v>
      </c>
      <c r="J789" s="246">
        <v>39</v>
      </c>
    </row>
    <row r="790" spans="1:10" ht="15" x14ac:dyDescent="0.25">
      <c r="A790" s="243">
        <v>10001959</v>
      </c>
      <c r="B790" s="243">
        <v>8440121865</v>
      </c>
      <c r="C790" s="243" t="s">
        <v>1782</v>
      </c>
      <c r="D790" s="244">
        <v>31961</v>
      </c>
      <c r="E790" s="243" t="s">
        <v>1135</v>
      </c>
      <c r="F790" s="243" t="s">
        <v>1136</v>
      </c>
      <c r="G790" s="243" t="s">
        <v>1109</v>
      </c>
      <c r="H790" s="313">
        <v>1329</v>
      </c>
      <c r="I790" s="243" t="s">
        <v>392</v>
      </c>
      <c r="J790" s="246">
        <v>36</v>
      </c>
    </row>
    <row r="791" spans="1:10" ht="15" x14ac:dyDescent="0.25">
      <c r="A791" s="243">
        <v>10001960</v>
      </c>
      <c r="B791" s="243">
        <v>8365792761</v>
      </c>
      <c r="C791" s="243" t="s">
        <v>1783</v>
      </c>
      <c r="D791" s="244">
        <v>24528</v>
      </c>
      <c r="E791" s="243" t="s">
        <v>954</v>
      </c>
      <c r="F791" s="243" t="s">
        <v>955</v>
      </c>
      <c r="G791" s="243" t="s">
        <v>1109</v>
      </c>
      <c r="H791" s="313">
        <v>2910</v>
      </c>
      <c r="I791" s="243" t="s">
        <v>518</v>
      </c>
      <c r="J791" s="246">
        <v>56</v>
      </c>
    </row>
    <row r="792" spans="1:10" ht="15" x14ac:dyDescent="0.25">
      <c r="A792" s="243">
        <v>10001964</v>
      </c>
      <c r="B792" s="243">
        <v>8386020911</v>
      </c>
      <c r="C792" s="243" t="s">
        <v>1784</v>
      </c>
      <c r="D792" s="244">
        <v>26551</v>
      </c>
      <c r="E792" s="243" t="s">
        <v>963</v>
      </c>
      <c r="F792" s="243" t="s">
        <v>964</v>
      </c>
      <c r="G792" s="243" t="s">
        <v>997</v>
      </c>
      <c r="H792" s="313">
        <v>2167</v>
      </c>
      <c r="I792" s="243" t="s">
        <v>440</v>
      </c>
      <c r="J792" s="246">
        <v>51</v>
      </c>
    </row>
    <row r="793" spans="1:10" ht="15" x14ac:dyDescent="0.25">
      <c r="A793" s="243">
        <v>10001965</v>
      </c>
      <c r="B793" s="243">
        <v>8470991035</v>
      </c>
      <c r="C793" s="243" t="s">
        <v>1785</v>
      </c>
      <c r="D793" s="244">
        <v>35048</v>
      </c>
      <c r="E793" s="243" t="s">
        <v>963</v>
      </c>
      <c r="F793" s="243" t="s">
        <v>964</v>
      </c>
      <c r="G793" s="243" t="s">
        <v>1080</v>
      </c>
      <c r="H793" s="313">
        <v>2167</v>
      </c>
      <c r="I793" s="243" t="s">
        <v>440</v>
      </c>
      <c r="J793" s="246">
        <v>28</v>
      </c>
    </row>
    <row r="794" spans="1:10" ht="15" x14ac:dyDescent="0.25">
      <c r="A794" s="243">
        <v>10001966</v>
      </c>
      <c r="B794" s="243">
        <v>8461583191</v>
      </c>
      <c r="C794" s="243" t="s">
        <v>1786</v>
      </c>
      <c r="D794" s="244">
        <v>34107</v>
      </c>
      <c r="E794" s="243" t="s">
        <v>899</v>
      </c>
      <c r="F794" s="243" t="s">
        <v>900</v>
      </c>
      <c r="G794" s="243" t="s">
        <v>1145</v>
      </c>
      <c r="H794" s="313">
        <v>3910</v>
      </c>
      <c r="I794" s="243" t="s">
        <v>616</v>
      </c>
      <c r="J794" s="246">
        <v>30</v>
      </c>
    </row>
    <row r="795" spans="1:10" ht="15" x14ac:dyDescent="0.25">
      <c r="A795" s="243">
        <v>10001970</v>
      </c>
      <c r="B795" s="243">
        <v>8424321014</v>
      </c>
      <c r="C795" s="243" t="s">
        <v>1787</v>
      </c>
      <c r="D795" s="244">
        <v>30381</v>
      </c>
      <c r="E795" s="243" t="s">
        <v>1198</v>
      </c>
      <c r="F795" s="243" t="s">
        <v>1199</v>
      </c>
      <c r="G795" s="243" t="s">
        <v>1145</v>
      </c>
      <c r="H795" s="313">
        <v>3910</v>
      </c>
      <c r="I795" s="243" t="s">
        <v>616</v>
      </c>
      <c r="J795" s="246">
        <v>40</v>
      </c>
    </row>
    <row r="796" spans="1:10" ht="15" x14ac:dyDescent="0.25">
      <c r="A796" s="243">
        <v>10001971</v>
      </c>
      <c r="B796" s="243">
        <v>8445893076</v>
      </c>
      <c r="C796" s="243" t="s">
        <v>1788</v>
      </c>
      <c r="D796" s="244">
        <v>32538</v>
      </c>
      <c r="E796" s="243" t="s">
        <v>858</v>
      </c>
      <c r="F796" s="243" t="s">
        <v>859</v>
      </c>
      <c r="G796" s="243" t="s">
        <v>1145</v>
      </c>
      <c r="H796" s="313">
        <v>4111</v>
      </c>
      <c r="I796" s="243" t="s">
        <v>618</v>
      </c>
      <c r="J796" s="246">
        <v>34</v>
      </c>
    </row>
    <row r="797" spans="1:10" ht="15" x14ac:dyDescent="0.25">
      <c r="A797" s="243">
        <v>10001972</v>
      </c>
      <c r="B797" s="243">
        <v>8462731127</v>
      </c>
      <c r="C797" s="243" t="s">
        <v>1789</v>
      </c>
      <c r="D797" s="244">
        <v>34222</v>
      </c>
      <c r="E797" s="243" t="s">
        <v>858</v>
      </c>
      <c r="F797" s="243" t="s">
        <v>859</v>
      </c>
      <c r="G797" s="243" t="s">
        <v>1080</v>
      </c>
      <c r="H797" s="313">
        <v>2169</v>
      </c>
      <c r="I797" s="243" t="s">
        <v>442</v>
      </c>
      <c r="J797" s="246">
        <v>30</v>
      </c>
    </row>
    <row r="798" spans="1:10" ht="15" x14ac:dyDescent="0.25">
      <c r="A798" s="243">
        <v>10001973</v>
      </c>
      <c r="B798" s="243">
        <v>8472472035</v>
      </c>
      <c r="C798" s="243" t="s">
        <v>1790</v>
      </c>
      <c r="D798" s="244">
        <v>35196</v>
      </c>
      <c r="E798" s="243" t="s">
        <v>858</v>
      </c>
      <c r="F798" s="243" t="s">
        <v>859</v>
      </c>
      <c r="G798" s="243" t="s">
        <v>927</v>
      </c>
      <c r="H798" s="313">
        <v>2139</v>
      </c>
      <c r="I798" s="243" t="s">
        <v>425</v>
      </c>
      <c r="J798" s="246">
        <v>27</v>
      </c>
    </row>
    <row r="799" spans="1:10" ht="15" x14ac:dyDescent="0.25">
      <c r="A799" s="243">
        <v>10001974</v>
      </c>
      <c r="B799" s="243">
        <v>8457043838</v>
      </c>
      <c r="C799" s="243" t="s">
        <v>1791</v>
      </c>
      <c r="D799" s="244">
        <v>33653</v>
      </c>
      <c r="E799" s="243" t="s">
        <v>1597</v>
      </c>
      <c r="F799" s="243" t="s">
        <v>1598</v>
      </c>
      <c r="G799" s="243" t="s">
        <v>1145</v>
      </c>
      <c r="H799" s="313">
        <v>3632</v>
      </c>
      <c r="I799" s="243" t="s">
        <v>593</v>
      </c>
      <c r="J799" s="246">
        <v>31</v>
      </c>
    </row>
    <row r="800" spans="1:10" ht="15" x14ac:dyDescent="0.25">
      <c r="A800" s="243">
        <v>10001975</v>
      </c>
      <c r="B800" s="243">
        <v>8445030736</v>
      </c>
      <c r="C800" s="243" t="s">
        <v>1792</v>
      </c>
      <c r="D800" s="244">
        <v>32452</v>
      </c>
      <c r="E800" s="243" t="s">
        <v>963</v>
      </c>
      <c r="F800" s="243" t="s">
        <v>964</v>
      </c>
      <c r="G800" s="243" t="s">
        <v>1080</v>
      </c>
      <c r="H800" s="313">
        <v>2139</v>
      </c>
      <c r="I800" s="243" t="s">
        <v>425</v>
      </c>
      <c r="J800" s="246">
        <v>35</v>
      </c>
    </row>
    <row r="801" spans="1:10" ht="15" x14ac:dyDescent="0.25">
      <c r="A801" s="243">
        <v>10001976</v>
      </c>
      <c r="B801" s="243">
        <v>8400143507</v>
      </c>
      <c r="C801" s="243" t="s">
        <v>1793</v>
      </c>
      <c r="D801" s="244">
        <v>27963</v>
      </c>
      <c r="E801" s="243" t="s">
        <v>1258</v>
      </c>
      <c r="F801" s="243" t="s">
        <v>1259</v>
      </c>
      <c r="G801" s="243" t="s">
        <v>1109</v>
      </c>
      <c r="H801" s="313">
        <v>3910</v>
      </c>
      <c r="I801" s="243" t="s">
        <v>616</v>
      </c>
      <c r="J801" s="246">
        <v>47</v>
      </c>
    </row>
    <row r="802" spans="1:10" ht="15" x14ac:dyDescent="0.25">
      <c r="A802" s="243">
        <v>10001977</v>
      </c>
      <c r="B802" s="243">
        <v>8479521163</v>
      </c>
      <c r="C802" s="243" t="s">
        <v>1794</v>
      </c>
      <c r="D802" s="244">
        <v>35901</v>
      </c>
      <c r="E802" s="243" t="s">
        <v>1172</v>
      </c>
      <c r="F802" s="243" t="s">
        <v>1173</v>
      </c>
      <c r="G802" s="243" t="s">
        <v>1145</v>
      </c>
      <c r="H802" s="313">
        <v>3910</v>
      </c>
      <c r="I802" s="243" t="s">
        <v>616</v>
      </c>
      <c r="J802" s="246">
        <v>25</v>
      </c>
    </row>
    <row r="803" spans="1:10" ht="15" x14ac:dyDescent="0.25">
      <c r="A803" s="243">
        <v>10001978</v>
      </c>
      <c r="B803" s="243">
        <v>8404893268</v>
      </c>
      <c r="C803" s="243" t="s">
        <v>1795</v>
      </c>
      <c r="D803" s="244">
        <v>28438</v>
      </c>
      <c r="E803" s="243" t="s">
        <v>1684</v>
      </c>
      <c r="F803" s="243" t="s">
        <v>1685</v>
      </c>
      <c r="G803" s="243" t="s">
        <v>1109</v>
      </c>
      <c r="H803" s="313">
        <v>2910</v>
      </c>
      <c r="I803" s="243" t="s">
        <v>518</v>
      </c>
      <c r="J803" s="246">
        <v>46</v>
      </c>
    </row>
    <row r="804" spans="1:10" ht="15" x14ac:dyDescent="0.25">
      <c r="A804" s="243">
        <v>10001979</v>
      </c>
      <c r="B804" s="243">
        <v>8405900829</v>
      </c>
      <c r="C804" s="243" t="s">
        <v>1796</v>
      </c>
      <c r="D804" s="244">
        <v>28539</v>
      </c>
      <c r="E804" s="243" t="s">
        <v>867</v>
      </c>
      <c r="F804" s="243" t="s">
        <v>868</v>
      </c>
      <c r="G804" s="243" t="s">
        <v>997</v>
      </c>
      <c r="H804" s="313">
        <v>2624</v>
      </c>
      <c r="I804" s="243" t="s">
        <v>497</v>
      </c>
      <c r="J804" s="246">
        <v>45</v>
      </c>
    </row>
    <row r="805" spans="1:10" ht="15" x14ac:dyDescent="0.25">
      <c r="A805" s="243">
        <v>10001980</v>
      </c>
      <c r="B805" s="243">
        <v>8415364997</v>
      </c>
      <c r="C805" s="243" t="s">
        <v>1797</v>
      </c>
      <c r="D805" s="244">
        <v>29485</v>
      </c>
      <c r="E805" s="243" t="s">
        <v>880</v>
      </c>
      <c r="F805" s="243" t="s">
        <v>881</v>
      </c>
      <c r="G805" s="243" t="s">
        <v>1020</v>
      </c>
      <c r="H805" s="313">
        <v>2410</v>
      </c>
      <c r="I805" s="243" t="s">
        <v>462</v>
      </c>
      <c r="J805" s="246">
        <v>43</v>
      </c>
    </row>
    <row r="806" spans="1:10" ht="15" x14ac:dyDescent="0.25">
      <c r="A806" s="243">
        <v>10001981</v>
      </c>
      <c r="B806" s="243">
        <v>8371850115</v>
      </c>
      <c r="C806" s="243" t="s">
        <v>1798</v>
      </c>
      <c r="D806" s="244">
        <v>25134</v>
      </c>
      <c r="E806" s="243" t="s">
        <v>929</v>
      </c>
      <c r="F806" s="243" t="s">
        <v>930</v>
      </c>
      <c r="G806" s="243" t="s">
        <v>985</v>
      </c>
      <c r="H806" s="313">
        <v>2410</v>
      </c>
      <c r="I806" s="243" t="s">
        <v>462</v>
      </c>
      <c r="J806" s="246">
        <v>55</v>
      </c>
    </row>
    <row r="807" spans="1:10" ht="15" x14ac:dyDescent="0.25">
      <c r="A807" s="243">
        <v>10001982</v>
      </c>
      <c r="B807" s="243">
        <v>8450030404</v>
      </c>
      <c r="C807" s="243" t="s">
        <v>1799</v>
      </c>
      <c r="D807" s="244">
        <v>32952</v>
      </c>
      <c r="E807" s="243" t="s">
        <v>920</v>
      </c>
      <c r="F807" s="243" t="s">
        <v>921</v>
      </c>
      <c r="G807" s="243" t="s">
        <v>1123</v>
      </c>
      <c r="H807" s="313">
        <v>2410</v>
      </c>
      <c r="I807" s="243" t="s">
        <v>462</v>
      </c>
      <c r="J807" s="246">
        <v>33</v>
      </c>
    </row>
    <row r="808" spans="1:10" ht="15" x14ac:dyDescent="0.25">
      <c r="A808" s="243">
        <v>10001983</v>
      </c>
      <c r="B808" s="243">
        <v>8456011665</v>
      </c>
      <c r="C808" s="243" t="s">
        <v>1800</v>
      </c>
      <c r="D808" s="244">
        <v>33550</v>
      </c>
      <c r="E808" s="243" t="s">
        <v>963</v>
      </c>
      <c r="F808" s="243" t="s">
        <v>964</v>
      </c>
      <c r="G808" s="243" t="s">
        <v>1080</v>
      </c>
      <c r="H808" s="313">
        <v>2139</v>
      </c>
      <c r="I808" s="243" t="s">
        <v>425</v>
      </c>
      <c r="J808" s="246">
        <v>32</v>
      </c>
    </row>
    <row r="809" spans="1:10" ht="15" x14ac:dyDescent="0.25">
      <c r="A809" s="243">
        <v>10001984</v>
      </c>
      <c r="B809" s="243">
        <v>8472651363</v>
      </c>
      <c r="C809" s="243" t="s">
        <v>1801</v>
      </c>
      <c r="D809" s="244">
        <v>35214</v>
      </c>
      <c r="E809" s="243" t="s">
        <v>1671</v>
      </c>
      <c r="F809" s="243" t="s">
        <v>1122</v>
      </c>
      <c r="G809" s="243" t="s">
        <v>1109</v>
      </c>
      <c r="H809" s="313">
        <v>2910</v>
      </c>
      <c r="I809" s="243" t="s">
        <v>518</v>
      </c>
      <c r="J809" s="246">
        <v>27</v>
      </c>
    </row>
    <row r="810" spans="1:10" ht="15" x14ac:dyDescent="0.25">
      <c r="A810" s="243">
        <v>10001985</v>
      </c>
      <c r="B810" s="243">
        <v>8486242665</v>
      </c>
      <c r="C810" s="243" t="s">
        <v>1802</v>
      </c>
      <c r="D810" s="244">
        <v>36573</v>
      </c>
      <c r="E810" s="243" t="s">
        <v>1220</v>
      </c>
      <c r="F810" s="243" t="s">
        <v>1221</v>
      </c>
      <c r="G810" s="243" t="s">
        <v>1145</v>
      </c>
      <c r="H810" s="313">
        <v>3910</v>
      </c>
      <c r="I810" s="243" t="s">
        <v>616</v>
      </c>
      <c r="J810" s="246">
        <v>23</v>
      </c>
    </row>
    <row r="811" spans="1:10" ht="15" x14ac:dyDescent="0.25">
      <c r="A811" s="243">
        <v>10001986</v>
      </c>
      <c r="B811" s="243">
        <v>8439382790</v>
      </c>
      <c r="C811" s="243" t="s">
        <v>1803</v>
      </c>
      <c r="D811" s="244">
        <v>31887</v>
      </c>
      <c r="E811" s="243" t="s">
        <v>1617</v>
      </c>
      <c r="F811" s="243" t="s">
        <v>1618</v>
      </c>
      <c r="G811" s="243" t="s">
        <v>1109</v>
      </c>
      <c r="H811" s="313">
        <v>2910</v>
      </c>
      <c r="I811" s="243" t="s">
        <v>518</v>
      </c>
      <c r="J811" s="246">
        <v>36</v>
      </c>
    </row>
    <row r="812" spans="1:10" ht="15" x14ac:dyDescent="0.25">
      <c r="A812" s="243">
        <v>10001987</v>
      </c>
      <c r="B812" s="243">
        <v>8401383412</v>
      </c>
      <c r="C812" s="243" t="s">
        <v>1804</v>
      </c>
      <c r="D812" s="244">
        <v>28087</v>
      </c>
      <c r="E812" s="243" t="s">
        <v>1805</v>
      </c>
      <c r="F812" s="243" t="s">
        <v>1806</v>
      </c>
      <c r="G812" s="243" t="s">
        <v>1109</v>
      </c>
      <c r="H812" s="313">
        <v>2910</v>
      </c>
      <c r="I812" s="243" t="s">
        <v>518</v>
      </c>
      <c r="J812" s="246">
        <v>47</v>
      </c>
    </row>
    <row r="813" spans="1:10" ht="15" x14ac:dyDescent="0.25">
      <c r="A813" s="243">
        <v>10001988</v>
      </c>
      <c r="B813" s="243">
        <v>8455192550</v>
      </c>
      <c r="C813" s="243" t="s">
        <v>1807</v>
      </c>
      <c r="D813" s="244">
        <v>33468</v>
      </c>
      <c r="E813" s="243" t="s">
        <v>1805</v>
      </c>
      <c r="F813" s="243" t="s">
        <v>1806</v>
      </c>
      <c r="G813" s="243" t="s">
        <v>1145</v>
      </c>
      <c r="H813" s="313">
        <v>3910</v>
      </c>
      <c r="I813" s="243" t="s">
        <v>616</v>
      </c>
      <c r="J813" s="246">
        <v>32</v>
      </c>
    </row>
    <row r="814" spans="1:10" ht="15" x14ac:dyDescent="0.25">
      <c r="A814" s="243">
        <v>10001989</v>
      </c>
      <c r="B814" s="243">
        <v>8450510597</v>
      </c>
      <c r="C814" s="243" t="s">
        <v>1808</v>
      </c>
      <c r="D814" s="244">
        <v>33000</v>
      </c>
      <c r="E814" s="243" t="s">
        <v>1258</v>
      </c>
      <c r="F814" s="243" t="s">
        <v>1259</v>
      </c>
      <c r="G814" s="243" t="s">
        <v>1145</v>
      </c>
      <c r="H814" s="313">
        <v>3910</v>
      </c>
      <c r="I814" s="243" t="s">
        <v>616</v>
      </c>
      <c r="J814" s="246">
        <v>33</v>
      </c>
    </row>
    <row r="815" spans="1:10" ht="15" x14ac:dyDescent="0.25">
      <c r="A815" s="243">
        <v>10001997</v>
      </c>
      <c r="B815" s="243">
        <v>8332495547</v>
      </c>
      <c r="C815" s="243" t="s">
        <v>1809</v>
      </c>
      <c r="D815" s="244">
        <v>21198</v>
      </c>
      <c r="E815" s="243" t="s">
        <v>880</v>
      </c>
      <c r="F815" s="243" t="s">
        <v>881</v>
      </c>
      <c r="G815" s="243" t="s">
        <v>860</v>
      </c>
      <c r="H815" s="313">
        <v>2410</v>
      </c>
      <c r="I815" s="243" t="s">
        <v>462</v>
      </c>
      <c r="J815" s="246">
        <v>65</v>
      </c>
    </row>
    <row r="816" spans="1:10" ht="15" x14ac:dyDescent="0.25">
      <c r="A816" s="243">
        <v>10001998</v>
      </c>
      <c r="B816" s="243">
        <v>8412310314</v>
      </c>
      <c r="C816" s="243" t="s">
        <v>1810</v>
      </c>
      <c r="D816" s="244">
        <v>29180</v>
      </c>
      <c r="E816" s="243" t="s">
        <v>1147</v>
      </c>
      <c r="F816" s="243" t="s">
        <v>1148</v>
      </c>
      <c r="G816" s="243" t="s">
        <v>1145</v>
      </c>
      <c r="H816" s="313">
        <v>4122</v>
      </c>
      <c r="I816" s="243" t="s">
        <v>624</v>
      </c>
      <c r="J816" s="246">
        <v>44</v>
      </c>
    </row>
    <row r="817" spans="1:10" ht="15" x14ac:dyDescent="0.25">
      <c r="A817" s="243">
        <v>10001999</v>
      </c>
      <c r="B817" s="243">
        <v>8454981969</v>
      </c>
      <c r="C817" s="243" t="s">
        <v>169</v>
      </c>
      <c r="D817" s="244">
        <v>33447</v>
      </c>
      <c r="E817" s="243" t="s">
        <v>858</v>
      </c>
      <c r="F817" s="243" t="s">
        <v>859</v>
      </c>
      <c r="G817" s="243" t="s">
        <v>872</v>
      </c>
      <c r="H817" s="313">
        <v>2117</v>
      </c>
      <c r="I817" s="243" t="s">
        <v>462</v>
      </c>
      <c r="J817" s="246">
        <v>32</v>
      </c>
    </row>
    <row r="818" spans="1:10" ht="15" x14ac:dyDescent="0.25">
      <c r="A818" s="243">
        <v>10002000</v>
      </c>
      <c r="B818" s="243">
        <v>8460982173</v>
      </c>
      <c r="C818" s="243" t="s">
        <v>1811</v>
      </c>
      <c r="D818" s="244">
        <v>34047</v>
      </c>
      <c r="E818" s="243" t="s">
        <v>1373</v>
      </c>
      <c r="F818" s="243" t="s">
        <v>1374</v>
      </c>
      <c r="G818" s="243" t="s">
        <v>1145</v>
      </c>
      <c r="H818" s="313">
        <v>4112</v>
      </c>
      <c r="I818" s="243" t="s">
        <v>619</v>
      </c>
      <c r="J818" s="246">
        <v>30</v>
      </c>
    </row>
    <row r="819" spans="1:10" ht="15" x14ac:dyDescent="0.25">
      <c r="A819" s="243">
        <v>10002001</v>
      </c>
      <c r="B819" s="243">
        <v>8401664799</v>
      </c>
      <c r="C819" s="243" t="s">
        <v>1812</v>
      </c>
      <c r="D819" s="244">
        <v>28115</v>
      </c>
      <c r="E819" s="243" t="s">
        <v>1198</v>
      </c>
      <c r="F819" s="243" t="s">
        <v>1199</v>
      </c>
      <c r="G819" s="243" t="s">
        <v>1303</v>
      </c>
      <c r="H819" s="313">
        <v>2611</v>
      </c>
      <c r="I819" s="243" t="s">
        <v>488</v>
      </c>
      <c r="J819" s="246">
        <v>47</v>
      </c>
    </row>
    <row r="820" spans="1:10" ht="15" x14ac:dyDescent="0.25">
      <c r="A820" s="243">
        <v>10002002</v>
      </c>
      <c r="B820" s="243">
        <v>8442550232</v>
      </c>
      <c r="C820" s="243" t="s">
        <v>1813</v>
      </c>
      <c r="D820" s="244">
        <v>32204</v>
      </c>
      <c r="E820" s="243" t="s">
        <v>1198</v>
      </c>
      <c r="F820" s="243" t="s">
        <v>1199</v>
      </c>
      <c r="G820" s="243" t="s">
        <v>1303</v>
      </c>
      <c r="H820" s="313">
        <v>2611</v>
      </c>
      <c r="I820" s="243" t="s">
        <v>488</v>
      </c>
      <c r="J820" s="246">
        <v>35</v>
      </c>
    </row>
    <row r="821" spans="1:10" ht="15" x14ac:dyDescent="0.25">
      <c r="A821" s="243">
        <v>10002003</v>
      </c>
      <c r="B821" s="243">
        <v>8471092190</v>
      </c>
      <c r="C821" s="243" t="s">
        <v>1814</v>
      </c>
      <c r="D821" s="244">
        <v>35058</v>
      </c>
      <c r="E821" s="243" t="s">
        <v>906</v>
      </c>
      <c r="F821" s="243" t="s">
        <v>907</v>
      </c>
      <c r="G821" s="243" t="s">
        <v>1109</v>
      </c>
      <c r="H821" s="313">
        <v>2139</v>
      </c>
      <c r="I821" s="243" t="s">
        <v>425</v>
      </c>
      <c r="J821" s="246">
        <v>28</v>
      </c>
    </row>
    <row r="822" spans="1:10" ht="15" x14ac:dyDescent="0.25">
      <c r="A822" s="243">
        <v>10002004</v>
      </c>
      <c r="B822" s="243">
        <v>8419890081</v>
      </c>
      <c r="C822" s="243" t="s">
        <v>1815</v>
      </c>
      <c r="D822" s="244">
        <v>29938</v>
      </c>
      <c r="E822" s="243" t="s">
        <v>1198</v>
      </c>
      <c r="F822" s="243" t="s">
        <v>1199</v>
      </c>
      <c r="G822" s="243" t="s">
        <v>1303</v>
      </c>
      <c r="H822" s="313">
        <v>3221</v>
      </c>
      <c r="I822" s="243" t="s">
        <v>556</v>
      </c>
      <c r="J822" s="246">
        <v>42</v>
      </c>
    </row>
    <row r="823" spans="1:10" ht="15" x14ac:dyDescent="0.25">
      <c r="A823" s="243">
        <v>10002005</v>
      </c>
      <c r="B823" s="243">
        <v>8400614186</v>
      </c>
      <c r="C823" s="243" t="s">
        <v>229</v>
      </c>
      <c r="D823" s="244">
        <v>28010</v>
      </c>
      <c r="E823" s="243" t="s">
        <v>896</v>
      </c>
      <c r="F823" s="243" t="s">
        <v>897</v>
      </c>
      <c r="G823" s="243" t="s">
        <v>985</v>
      </c>
      <c r="H823" s="313">
        <v>2410</v>
      </c>
      <c r="I823" s="243" t="s">
        <v>462</v>
      </c>
      <c r="J823" s="246">
        <v>47</v>
      </c>
    </row>
    <row r="824" spans="1:10" ht="15" x14ac:dyDescent="0.25">
      <c r="A824" s="243">
        <v>10002006</v>
      </c>
      <c r="B824" s="243">
        <v>8464542070</v>
      </c>
      <c r="C824" s="243" t="s">
        <v>1816</v>
      </c>
      <c r="D824" s="244">
        <v>34403</v>
      </c>
      <c r="E824" s="243" t="s">
        <v>1191</v>
      </c>
      <c r="F824" s="243" t="s">
        <v>1192</v>
      </c>
      <c r="G824" s="243" t="s">
        <v>1109</v>
      </c>
      <c r="H824" s="313">
        <v>2139</v>
      </c>
      <c r="I824" s="243" t="s">
        <v>425</v>
      </c>
      <c r="J824" s="246">
        <v>29</v>
      </c>
    </row>
    <row r="825" spans="1:10" ht="15" x14ac:dyDescent="0.25">
      <c r="A825" s="243">
        <v>10002007</v>
      </c>
      <c r="B825" s="243">
        <v>8303113313</v>
      </c>
      <c r="C825" s="243" t="s">
        <v>1817</v>
      </c>
      <c r="D825" s="244">
        <v>18260</v>
      </c>
      <c r="E825" s="243" t="s">
        <v>858</v>
      </c>
      <c r="F825" s="243" t="s">
        <v>859</v>
      </c>
      <c r="G825" s="243" t="s">
        <v>1080</v>
      </c>
      <c r="H825" s="313">
        <v>2117</v>
      </c>
      <c r="I825" s="243" t="s">
        <v>413</v>
      </c>
      <c r="J825" s="246">
        <v>74</v>
      </c>
    </row>
    <row r="826" spans="1:10" ht="15" x14ac:dyDescent="0.25">
      <c r="A826" s="243">
        <v>10002008</v>
      </c>
      <c r="B826" s="243">
        <v>8450163250</v>
      </c>
      <c r="C826" s="243" t="s">
        <v>1818</v>
      </c>
      <c r="D826" s="244">
        <v>32965</v>
      </c>
      <c r="E826" s="243" t="s">
        <v>942</v>
      </c>
      <c r="F826" s="243" t="s">
        <v>943</v>
      </c>
      <c r="G826" s="243" t="s">
        <v>1020</v>
      </c>
      <c r="H826" s="313">
        <v>2410</v>
      </c>
      <c r="I826" s="243" t="s">
        <v>462</v>
      </c>
      <c r="J826" s="246">
        <v>33</v>
      </c>
    </row>
    <row r="827" spans="1:10" ht="15" x14ac:dyDescent="0.25">
      <c r="A827" s="243">
        <v>10002009</v>
      </c>
      <c r="B827" s="243">
        <v>8456000604</v>
      </c>
      <c r="C827" s="243" t="s">
        <v>1819</v>
      </c>
      <c r="D827" s="244">
        <v>33549</v>
      </c>
      <c r="E827" s="243" t="s">
        <v>1820</v>
      </c>
      <c r="F827" s="243" t="s">
        <v>1821</v>
      </c>
      <c r="G827" s="243" t="s">
        <v>872</v>
      </c>
      <c r="H827" s="313">
        <v>2410</v>
      </c>
      <c r="I827" s="243" t="s">
        <v>462</v>
      </c>
      <c r="J827" s="246">
        <v>32</v>
      </c>
    </row>
    <row r="828" spans="1:10" ht="15" x14ac:dyDescent="0.25">
      <c r="A828" s="243">
        <v>10002010</v>
      </c>
      <c r="B828" s="243">
        <v>8456852562</v>
      </c>
      <c r="C828" s="243" t="s">
        <v>1822</v>
      </c>
      <c r="D828" s="244">
        <v>33634</v>
      </c>
      <c r="E828" s="243" t="s">
        <v>1820</v>
      </c>
      <c r="F828" s="243" t="s">
        <v>1821</v>
      </c>
      <c r="G828" s="243" t="s">
        <v>872</v>
      </c>
      <c r="H828" s="313">
        <v>2410</v>
      </c>
      <c r="I828" s="243" t="s">
        <v>462</v>
      </c>
      <c r="J828" s="246">
        <v>31</v>
      </c>
    </row>
    <row r="829" spans="1:10" ht="15" x14ac:dyDescent="0.25">
      <c r="A829" s="243">
        <v>10002011</v>
      </c>
      <c r="B829" s="243">
        <v>8455620730</v>
      </c>
      <c r="C829" s="243" t="s">
        <v>1823</v>
      </c>
      <c r="D829" s="244">
        <v>33511</v>
      </c>
      <c r="E829" s="243" t="s">
        <v>963</v>
      </c>
      <c r="F829" s="243" t="s">
        <v>964</v>
      </c>
      <c r="G829" s="243" t="s">
        <v>1080</v>
      </c>
      <c r="H829" s="313">
        <v>2139</v>
      </c>
      <c r="I829" s="243" t="s">
        <v>425</v>
      </c>
      <c r="J829" s="246">
        <v>32</v>
      </c>
    </row>
    <row r="830" spans="1:10" ht="15" x14ac:dyDescent="0.25">
      <c r="A830" s="243">
        <v>10002012</v>
      </c>
      <c r="B830" s="243">
        <v>8477941602</v>
      </c>
      <c r="C830" s="243" t="s">
        <v>1824</v>
      </c>
      <c r="D830" s="244">
        <v>35743</v>
      </c>
      <c r="E830" s="243" t="s">
        <v>963</v>
      </c>
      <c r="F830" s="243" t="s">
        <v>964</v>
      </c>
      <c r="G830" s="243" t="s">
        <v>1080</v>
      </c>
      <c r="H830" s="313">
        <v>2121</v>
      </c>
      <c r="I830" s="243" t="s">
        <v>415</v>
      </c>
      <c r="J830" s="246">
        <v>26</v>
      </c>
    </row>
    <row r="831" spans="1:10" ht="15" x14ac:dyDescent="0.25">
      <c r="A831" s="243">
        <v>10002013</v>
      </c>
      <c r="B831" s="243">
        <v>8422550644</v>
      </c>
      <c r="C831" s="243" t="s">
        <v>1825</v>
      </c>
      <c r="D831" s="244">
        <v>30204</v>
      </c>
      <c r="E831" s="243" t="s">
        <v>1258</v>
      </c>
      <c r="F831" s="243" t="s">
        <v>1259</v>
      </c>
      <c r="G831" s="243" t="s">
        <v>1145</v>
      </c>
      <c r="H831" s="313">
        <v>3910</v>
      </c>
      <c r="I831" s="243" t="s">
        <v>616</v>
      </c>
      <c r="J831" s="246">
        <v>41</v>
      </c>
    </row>
    <row r="832" spans="1:10" ht="15" x14ac:dyDescent="0.25">
      <c r="A832" s="243">
        <v>10002014</v>
      </c>
      <c r="B832" s="243">
        <v>8471190532</v>
      </c>
      <c r="C832" s="243" t="s">
        <v>1826</v>
      </c>
      <c r="D832" s="244">
        <v>35068</v>
      </c>
      <c r="E832" s="243" t="s">
        <v>1172</v>
      </c>
      <c r="F832" s="243" t="s">
        <v>1173</v>
      </c>
      <c r="G832" s="243" t="s">
        <v>1145</v>
      </c>
      <c r="H832" s="313">
        <v>3910</v>
      </c>
      <c r="I832" s="243" t="s">
        <v>616</v>
      </c>
      <c r="J832" s="246">
        <v>27</v>
      </c>
    </row>
    <row r="833" spans="1:10" ht="15" x14ac:dyDescent="0.25">
      <c r="A833" s="243">
        <v>10002016</v>
      </c>
      <c r="B833" s="243">
        <v>8430310738</v>
      </c>
      <c r="C833" s="243" t="s">
        <v>1827</v>
      </c>
      <c r="D833" s="244">
        <v>30980</v>
      </c>
      <c r="E833" s="243" t="s">
        <v>1191</v>
      </c>
      <c r="F833" s="243" t="s">
        <v>1192</v>
      </c>
      <c r="G833" s="243" t="s">
        <v>1303</v>
      </c>
      <c r="H833" s="313">
        <v>3910</v>
      </c>
      <c r="I833" s="243" t="s">
        <v>616</v>
      </c>
      <c r="J833" s="246">
        <v>39</v>
      </c>
    </row>
    <row r="834" spans="1:10" ht="15" x14ac:dyDescent="0.25">
      <c r="A834" s="243">
        <v>10002017</v>
      </c>
      <c r="B834" s="243">
        <v>8473952286</v>
      </c>
      <c r="C834" s="243" t="s">
        <v>1828</v>
      </c>
      <c r="D834" s="244">
        <v>35344</v>
      </c>
      <c r="E834" s="243" t="s">
        <v>963</v>
      </c>
      <c r="F834" s="243" t="s">
        <v>964</v>
      </c>
      <c r="G834" s="243" t="s">
        <v>1080</v>
      </c>
      <c r="H834" s="313">
        <v>2139</v>
      </c>
      <c r="I834" s="243" t="s">
        <v>425</v>
      </c>
      <c r="J834" s="246">
        <v>27</v>
      </c>
    </row>
    <row r="835" spans="1:10" ht="15" x14ac:dyDescent="0.25">
      <c r="A835" s="243">
        <v>10002018</v>
      </c>
      <c r="B835" s="243">
        <v>8355672534</v>
      </c>
      <c r="C835" s="243" t="s">
        <v>1829</v>
      </c>
      <c r="D835" s="244">
        <v>23516</v>
      </c>
      <c r="E835" s="243" t="s">
        <v>963</v>
      </c>
      <c r="F835" s="243" t="s">
        <v>964</v>
      </c>
      <c r="G835" s="243" t="s">
        <v>1080</v>
      </c>
      <c r="H835" s="313">
        <v>2117</v>
      </c>
      <c r="I835" s="243" t="s">
        <v>413</v>
      </c>
      <c r="J835" s="246">
        <v>59</v>
      </c>
    </row>
    <row r="836" spans="1:10" ht="15" x14ac:dyDescent="0.25">
      <c r="A836" s="243">
        <v>10002019</v>
      </c>
      <c r="B836" s="243">
        <v>8488942230</v>
      </c>
      <c r="C836" s="243" t="s">
        <v>1830</v>
      </c>
      <c r="D836" s="244">
        <v>36843</v>
      </c>
      <c r="E836" s="243" t="s">
        <v>891</v>
      </c>
      <c r="F836" s="243" t="s">
        <v>892</v>
      </c>
      <c r="G836" s="243" t="s">
        <v>1831</v>
      </c>
      <c r="H836" s="313">
        <v>3115</v>
      </c>
      <c r="I836" s="243" t="s">
        <v>523</v>
      </c>
      <c r="J836" s="246">
        <v>23</v>
      </c>
    </row>
    <row r="837" spans="1:10" ht="15" x14ac:dyDescent="0.25">
      <c r="A837" s="243">
        <v>10002020</v>
      </c>
      <c r="B837" s="243">
        <v>8486551374</v>
      </c>
      <c r="C837" s="243" t="s">
        <v>1832</v>
      </c>
      <c r="D837" s="244">
        <v>36604</v>
      </c>
      <c r="E837" s="243" t="s">
        <v>1013</v>
      </c>
      <c r="F837" s="243" t="s">
        <v>1014</v>
      </c>
      <c r="G837" s="243" t="s">
        <v>1145</v>
      </c>
      <c r="H837" s="313">
        <v>3190</v>
      </c>
      <c r="I837" s="243" t="s">
        <v>552</v>
      </c>
      <c r="J837" s="246">
        <v>23</v>
      </c>
    </row>
    <row r="838" spans="1:10" ht="15" x14ac:dyDescent="0.25">
      <c r="A838" s="243">
        <v>10002021</v>
      </c>
      <c r="B838" s="243">
        <v>8479450444</v>
      </c>
      <c r="C838" s="243" t="s">
        <v>1833</v>
      </c>
      <c r="D838" s="244">
        <v>35894</v>
      </c>
      <c r="E838" s="243" t="s">
        <v>963</v>
      </c>
      <c r="F838" s="243" t="s">
        <v>964</v>
      </c>
      <c r="G838" s="243" t="s">
        <v>1145</v>
      </c>
      <c r="H838" s="313">
        <v>2910</v>
      </c>
      <c r="I838" s="243" t="s">
        <v>518</v>
      </c>
      <c r="J838" s="246">
        <v>25</v>
      </c>
    </row>
    <row r="839" spans="1:10" ht="15" x14ac:dyDescent="0.25">
      <c r="A839" s="243">
        <v>10002022</v>
      </c>
      <c r="B839" s="243">
        <v>8365593564</v>
      </c>
      <c r="C839" s="243" t="s">
        <v>1834</v>
      </c>
      <c r="D839" s="244">
        <v>24508</v>
      </c>
      <c r="E839" s="243" t="s">
        <v>963</v>
      </c>
      <c r="F839" s="243" t="s">
        <v>964</v>
      </c>
      <c r="G839" s="243" t="s">
        <v>1145</v>
      </c>
      <c r="H839" s="313">
        <v>2910</v>
      </c>
      <c r="I839" s="243" t="s">
        <v>518</v>
      </c>
      <c r="J839" s="246">
        <v>56</v>
      </c>
    </row>
    <row r="840" spans="1:10" ht="15" x14ac:dyDescent="0.25">
      <c r="A840" s="243">
        <v>10002023</v>
      </c>
      <c r="B840" s="243">
        <v>8350852550</v>
      </c>
      <c r="C840" s="243" t="s">
        <v>1835</v>
      </c>
      <c r="D840" s="244">
        <v>23034</v>
      </c>
      <c r="E840" s="243" t="s">
        <v>963</v>
      </c>
      <c r="F840" s="243" t="s">
        <v>964</v>
      </c>
      <c r="G840" s="243" t="s">
        <v>1080</v>
      </c>
      <c r="H840" s="313">
        <v>2139</v>
      </c>
      <c r="I840" s="243" t="s">
        <v>425</v>
      </c>
      <c r="J840" s="246">
        <v>60</v>
      </c>
    </row>
    <row r="841" spans="1:10" ht="15" x14ac:dyDescent="0.25">
      <c r="A841" s="243">
        <v>10002024</v>
      </c>
      <c r="B841" s="243">
        <v>8353391902</v>
      </c>
      <c r="C841" s="243" t="s">
        <v>1836</v>
      </c>
      <c r="D841" s="244">
        <v>23288</v>
      </c>
      <c r="E841" s="243" t="s">
        <v>963</v>
      </c>
      <c r="F841" s="243" t="s">
        <v>964</v>
      </c>
      <c r="G841" s="243" t="s">
        <v>1145</v>
      </c>
      <c r="H841" s="313">
        <v>2910</v>
      </c>
      <c r="I841" s="243" t="s">
        <v>518</v>
      </c>
      <c r="J841" s="246">
        <v>60</v>
      </c>
    </row>
    <row r="842" spans="1:10" ht="15" x14ac:dyDescent="0.25">
      <c r="A842" s="243">
        <v>10002025</v>
      </c>
      <c r="B842" s="243">
        <v>8443042931</v>
      </c>
      <c r="C842" s="243" t="s">
        <v>1837</v>
      </c>
      <c r="D842" s="244">
        <v>32253</v>
      </c>
      <c r="E842" s="243" t="s">
        <v>963</v>
      </c>
      <c r="F842" s="243" t="s">
        <v>964</v>
      </c>
      <c r="G842" s="243" t="s">
        <v>1080</v>
      </c>
      <c r="H842" s="313">
        <v>2168</v>
      </c>
      <c r="I842" s="243" t="s">
        <v>441</v>
      </c>
      <c r="J842" s="246">
        <v>35</v>
      </c>
    </row>
    <row r="843" spans="1:10" ht="15" x14ac:dyDescent="0.25">
      <c r="A843" s="243">
        <v>10002026</v>
      </c>
      <c r="B843" s="243">
        <v>8453660115</v>
      </c>
      <c r="C843" s="243" t="s">
        <v>1838</v>
      </c>
      <c r="D843" s="244">
        <v>33315</v>
      </c>
      <c r="E843" s="243" t="s">
        <v>963</v>
      </c>
      <c r="F843" s="243" t="s">
        <v>964</v>
      </c>
      <c r="G843" s="243" t="s">
        <v>1080</v>
      </c>
      <c r="H843" s="313">
        <v>2169</v>
      </c>
      <c r="I843" s="243" t="s">
        <v>442</v>
      </c>
      <c r="J843" s="246">
        <v>32</v>
      </c>
    </row>
    <row r="844" spans="1:10" ht="15" x14ac:dyDescent="0.25">
      <c r="A844" s="243">
        <v>10002027</v>
      </c>
      <c r="B844" s="243">
        <v>8449114357</v>
      </c>
      <c r="C844" s="243" t="s">
        <v>1839</v>
      </c>
      <c r="D844" s="244">
        <v>32860</v>
      </c>
      <c r="E844" s="243" t="s">
        <v>963</v>
      </c>
      <c r="F844" s="243" t="s">
        <v>964</v>
      </c>
      <c r="G844" s="243" t="s">
        <v>1080</v>
      </c>
      <c r="H844" s="313">
        <v>2116</v>
      </c>
      <c r="I844" s="243" t="s">
        <v>412</v>
      </c>
      <c r="J844" s="246">
        <v>34</v>
      </c>
    </row>
    <row r="845" spans="1:10" ht="15" x14ac:dyDescent="0.25">
      <c r="A845" s="243">
        <v>10002028</v>
      </c>
      <c r="B845" s="243">
        <v>8428730148</v>
      </c>
      <c r="C845" s="243" t="s">
        <v>1840</v>
      </c>
      <c r="D845" s="244">
        <v>30822</v>
      </c>
      <c r="E845" s="243" t="s">
        <v>963</v>
      </c>
      <c r="F845" s="243" t="s">
        <v>964</v>
      </c>
      <c r="G845" s="243" t="s">
        <v>1145</v>
      </c>
      <c r="H845" s="313">
        <v>3910</v>
      </c>
      <c r="I845" s="243" t="s">
        <v>616</v>
      </c>
      <c r="J845" s="246">
        <v>39</v>
      </c>
    </row>
    <row r="846" spans="1:10" ht="15" x14ac:dyDescent="0.25">
      <c r="A846" s="243">
        <v>10002029</v>
      </c>
      <c r="B846" s="243">
        <v>8439311400</v>
      </c>
      <c r="C846" s="243" t="s">
        <v>1841</v>
      </c>
      <c r="D846" s="244">
        <v>31880</v>
      </c>
      <c r="E846" s="243" t="s">
        <v>963</v>
      </c>
      <c r="F846" s="243" t="s">
        <v>964</v>
      </c>
      <c r="G846" s="243" t="s">
        <v>1080</v>
      </c>
      <c r="H846" s="313">
        <v>2116</v>
      </c>
      <c r="I846" s="243" t="s">
        <v>412</v>
      </c>
      <c r="J846" s="246">
        <v>36</v>
      </c>
    </row>
    <row r="847" spans="1:10" ht="15" x14ac:dyDescent="0.25">
      <c r="A847" s="243">
        <v>10002030</v>
      </c>
      <c r="B847" s="243">
        <v>8388670670</v>
      </c>
      <c r="C847" s="243" t="s">
        <v>1842</v>
      </c>
      <c r="D847" s="244">
        <v>26816</v>
      </c>
      <c r="E847" s="243" t="s">
        <v>963</v>
      </c>
      <c r="F847" s="243" t="s">
        <v>964</v>
      </c>
      <c r="G847" s="243" t="s">
        <v>1080</v>
      </c>
      <c r="H847" s="313">
        <v>2118</v>
      </c>
      <c r="I847" s="243" t="s">
        <v>414</v>
      </c>
      <c r="J847" s="246">
        <v>50</v>
      </c>
    </row>
    <row r="848" spans="1:10" ht="15" x14ac:dyDescent="0.25">
      <c r="A848" s="243">
        <v>10002031</v>
      </c>
      <c r="B848" s="243">
        <v>8377233223</v>
      </c>
      <c r="C848" s="243" t="s">
        <v>1843</v>
      </c>
      <c r="D848" s="244">
        <v>25672</v>
      </c>
      <c r="E848" s="243" t="s">
        <v>936</v>
      </c>
      <c r="F848" s="243" t="s">
        <v>937</v>
      </c>
      <c r="G848" s="243" t="s">
        <v>1844</v>
      </c>
      <c r="H848" s="313">
        <v>3190</v>
      </c>
      <c r="I848" s="243" t="s">
        <v>552</v>
      </c>
      <c r="J848" s="246">
        <v>53</v>
      </c>
    </row>
    <row r="849" spans="1:10" ht="15" x14ac:dyDescent="0.25">
      <c r="A849" s="243">
        <v>10002032</v>
      </c>
      <c r="B849" s="243">
        <v>8450630401</v>
      </c>
      <c r="C849" s="243" t="s">
        <v>1845</v>
      </c>
      <c r="D849" s="244">
        <v>33012</v>
      </c>
      <c r="E849" s="243" t="s">
        <v>936</v>
      </c>
      <c r="F849" s="243" t="s">
        <v>937</v>
      </c>
      <c r="G849" s="243" t="s">
        <v>927</v>
      </c>
      <c r="H849" s="313">
        <v>2118</v>
      </c>
      <c r="I849" s="243" t="s">
        <v>414</v>
      </c>
      <c r="J849" s="246">
        <v>33</v>
      </c>
    </row>
    <row r="850" spans="1:10" ht="15" x14ac:dyDescent="0.25">
      <c r="A850" s="243">
        <v>10002033</v>
      </c>
      <c r="B850" s="243">
        <v>8375352837</v>
      </c>
      <c r="C850" s="243" t="s">
        <v>1846</v>
      </c>
      <c r="D850" s="244">
        <v>25484</v>
      </c>
      <c r="E850" s="243" t="s">
        <v>963</v>
      </c>
      <c r="F850" s="243" t="s">
        <v>964</v>
      </c>
      <c r="G850" s="243" t="s">
        <v>1080</v>
      </c>
      <c r="H850" s="313">
        <v>2122</v>
      </c>
      <c r="I850" s="243" t="s">
        <v>416</v>
      </c>
      <c r="J850" s="246">
        <v>54</v>
      </c>
    </row>
    <row r="851" spans="1:10" ht="15" x14ac:dyDescent="0.25">
      <c r="A851" s="243">
        <v>10002034</v>
      </c>
      <c r="B851" s="243">
        <v>8358032285</v>
      </c>
      <c r="C851" s="243" t="s">
        <v>1847</v>
      </c>
      <c r="D851" s="244">
        <v>23752</v>
      </c>
      <c r="E851" s="243" t="s">
        <v>963</v>
      </c>
      <c r="F851" s="243" t="s">
        <v>964</v>
      </c>
      <c r="G851" s="243" t="s">
        <v>1080</v>
      </c>
      <c r="H851" s="313">
        <v>2139</v>
      </c>
      <c r="I851" s="243" t="s">
        <v>425</v>
      </c>
      <c r="J851" s="246">
        <v>58</v>
      </c>
    </row>
    <row r="852" spans="1:10" ht="15" x14ac:dyDescent="0.25">
      <c r="A852" s="243">
        <v>10002035</v>
      </c>
      <c r="B852" s="243">
        <v>8436493206</v>
      </c>
      <c r="C852" s="243" t="s">
        <v>1848</v>
      </c>
      <c r="D852" s="244">
        <v>31598</v>
      </c>
      <c r="E852" s="243" t="s">
        <v>963</v>
      </c>
      <c r="F852" s="243" t="s">
        <v>964</v>
      </c>
      <c r="G852" s="243" t="s">
        <v>1145</v>
      </c>
      <c r="H852" s="313">
        <v>2910</v>
      </c>
      <c r="I852" s="243" t="s">
        <v>518</v>
      </c>
      <c r="J852" s="246">
        <v>37</v>
      </c>
    </row>
    <row r="853" spans="1:10" ht="15" x14ac:dyDescent="0.25">
      <c r="A853" s="243">
        <v>10002036</v>
      </c>
      <c r="B853" s="243">
        <v>8440502516</v>
      </c>
      <c r="C853" s="243" t="s">
        <v>1849</v>
      </c>
      <c r="D853" s="244">
        <v>31999</v>
      </c>
      <c r="E853" s="243" t="s">
        <v>1201</v>
      </c>
      <c r="F853" s="243" t="s">
        <v>1202</v>
      </c>
      <c r="G853" s="243" t="s">
        <v>1145</v>
      </c>
      <c r="H853" s="313">
        <v>3910</v>
      </c>
      <c r="I853" s="243" t="s">
        <v>616</v>
      </c>
      <c r="J853" s="246">
        <v>36</v>
      </c>
    </row>
    <row r="854" spans="1:10" ht="15" x14ac:dyDescent="0.25">
      <c r="A854" s="243">
        <v>10002037</v>
      </c>
      <c r="B854" s="243">
        <v>8397073647</v>
      </c>
      <c r="C854" s="243" t="s">
        <v>1850</v>
      </c>
      <c r="D854" s="244">
        <v>27656</v>
      </c>
      <c r="E854" s="243" t="s">
        <v>1198</v>
      </c>
      <c r="F854" s="243" t="s">
        <v>1199</v>
      </c>
      <c r="G854" s="243" t="s">
        <v>1145</v>
      </c>
      <c r="H854" s="313">
        <v>3910</v>
      </c>
      <c r="I854" s="243" t="s">
        <v>616</v>
      </c>
      <c r="J854" s="246">
        <v>48</v>
      </c>
    </row>
    <row r="855" spans="1:10" ht="15" x14ac:dyDescent="0.25">
      <c r="A855" s="243">
        <v>10002038</v>
      </c>
      <c r="B855" s="243">
        <v>8451490050</v>
      </c>
      <c r="C855" s="243" t="s">
        <v>1851</v>
      </c>
      <c r="D855" s="244">
        <v>33098</v>
      </c>
      <c r="E855" s="243" t="s">
        <v>1278</v>
      </c>
      <c r="F855" s="243" t="s">
        <v>1279</v>
      </c>
      <c r="G855" s="243" t="s">
        <v>1109</v>
      </c>
      <c r="H855" s="313">
        <v>2910</v>
      </c>
      <c r="I855" s="243" t="s">
        <v>518</v>
      </c>
      <c r="J855" s="246">
        <v>33</v>
      </c>
    </row>
    <row r="856" spans="1:10" ht="15" x14ac:dyDescent="0.25">
      <c r="A856" s="243">
        <v>10002039</v>
      </c>
      <c r="B856" s="243">
        <v>8438973132</v>
      </c>
      <c r="C856" s="243" t="s">
        <v>1852</v>
      </c>
      <c r="D856" s="244">
        <v>31846</v>
      </c>
      <c r="E856" s="243" t="s">
        <v>963</v>
      </c>
      <c r="F856" s="243" t="s">
        <v>964</v>
      </c>
      <c r="G856" s="243" t="s">
        <v>1080</v>
      </c>
      <c r="H856" s="313">
        <v>2116</v>
      </c>
      <c r="I856" s="243" t="s">
        <v>412</v>
      </c>
      <c r="J856" s="246">
        <v>36</v>
      </c>
    </row>
    <row r="857" spans="1:10" ht="15" x14ac:dyDescent="0.25">
      <c r="A857" s="243">
        <v>10002040</v>
      </c>
      <c r="B857" s="243">
        <v>8434170299</v>
      </c>
      <c r="C857" s="243" t="s">
        <v>1853</v>
      </c>
      <c r="D857" s="244">
        <v>31366</v>
      </c>
      <c r="E857" s="243" t="s">
        <v>884</v>
      </c>
      <c r="F857" s="243" t="s">
        <v>885</v>
      </c>
      <c r="G857" s="243" t="s">
        <v>997</v>
      </c>
      <c r="H857" s="313">
        <v>2139</v>
      </c>
      <c r="I857" s="243" t="s">
        <v>425</v>
      </c>
      <c r="J857" s="246">
        <v>38</v>
      </c>
    </row>
    <row r="858" spans="1:10" ht="15" x14ac:dyDescent="0.25">
      <c r="A858" s="243">
        <v>10002041</v>
      </c>
      <c r="B858" s="243">
        <v>8481082155</v>
      </c>
      <c r="C858" s="243" t="s">
        <v>1854</v>
      </c>
      <c r="D858" s="244">
        <v>36057</v>
      </c>
      <c r="E858" s="243" t="s">
        <v>1269</v>
      </c>
      <c r="F858" s="243" t="s">
        <v>1270</v>
      </c>
      <c r="G858" s="243" t="s">
        <v>1145</v>
      </c>
      <c r="H858" s="313">
        <v>3910</v>
      </c>
      <c r="I858" s="243" t="s">
        <v>616</v>
      </c>
      <c r="J858" s="246">
        <v>25</v>
      </c>
    </row>
    <row r="859" spans="1:10" ht="15" x14ac:dyDescent="0.25">
      <c r="A859" s="243">
        <v>10002042</v>
      </c>
      <c r="B859" s="243">
        <v>8473740297</v>
      </c>
      <c r="C859" s="243" t="s">
        <v>1855</v>
      </c>
      <c r="D859" s="244">
        <v>35323</v>
      </c>
      <c r="E859" s="243" t="s">
        <v>906</v>
      </c>
      <c r="F859" s="243" t="s">
        <v>907</v>
      </c>
      <c r="G859" s="243" t="s">
        <v>1109</v>
      </c>
      <c r="H859" s="313">
        <v>2122</v>
      </c>
      <c r="I859" s="243" t="s">
        <v>416</v>
      </c>
      <c r="J859" s="246">
        <v>27</v>
      </c>
    </row>
    <row r="860" spans="1:10" ht="15" x14ac:dyDescent="0.25">
      <c r="A860" s="243">
        <v>10002043</v>
      </c>
      <c r="B860" s="243">
        <v>8377113341</v>
      </c>
      <c r="C860" s="243" t="s">
        <v>1856</v>
      </c>
      <c r="D860" s="244">
        <v>25660</v>
      </c>
      <c r="E860" s="243" t="s">
        <v>963</v>
      </c>
      <c r="F860" s="243" t="s">
        <v>964</v>
      </c>
      <c r="G860" s="243" t="s">
        <v>1080</v>
      </c>
      <c r="H860" s="313">
        <v>2139</v>
      </c>
      <c r="I860" s="243" t="s">
        <v>425</v>
      </c>
      <c r="J860" s="246">
        <v>53</v>
      </c>
    </row>
    <row r="861" spans="1:10" ht="15" x14ac:dyDescent="0.25">
      <c r="A861" s="243">
        <v>10002044</v>
      </c>
      <c r="B861" s="243">
        <v>8378243737</v>
      </c>
      <c r="C861" s="243" t="s">
        <v>1857</v>
      </c>
      <c r="D861" s="244">
        <v>25773</v>
      </c>
      <c r="E861" s="243" t="s">
        <v>1160</v>
      </c>
      <c r="F861" s="243" t="s">
        <v>1161</v>
      </c>
      <c r="G861" s="243" t="s">
        <v>1109</v>
      </c>
      <c r="H861" s="313">
        <v>1335</v>
      </c>
      <c r="I861" s="243" t="s">
        <v>397</v>
      </c>
      <c r="J861" s="246">
        <v>53</v>
      </c>
    </row>
    <row r="862" spans="1:10" ht="15" x14ac:dyDescent="0.25">
      <c r="A862" s="243">
        <v>10002045</v>
      </c>
      <c r="B862" s="243">
        <v>8465163111</v>
      </c>
      <c r="C862" s="243" t="s">
        <v>1858</v>
      </c>
      <c r="D862" s="244">
        <v>34465</v>
      </c>
      <c r="E862" s="243" t="s">
        <v>1632</v>
      </c>
      <c r="F862" s="243" t="s">
        <v>1633</v>
      </c>
      <c r="G862" s="243" t="s">
        <v>1145</v>
      </c>
      <c r="H862" s="313">
        <v>3910</v>
      </c>
      <c r="I862" s="243" t="s">
        <v>616</v>
      </c>
      <c r="J862" s="246">
        <v>29</v>
      </c>
    </row>
    <row r="863" spans="1:10" ht="15" x14ac:dyDescent="0.25">
      <c r="A863" s="243">
        <v>10002046</v>
      </c>
      <c r="B863" s="243">
        <v>8318834208</v>
      </c>
      <c r="C863" s="243" t="s">
        <v>1859</v>
      </c>
      <c r="D863" s="244">
        <v>19832</v>
      </c>
      <c r="E863" s="243" t="s">
        <v>891</v>
      </c>
      <c r="F863" s="243" t="s">
        <v>892</v>
      </c>
      <c r="G863" s="243" t="s">
        <v>1179</v>
      </c>
      <c r="H863" s="313">
        <v>3115</v>
      </c>
      <c r="I863" s="243" t="s">
        <v>523</v>
      </c>
      <c r="J863" s="246">
        <v>69</v>
      </c>
    </row>
    <row r="864" spans="1:10" ht="15" x14ac:dyDescent="0.25">
      <c r="A864" s="243">
        <v>10002047</v>
      </c>
      <c r="B864" s="243">
        <v>8480090987</v>
      </c>
      <c r="C864" s="243" t="s">
        <v>1860</v>
      </c>
      <c r="D864" s="244">
        <v>35958</v>
      </c>
      <c r="E864" s="243" t="s">
        <v>1147</v>
      </c>
      <c r="F864" s="243" t="s">
        <v>1148</v>
      </c>
      <c r="G864" s="243" t="s">
        <v>1145</v>
      </c>
      <c r="H864" s="313">
        <v>4134</v>
      </c>
      <c r="I864" s="243" t="s">
        <v>630</v>
      </c>
      <c r="J864" s="246">
        <v>25</v>
      </c>
    </row>
    <row r="865" spans="1:10" ht="15" x14ac:dyDescent="0.25">
      <c r="A865" s="243">
        <v>10002048</v>
      </c>
      <c r="B865" s="243">
        <v>8309423470</v>
      </c>
      <c r="C865" s="243" t="s">
        <v>1476</v>
      </c>
      <c r="D865" s="244">
        <v>18891</v>
      </c>
      <c r="E865" s="243" t="s">
        <v>867</v>
      </c>
      <c r="F865" s="243" t="s">
        <v>868</v>
      </c>
      <c r="G865" s="243" t="s">
        <v>1303</v>
      </c>
      <c r="H865" s="313">
        <v>2624</v>
      </c>
      <c r="I865" s="243" t="s">
        <v>497</v>
      </c>
      <c r="J865" s="246">
        <v>72</v>
      </c>
    </row>
    <row r="866" spans="1:10" ht="15" x14ac:dyDescent="0.25">
      <c r="A866" s="243">
        <v>10002049</v>
      </c>
      <c r="B866" s="243">
        <v>8485391136</v>
      </c>
      <c r="C866" s="243" t="s">
        <v>1861</v>
      </c>
      <c r="D866" s="244">
        <v>36488</v>
      </c>
      <c r="E866" s="243" t="s">
        <v>891</v>
      </c>
      <c r="F866" s="243" t="s">
        <v>892</v>
      </c>
      <c r="G866" s="243" t="s">
        <v>1179</v>
      </c>
      <c r="H866" s="313">
        <v>3139</v>
      </c>
      <c r="I866" s="243" t="s">
        <v>534</v>
      </c>
      <c r="J866" s="246">
        <v>24</v>
      </c>
    </row>
    <row r="867" spans="1:10" ht="15" x14ac:dyDescent="0.25">
      <c r="A867" s="243">
        <v>10002050</v>
      </c>
      <c r="B867" s="243">
        <v>8484210146</v>
      </c>
      <c r="C867" s="243" t="s">
        <v>1862</v>
      </c>
      <c r="D867" s="244">
        <v>36370</v>
      </c>
      <c r="E867" s="243" t="s">
        <v>858</v>
      </c>
      <c r="F867" s="243" t="s">
        <v>859</v>
      </c>
      <c r="G867" s="243" t="s">
        <v>1179</v>
      </c>
      <c r="H867" s="313">
        <v>3139</v>
      </c>
      <c r="I867" s="243" t="s">
        <v>534</v>
      </c>
      <c r="J867" s="246">
        <v>24</v>
      </c>
    </row>
    <row r="868" spans="1:10" ht="15" x14ac:dyDescent="0.25">
      <c r="A868" s="243">
        <v>10002051</v>
      </c>
      <c r="B868" s="243">
        <v>8464521502</v>
      </c>
      <c r="C868" s="243" t="s">
        <v>1568</v>
      </c>
      <c r="D868" s="244">
        <v>34401</v>
      </c>
      <c r="E868" s="243" t="s">
        <v>858</v>
      </c>
      <c r="F868" s="243" t="s">
        <v>859</v>
      </c>
      <c r="G868" s="243" t="s">
        <v>1080</v>
      </c>
      <c r="H868" s="313">
        <v>2117</v>
      </c>
      <c r="I868" s="243" t="s">
        <v>413</v>
      </c>
      <c r="J868" s="246">
        <v>29</v>
      </c>
    </row>
    <row r="869" spans="1:10" ht="15" x14ac:dyDescent="0.25">
      <c r="A869" s="243">
        <v>10002052</v>
      </c>
      <c r="B869" s="243">
        <v>8459943798</v>
      </c>
      <c r="C869" s="243" t="s">
        <v>1863</v>
      </c>
      <c r="D869" s="244">
        <v>33943</v>
      </c>
      <c r="E869" s="243" t="s">
        <v>858</v>
      </c>
      <c r="F869" s="243" t="s">
        <v>859</v>
      </c>
      <c r="G869" s="243" t="s">
        <v>1080</v>
      </c>
      <c r="H869" s="313">
        <v>2118</v>
      </c>
      <c r="I869" s="243" t="s">
        <v>414</v>
      </c>
      <c r="J869" s="246">
        <v>31</v>
      </c>
    </row>
    <row r="870" spans="1:10" ht="15" x14ac:dyDescent="0.25">
      <c r="A870" s="243">
        <v>10002053</v>
      </c>
      <c r="B870" s="243">
        <v>8452043619</v>
      </c>
      <c r="C870" s="243" t="s">
        <v>1864</v>
      </c>
      <c r="D870" s="244">
        <v>33153</v>
      </c>
      <c r="E870" s="243" t="s">
        <v>870</v>
      </c>
      <c r="F870" s="243" t="s">
        <v>871</v>
      </c>
      <c r="G870" s="243" t="s">
        <v>1080</v>
      </c>
      <c r="H870" s="313">
        <v>2167</v>
      </c>
      <c r="I870" s="243" t="s">
        <v>440</v>
      </c>
      <c r="J870" s="246">
        <v>33</v>
      </c>
    </row>
    <row r="871" spans="1:10" ht="15" x14ac:dyDescent="0.25">
      <c r="A871" s="243">
        <v>10002056</v>
      </c>
      <c r="B871" s="243">
        <v>8481051845</v>
      </c>
      <c r="C871" s="243" t="s">
        <v>1865</v>
      </c>
      <c r="D871" s="244">
        <v>36054</v>
      </c>
      <c r="E871" s="243" t="s">
        <v>1517</v>
      </c>
      <c r="F871" s="243" t="s">
        <v>1518</v>
      </c>
      <c r="G871" s="243" t="s">
        <v>1303</v>
      </c>
      <c r="H871" s="313">
        <v>2910</v>
      </c>
      <c r="I871" s="243" t="s">
        <v>518</v>
      </c>
      <c r="J871" s="246">
        <v>25</v>
      </c>
    </row>
    <row r="872" spans="1:10" ht="15" x14ac:dyDescent="0.25">
      <c r="A872" s="243">
        <v>10002057</v>
      </c>
      <c r="B872" s="243">
        <v>8463393128</v>
      </c>
      <c r="C872" s="243" t="s">
        <v>1866</v>
      </c>
      <c r="D872" s="244">
        <v>34288</v>
      </c>
      <c r="E872" s="243" t="s">
        <v>867</v>
      </c>
      <c r="F872" s="243" t="s">
        <v>868</v>
      </c>
      <c r="G872" s="243" t="s">
        <v>1145</v>
      </c>
      <c r="H872" s="313">
        <v>3910</v>
      </c>
      <c r="I872" s="243" t="s">
        <v>616</v>
      </c>
      <c r="J872" s="246">
        <v>30</v>
      </c>
    </row>
    <row r="873" spans="1:10" ht="15" x14ac:dyDescent="0.25">
      <c r="A873" s="243">
        <v>10002058</v>
      </c>
      <c r="B873" s="243">
        <v>8465210845</v>
      </c>
      <c r="C873" s="243" t="s">
        <v>1867</v>
      </c>
      <c r="D873" s="244">
        <v>34470</v>
      </c>
      <c r="E873" s="243" t="s">
        <v>874</v>
      </c>
      <c r="F873" s="243" t="s">
        <v>875</v>
      </c>
      <c r="G873" s="243" t="s">
        <v>1145</v>
      </c>
      <c r="H873" s="313">
        <v>3910</v>
      </c>
      <c r="I873" s="243" t="s">
        <v>616</v>
      </c>
      <c r="J873" s="246">
        <v>29</v>
      </c>
    </row>
    <row r="874" spans="1:10" ht="15" x14ac:dyDescent="0.25">
      <c r="A874" s="243">
        <v>10002059</v>
      </c>
      <c r="B874" s="243">
        <v>8358303319</v>
      </c>
      <c r="C874" s="243" t="s">
        <v>1868</v>
      </c>
      <c r="D874" s="244">
        <v>23779</v>
      </c>
      <c r="E874" s="243" t="s">
        <v>1639</v>
      </c>
      <c r="F874" s="243" t="s">
        <v>1640</v>
      </c>
      <c r="G874" s="243" t="s">
        <v>1109</v>
      </c>
      <c r="H874" s="313">
        <v>2624</v>
      </c>
      <c r="I874" s="243" t="s">
        <v>497</v>
      </c>
      <c r="J874" s="246">
        <v>58</v>
      </c>
    </row>
    <row r="875" spans="1:10" ht="15" x14ac:dyDescent="0.25">
      <c r="A875" s="243">
        <v>10002060</v>
      </c>
      <c r="B875" s="243">
        <v>8466090657</v>
      </c>
      <c r="C875" s="243" t="s">
        <v>1869</v>
      </c>
      <c r="D875" s="244">
        <v>34558</v>
      </c>
      <c r="E875" s="243" t="s">
        <v>963</v>
      </c>
      <c r="F875" s="243" t="s">
        <v>964</v>
      </c>
      <c r="G875" s="243" t="s">
        <v>1080</v>
      </c>
      <c r="H875" s="313">
        <v>2165</v>
      </c>
      <c r="I875" s="243" t="s">
        <v>438</v>
      </c>
      <c r="J875" s="246">
        <v>29</v>
      </c>
    </row>
    <row r="876" spans="1:10" ht="15" x14ac:dyDescent="0.25">
      <c r="A876" s="243">
        <v>10002061</v>
      </c>
      <c r="B876" s="243">
        <v>8442350756</v>
      </c>
      <c r="C876" s="243" t="s">
        <v>1870</v>
      </c>
      <c r="D876" s="244">
        <v>32184</v>
      </c>
      <c r="E876" s="243" t="s">
        <v>920</v>
      </c>
      <c r="F876" s="243" t="s">
        <v>921</v>
      </c>
      <c r="G876" s="243" t="s">
        <v>1109</v>
      </c>
      <c r="H876" s="313">
        <v>3632</v>
      </c>
      <c r="I876" s="243" t="s">
        <v>593</v>
      </c>
      <c r="J876" s="246">
        <v>35</v>
      </c>
    </row>
    <row r="877" spans="1:10" ht="15" x14ac:dyDescent="0.25">
      <c r="A877" s="243">
        <v>10002062</v>
      </c>
      <c r="B877" s="243">
        <v>8358692501</v>
      </c>
      <c r="C877" s="243" t="s">
        <v>1871</v>
      </c>
      <c r="D877" s="244">
        <v>23818</v>
      </c>
      <c r="E877" s="243" t="s">
        <v>963</v>
      </c>
      <c r="F877" s="243" t="s">
        <v>964</v>
      </c>
      <c r="G877" s="243" t="s">
        <v>1080</v>
      </c>
      <c r="H877" s="313">
        <v>2111</v>
      </c>
      <c r="I877" s="243" t="s">
        <v>407</v>
      </c>
      <c r="J877" s="246">
        <v>58</v>
      </c>
    </row>
    <row r="878" spans="1:10" ht="15" x14ac:dyDescent="0.25">
      <c r="A878" s="243">
        <v>10002063</v>
      </c>
      <c r="B878" s="243">
        <v>8367733835</v>
      </c>
      <c r="C878" s="243" t="s">
        <v>1872</v>
      </c>
      <c r="D878" s="244">
        <v>24722</v>
      </c>
      <c r="E878" s="243" t="s">
        <v>1147</v>
      </c>
      <c r="F878" s="243" t="s">
        <v>1148</v>
      </c>
      <c r="G878" s="243" t="s">
        <v>1145</v>
      </c>
      <c r="H878" s="313">
        <v>4122</v>
      </c>
      <c r="I878" s="243" t="s">
        <v>624</v>
      </c>
      <c r="J878" s="246">
        <v>56</v>
      </c>
    </row>
    <row r="879" spans="1:10" ht="15" x14ac:dyDescent="0.25">
      <c r="A879" s="243">
        <v>10002064</v>
      </c>
      <c r="B879" s="243">
        <v>8422850095</v>
      </c>
      <c r="C879" s="243" t="s">
        <v>1873</v>
      </c>
      <c r="D879" s="244">
        <v>30234</v>
      </c>
      <c r="E879" s="243" t="s">
        <v>1147</v>
      </c>
      <c r="F879" s="243" t="s">
        <v>1148</v>
      </c>
      <c r="G879" s="243" t="s">
        <v>1145</v>
      </c>
      <c r="H879" s="313">
        <v>4134</v>
      </c>
      <c r="I879" s="243" t="s">
        <v>630</v>
      </c>
      <c r="J879" s="246">
        <v>41</v>
      </c>
    </row>
    <row r="880" spans="1:10" ht="15" x14ac:dyDescent="0.25">
      <c r="A880" s="243">
        <v>10002065</v>
      </c>
      <c r="B880" s="243">
        <v>8392743369</v>
      </c>
      <c r="C880" s="243" t="s">
        <v>1874</v>
      </c>
      <c r="D880" s="244">
        <v>27223</v>
      </c>
      <c r="E880" s="243" t="s">
        <v>1135</v>
      </c>
      <c r="F880" s="243" t="s">
        <v>1136</v>
      </c>
      <c r="G880" s="243" t="s">
        <v>1303</v>
      </c>
      <c r="H880" s="313">
        <v>4229</v>
      </c>
      <c r="I880" s="243" t="s">
        <v>641</v>
      </c>
      <c r="J880" s="246">
        <v>49</v>
      </c>
    </row>
    <row r="881" spans="1:10" ht="15" x14ac:dyDescent="0.25">
      <c r="A881" s="243">
        <v>10002066</v>
      </c>
      <c r="B881" s="243">
        <v>8446450216</v>
      </c>
      <c r="C881" s="243" t="s">
        <v>1875</v>
      </c>
      <c r="D881" s="244">
        <v>32594</v>
      </c>
      <c r="E881" s="243" t="s">
        <v>1269</v>
      </c>
      <c r="F881" s="243" t="s">
        <v>1270</v>
      </c>
      <c r="G881" s="243" t="s">
        <v>1145</v>
      </c>
      <c r="H881" s="313">
        <v>2910</v>
      </c>
      <c r="I881" s="243" t="s">
        <v>518</v>
      </c>
      <c r="J881" s="246">
        <v>34</v>
      </c>
    </row>
    <row r="882" spans="1:10" ht="15" x14ac:dyDescent="0.25">
      <c r="A882" s="243">
        <v>10002067</v>
      </c>
      <c r="B882" s="243">
        <v>8474110068</v>
      </c>
      <c r="C882" s="243" t="s">
        <v>1876</v>
      </c>
      <c r="D882" s="244">
        <v>35360</v>
      </c>
      <c r="E882" s="243" t="s">
        <v>1258</v>
      </c>
      <c r="F882" s="243" t="s">
        <v>1259</v>
      </c>
      <c r="G882" s="243" t="s">
        <v>1145</v>
      </c>
      <c r="H882" s="313">
        <v>3910</v>
      </c>
      <c r="I882" s="243" t="s">
        <v>616</v>
      </c>
      <c r="J882" s="246">
        <v>27</v>
      </c>
    </row>
    <row r="883" spans="1:10" ht="15" x14ac:dyDescent="0.25">
      <c r="A883" s="243">
        <v>10002068</v>
      </c>
      <c r="B883" s="243">
        <v>8462660505</v>
      </c>
      <c r="C883" s="243" t="s">
        <v>1877</v>
      </c>
      <c r="D883" s="244">
        <v>34215</v>
      </c>
      <c r="E883" s="243" t="s">
        <v>1258</v>
      </c>
      <c r="F883" s="243" t="s">
        <v>1259</v>
      </c>
      <c r="G883" s="243" t="s">
        <v>1145</v>
      </c>
      <c r="H883" s="313">
        <v>3910</v>
      </c>
      <c r="I883" s="243" t="s">
        <v>616</v>
      </c>
      <c r="J883" s="246">
        <v>30</v>
      </c>
    </row>
    <row r="884" spans="1:10" ht="15" x14ac:dyDescent="0.25">
      <c r="A884" s="243">
        <v>10002069</v>
      </c>
      <c r="B884" s="243">
        <v>8457462482</v>
      </c>
      <c r="C884" s="243" t="s">
        <v>1878</v>
      </c>
      <c r="D884" s="244">
        <v>33695</v>
      </c>
      <c r="E884" s="243" t="s">
        <v>1160</v>
      </c>
      <c r="F884" s="243" t="s">
        <v>1161</v>
      </c>
      <c r="G884" s="243" t="s">
        <v>1109</v>
      </c>
      <c r="H884" s="313">
        <v>2910</v>
      </c>
      <c r="I884" s="243" t="s">
        <v>518</v>
      </c>
      <c r="J884" s="246">
        <v>31</v>
      </c>
    </row>
    <row r="885" spans="1:10" ht="15" x14ac:dyDescent="0.25">
      <c r="A885" s="243">
        <v>10002070</v>
      </c>
      <c r="B885" s="243">
        <v>8341122936</v>
      </c>
      <c r="C885" s="243" t="s">
        <v>1879</v>
      </c>
      <c r="D885" s="244">
        <v>22061</v>
      </c>
      <c r="E885" s="243" t="s">
        <v>906</v>
      </c>
      <c r="F885" s="243" t="s">
        <v>907</v>
      </c>
      <c r="G885" s="243" t="s">
        <v>1303</v>
      </c>
      <c r="H885" s="313">
        <v>2116</v>
      </c>
      <c r="I885" s="243" t="s">
        <v>412</v>
      </c>
      <c r="J885" s="246">
        <v>63</v>
      </c>
    </row>
    <row r="886" spans="1:10" ht="15" x14ac:dyDescent="0.25">
      <c r="A886" s="243">
        <v>10002071</v>
      </c>
      <c r="B886" s="243">
        <v>8464281692</v>
      </c>
      <c r="C886" s="243" t="s">
        <v>1880</v>
      </c>
      <c r="D886" s="244">
        <v>34377</v>
      </c>
      <c r="E886" s="243" t="s">
        <v>902</v>
      </c>
      <c r="F886" s="243" t="s">
        <v>903</v>
      </c>
      <c r="G886" s="243" t="s">
        <v>1020</v>
      </c>
      <c r="H886" s="313">
        <v>2410</v>
      </c>
      <c r="I886" s="243" t="s">
        <v>462</v>
      </c>
      <c r="J886" s="246">
        <v>29</v>
      </c>
    </row>
    <row r="887" spans="1:10" ht="15" x14ac:dyDescent="0.25">
      <c r="A887" s="243">
        <v>10002072</v>
      </c>
      <c r="B887" s="243">
        <v>8462140455</v>
      </c>
      <c r="C887" s="243" t="s">
        <v>1881</v>
      </c>
      <c r="D887" s="244">
        <v>34163</v>
      </c>
      <c r="E887" s="243" t="s">
        <v>1160</v>
      </c>
      <c r="F887" s="243" t="s">
        <v>1161</v>
      </c>
      <c r="G887" s="243" t="s">
        <v>1235</v>
      </c>
      <c r="H887" s="313">
        <v>3910</v>
      </c>
      <c r="I887" s="243" t="s">
        <v>616</v>
      </c>
      <c r="J887" s="246">
        <v>30</v>
      </c>
    </row>
    <row r="888" spans="1:10" ht="15" x14ac:dyDescent="0.25">
      <c r="A888" s="243">
        <v>10002073</v>
      </c>
      <c r="B888" s="243">
        <v>8374523034</v>
      </c>
      <c r="C888" s="243" t="s">
        <v>1882</v>
      </c>
      <c r="D888" s="244">
        <v>25401</v>
      </c>
      <c r="E888" s="243" t="s">
        <v>867</v>
      </c>
      <c r="F888" s="243" t="s">
        <v>868</v>
      </c>
      <c r="G888" s="243" t="s">
        <v>985</v>
      </c>
      <c r="H888" s="313">
        <v>2410</v>
      </c>
      <c r="I888" s="243" t="s">
        <v>462</v>
      </c>
      <c r="J888" s="246">
        <v>54</v>
      </c>
    </row>
    <row r="889" spans="1:10" ht="15" x14ac:dyDescent="0.25">
      <c r="A889" s="243">
        <v>10002074</v>
      </c>
      <c r="B889" s="243">
        <v>8469820931</v>
      </c>
      <c r="C889" s="243" t="s">
        <v>1883</v>
      </c>
      <c r="D889" s="244">
        <v>34931</v>
      </c>
      <c r="E889" s="243" t="s">
        <v>902</v>
      </c>
      <c r="F889" s="243" t="s">
        <v>903</v>
      </c>
      <c r="G889" s="243" t="s">
        <v>1020</v>
      </c>
      <c r="H889" s="313">
        <v>2410</v>
      </c>
      <c r="I889" s="243" t="s">
        <v>462</v>
      </c>
      <c r="J889" s="246">
        <v>28</v>
      </c>
    </row>
    <row r="890" spans="1:10" ht="15" x14ac:dyDescent="0.25">
      <c r="A890" s="243">
        <v>10002075</v>
      </c>
      <c r="B890" s="243">
        <v>8488690673</v>
      </c>
      <c r="C890" s="243" t="s">
        <v>1884</v>
      </c>
      <c r="D890" s="244">
        <v>36818</v>
      </c>
      <c r="E890" s="243" t="s">
        <v>963</v>
      </c>
      <c r="F890" s="243" t="s">
        <v>964</v>
      </c>
      <c r="G890" s="243" t="s">
        <v>1145</v>
      </c>
      <c r="H890" s="313">
        <v>3910</v>
      </c>
      <c r="I890" s="243" t="s">
        <v>616</v>
      </c>
      <c r="J890" s="246">
        <v>23</v>
      </c>
    </row>
    <row r="891" spans="1:10" ht="15" x14ac:dyDescent="0.25">
      <c r="A891" s="243">
        <v>10002076</v>
      </c>
      <c r="B891" s="243">
        <v>8448150856</v>
      </c>
      <c r="C891" s="243" t="s">
        <v>1885</v>
      </c>
      <c r="D891" s="244">
        <v>32764</v>
      </c>
      <c r="E891" s="243" t="s">
        <v>1121</v>
      </c>
      <c r="F891" s="243" t="s">
        <v>1122</v>
      </c>
      <c r="G891" s="243" t="s">
        <v>1109</v>
      </c>
      <c r="H891" s="313">
        <v>3910</v>
      </c>
      <c r="I891" s="243" t="s">
        <v>616</v>
      </c>
      <c r="J891" s="246">
        <v>34</v>
      </c>
    </row>
    <row r="892" spans="1:10" ht="15" x14ac:dyDescent="0.25">
      <c r="A892" s="243">
        <v>10002077</v>
      </c>
      <c r="B892" s="243">
        <v>8411764036</v>
      </c>
      <c r="C892" s="243" t="s">
        <v>1886</v>
      </c>
      <c r="D892" s="244">
        <v>29125</v>
      </c>
      <c r="E892" s="243" t="s">
        <v>902</v>
      </c>
      <c r="F892" s="243" t="s">
        <v>903</v>
      </c>
      <c r="G892" s="243" t="s">
        <v>1378</v>
      </c>
      <c r="H892" s="313">
        <v>2410</v>
      </c>
      <c r="I892" s="243" t="s">
        <v>462</v>
      </c>
      <c r="J892" s="246">
        <v>44</v>
      </c>
    </row>
    <row r="893" spans="1:10" ht="15" x14ac:dyDescent="0.25">
      <c r="A893" s="243">
        <v>10002078</v>
      </c>
      <c r="B893" s="243">
        <v>8464484135</v>
      </c>
      <c r="C893" s="243" t="s">
        <v>1887</v>
      </c>
      <c r="D893" s="244">
        <v>34397</v>
      </c>
      <c r="E893" s="243" t="s">
        <v>880</v>
      </c>
      <c r="F893" s="243" t="s">
        <v>881</v>
      </c>
      <c r="G893" s="243" t="s">
        <v>1020</v>
      </c>
      <c r="H893" s="313">
        <v>2410</v>
      </c>
      <c r="I893" s="243" t="s">
        <v>462</v>
      </c>
      <c r="J893" s="246">
        <v>29</v>
      </c>
    </row>
    <row r="894" spans="1:10" ht="15" x14ac:dyDescent="0.25">
      <c r="A894" s="243">
        <v>10002079</v>
      </c>
      <c r="B894" s="243">
        <v>8427273789</v>
      </c>
      <c r="C894" s="243" t="s">
        <v>1888</v>
      </c>
      <c r="D894" s="244">
        <v>30676</v>
      </c>
      <c r="E894" s="243" t="s">
        <v>867</v>
      </c>
      <c r="F894" s="243" t="s">
        <v>868</v>
      </c>
      <c r="G894" s="243" t="s">
        <v>974</v>
      </c>
      <c r="H894" s="313">
        <v>2166</v>
      </c>
      <c r="I894" s="243" t="s">
        <v>439</v>
      </c>
      <c r="J894" s="246">
        <v>40</v>
      </c>
    </row>
    <row r="895" spans="1:10" ht="15" x14ac:dyDescent="0.25">
      <c r="A895" s="243">
        <v>10002080</v>
      </c>
      <c r="B895" s="243">
        <v>8427800118</v>
      </c>
      <c r="C895" s="243" t="s">
        <v>1889</v>
      </c>
      <c r="D895" s="244">
        <v>30729</v>
      </c>
      <c r="E895" s="243" t="s">
        <v>902</v>
      </c>
      <c r="F895" s="243" t="s">
        <v>903</v>
      </c>
      <c r="G895" s="243" t="s">
        <v>1020</v>
      </c>
      <c r="H895" s="313">
        <v>2410</v>
      </c>
      <c r="I895" s="243" t="s">
        <v>462</v>
      </c>
      <c r="J895" s="246">
        <v>39</v>
      </c>
    </row>
    <row r="896" spans="1:10" ht="15" x14ac:dyDescent="0.25">
      <c r="A896" s="243">
        <v>10002081</v>
      </c>
      <c r="B896" s="243">
        <v>8459391582</v>
      </c>
      <c r="C896" s="243" t="s">
        <v>1890</v>
      </c>
      <c r="D896" s="244">
        <v>33888</v>
      </c>
      <c r="E896" s="243" t="s">
        <v>902</v>
      </c>
      <c r="F896" s="243" t="s">
        <v>903</v>
      </c>
      <c r="G896" s="243" t="s">
        <v>1378</v>
      </c>
      <c r="H896" s="313">
        <v>2410</v>
      </c>
      <c r="I896" s="243" t="s">
        <v>462</v>
      </c>
      <c r="J896" s="246">
        <v>31</v>
      </c>
    </row>
    <row r="897" spans="1:10" ht="15" x14ac:dyDescent="0.25">
      <c r="A897" s="243">
        <v>10002082</v>
      </c>
      <c r="B897" s="243">
        <v>8460831345</v>
      </c>
      <c r="C897" s="243" t="s">
        <v>1891</v>
      </c>
      <c r="D897" s="244">
        <v>34032</v>
      </c>
      <c r="E897" s="243" t="s">
        <v>963</v>
      </c>
      <c r="F897" s="243" t="s">
        <v>964</v>
      </c>
      <c r="G897" s="243" t="s">
        <v>1145</v>
      </c>
      <c r="H897" s="313">
        <v>3910</v>
      </c>
      <c r="I897" s="243" t="s">
        <v>616</v>
      </c>
      <c r="J897" s="246">
        <v>30</v>
      </c>
    </row>
    <row r="898" spans="1:10" ht="15" x14ac:dyDescent="0.25">
      <c r="A898" s="243">
        <v>10002083</v>
      </c>
      <c r="B898" s="243">
        <v>8396355045</v>
      </c>
      <c r="C898" s="243" t="s">
        <v>1892</v>
      </c>
      <c r="D898" s="244">
        <v>27584</v>
      </c>
      <c r="E898" s="243" t="s">
        <v>936</v>
      </c>
      <c r="F898" s="243" t="s">
        <v>937</v>
      </c>
      <c r="G898" s="243" t="s">
        <v>1080</v>
      </c>
      <c r="H898" s="313">
        <v>2118</v>
      </c>
      <c r="I898" s="243" t="s">
        <v>414</v>
      </c>
      <c r="J898" s="246">
        <v>48</v>
      </c>
    </row>
    <row r="899" spans="1:10" ht="15" x14ac:dyDescent="0.25">
      <c r="A899" s="243">
        <v>10002084</v>
      </c>
      <c r="B899" s="243">
        <v>8484400956</v>
      </c>
      <c r="C899" s="243" t="s">
        <v>1893</v>
      </c>
      <c r="D899" s="244">
        <v>36389</v>
      </c>
      <c r="E899" s="243" t="s">
        <v>1121</v>
      </c>
      <c r="F899" s="243" t="s">
        <v>1122</v>
      </c>
      <c r="G899" s="243" t="s">
        <v>1145</v>
      </c>
      <c r="H899" s="313">
        <v>3910</v>
      </c>
      <c r="I899" s="243" t="s">
        <v>616</v>
      </c>
      <c r="J899" s="246">
        <v>24</v>
      </c>
    </row>
    <row r="900" spans="1:10" ht="15" x14ac:dyDescent="0.25">
      <c r="A900" s="243">
        <v>10002085</v>
      </c>
      <c r="B900" s="243">
        <v>8468190098</v>
      </c>
      <c r="C900" s="243" t="s">
        <v>1894</v>
      </c>
      <c r="D900" s="244">
        <v>34768</v>
      </c>
      <c r="E900" s="243" t="s">
        <v>1373</v>
      </c>
      <c r="F900" s="243" t="s">
        <v>1374</v>
      </c>
      <c r="G900" s="243" t="s">
        <v>1145</v>
      </c>
      <c r="H900" s="313">
        <v>2132</v>
      </c>
      <c r="I900" s="243" t="s">
        <v>419</v>
      </c>
      <c r="J900" s="246">
        <v>28</v>
      </c>
    </row>
    <row r="901" spans="1:10" ht="15" x14ac:dyDescent="0.25">
      <c r="A901" s="243">
        <v>10002086</v>
      </c>
      <c r="B901" s="243">
        <v>8477182833</v>
      </c>
      <c r="C901" s="243" t="s">
        <v>1895</v>
      </c>
      <c r="D901" s="244">
        <v>35667</v>
      </c>
      <c r="E901" s="243" t="s">
        <v>920</v>
      </c>
      <c r="F901" s="243" t="s">
        <v>921</v>
      </c>
      <c r="G901" s="243" t="s">
        <v>1123</v>
      </c>
      <c r="H901" s="313">
        <v>2410</v>
      </c>
      <c r="I901" s="243" t="s">
        <v>462</v>
      </c>
      <c r="J901" s="246">
        <v>26</v>
      </c>
    </row>
    <row r="902" spans="1:10" ht="15" x14ac:dyDescent="0.25">
      <c r="A902" s="243">
        <v>10002087</v>
      </c>
      <c r="B902" s="243">
        <v>8423311996</v>
      </c>
      <c r="C902" s="243" t="s">
        <v>1896</v>
      </c>
      <c r="D902" s="244">
        <v>30280</v>
      </c>
      <c r="E902" s="243" t="s">
        <v>920</v>
      </c>
      <c r="F902" s="243" t="s">
        <v>921</v>
      </c>
      <c r="G902" s="243" t="s">
        <v>1123</v>
      </c>
      <c r="H902" s="313">
        <v>2410</v>
      </c>
      <c r="I902" s="243" t="s">
        <v>462</v>
      </c>
      <c r="J902" s="246">
        <v>41</v>
      </c>
    </row>
    <row r="903" spans="1:10" ht="15" x14ac:dyDescent="0.25">
      <c r="A903" s="243">
        <v>10002088</v>
      </c>
      <c r="B903" s="243">
        <v>8463713424</v>
      </c>
      <c r="C903" s="243" t="s">
        <v>1897</v>
      </c>
      <c r="D903" s="244">
        <v>34320</v>
      </c>
      <c r="E903" s="243" t="s">
        <v>1160</v>
      </c>
      <c r="F903" s="243" t="s">
        <v>1161</v>
      </c>
      <c r="G903" s="243" t="s">
        <v>1898</v>
      </c>
      <c r="H903" s="313">
        <v>2910</v>
      </c>
      <c r="I903" s="243" t="s">
        <v>518</v>
      </c>
      <c r="J903" s="246">
        <v>30</v>
      </c>
    </row>
    <row r="904" spans="1:10" ht="15" x14ac:dyDescent="0.25">
      <c r="A904" s="243">
        <v>10002089</v>
      </c>
      <c r="B904" s="243">
        <v>8453561745</v>
      </c>
      <c r="C904" s="243" t="s">
        <v>1899</v>
      </c>
      <c r="D904" s="244">
        <v>33305</v>
      </c>
      <c r="E904" s="243" t="s">
        <v>1160</v>
      </c>
      <c r="F904" s="243" t="s">
        <v>1161</v>
      </c>
      <c r="G904" s="243" t="s">
        <v>1109</v>
      </c>
      <c r="H904" s="313">
        <v>2629</v>
      </c>
      <c r="I904" s="243" t="s">
        <v>502</v>
      </c>
      <c r="J904" s="246">
        <v>32</v>
      </c>
    </row>
    <row r="905" spans="1:10" ht="15" x14ac:dyDescent="0.25">
      <c r="A905" s="243">
        <v>10002090</v>
      </c>
      <c r="B905" s="243">
        <v>8427691262</v>
      </c>
      <c r="C905" s="243" t="s">
        <v>1900</v>
      </c>
      <c r="D905" s="244">
        <v>30718</v>
      </c>
      <c r="E905" s="243" t="s">
        <v>1620</v>
      </c>
      <c r="F905" s="243" t="s">
        <v>1621</v>
      </c>
      <c r="G905" s="243" t="s">
        <v>918</v>
      </c>
      <c r="H905" s="313">
        <v>1328</v>
      </c>
      <c r="I905" s="243" t="s">
        <v>391</v>
      </c>
      <c r="J905" s="246">
        <v>39</v>
      </c>
    </row>
    <row r="906" spans="1:10" ht="15" x14ac:dyDescent="0.25">
      <c r="A906" s="243">
        <v>10002091</v>
      </c>
      <c r="B906" s="243">
        <v>8356123089</v>
      </c>
      <c r="C906" s="243" t="s">
        <v>1901</v>
      </c>
      <c r="D906" s="244">
        <v>23561</v>
      </c>
      <c r="E906" s="243" t="s">
        <v>1626</v>
      </c>
      <c r="F906" s="243" t="s">
        <v>1627</v>
      </c>
      <c r="G906" s="243" t="s">
        <v>997</v>
      </c>
      <c r="H906" s="313">
        <v>1328</v>
      </c>
      <c r="I906" s="243" t="s">
        <v>391</v>
      </c>
      <c r="J906" s="246">
        <v>59</v>
      </c>
    </row>
    <row r="907" spans="1:10" ht="15" x14ac:dyDescent="0.25">
      <c r="A907" s="243">
        <v>10002092</v>
      </c>
      <c r="B907" s="243">
        <v>8336430938</v>
      </c>
      <c r="C907" s="243" t="s">
        <v>1902</v>
      </c>
      <c r="D907" s="244">
        <v>21592</v>
      </c>
      <c r="E907" s="243" t="s">
        <v>1820</v>
      </c>
      <c r="F907" s="243" t="s">
        <v>1821</v>
      </c>
      <c r="G907" s="243" t="s">
        <v>985</v>
      </c>
      <c r="H907" s="313">
        <v>2410</v>
      </c>
      <c r="I907" s="243" t="s">
        <v>462</v>
      </c>
      <c r="J907" s="246">
        <v>64</v>
      </c>
    </row>
    <row r="908" spans="1:10" ht="15" x14ac:dyDescent="0.25">
      <c r="A908" s="243">
        <v>10002093</v>
      </c>
      <c r="B908" s="243">
        <v>8361542329</v>
      </c>
      <c r="C908" s="243" t="s">
        <v>1903</v>
      </c>
      <c r="D908" s="244">
        <v>24103</v>
      </c>
      <c r="E908" s="243" t="s">
        <v>1157</v>
      </c>
      <c r="F908" s="243" t="s">
        <v>1158</v>
      </c>
      <c r="G908" s="243" t="s">
        <v>918</v>
      </c>
      <c r="H908" s="313">
        <v>2410</v>
      </c>
      <c r="I908" s="243" t="s">
        <v>462</v>
      </c>
      <c r="J908" s="246">
        <v>58</v>
      </c>
    </row>
    <row r="909" spans="1:10" ht="15" x14ac:dyDescent="0.25">
      <c r="A909" s="243">
        <v>10002094</v>
      </c>
      <c r="B909" s="243">
        <v>8488731965</v>
      </c>
      <c r="C909" s="243" t="s">
        <v>1904</v>
      </c>
      <c r="D909" s="244">
        <v>36822</v>
      </c>
      <c r="E909" s="243" t="s">
        <v>1269</v>
      </c>
      <c r="F909" s="243" t="s">
        <v>1270</v>
      </c>
      <c r="G909" s="243" t="s">
        <v>1145</v>
      </c>
      <c r="H909" s="313">
        <v>2152</v>
      </c>
      <c r="I909" s="243" t="s">
        <v>432</v>
      </c>
      <c r="J909" s="246">
        <v>23</v>
      </c>
    </row>
    <row r="910" spans="1:10" ht="15" x14ac:dyDescent="0.25">
      <c r="A910" s="243">
        <v>10002095</v>
      </c>
      <c r="B910" s="243">
        <v>8462144000</v>
      </c>
      <c r="C910" s="243" t="s">
        <v>1905</v>
      </c>
      <c r="D910" s="244">
        <v>34163</v>
      </c>
      <c r="E910" s="243" t="s">
        <v>858</v>
      </c>
      <c r="F910" s="243" t="s">
        <v>859</v>
      </c>
      <c r="G910" s="243" t="s">
        <v>1080</v>
      </c>
      <c r="H910" s="313">
        <v>2117</v>
      </c>
      <c r="I910" s="243" t="s">
        <v>413</v>
      </c>
      <c r="J910" s="246">
        <v>30</v>
      </c>
    </row>
    <row r="911" spans="1:10" ht="15" x14ac:dyDescent="0.25">
      <c r="A911" s="243">
        <v>10002096</v>
      </c>
      <c r="B911" s="243">
        <v>8406724838</v>
      </c>
      <c r="C911" s="243" t="s">
        <v>1906</v>
      </c>
      <c r="D911" s="244">
        <v>28621</v>
      </c>
      <c r="E911" s="243" t="s">
        <v>963</v>
      </c>
      <c r="F911" s="243" t="s">
        <v>964</v>
      </c>
      <c r="G911" s="243" t="s">
        <v>1109</v>
      </c>
      <c r="H911" s="313">
        <v>2910</v>
      </c>
      <c r="I911" s="243" t="s">
        <v>518</v>
      </c>
      <c r="J911" s="246">
        <v>45</v>
      </c>
    </row>
    <row r="912" spans="1:10" ht="15" x14ac:dyDescent="0.25">
      <c r="A912" s="243">
        <v>10002097</v>
      </c>
      <c r="B912" s="243">
        <v>8413021448</v>
      </c>
      <c r="C912" s="243" t="s">
        <v>1907</v>
      </c>
      <c r="D912" s="244">
        <v>29251</v>
      </c>
      <c r="E912" s="243" t="s">
        <v>963</v>
      </c>
      <c r="F912" s="243" t="s">
        <v>964</v>
      </c>
      <c r="G912" s="243" t="s">
        <v>1080</v>
      </c>
      <c r="H912" s="313">
        <v>2132</v>
      </c>
      <c r="I912" s="243" t="s">
        <v>419</v>
      </c>
      <c r="J912" s="246">
        <v>43</v>
      </c>
    </row>
    <row r="913" spans="1:10" ht="15" x14ac:dyDescent="0.25">
      <c r="A913" s="243">
        <v>10002098</v>
      </c>
      <c r="B913" s="243">
        <v>8413741289</v>
      </c>
      <c r="C913" s="243" t="s">
        <v>1908</v>
      </c>
      <c r="D913" s="244">
        <v>29323</v>
      </c>
      <c r="E913" s="243" t="s">
        <v>963</v>
      </c>
      <c r="F913" s="243" t="s">
        <v>964</v>
      </c>
      <c r="G913" s="243" t="s">
        <v>1109</v>
      </c>
      <c r="H913" s="313">
        <v>2910</v>
      </c>
      <c r="I913" s="243" t="s">
        <v>518</v>
      </c>
      <c r="J913" s="246">
        <v>43</v>
      </c>
    </row>
    <row r="914" spans="1:10" ht="15" x14ac:dyDescent="0.25">
      <c r="A914" s="243">
        <v>10002099</v>
      </c>
      <c r="B914" s="243">
        <v>8376910663</v>
      </c>
      <c r="C914" s="243" t="s">
        <v>1909</v>
      </c>
      <c r="D914" s="244">
        <v>25640</v>
      </c>
      <c r="E914" s="243" t="s">
        <v>1013</v>
      </c>
      <c r="F914" s="243" t="s">
        <v>1014</v>
      </c>
      <c r="G914" s="243" t="s">
        <v>1080</v>
      </c>
      <c r="H914" s="313">
        <v>3190</v>
      </c>
      <c r="I914" s="243" t="s">
        <v>552</v>
      </c>
      <c r="J914" s="246">
        <v>53</v>
      </c>
    </row>
    <row r="915" spans="1:10" ht="15" x14ac:dyDescent="0.25">
      <c r="A915" s="243">
        <v>10002101</v>
      </c>
      <c r="B915" s="243">
        <v>8440192479</v>
      </c>
      <c r="C915" s="243" t="s">
        <v>1910</v>
      </c>
      <c r="D915" s="244">
        <v>31968</v>
      </c>
      <c r="E915" s="243" t="s">
        <v>1141</v>
      </c>
      <c r="F915" s="243" t="s">
        <v>1142</v>
      </c>
      <c r="G915" s="243" t="s">
        <v>1145</v>
      </c>
      <c r="H915" s="313">
        <v>3611</v>
      </c>
      <c r="I915" s="243" t="s">
        <v>581</v>
      </c>
      <c r="J915" s="246">
        <v>36</v>
      </c>
    </row>
    <row r="916" spans="1:10" ht="15" x14ac:dyDescent="0.25">
      <c r="A916" s="243">
        <v>10002102</v>
      </c>
      <c r="B916" s="243">
        <v>8370713343</v>
      </c>
      <c r="C916" s="243" t="s">
        <v>1911</v>
      </c>
      <c r="D916" s="244">
        <v>25020</v>
      </c>
      <c r="E916" s="243" t="s">
        <v>963</v>
      </c>
      <c r="F916" s="243" t="s">
        <v>964</v>
      </c>
      <c r="G916" s="243" t="s">
        <v>1109</v>
      </c>
      <c r="H916" s="313">
        <v>2910</v>
      </c>
      <c r="I916" s="243" t="s">
        <v>518</v>
      </c>
      <c r="J916" s="246">
        <v>55</v>
      </c>
    </row>
    <row r="917" spans="1:10" ht="15" x14ac:dyDescent="0.25">
      <c r="A917" s="243">
        <v>10002103</v>
      </c>
      <c r="B917" s="243">
        <v>8352903705</v>
      </c>
      <c r="C917" s="243" t="s">
        <v>1912</v>
      </c>
      <c r="D917" s="244">
        <v>23239</v>
      </c>
      <c r="E917" s="243" t="s">
        <v>963</v>
      </c>
      <c r="F917" s="243" t="s">
        <v>964</v>
      </c>
      <c r="G917" s="243" t="s">
        <v>1109</v>
      </c>
      <c r="H917" s="313">
        <v>2910</v>
      </c>
      <c r="I917" s="243" t="s">
        <v>518</v>
      </c>
      <c r="J917" s="246">
        <v>60</v>
      </c>
    </row>
    <row r="918" spans="1:10" ht="15" x14ac:dyDescent="0.25">
      <c r="A918" s="243">
        <v>10002104</v>
      </c>
      <c r="B918" s="243">
        <v>8388700855</v>
      </c>
      <c r="C918" s="243" t="s">
        <v>1913</v>
      </c>
      <c r="D918" s="244">
        <v>26819</v>
      </c>
      <c r="E918" s="243" t="s">
        <v>1632</v>
      </c>
      <c r="F918" s="243" t="s">
        <v>1633</v>
      </c>
      <c r="G918" s="243" t="s">
        <v>1109</v>
      </c>
      <c r="H918" s="313">
        <v>2118</v>
      </c>
      <c r="I918" s="243" t="s">
        <v>414</v>
      </c>
      <c r="J918" s="246">
        <v>50</v>
      </c>
    </row>
    <row r="919" spans="1:10" ht="15" x14ac:dyDescent="0.25">
      <c r="A919" s="243">
        <v>10002105</v>
      </c>
      <c r="B919" s="243">
        <v>8409362279</v>
      </c>
      <c r="C919" s="243" t="s">
        <v>1914</v>
      </c>
      <c r="D919" s="244">
        <v>28885</v>
      </c>
      <c r="E919" s="243" t="s">
        <v>906</v>
      </c>
      <c r="F919" s="243" t="s">
        <v>907</v>
      </c>
      <c r="G919" s="243" t="s">
        <v>1145</v>
      </c>
      <c r="H919" s="313">
        <v>3910</v>
      </c>
      <c r="I919" s="243" t="s">
        <v>616</v>
      </c>
      <c r="J919" s="246">
        <v>44</v>
      </c>
    </row>
    <row r="920" spans="1:10" ht="15" x14ac:dyDescent="0.25">
      <c r="A920" s="243">
        <v>10002106</v>
      </c>
      <c r="B920" s="243">
        <v>8467512571</v>
      </c>
      <c r="C920" s="243" t="s">
        <v>1915</v>
      </c>
      <c r="D920" s="244">
        <v>34700</v>
      </c>
      <c r="E920" s="243" t="s">
        <v>936</v>
      </c>
      <c r="F920" s="243" t="s">
        <v>937</v>
      </c>
      <c r="G920" s="243" t="s">
        <v>1080</v>
      </c>
      <c r="H920" s="313">
        <v>2139</v>
      </c>
      <c r="I920" s="243" t="s">
        <v>425</v>
      </c>
      <c r="J920" s="246">
        <v>28</v>
      </c>
    </row>
    <row r="921" spans="1:10" ht="15" x14ac:dyDescent="0.25">
      <c r="A921" s="243">
        <v>10002107</v>
      </c>
      <c r="B921" s="243">
        <v>8459972100</v>
      </c>
      <c r="C921" s="243" t="s">
        <v>1760</v>
      </c>
      <c r="D921" s="244">
        <v>33946</v>
      </c>
      <c r="E921" s="243" t="s">
        <v>858</v>
      </c>
      <c r="F921" s="243" t="s">
        <v>859</v>
      </c>
      <c r="G921" s="243" t="s">
        <v>1080</v>
      </c>
      <c r="H921" s="313">
        <v>2139</v>
      </c>
      <c r="I921" s="243" t="s">
        <v>425</v>
      </c>
      <c r="J921" s="246">
        <v>31</v>
      </c>
    </row>
    <row r="922" spans="1:10" ht="15" x14ac:dyDescent="0.25">
      <c r="A922" s="243">
        <v>10002108</v>
      </c>
      <c r="B922" s="243">
        <v>8484211363</v>
      </c>
      <c r="C922" s="243" t="s">
        <v>1916</v>
      </c>
      <c r="D922" s="244">
        <v>36370</v>
      </c>
      <c r="E922" s="243" t="s">
        <v>936</v>
      </c>
      <c r="F922" s="243" t="s">
        <v>937</v>
      </c>
      <c r="G922" s="243" t="s">
        <v>1080</v>
      </c>
      <c r="H922" s="313">
        <v>2118</v>
      </c>
      <c r="I922" s="243" t="s">
        <v>414</v>
      </c>
      <c r="J922" s="246">
        <v>24</v>
      </c>
    </row>
    <row r="923" spans="1:10" ht="15" x14ac:dyDescent="0.25">
      <c r="A923" s="243">
        <v>10002109</v>
      </c>
      <c r="B923" s="243">
        <v>8480742054</v>
      </c>
      <c r="C923" s="243" t="s">
        <v>1917</v>
      </c>
      <c r="D923" s="244">
        <v>36023</v>
      </c>
      <c r="E923" s="243" t="s">
        <v>891</v>
      </c>
      <c r="F923" s="243" t="s">
        <v>892</v>
      </c>
      <c r="G923" s="243" t="s">
        <v>1080</v>
      </c>
      <c r="H923" s="313">
        <v>2117</v>
      </c>
      <c r="I923" s="243" t="s">
        <v>413</v>
      </c>
      <c r="J923" s="246">
        <v>25</v>
      </c>
    </row>
    <row r="924" spans="1:10" ht="15" x14ac:dyDescent="0.25">
      <c r="A924" s="243">
        <v>10002110</v>
      </c>
      <c r="B924" s="243">
        <v>8354163245</v>
      </c>
      <c r="C924" s="243" t="s">
        <v>1778</v>
      </c>
      <c r="D924" s="244">
        <v>23365</v>
      </c>
      <c r="E924" s="243" t="s">
        <v>945</v>
      </c>
      <c r="F924" s="243" t="s">
        <v>946</v>
      </c>
      <c r="G924" s="243" t="s">
        <v>1179</v>
      </c>
      <c r="H924" s="313">
        <v>3115</v>
      </c>
      <c r="I924" s="243" t="s">
        <v>523</v>
      </c>
      <c r="J924" s="246">
        <v>60</v>
      </c>
    </row>
    <row r="925" spans="1:10" ht="15" x14ac:dyDescent="0.25">
      <c r="A925" s="243">
        <v>10002111</v>
      </c>
      <c r="B925" s="243">
        <v>8476212844</v>
      </c>
      <c r="C925" s="243" t="s">
        <v>1918</v>
      </c>
      <c r="D925" s="244">
        <v>35570</v>
      </c>
      <c r="E925" s="243" t="s">
        <v>870</v>
      </c>
      <c r="F925" s="243" t="s">
        <v>871</v>
      </c>
      <c r="G925" s="243" t="s">
        <v>1080</v>
      </c>
      <c r="H925" s="313">
        <v>2117</v>
      </c>
      <c r="I925" s="243" t="s">
        <v>413</v>
      </c>
      <c r="J925" s="246">
        <v>26</v>
      </c>
    </row>
    <row r="926" spans="1:10" ht="15" x14ac:dyDescent="0.25">
      <c r="A926" s="243">
        <v>10002112</v>
      </c>
      <c r="B926" s="243">
        <v>8475400280</v>
      </c>
      <c r="C926" s="243" t="s">
        <v>1919</v>
      </c>
      <c r="D926" s="244">
        <v>35489</v>
      </c>
      <c r="E926" s="243" t="s">
        <v>858</v>
      </c>
      <c r="F926" s="243" t="s">
        <v>859</v>
      </c>
      <c r="G926" s="243" t="s">
        <v>1080</v>
      </c>
      <c r="H926" s="313">
        <v>2117</v>
      </c>
      <c r="I926" s="243" t="s">
        <v>413</v>
      </c>
      <c r="J926" s="246">
        <v>26</v>
      </c>
    </row>
    <row r="927" spans="1:10" ht="15" x14ac:dyDescent="0.25">
      <c r="A927" s="243">
        <v>10002113</v>
      </c>
      <c r="B927" s="243">
        <v>8486210135</v>
      </c>
      <c r="C927" s="243" t="s">
        <v>1920</v>
      </c>
      <c r="D927" s="244">
        <v>36570</v>
      </c>
      <c r="E927" s="243" t="s">
        <v>858</v>
      </c>
      <c r="F927" s="243" t="s">
        <v>859</v>
      </c>
      <c r="G927" s="243" t="s">
        <v>1080</v>
      </c>
      <c r="H927" s="313">
        <v>2139</v>
      </c>
      <c r="I927" s="243" t="s">
        <v>425</v>
      </c>
      <c r="J927" s="246">
        <v>23</v>
      </c>
    </row>
    <row r="928" spans="1:10" ht="15" x14ac:dyDescent="0.25">
      <c r="A928" s="243">
        <v>10002114</v>
      </c>
      <c r="B928" s="243">
        <v>8480971606</v>
      </c>
      <c r="C928" s="243" t="s">
        <v>1921</v>
      </c>
      <c r="D928" s="244">
        <v>36046</v>
      </c>
      <c r="E928" s="243" t="s">
        <v>858</v>
      </c>
      <c r="F928" s="243" t="s">
        <v>859</v>
      </c>
      <c r="G928" s="243" t="s">
        <v>1145</v>
      </c>
      <c r="H928" s="313">
        <v>3910</v>
      </c>
      <c r="I928" s="243" t="s">
        <v>616</v>
      </c>
      <c r="J928" s="246">
        <v>25</v>
      </c>
    </row>
    <row r="929" spans="1:10" ht="15" x14ac:dyDescent="0.25">
      <c r="A929" s="243">
        <v>10002115</v>
      </c>
      <c r="B929" s="243">
        <v>8396372314</v>
      </c>
      <c r="C929" s="243" t="s">
        <v>1922</v>
      </c>
      <c r="D929" s="244">
        <v>27586</v>
      </c>
      <c r="E929" s="243" t="s">
        <v>888</v>
      </c>
      <c r="F929" s="243" t="s">
        <v>889</v>
      </c>
      <c r="G929" s="243" t="s">
        <v>927</v>
      </c>
      <c r="H929" s="313">
        <v>2131</v>
      </c>
      <c r="I929" s="243" t="s">
        <v>418</v>
      </c>
      <c r="J929" s="246">
        <v>48</v>
      </c>
    </row>
    <row r="930" spans="1:10" ht="15" x14ac:dyDescent="0.25">
      <c r="A930" s="243">
        <v>10002116</v>
      </c>
      <c r="B930" s="243">
        <v>8445122509</v>
      </c>
      <c r="C930" s="243" t="s">
        <v>1923</v>
      </c>
      <c r="D930" s="244">
        <v>32461</v>
      </c>
      <c r="E930" s="243" t="s">
        <v>963</v>
      </c>
      <c r="F930" s="243" t="s">
        <v>964</v>
      </c>
      <c r="G930" s="243" t="s">
        <v>1109</v>
      </c>
      <c r="H930" s="313">
        <v>2910</v>
      </c>
      <c r="I930" s="243" t="s">
        <v>518</v>
      </c>
      <c r="J930" s="246">
        <v>35</v>
      </c>
    </row>
    <row r="931" spans="1:10" ht="15" x14ac:dyDescent="0.25">
      <c r="A931" s="243">
        <v>10002117</v>
      </c>
      <c r="B931" s="243">
        <v>8383022344</v>
      </c>
      <c r="C931" s="243" t="s">
        <v>1924</v>
      </c>
      <c r="D931" s="244">
        <v>26251</v>
      </c>
      <c r="E931" s="243" t="s">
        <v>1141</v>
      </c>
      <c r="F931" s="243" t="s">
        <v>1142</v>
      </c>
      <c r="G931" s="243" t="s">
        <v>1303</v>
      </c>
      <c r="H931" s="313">
        <v>2624</v>
      </c>
      <c r="I931" s="243" t="s">
        <v>497</v>
      </c>
      <c r="J931" s="246">
        <v>52</v>
      </c>
    </row>
    <row r="932" spans="1:10" ht="15" x14ac:dyDescent="0.25">
      <c r="A932" s="243">
        <v>10002118</v>
      </c>
      <c r="B932" s="243">
        <v>8424651286</v>
      </c>
      <c r="C932" s="243" t="s">
        <v>236</v>
      </c>
      <c r="D932" s="244">
        <v>30414</v>
      </c>
      <c r="E932" s="243" t="s">
        <v>1141</v>
      </c>
      <c r="F932" s="243" t="s">
        <v>1142</v>
      </c>
      <c r="G932" s="243" t="s">
        <v>1303</v>
      </c>
      <c r="H932" s="313">
        <v>2624</v>
      </c>
      <c r="I932" s="243" t="s">
        <v>497</v>
      </c>
      <c r="J932" s="246">
        <v>40</v>
      </c>
    </row>
    <row r="933" spans="1:10" ht="15" x14ac:dyDescent="0.25">
      <c r="A933" s="243">
        <v>10002119</v>
      </c>
      <c r="B933" s="243">
        <v>8347131562</v>
      </c>
      <c r="C933" s="243" t="s">
        <v>1925</v>
      </c>
      <c r="D933" s="244">
        <v>22662</v>
      </c>
      <c r="E933" s="243" t="s">
        <v>1138</v>
      </c>
      <c r="F933" s="243" t="s">
        <v>1139</v>
      </c>
      <c r="G933" s="243" t="s">
        <v>1145</v>
      </c>
      <c r="H933" s="313">
        <v>4112</v>
      </c>
      <c r="I933" s="243" t="s">
        <v>619</v>
      </c>
      <c r="J933" s="246">
        <v>61</v>
      </c>
    </row>
    <row r="934" spans="1:10" ht="15" x14ac:dyDescent="0.25">
      <c r="A934" s="243">
        <v>10002120</v>
      </c>
      <c r="B934" s="243">
        <v>8439431996</v>
      </c>
      <c r="C934" s="243" t="s">
        <v>1926</v>
      </c>
      <c r="D934" s="244">
        <v>31892</v>
      </c>
      <c r="E934" s="243" t="s">
        <v>1198</v>
      </c>
      <c r="F934" s="243" t="s">
        <v>1199</v>
      </c>
      <c r="G934" s="243" t="s">
        <v>1145</v>
      </c>
      <c r="H934" s="313">
        <v>4112</v>
      </c>
      <c r="I934" s="243" t="s">
        <v>619</v>
      </c>
      <c r="J934" s="246">
        <v>36</v>
      </c>
    </row>
    <row r="935" spans="1:10" ht="15" x14ac:dyDescent="0.25">
      <c r="A935" s="243">
        <v>10002121</v>
      </c>
      <c r="B935" s="243">
        <v>8405152067</v>
      </c>
      <c r="C935" s="243" t="s">
        <v>1927</v>
      </c>
      <c r="D935" s="244">
        <v>28464</v>
      </c>
      <c r="E935" s="243" t="s">
        <v>1278</v>
      </c>
      <c r="F935" s="243" t="s">
        <v>1279</v>
      </c>
      <c r="G935" s="243" t="s">
        <v>1303</v>
      </c>
      <c r="H935" s="313">
        <v>3631</v>
      </c>
      <c r="I935" s="243" t="s">
        <v>592</v>
      </c>
      <c r="J935" s="246">
        <v>46</v>
      </c>
    </row>
    <row r="936" spans="1:10" ht="15" x14ac:dyDescent="0.25">
      <c r="A936" s="243">
        <v>10002122</v>
      </c>
      <c r="B936" s="243">
        <v>8375201448</v>
      </c>
      <c r="C936" s="243" t="s">
        <v>1928</v>
      </c>
      <c r="D936" s="244">
        <v>25469</v>
      </c>
      <c r="E936" s="243" t="s">
        <v>1141</v>
      </c>
      <c r="F936" s="243" t="s">
        <v>1142</v>
      </c>
      <c r="G936" s="243" t="s">
        <v>1303</v>
      </c>
      <c r="H936" s="313">
        <v>2624</v>
      </c>
      <c r="I936" s="243" t="s">
        <v>497</v>
      </c>
      <c r="J936" s="246">
        <v>54</v>
      </c>
    </row>
    <row r="937" spans="1:10" ht="15" x14ac:dyDescent="0.25">
      <c r="A937" s="243">
        <v>10002123</v>
      </c>
      <c r="B937" s="243">
        <v>8419883549</v>
      </c>
      <c r="C937" s="243" t="s">
        <v>1929</v>
      </c>
      <c r="D937" s="244">
        <v>29937</v>
      </c>
      <c r="E937" s="243" t="s">
        <v>858</v>
      </c>
      <c r="F937" s="243" t="s">
        <v>859</v>
      </c>
      <c r="G937" s="243" t="s">
        <v>927</v>
      </c>
      <c r="H937" s="313">
        <v>2166</v>
      </c>
      <c r="I937" s="243" t="s">
        <v>439</v>
      </c>
      <c r="J937" s="246">
        <v>42</v>
      </c>
    </row>
    <row r="938" spans="1:10" ht="15" x14ac:dyDescent="0.25">
      <c r="A938" s="243">
        <v>10002124</v>
      </c>
      <c r="B938" s="243">
        <v>8489570183</v>
      </c>
      <c r="C938" s="243" t="s">
        <v>1930</v>
      </c>
      <c r="D938" s="244">
        <v>36906</v>
      </c>
      <c r="E938" s="243" t="s">
        <v>1013</v>
      </c>
      <c r="F938" s="243" t="s">
        <v>1014</v>
      </c>
      <c r="G938" s="243" t="s">
        <v>1145</v>
      </c>
      <c r="H938" s="313">
        <v>3910</v>
      </c>
      <c r="I938" s="243" t="s">
        <v>616</v>
      </c>
      <c r="J938" s="246">
        <v>22</v>
      </c>
    </row>
    <row r="939" spans="1:10" ht="15" x14ac:dyDescent="0.25">
      <c r="A939" s="243">
        <v>10002125</v>
      </c>
      <c r="B939" s="243">
        <v>8438460151</v>
      </c>
      <c r="C939" s="243" t="s">
        <v>1931</v>
      </c>
      <c r="D939" s="244">
        <v>31795</v>
      </c>
      <c r="E939" s="243" t="s">
        <v>1147</v>
      </c>
      <c r="F939" s="243" t="s">
        <v>1148</v>
      </c>
      <c r="G939" s="243" t="s">
        <v>1303</v>
      </c>
      <c r="H939" s="313">
        <v>4134</v>
      </c>
      <c r="I939" s="243" t="s">
        <v>630</v>
      </c>
      <c r="J939" s="246">
        <v>36</v>
      </c>
    </row>
    <row r="940" spans="1:10" ht="15" x14ac:dyDescent="0.25">
      <c r="A940" s="243">
        <v>10002126</v>
      </c>
      <c r="B940" s="243">
        <v>8463240089</v>
      </c>
      <c r="C940" s="243" t="s">
        <v>1932</v>
      </c>
      <c r="D940" s="244">
        <v>34273</v>
      </c>
      <c r="E940" s="243" t="s">
        <v>1191</v>
      </c>
      <c r="F940" s="243" t="s">
        <v>1192</v>
      </c>
      <c r="G940" s="243" t="s">
        <v>1145</v>
      </c>
      <c r="H940" s="313">
        <v>2152</v>
      </c>
      <c r="I940" s="243" t="s">
        <v>432</v>
      </c>
      <c r="J940" s="246">
        <v>30</v>
      </c>
    </row>
    <row r="941" spans="1:10" ht="15" x14ac:dyDescent="0.25">
      <c r="A941" s="243">
        <v>10002127</v>
      </c>
      <c r="B941" s="243">
        <v>8396230846</v>
      </c>
      <c r="C941" s="243" t="s">
        <v>1933</v>
      </c>
      <c r="D941" s="244">
        <v>27572</v>
      </c>
      <c r="E941" s="243" t="s">
        <v>858</v>
      </c>
      <c r="F941" s="243" t="s">
        <v>859</v>
      </c>
      <c r="G941" s="243" t="s">
        <v>1080</v>
      </c>
      <c r="H941" s="313">
        <v>2117</v>
      </c>
      <c r="I941" s="243" t="s">
        <v>413</v>
      </c>
      <c r="J941" s="246">
        <v>48</v>
      </c>
    </row>
    <row r="942" spans="1:10" ht="15" x14ac:dyDescent="0.25">
      <c r="A942" s="243">
        <v>10002128</v>
      </c>
      <c r="B942" s="243">
        <v>8350332492</v>
      </c>
      <c r="C942" s="243" t="s">
        <v>1934</v>
      </c>
      <c r="D942" s="244">
        <v>22982</v>
      </c>
      <c r="E942" s="243" t="s">
        <v>936</v>
      </c>
      <c r="F942" s="243" t="s">
        <v>937</v>
      </c>
      <c r="G942" s="243" t="s">
        <v>1935</v>
      </c>
      <c r="H942" s="313">
        <v>3139</v>
      </c>
      <c r="I942" s="243" t="s">
        <v>534</v>
      </c>
      <c r="J942" s="246">
        <v>61</v>
      </c>
    </row>
    <row r="943" spans="1:10" ht="15" x14ac:dyDescent="0.25">
      <c r="A943" s="243">
        <v>10002129</v>
      </c>
      <c r="B943" s="243">
        <v>8486331811</v>
      </c>
      <c r="C943" s="243" t="s">
        <v>1936</v>
      </c>
      <c r="D943" s="244">
        <v>36582</v>
      </c>
      <c r="E943" s="243" t="s">
        <v>963</v>
      </c>
      <c r="F943" s="243" t="s">
        <v>964</v>
      </c>
      <c r="G943" s="243" t="s">
        <v>1080</v>
      </c>
      <c r="H943" s="313">
        <v>2139</v>
      </c>
      <c r="I943" s="243" t="s">
        <v>425</v>
      </c>
      <c r="J943" s="246">
        <v>23</v>
      </c>
    </row>
    <row r="944" spans="1:10" ht="15" x14ac:dyDescent="0.25">
      <c r="A944" s="243">
        <v>10002130</v>
      </c>
      <c r="B944" s="243">
        <v>8455410205</v>
      </c>
      <c r="C944" s="243" t="s">
        <v>1937</v>
      </c>
      <c r="D944" s="244">
        <v>33490</v>
      </c>
      <c r="E944" s="243" t="s">
        <v>884</v>
      </c>
      <c r="F944" s="243" t="s">
        <v>885</v>
      </c>
      <c r="G944" s="243" t="s">
        <v>1020</v>
      </c>
      <c r="H944" s="313">
        <v>2410</v>
      </c>
      <c r="I944" s="243" t="s">
        <v>462</v>
      </c>
      <c r="J944" s="246">
        <v>32</v>
      </c>
    </row>
    <row r="945" spans="1:10" ht="15" x14ac:dyDescent="0.25">
      <c r="A945" s="243">
        <v>10002131</v>
      </c>
      <c r="B945" s="243">
        <v>8483641119</v>
      </c>
      <c r="C945" s="243" t="s">
        <v>1938</v>
      </c>
      <c r="D945" s="244">
        <v>36313</v>
      </c>
      <c r="E945" s="243" t="s">
        <v>963</v>
      </c>
      <c r="F945" s="243" t="s">
        <v>964</v>
      </c>
      <c r="G945" s="243" t="s">
        <v>1145</v>
      </c>
      <c r="H945" s="313">
        <v>3910</v>
      </c>
      <c r="I945" s="243" t="s">
        <v>616</v>
      </c>
      <c r="J945" s="246">
        <v>24</v>
      </c>
    </row>
    <row r="946" spans="1:10" ht="15" x14ac:dyDescent="0.25">
      <c r="A946" s="243">
        <v>10002132</v>
      </c>
      <c r="B946" s="243">
        <v>8386391111</v>
      </c>
      <c r="C946" s="243" t="s">
        <v>1939</v>
      </c>
      <c r="D946" s="244">
        <v>26588</v>
      </c>
      <c r="E946" s="243" t="s">
        <v>963</v>
      </c>
      <c r="F946" s="243" t="s">
        <v>964</v>
      </c>
      <c r="G946" s="243" t="s">
        <v>1109</v>
      </c>
      <c r="H946" s="313">
        <v>2611</v>
      </c>
      <c r="I946" s="243" t="s">
        <v>488</v>
      </c>
      <c r="J946" s="246">
        <v>51</v>
      </c>
    </row>
    <row r="947" spans="1:10" ht="15" x14ac:dyDescent="0.25">
      <c r="A947" s="243">
        <v>10002133</v>
      </c>
      <c r="B947" s="243">
        <v>8455631996</v>
      </c>
      <c r="C947" s="243" t="s">
        <v>1940</v>
      </c>
      <c r="D947" s="244">
        <v>33512</v>
      </c>
      <c r="E947" s="243" t="s">
        <v>963</v>
      </c>
      <c r="F947" s="243" t="s">
        <v>964</v>
      </c>
      <c r="G947" s="243" t="s">
        <v>1080</v>
      </c>
      <c r="H947" s="313">
        <v>2139</v>
      </c>
      <c r="I947" s="243" t="s">
        <v>425</v>
      </c>
      <c r="J947" s="246">
        <v>32</v>
      </c>
    </row>
    <row r="948" spans="1:10" ht="15" x14ac:dyDescent="0.25">
      <c r="A948" s="243">
        <v>10002134</v>
      </c>
      <c r="B948" s="243">
        <v>8386874112</v>
      </c>
      <c r="C948" s="243" t="s">
        <v>1941</v>
      </c>
      <c r="D948" s="244">
        <v>26636</v>
      </c>
      <c r="E948" s="243" t="s">
        <v>1620</v>
      </c>
      <c r="F948" s="243" t="s">
        <v>1621</v>
      </c>
      <c r="G948" s="243" t="s">
        <v>985</v>
      </c>
      <c r="H948" s="313">
        <v>2410</v>
      </c>
      <c r="I948" s="243" t="s">
        <v>462</v>
      </c>
      <c r="J948" s="246">
        <v>51</v>
      </c>
    </row>
    <row r="949" spans="1:10" ht="15" x14ac:dyDescent="0.25">
      <c r="A949" s="243">
        <v>10002135</v>
      </c>
      <c r="B949" s="243">
        <v>8403497016</v>
      </c>
      <c r="C949" s="243" t="s">
        <v>1942</v>
      </c>
      <c r="D949" s="244">
        <v>28298</v>
      </c>
      <c r="E949" s="243" t="s">
        <v>936</v>
      </c>
      <c r="F949" s="243" t="s">
        <v>937</v>
      </c>
      <c r="G949" s="243" t="s">
        <v>1080</v>
      </c>
      <c r="H949" s="313">
        <v>2118</v>
      </c>
      <c r="I949" s="243" t="s">
        <v>414</v>
      </c>
      <c r="J949" s="246">
        <v>46</v>
      </c>
    </row>
    <row r="950" spans="1:10" ht="15" x14ac:dyDescent="0.25">
      <c r="A950" s="243">
        <v>10002136</v>
      </c>
      <c r="B950" s="243">
        <v>8398834293</v>
      </c>
      <c r="C950" s="243" t="s">
        <v>1943</v>
      </c>
      <c r="D950" s="244">
        <v>27832</v>
      </c>
      <c r="E950" s="243" t="s">
        <v>1141</v>
      </c>
      <c r="F950" s="243" t="s">
        <v>1142</v>
      </c>
      <c r="G950" s="243" t="s">
        <v>1303</v>
      </c>
      <c r="H950" s="313">
        <v>3611</v>
      </c>
      <c r="I950" s="243" t="s">
        <v>581</v>
      </c>
      <c r="J950" s="246">
        <v>47</v>
      </c>
    </row>
    <row r="951" spans="1:10" ht="15" x14ac:dyDescent="0.25">
      <c r="A951" s="243">
        <v>10002137</v>
      </c>
      <c r="B951" s="243">
        <v>8453170231</v>
      </c>
      <c r="C951" s="243" t="s">
        <v>1944</v>
      </c>
      <c r="D951" s="244">
        <v>33266</v>
      </c>
      <c r="E951" s="243" t="s">
        <v>862</v>
      </c>
      <c r="F951" s="243" t="s">
        <v>863</v>
      </c>
      <c r="G951" s="243" t="s">
        <v>1145</v>
      </c>
      <c r="H951" s="313">
        <v>3910</v>
      </c>
      <c r="I951" s="243" t="s">
        <v>616</v>
      </c>
      <c r="J951" s="246">
        <v>32</v>
      </c>
    </row>
    <row r="952" spans="1:10" ht="15" x14ac:dyDescent="0.25">
      <c r="A952" s="243">
        <v>10002138</v>
      </c>
      <c r="B952" s="243">
        <v>8448411374</v>
      </c>
      <c r="C952" s="243" t="s">
        <v>1945</v>
      </c>
      <c r="D952" s="244">
        <v>32790</v>
      </c>
      <c r="E952" s="243" t="s">
        <v>963</v>
      </c>
      <c r="F952" s="243" t="s">
        <v>964</v>
      </c>
      <c r="G952" s="243" t="s">
        <v>1109</v>
      </c>
      <c r="H952" s="313">
        <v>2910</v>
      </c>
      <c r="I952" s="243" t="s">
        <v>518</v>
      </c>
      <c r="J952" s="246">
        <v>34</v>
      </c>
    </row>
    <row r="953" spans="1:10" ht="15" x14ac:dyDescent="0.25">
      <c r="A953" s="243">
        <v>10002139</v>
      </c>
      <c r="B953" s="243">
        <v>8404423393</v>
      </c>
      <c r="C953" s="243" t="s">
        <v>1946</v>
      </c>
      <c r="D953" s="244">
        <v>28391</v>
      </c>
      <c r="E953" s="243" t="s">
        <v>1147</v>
      </c>
      <c r="F953" s="243" t="s">
        <v>1148</v>
      </c>
      <c r="G953" s="243" t="s">
        <v>1109</v>
      </c>
      <c r="H953" s="313">
        <v>1412</v>
      </c>
      <c r="I953" s="243" t="s">
        <v>401</v>
      </c>
      <c r="J953" s="246">
        <v>46</v>
      </c>
    </row>
    <row r="954" spans="1:10" ht="15" x14ac:dyDescent="0.25">
      <c r="A954" s="243">
        <v>10002140</v>
      </c>
      <c r="B954" s="243">
        <v>8379271661</v>
      </c>
      <c r="C954" s="243" t="s">
        <v>1947</v>
      </c>
      <c r="D954" s="244">
        <v>25876</v>
      </c>
      <c r="E954" s="243" t="s">
        <v>1135</v>
      </c>
      <c r="F954" s="243" t="s">
        <v>1136</v>
      </c>
      <c r="G954" s="243" t="s">
        <v>1109</v>
      </c>
      <c r="H954" s="313">
        <v>3511</v>
      </c>
      <c r="I954" s="243" t="s">
        <v>576</v>
      </c>
      <c r="J954" s="246">
        <v>53</v>
      </c>
    </row>
    <row r="955" spans="1:10" ht="15" x14ac:dyDescent="0.25">
      <c r="A955" s="243">
        <v>10002142</v>
      </c>
      <c r="B955" s="243">
        <v>8423111202</v>
      </c>
      <c r="C955" s="243" t="s">
        <v>1948</v>
      </c>
      <c r="D955" s="244">
        <v>30260</v>
      </c>
      <c r="E955" s="243" t="s">
        <v>1266</v>
      </c>
      <c r="F955" s="243" t="s">
        <v>1267</v>
      </c>
      <c r="G955" s="243" t="s">
        <v>1109</v>
      </c>
      <c r="H955" s="313">
        <v>2116</v>
      </c>
      <c r="I955" s="243" t="s">
        <v>412</v>
      </c>
      <c r="J955" s="246">
        <v>41</v>
      </c>
    </row>
    <row r="956" spans="1:10" ht="15" x14ac:dyDescent="0.25">
      <c r="A956" s="243">
        <v>10002143</v>
      </c>
      <c r="B956" s="243">
        <v>8473223225</v>
      </c>
      <c r="C956" s="243" t="s">
        <v>1949</v>
      </c>
      <c r="D956" s="244">
        <v>35271</v>
      </c>
      <c r="E956" s="243" t="s">
        <v>884</v>
      </c>
      <c r="F956" s="243" t="s">
        <v>885</v>
      </c>
      <c r="G956" s="243" t="s">
        <v>1145</v>
      </c>
      <c r="H956" s="313">
        <v>3910</v>
      </c>
      <c r="I956" s="243" t="s">
        <v>616</v>
      </c>
      <c r="J956" s="246">
        <v>27</v>
      </c>
    </row>
    <row r="957" spans="1:10" ht="15" x14ac:dyDescent="0.25">
      <c r="A957" s="243">
        <v>10002144</v>
      </c>
      <c r="B957" s="243">
        <v>8408270109</v>
      </c>
      <c r="C957" s="243" t="s">
        <v>1950</v>
      </c>
      <c r="D957" s="244">
        <v>28776</v>
      </c>
      <c r="E957" s="243" t="s">
        <v>1160</v>
      </c>
      <c r="F957" s="243" t="s">
        <v>1161</v>
      </c>
      <c r="G957" s="243" t="s">
        <v>1951</v>
      </c>
      <c r="H957" s="313">
        <v>2711</v>
      </c>
      <c r="I957" s="243" t="s">
        <v>503</v>
      </c>
      <c r="J957" s="246">
        <v>45</v>
      </c>
    </row>
    <row r="958" spans="1:10" ht="15" x14ac:dyDescent="0.25">
      <c r="A958" s="243">
        <v>10002145</v>
      </c>
      <c r="B958" s="243">
        <v>8406632178</v>
      </c>
      <c r="C958" s="243" t="s">
        <v>1952</v>
      </c>
      <c r="D958" s="244">
        <v>28612</v>
      </c>
      <c r="E958" s="243" t="s">
        <v>1953</v>
      </c>
      <c r="F958" s="243" t="s">
        <v>1954</v>
      </c>
      <c r="G958" s="243" t="s">
        <v>1303</v>
      </c>
      <c r="H958" s="313">
        <v>1329</v>
      </c>
      <c r="I958" s="243" t="s">
        <v>392</v>
      </c>
      <c r="J958" s="246">
        <v>45</v>
      </c>
    </row>
    <row r="959" spans="1:10" ht="15" x14ac:dyDescent="0.25">
      <c r="A959" s="243">
        <v>10002146</v>
      </c>
      <c r="B959" s="243">
        <v>8450510813</v>
      </c>
      <c r="C959" s="243" t="s">
        <v>201</v>
      </c>
      <c r="D959" s="244">
        <v>33000</v>
      </c>
      <c r="E959" s="243" t="s">
        <v>1201</v>
      </c>
      <c r="F959" s="243" t="s">
        <v>1202</v>
      </c>
      <c r="G959" s="243" t="s">
        <v>1109</v>
      </c>
      <c r="H959" s="313">
        <v>2910</v>
      </c>
      <c r="I959" s="243" t="s">
        <v>518</v>
      </c>
      <c r="J959" s="246">
        <v>33</v>
      </c>
    </row>
    <row r="960" spans="1:10" ht="15" x14ac:dyDescent="0.25">
      <c r="A960" s="243">
        <v>10002147</v>
      </c>
      <c r="B960" s="243">
        <v>8420560138</v>
      </c>
      <c r="C960" s="243" t="s">
        <v>1955</v>
      </c>
      <c r="D960" s="244">
        <v>30005</v>
      </c>
      <c r="E960" s="243" t="s">
        <v>858</v>
      </c>
      <c r="F960" s="243" t="s">
        <v>859</v>
      </c>
      <c r="G960" s="243" t="s">
        <v>1080</v>
      </c>
      <c r="H960" s="313">
        <v>2139</v>
      </c>
      <c r="I960" s="243" t="s">
        <v>425</v>
      </c>
      <c r="J960" s="246">
        <v>41</v>
      </c>
    </row>
    <row r="961" spans="1:10" ht="15" x14ac:dyDescent="0.25">
      <c r="A961" s="243">
        <v>10002148</v>
      </c>
      <c r="B961" s="243">
        <v>8474341183</v>
      </c>
      <c r="C961" s="243" t="s">
        <v>1956</v>
      </c>
      <c r="D961" s="244">
        <v>35383</v>
      </c>
      <c r="E961" s="243" t="s">
        <v>936</v>
      </c>
      <c r="F961" s="243" t="s">
        <v>937</v>
      </c>
      <c r="G961" s="243" t="s">
        <v>1080</v>
      </c>
      <c r="H961" s="313">
        <v>2139</v>
      </c>
      <c r="I961" s="243" t="s">
        <v>425</v>
      </c>
      <c r="J961" s="246">
        <v>27</v>
      </c>
    </row>
    <row r="962" spans="1:10" ht="15" x14ac:dyDescent="0.25">
      <c r="A962" s="243">
        <v>10002149</v>
      </c>
      <c r="B962" s="243">
        <v>8428023395</v>
      </c>
      <c r="C962" s="243" t="s">
        <v>1957</v>
      </c>
      <c r="D962" s="244">
        <v>30751</v>
      </c>
      <c r="E962" s="243" t="s">
        <v>945</v>
      </c>
      <c r="F962" s="243" t="s">
        <v>946</v>
      </c>
      <c r="G962" s="243" t="s">
        <v>1935</v>
      </c>
      <c r="H962" s="313">
        <v>3134</v>
      </c>
      <c r="I962" s="243" t="s">
        <v>531</v>
      </c>
      <c r="J962" s="246">
        <v>39</v>
      </c>
    </row>
    <row r="963" spans="1:10" ht="15" x14ac:dyDescent="0.25">
      <c r="A963" s="243">
        <v>10002150</v>
      </c>
      <c r="B963" s="243">
        <v>8477071462</v>
      </c>
      <c r="C963" s="243" t="s">
        <v>1958</v>
      </c>
      <c r="D963" s="244">
        <v>35656</v>
      </c>
      <c r="E963" s="243" t="s">
        <v>858</v>
      </c>
      <c r="F963" s="243" t="s">
        <v>859</v>
      </c>
      <c r="G963" s="243" t="s">
        <v>1080</v>
      </c>
      <c r="H963" s="313">
        <v>2117</v>
      </c>
      <c r="I963" s="243" t="s">
        <v>413</v>
      </c>
      <c r="J963" s="246">
        <v>26</v>
      </c>
    </row>
    <row r="964" spans="1:10" ht="15" x14ac:dyDescent="0.25">
      <c r="A964" s="243">
        <v>10002151</v>
      </c>
      <c r="B964" s="243">
        <v>8477230684</v>
      </c>
      <c r="C964" s="243" t="s">
        <v>1959</v>
      </c>
      <c r="D964" s="244">
        <v>35672</v>
      </c>
      <c r="E964" s="243" t="s">
        <v>891</v>
      </c>
      <c r="F964" s="243" t="s">
        <v>892</v>
      </c>
      <c r="G964" s="243" t="s">
        <v>1080</v>
      </c>
      <c r="H964" s="313">
        <v>2117</v>
      </c>
      <c r="I964" s="243" t="s">
        <v>413</v>
      </c>
      <c r="J964" s="246">
        <v>26</v>
      </c>
    </row>
    <row r="965" spans="1:10" ht="15" x14ac:dyDescent="0.25">
      <c r="A965" s="243">
        <v>10002152</v>
      </c>
      <c r="B965" s="243">
        <v>8449450209</v>
      </c>
      <c r="C965" s="243" t="s">
        <v>1960</v>
      </c>
      <c r="D965" s="244">
        <v>32894</v>
      </c>
      <c r="E965" s="243" t="s">
        <v>1248</v>
      </c>
      <c r="F965" s="243" t="s">
        <v>1249</v>
      </c>
      <c r="G965" s="243" t="s">
        <v>1109</v>
      </c>
      <c r="H965" s="313">
        <v>2910</v>
      </c>
      <c r="I965" s="243" t="s">
        <v>518</v>
      </c>
      <c r="J965" s="246">
        <v>33</v>
      </c>
    </row>
    <row r="966" spans="1:10" ht="15" x14ac:dyDescent="0.25">
      <c r="A966" s="243">
        <v>10002153</v>
      </c>
      <c r="B966" s="243">
        <v>8427710135</v>
      </c>
      <c r="C966" s="243" t="s">
        <v>1961</v>
      </c>
      <c r="D966" s="244">
        <v>30720</v>
      </c>
      <c r="E966" s="243" t="s">
        <v>1269</v>
      </c>
      <c r="F966" s="243" t="s">
        <v>1270</v>
      </c>
      <c r="G966" s="243" t="s">
        <v>1303</v>
      </c>
      <c r="H966" s="313">
        <v>2910</v>
      </c>
      <c r="I966" s="243" t="s">
        <v>518</v>
      </c>
      <c r="J966" s="246">
        <v>39</v>
      </c>
    </row>
    <row r="967" spans="1:10" ht="15" x14ac:dyDescent="0.25">
      <c r="A967" s="243">
        <v>10002154</v>
      </c>
      <c r="B967" s="243">
        <v>8418461764</v>
      </c>
      <c r="C967" s="243" t="s">
        <v>1962</v>
      </c>
      <c r="D967" s="244">
        <v>29795</v>
      </c>
      <c r="E967" s="243" t="s">
        <v>954</v>
      </c>
      <c r="F967" s="243" t="s">
        <v>955</v>
      </c>
      <c r="G967" s="243" t="s">
        <v>985</v>
      </c>
      <c r="H967" s="313">
        <v>2410</v>
      </c>
      <c r="I967" s="243" t="s">
        <v>462</v>
      </c>
      <c r="J967" s="246">
        <v>42</v>
      </c>
    </row>
    <row r="968" spans="1:10" ht="15" x14ac:dyDescent="0.25">
      <c r="A968" s="243">
        <v>10002155</v>
      </c>
      <c r="B968" s="243">
        <v>8437704251</v>
      </c>
      <c r="C968" s="243" t="s">
        <v>1963</v>
      </c>
      <c r="D968" s="244">
        <v>31719</v>
      </c>
      <c r="E968" s="243" t="s">
        <v>936</v>
      </c>
      <c r="F968" s="243" t="s">
        <v>937</v>
      </c>
      <c r="G968" s="243" t="s">
        <v>1080</v>
      </c>
      <c r="H968" s="313">
        <v>2118</v>
      </c>
      <c r="I968" s="243" t="s">
        <v>414</v>
      </c>
      <c r="J968" s="246">
        <v>37</v>
      </c>
    </row>
    <row r="969" spans="1:10" ht="15" x14ac:dyDescent="0.25">
      <c r="A969" s="243">
        <v>10002156</v>
      </c>
      <c r="B969" s="243">
        <v>8422403099</v>
      </c>
      <c r="C969" s="243" t="s">
        <v>1964</v>
      </c>
      <c r="D969" s="244">
        <v>30189</v>
      </c>
      <c r="E969" s="243" t="s">
        <v>858</v>
      </c>
      <c r="F969" s="243" t="s">
        <v>859</v>
      </c>
      <c r="G969" s="243" t="s">
        <v>1080</v>
      </c>
      <c r="H969" s="313">
        <v>2139</v>
      </c>
      <c r="I969" s="243" t="s">
        <v>442</v>
      </c>
      <c r="J969" s="246">
        <v>41</v>
      </c>
    </row>
    <row r="970" spans="1:10" ht="15" x14ac:dyDescent="0.25">
      <c r="A970" s="243">
        <v>10002157</v>
      </c>
      <c r="B970" s="243">
        <v>8490422486</v>
      </c>
      <c r="C970" s="243" t="s">
        <v>1965</v>
      </c>
      <c r="D970" s="244">
        <v>36991</v>
      </c>
      <c r="E970" s="243" t="s">
        <v>1269</v>
      </c>
      <c r="F970" s="243" t="s">
        <v>1270</v>
      </c>
      <c r="G970" s="243" t="s">
        <v>1145</v>
      </c>
      <c r="H970" s="313">
        <v>3910</v>
      </c>
      <c r="I970" s="243" t="s">
        <v>616</v>
      </c>
      <c r="J970" s="246">
        <v>22</v>
      </c>
    </row>
    <row r="971" spans="1:10" ht="15" x14ac:dyDescent="0.25">
      <c r="A971" s="243">
        <v>10002158</v>
      </c>
      <c r="B971" s="243">
        <v>8412820428</v>
      </c>
      <c r="C971" s="243" t="s">
        <v>1966</v>
      </c>
      <c r="D971" s="244">
        <v>29231</v>
      </c>
      <c r="E971" s="243" t="s">
        <v>1278</v>
      </c>
      <c r="F971" s="243" t="s">
        <v>1279</v>
      </c>
      <c r="G971" s="243" t="s">
        <v>1145</v>
      </c>
      <c r="H971" s="313">
        <v>3910</v>
      </c>
      <c r="I971" s="243" t="s">
        <v>616</v>
      </c>
      <c r="J971" s="246">
        <v>43</v>
      </c>
    </row>
    <row r="972" spans="1:10" ht="15" x14ac:dyDescent="0.25">
      <c r="A972" s="243">
        <v>10002159</v>
      </c>
      <c r="B972" s="243">
        <v>8438901476</v>
      </c>
      <c r="C972" s="243" t="s">
        <v>1967</v>
      </c>
      <c r="D972" s="244">
        <v>31839</v>
      </c>
      <c r="E972" s="243" t="s">
        <v>1269</v>
      </c>
      <c r="F972" s="243" t="s">
        <v>1270</v>
      </c>
      <c r="G972" s="243" t="s">
        <v>1303</v>
      </c>
      <c r="H972" s="313">
        <v>3632</v>
      </c>
      <c r="I972" s="243" t="s">
        <v>593</v>
      </c>
      <c r="J972" s="246">
        <v>36</v>
      </c>
    </row>
    <row r="973" spans="1:10" ht="15" x14ac:dyDescent="0.25">
      <c r="A973" s="243">
        <v>10002160</v>
      </c>
      <c r="B973" s="243">
        <v>8490251584</v>
      </c>
      <c r="C973" s="243" t="s">
        <v>1968</v>
      </c>
      <c r="D973" s="244">
        <v>36974</v>
      </c>
      <c r="E973" s="243" t="s">
        <v>963</v>
      </c>
      <c r="F973" s="243" t="s">
        <v>964</v>
      </c>
      <c r="G973" s="243" t="s">
        <v>1145</v>
      </c>
      <c r="H973" s="313">
        <v>3910</v>
      </c>
      <c r="I973" s="243" t="s">
        <v>616</v>
      </c>
      <c r="J973" s="246">
        <v>22</v>
      </c>
    </row>
    <row r="974" spans="1:10" ht="15" x14ac:dyDescent="0.25">
      <c r="A974" s="243">
        <v>10002161</v>
      </c>
      <c r="B974" s="243">
        <v>8495532743</v>
      </c>
      <c r="C974" s="243" t="s">
        <v>1969</v>
      </c>
      <c r="D974" s="244">
        <v>37502</v>
      </c>
      <c r="E974" s="243" t="s">
        <v>1201</v>
      </c>
      <c r="F974" s="243" t="s">
        <v>1202</v>
      </c>
      <c r="G974" s="243" t="s">
        <v>1145</v>
      </c>
      <c r="H974" s="313">
        <v>3910</v>
      </c>
      <c r="I974" s="243" t="s">
        <v>616</v>
      </c>
      <c r="J974" s="246">
        <v>21</v>
      </c>
    </row>
    <row r="975" spans="1:10" ht="15" x14ac:dyDescent="0.25">
      <c r="A975" s="243">
        <v>10002162</v>
      </c>
      <c r="B975" s="243">
        <v>8437290244</v>
      </c>
      <c r="C975" s="243" t="s">
        <v>191</v>
      </c>
      <c r="D975" s="244">
        <v>31678</v>
      </c>
      <c r="E975" s="243" t="s">
        <v>963</v>
      </c>
      <c r="F975" s="243" t="s">
        <v>964</v>
      </c>
      <c r="G975" s="243" t="s">
        <v>1080</v>
      </c>
      <c r="H975" s="313">
        <v>2118</v>
      </c>
      <c r="I975" s="243" t="s">
        <v>414</v>
      </c>
      <c r="J975" s="246">
        <v>37</v>
      </c>
    </row>
    <row r="976" spans="1:10" ht="15" x14ac:dyDescent="0.25">
      <c r="A976" s="243">
        <v>10002164</v>
      </c>
      <c r="B976" s="243">
        <v>8491580409</v>
      </c>
      <c r="C976" s="243" t="s">
        <v>1970</v>
      </c>
      <c r="D976" s="244">
        <v>37107</v>
      </c>
      <c r="E976" s="243" t="s">
        <v>920</v>
      </c>
      <c r="F976" s="243" t="s">
        <v>921</v>
      </c>
      <c r="G976" s="243" t="s">
        <v>1145</v>
      </c>
      <c r="H976" s="313">
        <v>3910</v>
      </c>
      <c r="I976" s="243" t="s">
        <v>616</v>
      </c>
      <c r="J976" s="246">
        <v>22</v>
      </c>
    </row>
    <row r="977" spans="1:10" ht="15" x14ac:dyDescent="0.25">
      <c r="A977" s="243">
        <v>10002165</v>
      </c>
      <c r="B977" s="243">
        <v>8439390491</v>
      </c>
      <c r="C977" s="243" t="s">
        <v>1971</v>
      </c>
      <c r="D977" s="244">
        <v>31888</v>
      </c>
      <c r="E977" s="243" t="s">
        <v>870</v>
      </c>
      <c r="F977" s="243" t="s">
        <v>871</v>
      </c>
      <c r="G977" s="243" t="s">
        <v>1080</v>
      </c>
      <c r="H977" s="313">
        <v>2169</v>
      </c>
      <c r="I977" s="243" t="s">
        <v>442</v>
      </c>
      <c r="J977" s="246">
        <v>36</v>
      </c>
    </row>
    <row r="978" spans="1:10" ht="15" x14ac:dyDescent="0.25">
      <c r="A978" s="243">
        <v>10002166</v>
      </c>
      <c r="B978" s="243">
        <v>8408291289</v>
      </c>
      <c r="C978" s="243" t="s">
        <v>1972</v>
      </c>
      <c r="D978" s="244">
        <v>28778</v>
      </c>
      <c r="E978" s="243" t="s">
        <v>1150</v>
      </c>
      <c r="F978" s="243" t="s">
        <v>1151</v>
      </c>
      <c r="G978" s="243" t="s">
        <v>1145</v>
      </c>
      <c r="H978" s="313">
        <v>3910</v>
      </c>
      <c r="I978" s="243" t="s">
        <v>616</v>
      </c>
      <c r="J978" s="246">
        <v>45</v>
      </c>
    </row>
    <row r="979" spans="1:10" ht="15" x14ac:dyDescent="0.25">
      <c r="A979" s="243">
        <v>10002167</v>
      </c>
      <c r="B979" s="243">
        <v>8476102356</v>
      </c>
      <c r="C979" s="243" t="s">
        <v>1973</v>
      </c>
      <c r="D979" s="244">
        <v>35559</v>
      </c>
      <c r="E979" s="243" t="s">
        <v>945</v>
      </c>
      <c r="F979" s="243" t="s">
        <v>946</v>
      </c>
      <c r="G979" s="243" t="s">
        <v>1080</v>
      </c>
      <c r="H979" s="313">
        <v>2139</v>
      </c>
      <c r="I979" s="243" t="s">
        <v>425</v>
      </c>
      <c r="J979" s="246">
        <v>26</v>
      </c>
    </row>
    <row r="980" spans="1:10" ht="15" x14ac:dyDescent="0.25">
      <c r="A980" s="243">
        <v>10002168</v>
      </c>
      <c r="B980" s="243">
        <v>8413223210</v>
      </c>
      <c r="C980" s="243" t="s">
        <v>217</v>
      </c>
      <c r="D980" s="244">
        <v>29271</v>
      </c>
      <c r="E980" s="243" t="s">
        <v>963</v>
      </c>
      <c r="F980" s="243" t="s">
        <v>964</v>
      </c>
      <c r="G980" s="243" t="s">
        <v>1080</v>
      </c>
      <c r="H980" s="313">
        <v>2149</v>
      </c>
      <c r="I980" s="243" t="s">
        <v>430</v>
      </c>
      <c r="J980" s="246">
        <v>43</v>
      </c>
    </row>
    <row r="981" spans="1:10" ht="15" x14ac:dyDescent="0.25">
      <c r="A981" s="243">
        <v>10002169</v>
      </c>
      <c r="B981" s="243">
        <v>8494880098</v>
      </c>
      <c r="C981" s="243" t="s">
        <v>199</v>
      </c>
      <c r="D981" s="244">
        <v>37437</v>
      </c>
      <c r="E981" s="243" t="s">
        <v>891</v>
      </c>
      <c r="F981" s="243" t="s">
        <v>892</v>
      </c>
      <c r="G981" s="243" t="s">
        <v>1935</v>
      </c>
      <c r="H981" s="313">
        <v>3134</v>
      </c>
      <c r="I981" s="243" t="s">
        <v>531</v>
      </c>
      <c r="J981" s="246">
        <v>21</v>
      </c>
    </row>
    <row r="982" spans="1:10" ht="15" x14ac:dyDescent="0.25">
      <c r="A982" s="243">
        <v>10002170</v>
      </c>
      <c r="B982" s="243">
        <v>8474931819</v>
      </c>
      <c r="C982" s="243" t="s">
        <v>1974</v>
      </c>
      <c r="D982" s="244">
        <v>35442</v>
      </c>
      <c r="E982" s="243" t="s">
        <v>891</v>
      </c>
      <c r="F982" s="243" t="s">
        <v>892</v>
      </c>
      <c r="G982" s="243" t="s">
        <v>1080</v>
      </c>
      <c r="H982" s="313">
        <v>2117</v>
      </c>
      <c r="I982" s="243" t="s">
        <v>413</v>
      </c>
      <c r="J982" s="246">
        <v>26</v>
      </c>
    </row>
    <row r="983" spans="1:10" ht="15" x14ac:dyDescent="0.25">
      <c r="A983" s="243">
        <v>10002171</v>
      </c>
      <c r="B983" s="243">
        <v>8349722673</v>
      </c>
      <c r="C983" s="243" t="s">
        <v>1440</v>
      </c>
      <c r="D983" s="244">
        <v>22921</v>
      </c>
      <c r="E983" s="243" t="s">
        <v>945</v>
      </c>
      <c r="F983" s="243" t="s">
        <v>946</v>
      </c>
      <c r="G983" s="243" t="s">
        <v>997</v>
      </c>
      <c r="H983" s="313">
        <v>2163</v>
      </c>
      <c r="I983" s="243" t="s">
        <v>436</v>
      </c>
      <c r="J983" s="246">
        <v>61</v>
      </c>
    </row>
    <row r="984" spans="1:10" ht="15" x14ac:dyDescent="0.25">
      <c r="A984" s="243">
        <v>10002172</v>
      </c>
      <c r="B984" s="243">
        <v>8451441513</v>
      </c>
      <c r="C984" s="243" t="s">
        <v>167</v>
      </c>
      <c r="D984" s="244">
        <v>33093</v>
      </c>
      <c r="E984" s="243" t="s">
        <v>870</v>
      </c>
      <c r="F984" s="243" t="s">
        <v>871</v>
      </c>
      <c r="G984" s="243" t="s">
        <v>997</v>
      </c>
      <c r="H984" s="313">
        <v>2167</v>
      </c>
      <c r="I984" s="243" t="s">
        <v>440</v>
      </c>
      <c r="J984" s="246">
        <v>33</v>
      </c>
    </row>
    <row r="985" spans="1:10" ht="15" x14ac:dyDescent="0.25">
      <c r="A985" s="243">
        <v>10002173</v>
      </c>
      <c r="B985" s="243">
        <v>8420512370</v>
      </c>
      <c r="C985" s="243" t="s">
        <v>1975</v>
      </c>
      <c r="D985" s="244">
        <v>30000</v>
      </c>
      <c r="E985" s="243" t="s">
        <v>945</v>
      </c>
      <c r="F985" s="243" t="s">
        <v>946</v>
      </c>
      <c r="G985" s="243" t="s">
        <v>997</v>
      </c>
      <c r="H985" s="313">
        <v>2169</v>
      </c>
      <c r="I985" s="243" t="s">
        <v>442</v>
      </c>
      <c r="J985" s="246">
        <v>41</v>
      </c>
    </row>
    <row r="986" spans="1:10" ht="15" x14ac:dyDescent="0.25">
      <c r="A986" s="243">
        <v>10002174</v>
      </c>
      <c r="B986" s="243">
        <v>8399513814</v>
      </c>
      <c r="C986" s="243" t="s">
        <v>1976</v>
      </c>
      <c r="D986" s="244">
        <v>27900</v>
      </c>
      <c r="E986" s="243" t="s">
        <v>945</v>
      </c>
      <c r="F986" s="243" t="s">
        <v>946</v>
      </c>
      <c r="G986" s="243" t="s">
        <v>997</v>
      </c>
      <c r="H986" s="313">
        <v>2117</v>
      </c>
      <c r="I986" s="243" t="s">
        <v>413</v>
      </c>
      <c r="J986" s="246">
        <v>47</v>
      </c>
    </row>
    <row r="987" spans="1:10" ht="15" x14ac:dyDescent="0.25">
      <c r="A987" s="243">
        <v>10002175</v>
      </c>
      <c r="B987" s="243">
        <v>8402940218</v>
      </c>
      <c r="C987" s="243" t="s">
        <v>1977</v>
      </c>
      <c r="D987" s="244">
        <v>28243</v>
      </c>
      <c r="E987" s="243" t="s">
        <v>1673</v>
      </c>
      <c r="F987" s="243" t="s">
        <v>1674</v>
      </c>
      <c r="G987" s="243" t="s">
        <v>1145</v>
      </c>
      <c r="H987" s="313">
        <v>3632</v>
      </c>
      <c r="I987" s="243" t="s">
        <v>593</v>
      </c>
      <c r="J987" s="246">
        <v>46</v>
      </c>
    </row>
    <row r="988" spans="1:10" ht="15" x14ac:dyDescent="0.25">
      <c r="A988" s="243">
        <v>10002176</v>
      </c>
      <c r="B988" s="243">
        <v>8476082282</v>
      </c>
      <c r="C988" s="243" t="s">
        <v>1978</v>
      </c>
      <c r="D988" s="244">
        <v>35557</v>
      </c>
      <c r="E988" s="243" t="s">
        <v>1135</v>
      </c>
      <c r="F988" s="243" t="s">
        <v>1136</v>
      </c>
      <c r="G988" s="243" t="s">
        <v>1303</v>
      </c>
      <c r="H988" s="313">
        <v>3511</v>
      </c>
      <c r="I988" s="243" t="s">
        <v>576</v>
      </c>
      <c r="J988" s="246">
        <v>26</v>
      </c>
    </row>
    <row r="989" spans="1:10" ht="15" x14ac:dyDescent="0.25">
      <c r="A989" s="243">
        <v>10002177</v>
      </c>
      <c r="B989" s="243">
        <v>8472050033</v>
      </c>
      <c r="C989" s="243" t="s">
        <v>1979</v>
      </c>
      <c r="D989" s="244">
        <v>35154</v>
      </c>
      <c r="E989" s="243" t="s">
        <v>1191</v>
      </c>
      <c r="F989" s="243" t="s">
        <v>1192</v>
      </c>
      <c r="G989" s="243" t="s">
        <v>1145</v>
      </c>
      <c r="H989" s="313">
        <v>3143</v>
      </c>
      <c r="I989" s="243" t="s">
        <v>537</v>
      </c>
      <c r="J989" s="246">
        <v>27</v>
      </c>
    </row>
    <row r="990" spans="1:10" ht="15" x14ac:dyDescent="0.25">
      <c r="A990" s="243">
        <v>10002178</v>
      </c>
      <c r="B990" s="243">
        <v>8412650174</v>
      </c>
      <c r="C990" s="243" t="s">
        <v>1980</v>
      </c>
      <c r="D990" s="244">
        <v>29214</v>
      </c>
      <c r="E990" s="243" t="s">
        <v>1138</v>
      </c>
      <c r="F990" s="243" t="s">
        <v>1139</v>
      </c>
      <c r="G990" s="243" t="s">
        <v>1844</v>
      </c>
      <c r="H990" s="313">
        <v>7341</v>
      </c>
      <c r="I990" s="243" t="s">
        <v>729</v>
      </c>
      <c r="J990" s="246">
        <v>44</v>
      </c>
    </row>
    <row r="991" spans="1:10" ht="15" x14ac:dyDescent="0.25">
      <c r="A991" s="243">
        <v>10002179</v>
      </c>
      <c r="B991" s="243">
        <v>8463320732</v>
      </c>
      <c r="C991" s="243" t="s">
        <v>1981</v>
      </c>
      <c r="D991" s="244">
        <v>34281</v>
      </c>
      <c r="E991" s="243" t="s">
        <v>906</v>
      </c>
      <c r="F991" s="243" t="s">
        <v>907</v>
      </c>
      <c r="G991" s="243" t="s">
        <v>1109</v>
      </c>
      <c r="H991" s="313">
        <v>2139</v>
      </c>
      <c r="I991" s="243" t="s">
        <v>425</v>
      </c>
      <c r="J991" s="246">
        <v>30</v>
      </c>
    </row>
    <row r="992" spans="1:10" ht="15" x14ac:dyDescent="0.25">
      <c r="A992" s="243">
        <v>10002180</v>
      </c>
      <c r="B992" s="243">
        <v>8452993811</v>
      </c>
      <c r="C992" s="243" t="s">
        <v>1982</v>
      </c>
      <c r="D992" s="244">
        <v>33248</v>
      </c>
      <c r="E992" s="243" t="s">
        <v>1198</v>
      </c>
      <c r="F992" s="243" t="s">
        <v>1199</v>
      </c>
      <c r="G992" s="243" t="s">
        <v>1145</v>
      </c>
      <c r="H992" s="313">
        <v>3623</v>
      </c>
      <c r="I992" s="243" t="s">
        <v>590</v>
      </c>
      <c r="J992" s="246">
        <v>32</v>
      </c>
    </row>
    <row r="993" spans="1:10" ht="15" x14ac:dyDescent="0.25">
      <c r="A993" s="243">
        <v>10002181</v>
      </c>
      <c r="B993" s="243">
        <v>8394030483</v>
      </c>
      <c r="C993" s="243" t="s">
        <v>1983</v>
      </c>
      <c r="D993" s="244">
        <v>27352</v>
      </c>
      <c r="E993" s="243" t="s">
        <v>1984</v>
      </c>
      <c r="F993" s="243" t="s">
        <v>1985</v>
      </c>
      <c r="G993" s="243" t="s">
        <v>1643</v>
      </c>
      <c r="H993" s="313">
        <v>9112</v>
      </c>
      <c r="I993" s="243" t="s">
        <v>815</v>
      </c>
      <c r="J993" s="246">
        <v>49</v>
      </c>
    </row>
    <row r="994" spans="1:10" ht="15" x14ac:dyDescent="0.25">
      <c r="A994" s="243">
        <v>10002182</v>
      </c>
      <c r="B994" s="243">
        <v>8359472858</v>
      </c>
      <c r="C994" s="243" t="s">
        <v>1986</v>
      </c>
      <c r="D994" s="244">
        <v>23896</v>
      </c>
      <c r="E994" s="243" t="s">
        <v>896</v>
      </c>
      <c r="F994" s="243" t="s">
        <v>897</v>
      </c>
      <c r="G994" s="243" t="s">
        <v>860</v>
      </c>
      <c r="H994" s="313">
        <v>1328</v>
      </c>
      <c r="I994" s="243" t="s">
        <v>391</v>
      </c>
      <c r="J994" s="246">
        <v>58</v>
      </c>
    </row>
    <row r="995" spans="1:10" ht="15" x14ac:dyDescent="0.25">
      <c r="A995" s="243">
        <v>10002183</v>
      </c>
      <c r="B995" s="243">
        <v>8403430604</v>
      </c>
      <c r="C995" s="243" t="s">
        <v>1987</v>
      </c>
      <c r="D995" s="244">
        <v>28292</v>
      </c>
      <c r="E995" s="243" t="s">
        <v>1138</v>
      </c>
      <c r="F995" s="243" t="s">
        <v>1139</v>
      </c>
      <c r="G995" s="243" t="s">
        <v>1844</v>
      </c>
      <c r="H995" s="313">
        <v>7521</v>
      </c>
      <c r="I995" s="243" t="s">
        <v>748</v>
      </c>
      <c r="J995" s="246">
        <v>46</v>
      </c>
    </row>
    <row r="996" spans="1:10" ht="15" x14ac:dyDescent="0.25">
      <c r="A996" s="243">
        <v>10002184</v>
      </c>
      <c r="B996" s="243">
        <v>8390771837</v>
      </c>
      <c r="C996" s="243" t="s">
        <v>1988</v>
      </c>
      <c r="D996" s="244">
        <v>27026</v>
      </c>
      <c r="E996" s="243" t="s">
        <v>1157</v>
      </c>
      <c r="F996" s="243" t="s">
        <v>1158</v>
      </c>
      <c r="G996" s="243" t="s">
        <v>985</v>
      </c>
      <c r="H996" s="313">
        <v>2410</v>
      </c>
      <c r="I996" s="243" t="s">
        <v>462</v>
      </c>
      <c r="J996" s="246">
        <v>50</v>
      </c>
    </row>
    <row r="997" spans="1:10" ht="15" x14ac:dyDescent="0.25">
      <c r="A997" s="243">
        <v>10002185</v>
      </c>
      <c r="B997" s="243">
        <v>8475032443</v>
      </c>
      <c r="C997" s="243" t="s">
        <v>1989</v>
      </c>
      <c r="D997" s="244">
        <v>35452</v>
      </c>
      <c r="E997" s="243" t="s">
        <v>1597</v>
      </c>
      <c r="F997" s="243" t="s">
        <v>1598</v>
      </c>
      <c r="G997" s="243" t="s">
        <v>1145</v>
      </c>
      <c r="H997" s="313">
        <v>3632</v>
      </c>
      <c r="I997" s="243" t="s">
        <v>593</v>
      </c>
      <c r="J997" s="246">
        <v>26</v>
      </c>
    </row>
    <row r="998" spans="1:10" ht="15" x14ac:dyDescent="0.25">
      <c r="A998" s="243">
        <v>10002186</v>
      </c>
      <c r="B998" s="243">
        <v>8385943714</v>
      </c>
      <c r="C998" s="243" t="s">
        <v>1990</v>
      </c>
      <c r="D998" s="244">
        <v>26543</v>
      </c>
      <c r="E998" s="243" t="s">
        <v>1157</v>
      </c>
      <c r="F998" s="243" t="s">
        <v>1158</v>
      </c>
      <c r="G998" s="243" t="s">
        <v>985</v>
      </c>
      <c r="H998" s="313">
        <v>2410</v>
      </c>
      <c r="I998" s="243" t="s">
        <v>462</v>
      </c>
      <c r="J998" s="246">
        <v>51</v>
      </c>
    </row>
    <row r="999" spans="1:10" ht="15" x14ac:dyDescent="0.25">
      <c r="A999" s="243">
        <v>10002187</v>
      </c>
      <c r="B999" s="243">
        <v>8320203163</v>
      </c>
      <c r="C999" s="243" t="s">
        <v>1991</v>
      </c>
      <c r="D999" s="244">
        <v>19969</v>
      </c>
      <c r="E999" s="243" t="s">
        <v>906</v>
      </c>
      <c r="F999" s="243" t="s">
        <v>907</v>
      </c>
      <c r="G999" s="243" t="s">
        <v>1992</v>
      </c>
      <c r="H999" s="313">
        <v>2122</v>
      </c>
      <c r="I999" s="243" t="s">
        <v>416</v>
      </c>
      <c r="J999" s="246">
        <v>69</v>
      </c>
    </row>
    <row r="1000" spans="1:10" ht="15" x14ac:dyDescent="0.25">
      <c r="A1000" s="243">
        <v>10002188</v>
      </c>
      <c r="B1000" s="243">
        <v>8470681206</v>
      </c>
      <c r="C1000" s="243" t="s">
        <v>1993</v>
      </c>
      <c r="D1000" s="244">
        <v>35017</v>
      </c>
      <c r="E1000" s="243" t="s">
        <v>902</v>
      </c>
      <c r="F1000" s="243" t="s">
        <v>903</v>
      </c>
      <c r="G1000" s="243" t="s">
        <v>1020</v>
      </c>
      <c r="H1000" s="313">
        <v>2410</v>
      </c>
      <c r="I1000" s="243" t="s">
        <v>462</v>
      </c>
      <c r="J1000" s="246">
        <v>28</v>
      </c>
    </row>
    <row r="1001" spans="1:10" ht="15" x14ac:dyDescent="0.25">
      <c r="A1001" s="243">
        <v>10002190</v>
      </c>
      <c r="B1001" s="243">
        <v>8354561240</v>
      </c>
      <c r="C1001" s="243" t="s">
        <v>1994</v>
      </c>
      <c r="D1001" s="244">
        <v>23405</v>
      </c>
      <c r="E1001" s="243" t="s">
        <v>963</v>
      </c>
      <c r="F1001" s="243" t="s">
        <v>964</v>
      </c>
      <c r="G1001" s="243" t="s">
        <v>1080</v>
      </c>
      <c r="H1001" s="313">
        <v>2117</v>
      </c>
      <c r="I1001" s="243" t="s">
        <v>413</v>
      </c>
      <c r="J1001" s="246">
        <v>59</v>
      </c>
    </row>
    <row r="1002" spans="1:10" ht="15" x14ac:dyDescent="0.25">
      <c r="A1002" s="243">
        <v>10002191</v>
      </c>
      <c r="B1002" s="243">
        <v>8456720208</v>
      </c>
      <c r="C1002" s="243" t="s">
        <v>1995</v>
      </c>
      <c r="D1002" s="244">
        <v>33621</v>
      </c>
      <c r="E1002" s="243" t="s">
        <v>1953</v>
      </c>
      <c r="F1002" s="243" t="s">
        <v>1954</v>
      </c>
      <c r="G1002" s="243" t="s">
        <v>1303</v>
      </c>
      <c r="H1002" s="313">
        <v>2628</v>
      </c>
      <c r="I1002" s="243" t="s">
        <v>501</v>
      </c>
      <c r="J1002" s="246">
        <v>31</v>
      </c>
    </row>
    <row r="1003" spans="1:10" ht="15" x14ac:dyDescent="0.25">
      <c r="A1003" s="243">
        <v>10002192</v>
      </c>
      <c r="B1003" s="243">
        <v>8368811929</v>
      </c>
      <c r="C1003" s="243" t="s">
        <v>1996</v>
      </c>
      <c r="D1003" s="244">
        <v>24830</v>
      </c>
      <c r="E1003" s="243" t="s">
        <v>902</v>
      </c>
      <c r="F1003" s="243" t="s">
        <v>903</v>
      </c>
      <c r="G1003" s="243" t="s">
        <v>864</v>
      </c>
      <c r="H1003" s="313">
        <v>2410</v>
      </c>
      <c r="I1003" s="243" t="s">
        <v>462</v>
      </c>
      <c r="J1003" s="246">
        <v>56</v>
      </c>
    </row>
    <row r="1004" spans="1:10" ht="15" x14ac:dyDescent="0.25">
      <c r="A1004" s="243">
        <v>10002193</v>
      </c>
      <c r="B1004" s="243">
        <v>8470432028</v>
      </c>
      <c r="C1004" s="243" t="s">
        <v>1997</v>
      </c>
      <c r="D1004" s="244">
        <v>34992</v>
      </c>
      <c r="E1004" s="243" t="s">
        <v>902</v>
      </c>
      <c r="F1004" s="243" t="s">
        <v>903</v>
      </c>
      <c r="G1004" s="243" t="s">
        <v>1020</v>
      </c>
      <c r="H1004" s="313">
        <v>2410</v>
      </c>
      <c r="I1004" s="243" t="s">
        <v>462</v>
      </c>
      <c r="J1004" s="246">
        <v>28</v>
      </c>
    </row>
    <row r="1005" spans="1:10" ht="15" x14ac:dyDescent="0.25">
      <c r="A1005" s="243">
        <v>10002194</v>
      </c>
      <c r="B1005" s="243">
        <v>8428693250</v>
      </c>
      <c r="C1005" s="243" t="s">
        <v>216</v>
      </c>
      <c r="D1005" s="244">
        <v>30818</v>
      </c>
      <c r="E1005" s="243" t="s">
        <v>963</v>
      </c>
      <c r="F1005" s="243" t="s">
        <v>964</v>
      </c>
      <c r="G1005" s="243" t="s">
        <v>1080</v>
      </c>
      <c r="H1005" s="313">
        <v>2122</v>
      </c>
      <c r="I1005" s="243" t="s">
        <v>416</v>
      </c>
      <c r="J1005" s="246">
        <v>39</v>
      </c>
    </row>
    <row r="1006" spans="1:10" ht="15" x14ac:dyDescent="0.25">
      <c r="A1006" s="243">
        <v>10002195</v>
      </c>
      <c r="B1006" s="243">
        <v>8420971286</v>
      </c>
      <c r="C1006" s="243" t="s">
        <v>1998</v>
      </c>
      <c r="D1006" s="244">
        <v>30046</v>
      </c>
      <c r="E1006" s="243" t="s">
        <v>896</v>
      </c>
      <c r="F1006" s="243" t="s">
        <v>897</v>
      </c>
      <c r="G1006" s="243" t="s">
        <v>864</v>
      </c>
      <c r="H1006" s="313">
        <v>2410</v>
      </c>
      <c r="I1006" s="243" t="s">
        <v>462</v>
      </c>
      <c r="J1006" s="246">
        <v>41</v>
      </c>
    </row>
    <row r="1007" spans="1:10" ht="15" x14ac:dyDescent="0.25">
      <c r="A1007" s="243">
        <v>10002196</v>
      </c>
      <c r="B1007" s="243">
        <v>8430180605</v>
      </c>
      <c r="C1007" s="243" t="s">
        <v>1999</v>
      </c>
      <c r="D1007" s="244">
        <v>30967</v>
      </c>
      <c r="E1007" s="243" t="s">
        <v>870</v>
      </c>
      <c r="F1007" s="243" t="s">
        <v>871</v>
      </c>
      <c r="G1007" s="243" t="s">
        <v>1080</v>
      </c>
      <c r="H1007" s="313">
        <v>2117</v>
      </c>
      <c r="I1007" s="243" t="s">
        <v>413</v>
      </c>
      <c r="J1007" s="246">
        <v>39</v>
      </c>
    </row>
    <row r="1008" spans="1:10" ht="15" x14ac:dyDescent="0.25">
      <c r="A1008" s="243">
        <v>10002197</v>
      </c>
      <c r="B1008" s="243">
        <v>8426710921</v>
      </c>
      <c r="C1008" s="243" t="s">
        <v>2000</v>
      </c>
      <c r="D1008" s="244">
        <v>30620</v>
      </c>
      <c r="E1008" s="243" t="s">
        <v>1135</v>
      </c>
      <c r="F1008" s="243" t="s">
        <v>1136</v>
      </c>
      <c r="G1008" s="243" t="s">
        <v>1145</v>
      </c>
      <c r="H1008" s="313">
        <v>3410</v>
      </c>
      <c r="I1008" s="243" t="s">
        <v>574</v>
      </c>
      <c r="J1008" s="246">
        <v>40</v>
      </c>
    </row>
    <row r="1009" spans="1:10" ht="15" x14ac:dyDescent="0.25">
      <c r="A1009" s="243">
        <v>10002198</v>
      </c>
      <c r="B1009" s="243">
        <v>8460470792</v>
      </c>
      <c r="C1009" s="243" t="s">
        <v>1709</v>
      </c>
      <c r="D1009" s="244">
        <v>33996</v>
      </c>
      <c r="E1009" s="243" t="s">
        <v>870</v>
      </c>
      <c r="F1009" s="243" t="s">
        <v>871</v>
      </c>
      <c r="G1009" s="243" t="s">
        <v>927</v>
      </c>
      <c r="H1009" s="313">
        <v>2117</v>
      </c>
      <c r="I1009" s="243" t="s">
        <v>413</v>
      </c>
      <c r="J1009" s="246">
        <v>30</v>
      </c>
    </row>
    <row r="1010" spans="1:10" ht="15" x14ac:dyDescent="0.25">
      <c r="A1010" s="243">
        <v>10002199</v>
      </c>
      <c r="B1010" s="243">
        <v>8481950971</v>
      </c>
      <c r="C1010" s="243" t="s">
        <v>2001</v>
      </c>
      <c r="D1010" s="244">
        <v>36144</v>
      </c>
      <c r="E1010" s="243" t="s">
        <v>1150</v>
      </c>
      <c r="F1010" s="243" t="s">
        <v>1151</v>
      </c>
      <c r="G1010" s="243" t="s">
        <v>1145</v>
      </c>
      <c r="H1010" s="313">
        <v>3910</v>
      </c>
      <c r="I1010" s="243" t="s">
        <v>616</v>
      </c>
      <c r="J1010" s="246">
        <v>25</v>
      </c>
    </row>
    <row r="1011" spans="1:10" ht="15" x14ac:dyDescent="0.25">
      <c r="A1011" s="243">
        <v>10002200</v>
      </c>
      <c r="B1011" s="243">
        <v>8450510597</v>
      </c>
      <c r="C1011" s="243" t="s">
        <v>1808</v>
      </c>
      <c r="D1011" s="244">
        <v>33000</v>
      </c>
      <c r="E1011" s="243" t="s">
        <v>1258</v>
      </c>
      <c r="F1011" s="243" t="s">
        <v>1259</v>
      </c>
      <c r="G1011" s="243" t="s">
        <v>1145</v>
      </c>
      <c r="H1011" s="313">
        <v>3910</v>
      </c>
      <c r="I1011" s="243" t="s">
        <v>616</v>
      </c>
      <c r="J1011" s="246">
        <v>33</v>
      </c>
    </row>
    <row r="1012" spans="1:10" ht="15" x14ac:dyDescent="0.25">
      <c r="A1012" s="243">
        <v>10002201</v>
      </c>
      <c r="B1012" s="243">
        <v>8480502614</v>
      </c>
      <c r="C1012" s="243" t="s">
        <v>2002</v>
      </c>
      <c r="D1012" s="244">
        <v>35999</v>
      </c>
      <c r="E1012" s="243" t="s">
        <v>1220</v>
      </c>
      <c r="F1012" s="243" t="s">
        <v>1221</v>
      </c>
      <c r="G1012" s="243" t="s">
        <v>1145</v>
      </c>
      <c r="H1012" s="313">
        <v>3910</v>
      </c>
      <c r="I1012" s="243" t="s">
        <v>616</v>
      </c>
      <c r="J1012" s="246">
        <v>25</v>
      </c>
    </row>
    <row r="1013" spans="1:10" ht="15" x14ac:dyDescent="0.25">
      <c r="A1013" s="243">
        <v>10002202</v>
      </c>
      <c r="B1013" s="243">
        <v>8431133368</v>
      </c>
      <c r="C1013" s="243" t="s">
        <v>2003</v>
      </c>
      <c r="D1013" s="244">
        <v>31062</v>
      </c>
      <c r="E1013" s="243" t="s">
        <v>1278</v>
      </c>
      <c r="F1013" s="243" t="s">
        <v>1279</v>
      </c>
      <c r="G1013" s="243" t="s">
        <v>1109</v>
      </c>
      <c r="H1013" s="313">
        <v>2532</v>
      </c>
      <c r="I1013" s="243" t="s">
        <v>485</v>
      </c>
      <c r="J1013" s="246">
        <v>38</v>
      </c>
    </row>
    <row r="1014" spans="1:10" ht="15" x14ac:dyDescent="0.25">
      <c r="A1014" s="243">
        <v>10002203</v>
      </c>
      <c r="B1014" s="243">
        <v>8463030467</v>
      </c>
      <c r="C1014" s="243" t="s">
        <v>2004</v>
      </c>
      <c r="D1014" s="244">
        <v>34252</v>
      </c>
      <c r="E1014" s="243" t="s">
        <v>942</v>
      </c>
      <c r="F1014" s="243" t="s">
        <v>943</v>
      </c>
      <c r="G1014" s="243" t="s">
        <v>1020</v>
      </c>
      <c r="H1014" s="313">
        <v>2410</v>
      </c>
      <c r="I1014" s="243" t="s">
        <v>462</v>
      </c>
      <c r="J1014" s="246">
        <v>30</v>
      </c>
    </row>
    <row r="1015" spans="1:10" ht="15" x14ac:dyDescent="0.25">
      <c r="A1015" s="243">
        <v>10002204</v>
      </c>
      <c r="B1015" s="243">
        <v>8419321990</v>
      </c>
      <c r="C1015" s="243" t="s">
        <v>2005</v>
      </c>
      <c r="D1015" s="244">
        <v>29881</v>
      </c>
      <c r="E1015" s="243" t="s">
        <v>1820</v>
      </c>
      <c r="F1015" s="243" t="s">
        <v>1821</v>
      </c>
      <c r="G1015" s="243" t="s">
        <v>985</v>
      </c>
      <c r="H1015" s="313">
        <v>2410</v>
      </c>
      <c r="I1015" s="243" t="s">
        <v>462</v>
      </c>
      <c r="J1015" s="246">
        <v>42</v>
      </c>
    </row>
    <row r="1016" spans="1:10" ht="15" x14ac:dyDescent="0.25">
      <c r="A1016" s="243">
        <v>10002205</v>
      </c>
      <c r="B1016" s="243">
        <v>8410762048</v>
      </c>
      <c r="C1016" s="243" t="s">
        <v>2006</v>
      </c>
      <c r="D1016" s="244">
        <v>29025</v>
      </c>
      <c r="E1016" s="243" t="s">
        <v>1620</v>
      </c>
      <c r="F1016" s="243" t="s">
        <v>1621</v>
      </c>
      <c r="G1016" s="243" t="s">
        <v>985</v>
      </c>
      <c r="H1016" s="313">
        <v>2410</v>
      </c>
      <c r="I1016" s="243" t="s">
        <v>462</v>
      </c>
      <c r="J1016" s="246">
        <v>44</v>
      </c>
    </row>
    <row r="1017" spans="1:10" ht="15" x14ac:dyDescent="0.25">
      <c r="A1017" s="243">
        <v>10002206</v>
      </c>
      <c r="B1017" s="243">
        <v>8421490664</v>
      </c>
      <c r="C1017" s="243" t="s">
        <v>2007</v>
      </c>
      <c r="D1017" s="244">
        <v>30098</v>
      </c>
      <c r="E1017" s="243" t="s">
        <v>1121</v>
      </c>
      <c r="F1017" s="243" t="s">
        <v>1122</v>
      </c>
      <c r="G1017" s="243" t="s">
        <v>1145</v>
      </c>
      <c r="H1017" s="313">
        <v>3190</v>
      </c>
      <c r="I1017" s="243" t="s">
        <v>552</v>
      </c>
      <c r="J1017" s="246">
        <v>41</v>
      </c>
    </row>
    <row r="1018" spans="1:10" ht="15" x14ac:dyDescent="0.25">
      <c r="A1018" s="243">
        <v>10002207</v>
      </c>
      <c r="B1018" s="243">
        <v>8347313725</v>
      </c>
      <c r="C1018" s="243" t="s">
        <v>2008</v>
      </c>
      <c r="D1018" s="244">
        <v>22680</v>
      </c>
      <c r="E1018" s="243" t="s">
        <v>1617</v>
      </c>
      <c r="F1018" s="243" t="s">
        <v>1618</v>
      </c>
      <c r="G1018" s="243" t="s">
        <v>1643</v>
      </c>
      <c r="H1018" s="313">
        <v>9231</v>
      </c>
      <c r="I1018" s="243" t="s">
        <v>826</v>
      </c>
      <c r="J1018" s="246">
        <v>61</v>
      </c>
    </row>
    <row r="1019" spans="1:10" ht="15" x14ac:dyDescent="0.25">
      <c r="A1019" s="243">
        <v>10002209</v>
      </c>
      <c r="B1019" s="243">
        <v>8466444890</v>
      </c>
      <c r="C1019" s="243" t="s">
        <v>2009</v>
      </c>
      <c r="D1019" s="244">
        <v>34593</v>
      </c>
      <c r="E1019" s="243" t="s">
        <v>877</v>
      </c>
      <c r="F1019" s="243" t="s">
        <v>878</v>
      </c>
      <c r="G1019" s="243" t="s">
        <v>872</v>
      </c>
      <c r="H1019" s="313">
        <v>2410</v>
      </c>
      <c r="I1019" s="243" t="s">
        <v>462</v>
      </c>
      <c r="J1019" s="246">
        <v>29</v>
      </c>
    </row>
    <row r="1020" spans="1:10" ht="15" x14ac:dyDescent="0.25">
      <c r="A1020" s="243">
        <v>10002210</v>
      </c>
      <c r="B1020" s="243">
        <v>8358790708</v>
      </c>
      <c r="C1020" s="243" t="s">
        <v>2010</v>
      </c>
      <c r="D1020" s="244">
        <v>23828</v>
      </c>
      <c r="E1020" s="243" t="s">
        <v>1138</v>
      </c>
      <c r="F1020" s="243" t="s">
        <v>1139</v>
      </c>
      <c r="G1020" s="243" t="s">
        <v>1844</v>
      </c>
      <c r="H1020" s="313">
        <v>8323</v>
      </c>
      <c r="I1020" s="243" t="s">
        <v>794</v>
      </c>
      <c r="J1020" s="246">
        <v>58</v>
      </c>
    </row>
    <row r="1021" spans="1:10" ht="15" x14ac:dyDescent="0.25">
      <c r="A1021" s="243">
        <v>10002211</v>
      </c>
      <c r="B1021" s="243">
        <v>8351943711</v>
      </c>
      <c r="C1021" s="243" t="s">
        <v>2011</v>
      </c>
      <c r="D1021" s="244">
        <v>23143</v>
      </c>
      <c r="E1021" s="243" t="s">
        <v>1138</v>
      </c>
      <c r="F1021" s="243" t="s">
        <v>1139</v>
      </c>
      <c r="G1021" s="243" t="s">
        <v>1844</v>
      </c>
      <c r="H1021" s="313">
        <v>8323</v>
      </c>
      <c r="I1021" s="243" t="s">
        <v>794</v>
      </c>
      <c r="J1021" s="246">
        <v>60</v>
      </c>
    </row>
    <row r="1022" spans="1:10" ht="15" x14ac:dyDescent="0.25">
      <c r="A1022" s="243">
        <v>10002212</v>
      </c>
      <c r="B1022" s="243">
        <v>8343912519</v>
      </c>
      <c r="C1022" s="243" t="s">
        <v>2012</v>
      </c>
      <c r="D1022" s="244">
        <v>22340</v>
      </c>
      <c r="E1022" s="243" t="s">
        <v>936</v>
      </c>
      <c r="F1022" s="243" t="s">
        <v>937</v>
      </c>
      <c r="G1022" s="243" t="s">
        <v>1080</v>
      </c>
      <c r="H1022" s="313">
        <v>2118</v>
      </c>
      <c r="I1022" s="243" t="s">
        <v>414</v>
      </c>
      <c r="J1022" s="246">
        <v>62</v>
      </c>
    </row>
    <row r="1023" spans="1:10" ht="15" x14ac:dyDescent="0.25">
      <c r="A1023" s="243">
        <v>10002213</v>
      </c>
      <c r="B1023" s="243">
        <v>8388883704</v>
      </c>
      <c r="C1023" s="243" t="s">
        <v>2013</v>
      </c>
      <c r="D1023" s="244">
        <v>26837</v>
      </c>
      <c r="E1023" s="243" t="s">
        <v>954</v>
      </c>
      <c r="F1023" s="243" t="s">
        <v>955</v>
      </c>
      <c r="G1023" s="243" t="s">
        <v>985</v>
      </c>
      <c r="H1023" s="313">
        <v>2410</v>
      </c>
      <c r="I1023" s="243" t="s">
        <v>462</v>
      </c>
      <c r="J1023" s="246">
        <v>50</v>
      </c>
    </row>
    <row r="1024" spans="1:10" ht="15" x14ac:dyDescent="0.25">
      <c r="A1024" s="243">
        <v>10002214</v>
      </c>
      <c r="B1024" s="243">
        <v>8400542681</v>
      </c>
      <c r="C1024" s="243" t="s">
        <v>2014</v>
      </c>
      <c r="D1024" s="244">
        <v>28003</v>
      </c>
      <c r="E1024" s="243" t="s">
        <v>1953</v>
      </c>
      <c r="F1024" s="243" t="s">
        <v>1954</v>
      </c>
      <c r="G1024" s="243" t="s">
        <v>1303</v>
      </c>
      <c r="H1024" s="313">
        <v>2910</v>
      </c>
      <c r="I1024" s="243" t="s">
        <v>518</v>
      </c>
      <c r="J1024" s="246">
        <v>47</v>
      </c>
    </row>
    <row r="1025" spans="1:10" ht="15" x14ac:dyDescent="0.25">
      <c r="A1025" s="243">
        <v>10002215</v>
      </c>
      <c r="B1025" s="243">
        <v>8458452669</v>
      </c>
      <c r="C1025" s="243" t="s">
        <v>2015</v>
      </c>
      <c r="D1025" s="244">
        <v>33794</v>
      </c>
      <c r="E1025" s="243" t="s">
        <v>870</v>
      </c>
      <c r="F1025" s="243" t="s">
        <v>871</v>
      </c>
      <c r="G1025" s="243" t="s">
        <v>927</v>
      </c>
      <c r="H1025" s="313">
        <v>2117</v>
      </c>
      <c r="I1025" s="243" t="s">
        <v>413</v>
      </c>
      <c r="J1025" s="246">
        <v>31</v>
      </c>
    </row>
    <row r="1026" spans="1:10" ht="15" x14ac:dyDescent="0.25">
      <c r="A1026" s="243">
        <v>10002216</v>
      </c>
      <c r="B1026" s="243">
        <v>8469850865</v>
      </c>
      <c r="C1026" s="243" t="s">
        <v>2016</v>
      </c>
      <c r="D1026" s="244">
        <v>34934</v>
      </c>
      <c r="E1026" s="243" t="s">
        <v>858</v>
      </c>
      <c r="F1026" s="243" t="s">
        <v>859</v>
      </c>
      <c r="G1026" s="243" t="s">
        <v>1145</v>
      </c>
      <c r="H1026" s="313">
        <v>3910</v>
      </c>
      <c r="I1026" s="243" t="s">
        <v>616</v>
      </c>
      <c r="J1026" s="246">
        <v>28</v>
      </c>
    </row>
    <row r="1027" spans="1:10" ht="15" x14ac:dyDescent="0.25">
      <c r="A1027" s="243">
        <v>10002217</v>
      </c>
      <c r="B1027" s="243">
        <v>8453471932</v>
      </c>
      <c r="C1027" s="243" t="s">
        <v>2017</v>
      </c>
      <c r="D1027" s="244">
        <v>33296</v>
      </c>
      <c r="E1027" s="243" t="s">
        <v>1138</v>
      </c>
      <c r="F1027" s="243" t="s">
        <v>1139</v>
      </c>
      <c r="G1027" s="243" t="s">
        <v>1303</v>
      </c>
      <c r="H1027" s="313">
        <v>3163</v>
      </c>
      <c r="I1027" s="243" t="s">
        <v>548</v>
      </c>
      <c r="J1027" s="246">
        <v>32</v>
      </c>
    </row>
    <row r="1028" spans="1:10" ht="15" x14ac:dyDescent="0.25">
      <c r="A1028" s="243">
        <v>10002218</v>
      </c>
      <c r="B1028" s="243">
        <v>8388224557</v>
      </c>
      <c r="C1028" s="243" t="s">
        <v>229</v>
      </c>
      <c r="D1028" s="244">
        <v>26771</v>
      </c>
      <c r="E1028" s="243" t="s">
        <v>1201</v>
      </c>
      <c r="F1028" s="243" t="s">
        <v>1202</v>
      </c>
      <c r="G1028" s="243" t="s">
        <v>1303</v>
      </c>
      <c r="H1028" s="313">
        <v>2910</v>
      </c>
      <c r="I1028" s="243" t="s">
        <v>518</v>
      </c>
      <c r="J1028" s="246">
        <v>50</v>
      </c>
    </row>
    <row r="1029" spans="1:10" ht="15" x14ac:dyDescent="0.25">
      <c r="A1029" s="243">
        <v>10002219</v>
      </c>
      <c r="B1029" s="243">
        <v>8455371226</v>
      </c>
      <c r="C1029" s="243" t="s">
        <v>2018</v>
      </c>
      <c r="D1029" s="244">
        <v>33486</v>
      </c>
      <c r="E1029" s="243" t="s">
        <v>929</v>
      </c>
      <c r="F1029" s="243" t="s">
        <v>930</v>
      </c>
      <c r="G1029" s="243" t="s">
        <v>927</v>
      </c>
      <c r="H1029" s="313">
        <v>3614</v>
      </c>
      <c r="I1029" s="243" t="s">
        <v>585</v>
      </c>
      <c r="J1029" s="246">
        <v>32</v>
      </c>
    </row>
    <row r="1030" spans="1:10" ht="15" x14ac:dyDescent="0.25">
      <c r="A1030" s="243">
        <v>10002220</v>
      </c>
      <c r="B1030" s="243">
        <v>8461551931</v>
      </c>
      <c r="C1030" s="243" t="s">
        <v>2019</v>
      </c>
      <c r="D1030" s="244">
        <v>34104</v>
      </c>
      <c r="E1030" s="243" t="s">
        <v>1201</v>
      </c>
      <c r="F1030" s="243" t="s">
        <v>1202</v>
      </c>
      <c r="G1030" s="243" t="s">
        <v>1303</v>
      </c>
      <c r="H1030" s="313">
        <v>2910</v>
      </c>
      <c r="I1030" s="243" t="s">
        <v>518</v>
      </c>
      <c r="J1030" s="246">
        <v>30</v>
      </c>
    </row>
    <row r="1031" spans="1:10" ht="15" x14ac:dyDescent="0.25">
      <c r="A1031" s="243">
        <v>10002221</v>
      </c>
      <c r="B1031" s="243">
        <v>8442950087</v>
      </c>
      <c r="C1031" s="243" t="s">
        <v>2020</v>
      </c>
      <c r="D1031" s="244">
        <v>32244</v>
      </c>
      <c r="E1031" s="243" t="s">
        <v>1373</v>
      </c>
      <c r="F1031" s="243" t="s">
        <v>1374</v>
      </c>
      <c r="G1031" s="243" t="s">
        <v>1303</v>
      </c>
      <c r="H1031" s="313">
        <v>2910</v>
      </c>
      <c r="I1031" s="243" t="s">
        <v>518</v>
      </c>
      <c r="J1031" s="246">
        <v>35</v>
      </c>
    </row>
    <row r="1032" spans="1:10" ht="15" x14ac:dyDescent="0.25">
      <c r="A1032" s="243">
        <v>10002222</v>
      </c>
      <c r="B1032" s="243">
        <v>8486551374</v>
      </c>
      <c r="C1032" s="243" t="s">
        <v>1832</v>
      </c>
      <c r="D1032" s="244">
        <v>36604</v>
      </c>
      <c r="E1032" s="243" t="s">
        <v>1013</v>
      </c>
      <c r="F1032" s="243" t="s">
        <v>1014</v>
      </c>
      <c r="G1032" s="243" t="s">
        <v>1145</v>
      </c>
      <c r="H1032" s="313">
        <v>3190</v>
      </c>
      <c r="I1032" s="243" t="s">
        <v>552</v>
      </c>
      <c r="J1032" s="246">
        <v>23</v>
      </c>
    </row>
    <row r="1033" spans="1:10" ht="15" x14ac:dyDescent="0.25">
      <c r="A1033" s="243">
        <v>10002223</v>
      </c>
      <c r="B1033" s="243">
        <v>8495413558</v>
      </c>
      <c r="C1033" s="243" t="s">
        <v>2021</v>
      </c>
      <c r="D1033" s="244">
        <v>37490</v>
      </c>
      <c r="E1033" s="243" t="s">
        <v>1373</v>
      </c>
      <c r="F1033" s="243" t="s">
        <v>1374</v>
      </c>
      <c r="G1033" s="243" t="s">
        <v>1145</v>
      </c>
      <c r="H1033" s="313">
        <v>3910</v>
      </c>
      <c r="I1033" s="243" t="s">
        <v>616</v>
      </c>
      <c r="J1033" s="246">
        <v>21</v>
      </c>
    </row>
    <row r="1034" spans="1:10" ht="15" x14ac:dyDescent="0.25">
      <c r="A1034" s="243">
        <v>10002224</v>
      </c>
      <c r="B1034" s="243">
        <v>8447040690</v>
      </c>
      <c r="C1034" s="243" t="s">
        <v>2022</v>
      </c>
      <c r="D1034" s="244">
        <v>32653</v>
      </c>
      <c r="E1034" s="243" t="s">
        <v>1147</v>
      </c>
      <c r="F1034" s="243" t="s">
        <v>1148</v>
      </c>
      <c r="G1034" s="243" t="s">
        <v>1109</v>
      </c>
      <c r="H1034" s="313">
        <v>4134</v>
      </c>
      <c r="I1034" s="243" t="s">
        <v>630</v>
      </c>
      <c r="J1034" s="246">
        <v>34</v>
      </c>
    </row>
    <row r="1035" spans="1:10" ht="15" x14ac:dyDescent="0.25">
      <c r="A1035" s="243">
        <v>10002225</v>
      </c>
      <c r="B1035" s="243">
        <v>8469944800</v>
      </c>
      <c r="C1035" s="243" t="s">
        <v>2023</v>
      </c>
      <c r="D1035" s="244">
        <v>34943</v>
      </c>
      <c r="E1035" s="243" t="s">
        <v>870</v>
      </c>
      <c r="F1035" s="243" t="s">
        <v>871</v>
      </c>
      <c r="G1035" s="243" t="s">
        <v>1080</v>
      </c>
      <c r="H1035" s="313">
        <v>2161</v>
      </c>
      <c r="I1035" s="243" t="s">
        <v>435</v>
      </c>
      <c r="J1035" s="246">
        <v>28</v>
      </c>
    </row>
    <row r="1036" spans="1:10" ht="15" x14ac:dyDescent="0.25">
      <c r="A1036" s="243">
        <v>10002226</v>
      </c>
      <c r="B1036" s="243">
        <v>8479381701</v>
      </c>
      <c r="C1036" s="243" t="s">
        <v>2024</v>
      </c>
      <c r="D1036" s="244">
        <v>35887</v>
      </c>
      <c r="E1036" s="243" t="s">
        <v>1243</v>
      </c>
      <c r="F1036" s="243" t="s">
        <v>1244</v>
      </c>
      <c r="G1036" s="243" t="s">
        <v>1145</v>
      </c>
      <c r="H1036" s="313">
        <v>3910</v>
      </c>
      <c r="I1036" s="243" t="s">
        <v>616</v>
      </c>
      <c r="J1036" s="246">
        <v>25</v>
      </c>
    </row>
    <row r="1037" spans="1:10" ht="15" x14ac:dyDescent="0.25">
      <c r="A1037" s="243">
        <v>10002227</v>
      </c>
      <c r="B1037" s="243">
        <v>8413776155</v>
      </c>
      <c r="C1037" s="243" t="s">
        <v>2025</v>
      </c>
      <c r="D1037" s="244">
        <v>29326</v>
      </c>
      <c r="E1037" s="243" t="s">
        <v>945</v>
      </c>
      <c r="F1037" s="243" t="s">
        <v>946</v>
      </c>
      <c r="G1037" s="243" t="s">
        <v>1080</v>
      </c>
      <c r="H1037" s="313">
        <v>2169</v>
      </c>
      <c r="I1037" s="243" t="s">
        <v>442</v>
      </c>
      <c r="J1037" s="246">
        <v>43</v>
      </c>
    </row>
    <row r="1038" spans="1:10" ht="15" x14ac:dyDescent="0.25">
      <c r="A1038" s="243">
        <v>10002228</v>
      </c>
      <c r="B1038" s="243">
        <v>8406323299</v>
      </c>
      <c r="C1038" s="243" t="s">
        <v>2026</v>
      </c>
      <c r="D1038" s="244">
        <v>28581</v>
      </c>
      <c r="E1038" s="243" t="s">
        <v>858</v>
      </c>
      <c r="F1038" s="243" t="s">
        <v>859</v>
      </c>
      <c r="G1038" s="243" t="s">
        <v>1080</v>
      </c>
      <c r="H1038" s="313">
        <v>2139</v>
      </c>
      <c r="I1038" s="243" t="s">
        <v>425</v>
      </c>
      <c r="J1038" s="246">
        <v>45</v>
      </c>
    </row>
    <row r="1039" spans="1:10" ht="15" x14ac:dyDescent="0.25">
      <c r="A1039" s="243">
        <v>10002229</v>
      </c>
      <c r="B1039" s="243">
        <v>8313412607</v>
      </c>
      <c r="C1039" s="243" t="s">
        <v>1084</v>
      </c>
      <c r="D1039" s="244">
        <v>19290</v>
      </c>
      <c r="E1039" s="243" t="s">
        <v>874</v>
      </c>
      <c r="F1039" s="243" t="s">
        <v>875</v>
      </c>
      <c r="G1039" s="243" t="s">
        <v>1109</v>
      </c>
      <c r="H1039" s="313">
        <v>2624</v>
      </c>
      <c r="I1039" s="243" t="s">
        <v>497</v>
      </c>
      <c r="J1039" s="246">
        <v>71</v>
      </c>
    </row>
    <row r="1040" spans="1:10" ht="15" x14ac:dyDescent="0.25">
      <c r="A1040" s="243">
        <v>10002230</v>
      </c>
      <c r="B1040" s="243">
        <v>8408982311</v>
      </c>
      <c r="C1040" s="243" t="s">
        <v>2027</v>
      </c>
      <c r="D1040" s="244">
        <v>28847</v>
      </c>
      <c r="E1040" s="243" t="s">
        <v>858</v>
      </c>
      <c r="F1040" s="243" t="s">
        <v>859</v>
      </c>
      <c r="G1040" s="243" t="s">
        <v>927</v>
      </c>
      <c r="H1040" s="313">
        <v>2139</v>
      </c>
      <c r="I1040" s="243" t="s">
        <v>425</v>
      </c>
      <c r="J1040" s="246">
        <v>45</v>
      </c>
    </row>
    <row r="1041" spans="1:10" ht="15" x14ac:dyDescent="0.25">
      <c r="A1041" s="243">
        <v>10002231</v>
      </c>
      <c r="B1041" s="243">
        <v>8431623594</v>
      </c>
      <c r="C1041" s="243" t="s">
        <v>2028</v>
      </c>
      <c r="D1041" s="244">
        <v>31111</v>
      </c>
      <c r="E1041" s="243" t="s">
        <v>1121</v>
      </c>
      <c r="F1041" s="243" t="s">
        <v>1122</v>
      </c>
      <c r="G1041" s="243" t="s">
        <v>1145</v>
      </c>
      <c r="H1041" s="313">
        <v>2910</v>
      </c>
      <c r="I1041" s="243" t="s">
        <v>518</v>
      </c>
      <c r="J1041" s="246">
        <v>38</v>
      </c>
    </row>
    <row r="1042" spans="1:10" ht="15" x14ac:dyDescent="0.25">
      <c r="A1042" s="243">
        <v>10002232</v>
      </c>
      <c r="B1042" s="243">
        <v>8364962566</v>
      </c>
      <c r="C1042" s="243" t="s">
        <v>2029</v>
      </c>
      <c r="D1042" s="244">
        <v>24445</v>
      </c>
      <c r="E1042" s="243" t="s">
        <v>963</v>
      </c>
      <c r="F1042" s="243" t="s">
        <v>964</v>
      </c>
      <c r="G1042" s="243" t="s">
        <v>997</v>
      </c>
      <c r="H1042" s="313">
        <v>2117</v>
      </c>
      <c r="I1042" s="243" t="s">
        <v>413</v>
      </c>
      <c r="J1042" s="246">
        <v>57</v>
      </c>
    </row>
    <row r="1043" spans="1:10" ht="15" x14ac:dyDescent="0.25">
      <c r="A1043" s="243">
        <v>10002233</v>
      </c>
      <c r="B1043" s="243">
        <v>8447262901</v>
      </c>
      <c r="C1043" s="243" t="s">
        <v>1622</v>
      </c>
      <c r="D1043" s="244">
        <v>32675</v>
      </c>
      <c r="E1043" s="243" t="s">
        <v>1597</v>
      </c>
      <c r="F1043" s="243" t="s">
        <v>1598</v>
      </c>
      <c r="G1043" s="243" t="s">
        <v>1145</v>
      </c>
      <c r="H1043" s="313">
        <v>3632</v>
      </c>
      <c r="I1043" s="243" t="s">
        <v>593</v>
      </c>
      <c r="J1043" s="246">
        <v>34</v>
      </c>
    </row>
    <row r="1044" spans="1:10" ht="15" x14ac:dyDescent="0.25">
      <c r="A1044" s="243">
        <v>10002234</v>
      </c>
      <c r="B1044" s="243">
        <v>8425542162</v>
      </c>
      <c r="C1044" s="243" t="s">
        <v>2030</v>
      </c>
      <c r="D1044" s="244">
        <v>30503</v>
      </c>
      <c r="E1044" s="243" t="s">
        <v>1147</v>
      </c>
      <c r="F1044" s="243" t="s">
        <v>1148</v>
      </c>
      <c r="G1044" s="243" t="s">
        <v>1145</v>
      </c>
      <c r="H1044" s="313">
        <v>4134</v>
      </c>
      <c r="I1044" s="243" t="s">
        <v>630</v>
      </c>
      <c r="J1044" s="246">
        <v>40</v>
      </c>
    </row>
    <row r="1045" spans="1:10" ht="15" x14ac:dyDescent="0.25">
      <c r="A1045" s="243">
        <v>10002235</v>
      </c>
      <c r="B1045" s="243">
        <v>8405792082</v>
      </c>
      <c r="C1045" s="243" t="s">
        <v>2031</v>
      </c>
      <c r="D1045" s="244">
        <v>28528</v>
      </c>
      <c r="E1045" s="243" t="s">
        <v>1191</v>
      </c>
      <c r="F1045" s="243" t="s">
        <v>1192</v>
      </c>
      <c r="G1045" s="243" t="s">
        <v>1109</v>
      </c>
      <c r="H1045" s="313">
        <v>2142</v>
      </c>
      <c r="I1045" s="243" t="s">
        <v>427</v>
      </c>
      <c r="J1045" s="246">
        <v>45</v>
      </c>
    </row>
    <row r="1046" spans="1:10" ht="15" x14ac:dyDescent="0.25">
      <c r="A1046" s="243">
        <v>10002236</v>
      </c>
      <c r="B1046" s="243">
        <v>8451130208</v>
      </c>
      <c r="C1046" s="243" t="s">
        <v>2032</v>
      </c>
      <c r="D1046" s="244">
        <v>33062</v>
      </c>
      <c r="E1046" s="243" t="s">
        <v>963</v>
      </c>
      <c r="F1046" s="243" t="s">
        <v>964</v>
      </c>
      <c r="G1046" s="243" t="s">
        <v>1303</v>
      </c>
      <c r="H1046" s="313">
        <v>2624</v>
      </c>
      <c r="I1046" s="243" t="s">
        <v>497</v>
      </c>
      <c r="J1046" s="246">
        <v>33</v>
      </c>
    </row>
    <row r="1047" spans="1:10" ht="15" x14ac:dyDescent="0.25">
      <c r="A1047" s="243">
        <v>10002237</v>
      </c>
      <c r="B1047" s="243">
        <v>8388331809</v>
      </c>
      <c r="C1047" s="243" t="s">
        <v>2033</v>
      </c>
      <c r="D1047" s="244">
        <v>26782</v>
      </c>
      <c r="E1047" s="243" t="s">
        <v>1150</v>
      </c>
      <c r="F1047" s="243" t="s">
        <v>1151</v>
      </c>
      <c r="G1047" s="243" t="s">
        <v>1145</v>
      </c>
      <c r="H1047" s="313">
        <v>2910</v>
      </c>
      <c r="I1047" s="243" t="s">
        <v>518</v>
      </c>
      <c r="J1047" s="246">
        <v>50</v>
      </c>
    </row>
    <row r="1048" spans="1:10" ht="15" x14ac:dyDescent="0.25">
      <c r="A1048" s="243">
        <v>10002238</v>
      </c>
      <c r="B1048" s="243">
        <v>8435411451</v>
      </c>
      <c r="C1048" s="243" t="s">
        <v>1329</v>
      </c>
      <c r="D1048" s="244">
        <v>31490</v>
      </c>
      <c r="E1048" s="243" t="s">
        <v>870</v>
      </c>
      <c r="F1048" s="243" t="s">
        <v>871</v>
      </c>
      <c r="G1048" s="243" t="s">
        <v>1080</v>
      </c>
      <c r="H1048" s="313">
        <v>2139</v>
      </c>
      <c r="I1048" s="243" t="s">
        <v>425</v>
      </c>
      <c r="J1048" s="246">
        <v>37</v>
      </c>
    </row>
    <row r="1049" spans="1:10" ht="15" x14ac:dyDescent="0.25">
      <c r="A1049" s="243">
        <v>10002239</v>
      </c>
      <c r="B1049" s="243">
        <v>8406213698</v>
      </c>
      <c r="C1049" s="243" t="s">
        <v>2034</v>
      </c>
      <c r="D1049" s="244">
        <v>28570</v>
      </c>
      <c r="E1049" s="243" t="s">
        <v>858</v>
      </c>
      <c r="F1049" s="243" t="s">
        <v>859</v>
      </c>
      <c r="G1049" s="243" t="s">
        <v>1080</v>
      </c>
      <c r="H1049" s="313">
        <v>2139</v>
      </c>
      <c r="I1049" s="243" t="s">
        <v>425</v>
      </c>
      <c r="J1049" s="246">
        <v>45</v>
      </c>
    </row>
    <row r="1050" spans="1:10" ht="15" x14ac:dyDescent="0.25">
      <c r="A1050" s="243">
        <v>10002240</v>
      </c>
      <c r="B1050" s="243">
        <v>8445211609</v>
      </c>
      <c r="C1050" s="243" t="s">
        <v>2035</v>
      </c>
      <c r="D1050" s="244">
        <v>32470</v>
      </c>
      <c r="E1050" s="243" t="s">
        <v>1191</v>
      </c>
      <c r="F1050" s="243" t="s">
        <v>1192</v>
      </c>
      <c r="G1050" s="243" t="s">
        <v>1145</v>
      </c>
      <c r="H1050" s="313">
        <v>2142</v>
      </c>
      <c r="I1050" s="243" t="s">
        <v>427</v>
      </c>
      <c r="J1050" s="246">
        <v>35</v>
      </c>
    </row>
    <row r="1051" spans="1:10" ht="15" x14ac:dyDescent="0.25">
      <c r="A1051" s="243">
        <v>10002241</v>
      </c>
      <c r="B1051" s="243">
        <v>8451551351</v>
      </c>
      <c r="C1051" s="243" t="s">
        <v>2036</v>
      </c>
      <c r="D1051" s="244">
        <v>33104</v>
      </c>
      <c r="E1051" s="243" t="s">
        <v>1138</v>
      </c>
      <c r="F1051" s="243" t="s">
        <v>1139</v>
      </c>
      <c r="G1051" s="243" t="s">
        <v>1145</v>
      </c>
      <c r="H1051" s="313">
        <v>3910</v>
      </c>
      <c r="I1051" s="243" t="s">
        <v>616</v>
      </c>
      <c r="J1051" s="246">
        <v>33</v>
      </c>
    </row>
    <row r="1052" spans="1:10" ht="15" x14ac:dyDescent="0.25">
      <c r="A1052" s="243">
        <v>10002242</v>
      </c>
      <c r="B1052" s="243">
        <v>8460091325</v>
      </c>
      <c r="C1052" s="243" t="s">
        <v>2037</v>
      </c>
      <c r="D1052" s="244">
        <v>33958</v>
      </c>
      <c r="E1052" s="243" t="s">
        <v>963</v>
      </c>
      <c r="F1052" s="243" t="s">
        <v>964</v>
      </c>
      <c r="G1052" s="243" t="s">
        <v>1303</v>
      </c>
      <c r="H1052" s="313">
        <v>2910</v>
      </c>
      <c r="I1052" s="243" t="s">
        <v>518</v>
      </c>
      <c r="J1052" s="246">
        <v>31</v>
      </c>
    </row>
    <row r="1053" spans="1:10" ht="15" x14ac:dyDescent="0.25">
      <c r="A1053" s="243">
        <v>10002243</v>
      </c>
      <c r="B1053" s="243">
        <v>8439082371</v>
      </c>
      <c r="C1053" s="243" t="s">
        <v>2038</v>
      </c>
      <c r="D1053" s="244">
        <v>31857</v>
      </c>
      <c r="E1053" s="243" t="s">
        <v>1147</v>
      </c>
      <c r="F1053" s="243" t="s">
        <v>1148</v>
      </c>
      <c r="G1053" s="243" t="s">
        <v>1145</v>
      </c>
      <c r="H1053" s="313">
        <v>4134</v>
      </c>
      <c r="I1053" s="243" t="s">
        <v>630</v>
      </c>
      <c r="J1053" s="246">
        <v>36</v>
      </c>
    </row>
    <row r="1054" spans="1:10" ht="15" x14ac:dyDescent="0.25">
      <c r="A1054" s="243">
        <v>10002244</v>
      </c>
      <c r="B1054" s="243">
        <v>8333262074</v>
      </c>
      <c r="C1054" s="243" t="s">
        <v>2039</v>
      </c>
      <c r="D1054" s="244">
        <v>21275</v>
      </c>
      <c r="E1054" s="243" t="s">
        <v>1121</v>
      </c>
      <c r="F1054" s="243" t="s">
        <v>1122</v>
      </c>
      <c r="G1054" s="243" t="s">
        <v>1643</v>
      </c>
      <c r="H1054" s="313">
        <v>9231</v>
      </c>
      <c r="I1054" s="243" t="s">
        <v>826</v>
      </c>
      <c r="J1054" s="246">
        <v>65</v>
      </c>
    </row>
    <row r="1055" spans="1:10" ht="15" x14ac:dyDescent="0.25">
      <c r="A1055" s="243">
        <v>10002245</v>
      </c>
      <c r="B1055" s="243">
        <v>8356670969</v>
      </c>
      <c r="C1055" s="243" t="s">
        <v>2040</v>
      </c>
      <c r="D1055" s="244">
        <v>23616</v>
      </c>
      <c r="E1055" s="243" t="s">
        <v>1121</v>
      </c>
      <c r="F1055" s="243" t="s">
        <v>1122</v>
      </c>
      <c r="G1055" s="243" t="s">
        <v>1643</v>
      </c>
      <c r="H1055" s="313">
        <v>9231</v>
      </c>
      <c r="I1055" s="243" t="s">
        <v>826</v>
      </c>
      <c r="J1055" s="246">
        <v>59</v>
      </c>
    </row>
    <row r="1056" spans="1:10" ht="15" x14ac:dyDescent="0.25">
      <c r="A1056" s="243">
        <v>10002246</v>
      </c>
      <c r="B1056" s="243">
        <v>8444571741</v>
      </c>
      <c r="C1056" s="243" t="s">
        <v>2041</v>
      </c>
      <c r="D1056" s="244">
        <v>32406</v>
      </c>
      <c r="E1056" s="243" t="s">
        <v>936</v>
      </c>
      <c r="F1056" s="243" t="s">
        <v>937</v>
      </c>
      <c r="G1056" s="243" t="s">
        <v>1080</v>
      </c>
      <c r="H1056" s="313">
        <v>2118</v>
      </c>
      <c r="I1056" s="243" t="s">
        <v>414</v>
      </c>
      <c r="J1056" s="246">
        <v>35</v>
      </c>
    </row>
    <row r="1057" spans="1:10" ht="15" x14ac:dyDescent="0.25">
      <c r="A1057" s="243">
        <v>10002247</v>
      </c>
      <c r="B1057" s="243">
        <v>8366013340</v>
      </c>
      <c r="C1057" s="243" t="s">
        <v>2042</v>
      </c>
      <c r="D1057" s="244">
        <v>24550</v>
      </c>
      <c r="E1057" s="243" t="s">
        <v>1121</v>
      </c>
      <c r="F1057" s="243" t="s">
        <v>1122</v>
      </c>
      <c r="G1057" s="243" t="s">
        <v>1109</v>
      </c>
      <c r="H1057" s="313">
        <v>2910</v>
      </c>
      <c r="I1057" s="243" t="s">
        <v>518</v>
      </c>
      <c r="J1057" s="246">
        <v>56</v>
      </c>
    </row>
    <row r="1058" spans="1:10" ht="15" x14ac:dyDescent="0.25">
      <c r="A1058" s="243">
        <v>10002248</v>
      </c>
      <c r="B1058" s="243">
        <v>8349701293</v>
      </c>
      <c r="C1058" s="243" t="s">
        <v>2043</v>
      </c>
      <c r="D1058" s="244">
        <v>22919</v>
      </c>
      <c r="E1058" s="243" t="s">
        <v>1121</v>
      </c>
      <c r="F1058" s="243" t="s">
        <v>1122</v>
      </c>
      <c r="G1058" s="243" t="s">
        <v>2044</v>
      </c>
      <c r="H1058" s="313">
        <v>9112</v>
      </c>
      <c r="I1058" s="243" t="s">
        <v>815</v>
      </c>
      <c r="J1058" s="246">
        <v>61</v>
      </c>
    </row>
    <row r="1059" spans="1:10" ht="15" x14ac:dyDescent="0.25">
      <c r="A1059" s="243">
        <v>10002249</v>
      </c>
      <c r="B1059" s="243">
        <v>8354300404</v>
      </c>
      <c r="C1059" s="243" t="s">
        <v>2045</v>
      </c>
      <c r="D1059" s="244">
        <v>23379</v>
      </c>
      <c r="E1059" s="243" t="s">
        <v>1121</v>
      </c>
      <c r="F1059" s="243" t="s">
        <v>1122</v>
      </c>
      <c r="G1059" s="243" t="s">
        <v>2046</v>
      </c>
      <c r="H1059" s="313">
        <v>9231</v>
      </c>
      <c r="I1059" s="243" t="s">
        <v>826</v>
      </c>
      <c r="J1059" s="246">
        <v>59</v>
      </c>
    </row>
    <row r="1060" spans="1:10" ht="15" x14ac:dyDescent="0.25">
      <c r="A1060" s="243">
        <v>10002250</v>
      </c>
      <c r="B1060" s="243">
        <v>8367573021</v>
      </c>
      <c r="C1060" s="243" t="s">
        <v>2047</v>
      </c>
      <c r="D1060" s="244">
        <v>24706</v>
      </c>
      <c r="E1060" s="243" t="s">
        <v>1121</v>
      </c>
      <c r="F1060" s="243" t="s">
        <v>1122</v>
      </c>
      <c r="G1060" s="243" t="s">
        <v>2044</v>
      </c>
      <c r="H1060" s="313">
        <v>9119</v>
      </c>
      <c r="I1060" s="243" t="s">
        <v>819</v>
      </c>
      <c r="J1060" s="246">
        <v>56</v>
      </c>
    </row>
    <row r="1061" spans="1:10" ht="15" x14ac:dyDescent="0.25">
      <c r="A1061" s="243">
        <v>10002251</v>
      </c>
      <c r="B1061" s="243">
        <v>8413193028</v>
      </c>
      <c r="C1061" s="243" t="s">
        <v>2048</v>
      </c>
      <c r="D1061" s="244">
        <v>29268</v>
      </c>
      <c r="E1061" s="243" t="s">
        <v>1121</v>
      </c>
      <c r="F1061" s="243" t="s">
        <v>1122</v>
      </c>
      <c r="G1061" s="243" t="s">
        <v>2044</v>
      </c>
      <c r="H1061" s="313">
        <v>9112</v>
      </c>
      <c r="I1061" s="243" t="s">
        <v>815</v>
      </c>
      <c r="J1061" s="246">
        <v>43</v>
      </c>
    </row>
    <row r="1062" spans="1:10" ht="15" x14ac:dyDescent="0.25">
      <c r="A1062" s="243">
        <v>10002252</v>
      </c>
      <c r="B1062" s="243">
        <v>8338663301</v>
      </c>
      <c r="C1062" s="243" t="s">
        <v>2049</v>
      </c>
      <c r="D1062" s="244">
        <v>21815</v>
      </c>
      <c r="E1062" s="243" t="s">
        <v>1121</v>
      </c>
      <c r="F1062" s="243" t="s">
        <v>1122</v>
      </c>
      <c r="G1062" s="243" t="s">
        <v>2050</v>
      </c>
      <c r="H1062" s="313">
        <v>9231</v>
      </c>
      <c r="I1062" s="243" t="s">
        <v>826</v>
      </c>
      <c r="J1062" s="246">
        <v>64</v>
      </c>
    </row>
    <row r="1063" spans="1:10" ht="15" x14ac:dyDescent="0.25">
      <c r="A1063" s="243">
        <v>10002253</v>
      </c>
      <c r="B1063" s="243">
        <v>8411140164</v>
      </c>
      <c r="C1063" s="243" t="s">
        <v>2051</v>
      </c>
      <c r="D1063" s="244">
        <v>29063</v>
      </c>
      <c r="E1063" s="243" t="s">
        <v>1160</v>
      </c>
      <c r="F1063" s="243" t="s">
        <v>1161</v>
      </c>
      <c r="G1063" s="243" t="s">
        <v>1213</v>
      </c>
      <c r="H1063" s="313">
        <v>2711</v>
      </c>
      <c r="I1063" s="243" t="s">
        <v>503</v>
      </c>
      <c r="J1063" s="246">
        <v>44</v>
      </c>
    </row>
    <row r="1064" spans="1:10" ht="15" x14ac:dyDescent="0.25">
      <c r="A1064" s="243">
        <v>10002254</v>
      </c>
      <c r="B1064" s="243">
        <v>8374272325</v>
      </c>
      <c r="C1064" s="243" t="s">
        <v>2052</v>
      </c>
      <c r="D1064" s="244">
        <v>25376</v>
      </c>
      <c r="E1064" s="243" t="s">
        <v>929</v>
      </c>
      <c r="F1064" s="243" t="s">
        <v>930</v>
      </c>
      <c r="G1064" s="243" t="s">
        <v>860</v>
      </c>
      <c r="H1064" s="313">
        <v>2410</v>
      </c>
      <c r="I1064" s="243" t="s">
        <v>462</v>
      </c>
      <c r="J1064" s="246">
        <v>54</v>
      </c>
    </row>
    <row r="1065" spans="1:10" ht="15" x14ac:dyDescent="0.25">
      <c r="A1065" s="243">
        <v>10002255</v>
      </c>
      <c r="B1065" s="243">
        <v>8451923488</v>
      </c>
      <c r="C1065" s="243" t="s">
        <v>1587</v>
      </c>
      <c r="D1065" s="244">
        <v>33141</v>
      </c>
      <c r="E1065" s="243" t="s">
        <v>867</v>
      </c>
      <c r="F1065" s="243" t="s">
        <v>868</v>
      </c>
      <c r="G1065" s="243" t="s">
        <v>997</v>
      </c>
      <c r="H1065" s="313">
        <v>2624</v>
      </c>
      <c r="I1065" s="243" t="s">
        <v>497</v>
      </c>
      <c r="J1065" s="246">
        <v>33</v>
      </c>
    </row>
    <row r="1066" spans="1:10" ht="15" x14ac:dyDescent="0.25">
      <c r="A1066" s="243">
        <v>40001503</v>
      </c>
      <c r="B1066" s="243">
        <v>8429284885</v>
      </c>
      <c r="C1066" s="243" t="s">
        <v>2053</v>
      </c>
      <c r="D1066" s="244">
        <v>30877</v>
      </c>
      <c r="E1066" s="243" t="s">
        <v>858</v>
      </c>
      <c r="F1066" s="243" t="s">
        <v>859</v>
      </c>
      <c r="G1066" s="243" t="s">
        <v>2054</v>
      </c>
      <c r="H1066" s="313">
        <v>3139</v>
      </c>
      <c r="I1066" s="243" t="s">
        <v>534</v>
      </c>
      <c r="J1066" s="246">
        <v>39</v>
      </c>
    </row>
    <row r="1067" spans="1:10" ht="15" x14ac:dyDescent="0.25">
      <c r="A1067" s="243">
        <v>40001504</v>
      </c>
      <c r="B1067" s="243">
        <v>8415165196</v>
      </c>
      <c r="C1067" s="243" t="s">
        <v>2055</v>
      </c>
      <c r="D1067" s="244">
        <v>29465</v>
      </c>
      <c r="E1067" s="243" t="s">
        <v>858</v>
      </c>
      <c r="F1067" s="243" t="s">
        <v>859</v>
      </c>
      <c r="G1067" s="243" t="s">
        <v>2054</v>
      </c>
      <c r="H1067" s="313">
        <v>3139</v>
      </c>
      <c r="I1067" s="243" t="s">
        <v>534</v>
      </c>
      <c r="J1067" s="246">
        <v>43</v>
      </c>
    </row>
    <row r="1068" spans="1:10" ht="15" x14ac:dyDescent="0.25">
      <c r="A1068" s="243">
        <v>40001840</v>
      </c>
      <c r="B1068" s="243">
        <v>8469203630</v>
      </c>
      <c r="C1068" s="243" t="s">
        <v>2056</v>
      </c>
      <c r="D1068" s="244">
        <v>34869</v>
      </c>
      <c r="E1068" s="243" t="s">
        <v>891</v>
      </c>
      <c r="F1068" s="243" t="s">
        <v>892</v>
      </c>
      <c r="G1068" s="243" t="s">
        <v>2054</v>
      </c>
      <c r="H1068" s="313">
        <v>3910</v>
      </c>
      <c r="I1068" s="243" t="s">
        <v>616</v>
      </c>
      <c r="J1068" s="246">
        <v>28</v>
      </c>
    </row>
    <row r="1069" spans="1:10" ht="15" x14ac:dyDescent="0.25">
      <c r="A1069" s="243">
        <v>40001841</v>
      </c>
      <c r="B1069" s="243">
        <v>8468190098</v>
      </c>
      <c r="C1069" s="243" t="s">
        <v>1894</v>
      </c>
      <c r="D1069" s="244">
        <v>34768</v>
      </c>
      <c r="E1069" s="243" t="s">
        <v>1373</v>
      </c>
      <c r="F1069" s="243" t="s">
        <v>1374</v>
      </c>
      <c r="G1069" s="243" t="s">
        <v>2054</v>
      </c>
      <c r="H1069" s="313">
        <v>3910</v>
      </c>
      <c r="I1069" s="243" t="s">
        <v>616</v>
      </c>
      <c r="J1069" s="246">
        <v>28</v>
      </c>
    </row>
    <row r="1070" spans="1:10" ht="15" x14ac:dyDescent="0.25">
      <c r="A1070" s="243">
        <v>40001868</v>
      </c>
      <c r="B1070" s="243">
        <v>8467500360</v>
      </c>
      <c r="C1070" s="243" t="s">
        <v>2057</v>
      </c>
      <c r="D1070" s="244">
        <v>34699</v>
      </c>
      <c r="E1070" s="243" t="s">
        <v>858</v>
      </c>
      <c r="F1070" s="243" t="s">
        <v>859</v>
      </c>
      <c r="G1070" s="243" t="s">
        <v>2054</v>
      </c>
      <c r="H1070" s="313">
        <v>2117</v>
      </c>
      <c r="I1070" s="243" t="s">
        <v>413</v>
      </c>
      <c r="J1070" s="246">
        <v>29</v>
      </c>
    </row>
    <row r="1071" spans="1:10" ht="15" x14ac:dyDescent="0.25">
      <c r="A1071" s="243">
        <v>40001927</v>
      </c>
      <c r="B1071" s="243">
        <v>8485330935</v>
      </c>
      <c r="C1071" s="243" t="s">
        <v>2058</v>
      </c>
      <c r="D1071" s="244">
        <v>36482</v>
      </c>
      <c r="E1071" s="243" t="s">
        <v>1167</v>
      </c>
      <c r="F1071" s="243" t="s">
        <v>1168</v>
      </c>
      <c r="G1071" s="243" t="s">
        <v>2054</v>
      </c>
      <c r="H1071" s="313">
        <v>3910</v>
      </c>
      <c r="I1071" s="243" t="s">
        <v>616</v>
      </c>
      <c r="J1071" s="246">
        <v>24</v>
      </c>
    </row>
    <row r="1072" spans="1:10" ht="15" x14ac:dyDescent="0.25">
      <c r="A1072" s="243">
        <v>40001930</v>
      </c>
      <c r="B1072" s="243">
        <v>8489182566</v>
      </c>
      <c r="C1072" s="243" t="s">
        <v>2059</v>
      </c>
      <c r="D1072" s="244">
        <v>36867</v>
      </c>
      <c r="E1072" s="243" t="s">
        <v>945</v>
      </c>
      <c r="F1072" s="243" t="s">
        <v>946</v>
      </c>
      <c r="G1072" s="243" t="s">
        <v>2054</v>
      </c>
      <c r="H1072" s="313">
        <v>3139</v>
      </c>
      <c r="I1072" s="243" t="s">
        <v>534</v>
      </c>
      <c r="J1072" s="246">
        <v>23</v>
      </c>
    </row>
    <row r="1073" spans="1:10" ht="15" x14ac:dyDescent="0.25">
      <c r="A1073" s="243">
        <v>40001941</v>
      </c>
      <c r="B1073" s="243">
        <v>8460124053</v>
      </c>
      <c r="C1073" s="243" t="s">
        <v>2060</v>
      </c>
      <c r="D1073" s="244">
        <v>33961</v>
      </c>
      <c r="E1073" s="243" t="s">
        <v>870</v>
      </c>
      <c r="F1073" s="243" t="s">
        <v>871</v>
      </c>
      <c r="G1073" s="243" t="s">
        <v>2054</v>
      </c>
      <c r="H1073" s="313">
        <v>3139</v>
      </c>
      <c r="I1073" s="243" t="s">
        <v>534</v>
      </c>
      <c r="J1073" s="246">
        <v>31</v>
      </c>
    </row>
    <row r="1074" spans="1:10" ht="15" x14ac:dyDescent="0.25">
      <c r="A1074" s="243">
        <v>40001943</v>
      </c>
      <c r="B1074" s="243">
        <v>8456714798</v>
      </c>
      <c r="C1074" s="243" t="s">
        <v>2061</v>
      </c>
      <c r="D1074" s="244">
        <v>33620</v>
      </c>
      <c r="E1074" s="243" t="s">
        <v>870</v>
      </c>
      <c r="F1074" s="243" t="s">
        <v>871</v>
      </c>
      <c r="G1074" s="243" t="s">
        <v>2054</v>
      </c>
      <c r="H1074" s="313">
        <v>3139</v>
      </c>
      <c r="I1074" s="243" t="s">
        <v>534</v>
      </c>
      <c r="J1074" s="246">
        <v>31</v>
      </c>
    </row>
    <row r="1075" spans="1:10" ht="15" x14ac:dyDescent="0.25">
      <c r="A1075" s="243">
        <v>40001944</v>
      </c>
      <c r="B1075" s="243">
        <v>8435814688</v>
      </c>
      <c r="C1075" s="243" t="s">
        <v>2062</v>
      </c>
      <c r="D1075" s="244">
        <v>31530</v>
      </c>
      <c r="E1075" s="243" t="s">
        <v>870</v>
      </c>
      <c r="F1075" s="243" t="s">
        <v>871</v>
      </c>
      <c r="G1075" s="243" t="s">
        <v>2054</v>
      </c>
      <c r="H1075" s="313">
        <v>3134</v>
      </c>
      <c r="I1075" s="243" t="s">
        <v>531</v>
      </c>
      <c r="J1075" s="246">
        <v>37</v>
      </c>
    </row>
    <row r="1076" spans="1:10" ht="15" x14ac:dyDescent="0.25">
      <c r="A1076" s="243">
        <v>40001952</v>
      </c>
      <c r="B1076" s="243">
        <v>8484400956</v>
      </c>
      <c r="C1076" s="243" t="s">
        <v>1893</v>
      </c>
      <c r="D1076" s="244">
        <v>36389</v>
      </c>
      <c r="E1076" s="243" t="s">
        <v>899</v>
      </c>
      <c r="F1076" s="243" t="s">
        <v>900</v>
      </c>
      <c r="G1076" s="243" t="s">
        <v>2054</v>
      </c>
      <c r="H1076" s="313">
        <v>3910</v>
      </c>
      <c r="I1076" s="243" t="s">
        <v>616</v>
      </c>
      <c r="J1076" s="246">
        <v>24</v>
      </c>
    </row>
    <row r="1077" spans="1:10" ht="15" x14ac:dyDescent="0.25">
      <c r="A1077" s="243">
        <v>40001968</v>
      </c>
      <c r="B1077" s="243">
        <v>8485760360</v>
      </c>
      <c r="C1077" s="243" t="s">
        <v>2063</v>
      </c>
      <c r="D1077" s="244">
        <v>36525</v>
      </c>
      <c r="E1077" s="243" t="s">
        <v>1278</v>
      </c>
      <c r="F1077" s="243" t="s">
        <v>1279</v>
      </c>
      <c r="G1077" s="243" t="s">
        <v>2054</v>
      </c>
      <c r="H1077" s="313">
        <v>3632</v>
      </c>
      <c r="I1077" s="243" t="s">
        <v>593</v>
      </c>
      <c r="J1077" s="246">
        <v>24</v>
      </c>
    </row>
    <row r="1078" spans="1:10" ht="15" x14ac:dyDescent="0.25">
      <c r="A1078" s="243">
        <v>40001969</v>
      </c>
      <c r="B1078" s="243">
        <v>8478060022</v>
      </c>
      <c r="C1078" s="243" t="s">
        <v>2064</v>
      </c>
      <c r="D1078" s="244">
        <v>35755</v>
      </c>
      <c r="E1078" s="243" t="s">
        <v>906</v>
      </c>
      <c r="F1078" s="243" t="s">
        <v>907</v>
      </c>
      <c r="G1078" s="243" t="s">
        <v>2054</v>
      </c>
      <c r="H1078" s="313">
        <v>3910</v>
      </c>
      <c r="I1078" s="243" t="s">
        <v>616</v>
      </c>
      <c r="J1078" s="246">
        <v>26</v>
      </c>
    </row>
    <row r="1079" spans="1:10" ht="15" x14ac:dyDescent="0.25">
      <c r="A1079" s="243">
        <v>40001976</v>
      </c>
      <c r="B1079" s="243">
        <v>8478871454</v>
      </c>
      <c r="C1079" s="243" t="s">
        <v>2065</v>
      </c>
      <c r="D1079" s="244">
        <v>35836</v>
      </c>
      <c r="E1079" s="243" t="s">
        <v>870</v>
      </c>
      <c r="F1079" s="243" t="s">
        <v>871</v>
      </c>
      <c r="G1079" s="243" t="s">
        <v>1179</v>
      </c>
      <c r="H1079" s="313">
        <v>3115</v>
      </c>
      <c r="I1079" s="243" t="s">
        <v>523</v>
      </c>
      <c r="J1079" s="246">
        <v>25</v>
      </c>
    </row>
    <row r="1080" spans="1:10" ht="15" x14ac:dyDescent="0.25">
      <c r="A1080" s="243">
        <v>40001977</v>
      </c>
      <c r="B1080" s="243">
        <v>8481622583</v>
      </c>
      <c r="C1080" s="243" t="s">
        <v>2066</v>
      </c>
      <c r="D1080" s="244">
        <v>36111</v>
      </c>
      <c r="E1080" s="243" t="s">
        <v>929</v>
      </c>
      <c r="F1080" s="243" t="s">
        <v>930</v>
      </c>
      <c r="G1080" s="243" t="s">
        <v>1145</v>
      </c>
      <c r="H1080" s="313">
        <v>4112</v>
      </c>
      <c r="I1080" s="243" t="s">
        <v>619</v>
      </c>
      <c r="J1080" s="246">
        <v>25</v>
      </c>
    </row>
    <row r="1081" spans="1:10" ht="15" x14ac:dyDescent="0.25">
      <c r="A1081" s="243">
        <v>40001978</v>
      </c>
      <c r="B1081" s="243">
        <v>8483760827</v>
      </c>
      <c r="C1081" s="243" t="s">
        <v>2067</v>
      </c>
      <c r="D1081" s="244">
        <v>36325</v>
      </c>
      <c r="E1081" s="243" t="s">
        <v>1198</v>
      </c>
      <c r="F1081" s="243" t="s">
        <v>1199</v>
      </c>
      <c r="G1081" s="243" t="s">
        <v>1145</v>
      </c>
      <c r="H1081" s="313">
        <v>4112</v>
      </c>
      <c r="I1081" s="243" t="s">
        <v>619</v>
      </c>
      <c r="J1081" s="246">
        <v>24</v>
      </c>
    </row>
    <row r="1082" spans="1:10" ht="15" x14ac:dyDescent="0.25">
      <c r="A1082" s="243">
        <v>40001979</v>
      </c>
      <c r="B1082" s="243">
        <v>8486231183</v>
      </c>
      <c r="C1082" s="243" t="s">
        <v>2068</v>
      </c>
      <c r="D1082" s="244">
        <v>36572</v>
      </c>
      <c r="E1082" s="243" t="s">
        <v>884</v>
      </c>
      <c r="F1082" s="243" t="s">
        <v>885</v>
      </c>
      <c r="G1082" s="243" t="s">
        <v>1179</v>
      </c>
      <c r="H1082" s="313">
        <v>3139</v>
      </c>
      <c r="I1082" s="243" t="s">
        <v>534</v>
      </c>
      <c r="J1082" s="246">
        <v>23</v>
      </c>
    </row>
    <row r="1083" spans="1:10" ht="15" x14ac:dyDescent="0.25">
      <c r="A1083" s="243">
        <v>40001980</v>
      </c>
      <c r="B1083" s="243">
        <v>8489090904</v>
      </c>
      <c r="C1083" s="243" t="s">
        <v>2069</v>
      </c>
      <c r="D1083" s="244">
        <v>36858</v>
      </c>
      <c r="E1083" s="243" t="s">
        <v>884</v>
      </c>
      <c r="F1083" s="243" t="s">
        <v>885</v>
      </c>
      <c r="G1083" s="243" t="s">
        <v>1179</v>
      </c>
      <c r="H1083" s="313">
        <v>3139</v>
      </c>
      <c r="I1083" s="243" t="s">
        <v>534</v>
      </c>
      <c r="J1083" s="246">
        <v>23</v>
      </c>
    </row>
    <row r="1084" spans="1:10" ht="15" x14ac:dyDescent="0.25">
      <c r="A1084" s="243">
        <v>40001981</v>
      </c>
      <c r="B1084" s="243">
        <v>8479381701</v>
      </c>
      <c r="C1084" s="243" t="s">
        <v>2024</v>
      </c>
      <c r="D1084" s="244">
        <v>35887</v>
      </c>
      <c r="E1084" s="243" t="s">
        <v>1373</v>
      </c>
      <c r="F1084" s="243" t="s">
        <v>1374</v>
      </c>
      <c r="G1084" s="243" t="s">
        <v>1145</v>
      </c>
      <c r="H1084" s="313">
        <v>3910</v>
      </c>
      <c r="I1084" s="243" t="s">
        <v>616</v>
      </c>
      <c r="J1084" s="246">
        <v>25</v>
      </c>
    </row>
    <row r="1085" spans="1:10" ht="15" x14ac:dyDescent="0.25">
      <c r="A1085" s="243">
        <v>40001982</v>
      </c>
      <c r="B1085" s="243">
        <v>8478392939</v>
      </c>
      <c r="C1085" s="243" t="s">
        <v>2070</v>
      </c>
      <c r="D1085" s="244">
        <v>35788</v>
      </c>
      <c r="E1085" s="243" t="s">
        <v>1597</v>
      </c>
      <c r="F1085" s="243" t="s">
        <v>1598</v>
      </c>
      <c r="G1085" s="243" t="s">
        <v>2054</v>
      </c>
      <c r="H1085" s="313">
        <v>3910</v>
      </c>
      <c r="I1085" s="243" t="s">
        <v>616</v>
      </c>
      <c r="J1085" s="246">
        <v>26</v>
      </c>
    </row>
    <row r="1086" spans="1:10" ht="15" x14ac:dyDescent="0.25">
      <c r="A1086" s="243">
        <v>40001983</v>
      </c>
      <c r="B1086" s="243">
        <v>8482750704</v>
      </c>
      <c r="C1086" s="243" t="s">
        <v>2071</v>
      </c>
      <c r="D1086" s="244">
        <v>36224</v>
      </c>
      <c r="E1086" s="243" t="s">
        <v>906</v>
      </c>
      <c r="F1086" s="243" t="s">
        <v>907</v>
      </c>
      <c r="G1086" s="243" t="s">
        <v>1179</v>
      </c>
      <c r="H1086" s="313">
        <v>3139</v>
      </c>
      <c r="I1086" s="243" t="s">
        <v>534</v>
      </c>
      <c r="J1086" s="246">
        <v>24</v>
      </c>
    </row>
    <row r="1087" spans="1:10" ht="15" x14ac:dyDescent="0.25">
      <c r="A1087" s="243">
        <v>40001984</v>
      </c>
      <c r="B1087" s="243">
        <v>8478060022</v>
      </c>
      <c r="C1087" s="243" t="s">
        <v>2064</v>
      </c>
      <c r="D1087" s="244">
        <v>35755</v>
      </c>
      <c r="E1087" s="243" t="s">
        <v>906</v>
      </c>
      <c r="F1087" s="243" t="s">
        <v>907</v>
      </c>
      <c r="G1087" s="243" t="s">
        <v>1179</v>
      </c>
      <c r="H1087" s="313">
        <v>3139</v>
      </c>
      <c r="I1087" s="243" t="s">
        <v>534</v>
      </c>
      <c r="J1087" s="246">
        <v>26</v>
      </c>
    </row>
    <row r="1088" spans="1:10" ht="15" x14ac:dyDescent="0.25">
      <c r="A1088" s="243">
        <v>40001985</v>
      </c>
      <c r="B1088" s="243">
        <v>8469983482</v>
      </c>
      <c r="C1088" s="243" t="s">
        <v>2072</v>
      </c>
      <c r="D1088" s="244">
        <v>34947</v>
      </c>
      <c r="E1088" s="243" t="s">
        <v>858</v>
      </c>
      <c r="F1088" s="243" t="s">
        <v>859</v>
      </c>
      <c r="G1088" s="243" t="s">
        <v>1145</v>
      </c>
      <c r="H1088" s="313">
        <v>3910</v>
      </c>
      <c r="I1088" s="243" t="s">
        <v>616</v>
      </c>
      <c r="J1088" s="246">
        <v>28</v>
      </c>
    </row>
    <row r="1089" spans="1:10" ht="15" x14ac:dyDescent="0.25">
      <c r="A1089" s="243">
        <v>40001986</v>
      </c>
      <c r="B1089" s="243">
        <v>8484823075</v>
      </c>
      <c r="C1089" s="243" t="s">
        <v>2073</v>
      </c>
      <c r="D1089" s="244">
        <v>36431</v>
      </c>
      <c r="E1089" s="243" t="s">
        <v>899</v>
      </c>
      <c r="F1089" s="243" t="s">
        <v>900</v>
      </c>
      <c r="G1089" s="243" t="s">
        <v>1145</v>
      </c>
      <c r="H1089" s="313">
        <v>3910</v>
      </c>
      <c r="I1089" s="243" t="s">
        <v>616</v>
      </c>
      <c r="J1089" s="246">
        <v>24</v>
      </c>
    </row>
    <row r="1090" spans="1:10" ht="15" x14ac:dyDescent="0.25">
      <c r="A1090" s="243">
        <v>40001987</v>
      </c>
      <c r="B1090" s="243">
        <v>8492451181</v>
      </c>
      <c r="C1090" s="243" t="s">
        <v>2074</v>
      </c>
      <c r="D1090" s="244">
        <v>37194</v>
      </c>
      <c r="E1090" s="243" t="s">
        <v>1141</v>
      </c>
      <c r="F1090" s="243" t="s">
        <v>1142</v>
      </c>
      <c r="G1090" s="243" t="s">
        <v>1145</v>
      </c>
      <c r="H1090" s="313">
        <v>3910</v>
      </c>
      <c r="I1090" s="243" t="s">
        <v>616</v>
      </c>
      <c r="J1090" s="246">
        <v>22</v>
      </c>
    </row>
    <row r="1091" spans="1:10" ht="15" x14ac:dyDescent="0.25">
      <c r="A1091" s="243">
        <v>40001988</v>
      </c>
      <c r="B1091" s="243">
        <v>8477442533</v>
      </c>
      <c r="C1091" s="243" t="s">
        <v>2075</v>
      </c>
      <c r="D1091" s="244">
        <v>35693</v>
      </c>
      <c r="E1091" s="243" t="s">
        <v>870</v>
      </c>
      <c r="F1091" s="243" t="s">
        <v>871</v>
      </c>
      <c r="G1091" s="243" t="s">
        <v>1145</v>
      </c>
      <c r="H1091" s="313">
        <v>3910</v>
      </c>
      <c r="I1091" s="243" t="s">
        <v>616</v>
      </c>
      <c r="J1091" s="246">
        <v>26</v>
      </c>
    </row>
    <row r="1092" spans="1:10" ht="15" x14ac:dyDescent="0.25">
      <c r="A1092" s="243">
        <v>40001989</v>
      </c>
      <c r="B1092" s="243">
        <v>8488100272</v>
      </c>
      <c r="C1092" s="243" t="s">
        <v>2076</v>
      </c>
      <c r="D1092" s="244">
        <v>36759</v>
      </c>
      <c r="E1092" s="243" t="s">
        <v>870</v>
      </c>
      <c r="F1092" s="243" t="s">
        <v>871</v>
      </c>
      <c r="G1092" s="243" t="s">
        <v>1145</v>
      </c>
      <c r="H1092" s="313">
        <v>3910</v>
      </c>
      <c r="I1092" s="243" t="s">
        <v>616</v>
      </c>
      <c r="J1092" s="246">
        <v>23</v>
      </c>
    </row>
    <row r="1093" spans="1:10" ht="15" x14ac:dyDescent="0.25">
      <c r="A1093" s="243">
        <v>40001990</v>
      </c>
      <c r="B1093" s="243">
        <v>8486161819</v>
      </c>
      <c r="C1093" s="243" t="s">
        <v>2077</v>
      </c>
      <c r="D1093" s="244">
        <v>36565</v>
      </c>
      <c r="E1093" s="243" t="s">
        <v>906</v>
      </c>
      <c r="F1093" s="243" t="s">
        <v>907</v>
      </c>
      <c r="G1093" s="243" t="s">
        <v>1145</v>
      </c>
      <c r="H1093" s="313">
        <v>3910</v>
      </c>
      <c r="I1093" s="243" t="s">
        <v>616</v>
      </c>
      <c r="J1093" s="246">
        <v>23</v>
      </c>
    </row>
    <row r="1094" spans="1:10" ht="15" x14ac:dyDescent="0.25">
      <c r="A1094" s="243">
        <v>40001991</v>
      </c>
      <c r="B1094" s="243">
        <v>8476240163</v>
      </c>
      <c r="C1094" s="243" t="s">
        <v>2078</v>
      </c>
      <c r="D1094" s="244">
        <v>35573</v>
      </c>
      <c r="E1094" s="243" t="s">
        <v>1141</v>
      </c>
      <c r="F1094" s="243" t="s">
        <v>1142</v>
      </c>
      <c r="G1094" s="243" t="s">
        <v>1145</v>
      </c>
      <c r="H1094" s="313">
        <v>3910</v>
      </c>
      <c r="I1094" s="243" t="s">
        <v>616</v>
      </c>
      <c r="J1094" s="246">
        <v>26</v>
      </c>
    </row>
    <row r="1095" spans="1:10" ht="15" x14ac:dyDescent="0.25">
      <c r="A1095" s="243">
        <v>40001992</v>
      </c>
      <c r="B1095" s="243">
        <v>8494913751</v>
      </c>
      <c r="C1095" s="243" t="s">
        <v>2079</v>
      </c>
      <c r="D1095" s="244">
        <v>37440</v>
      </c>
      <c r="E1095" s="243" t="s">
        <v>858</v>
      </c>
      <c r="F1095" s="243" t="s">
        <v>859</v>
      </c>
      <c r="G1095" s="243" t="s">
        <v>1145</v>
      </c>
      <c r="H1095" s="313">
        <v>3910</v>
      </c>
      <c r="I1095" s="243" t="s">
        <v>616</v>
      </c>
      <c r="J1095" s="246">
        <v>21</v>
      </c>
    </row>
    <row r="1096" spans="1:10" ht="15" x14ac:dyDescent="0.25">
      <c r="A1096" s="243">
        <v>40001993</v>
      </c>
      <c r="B1096" s="243">
        <v>8439804598</v>
      </c>
      <c r="C1096" s="243" t="s">
        <v>2080</v>
      </c>
      <c r="D1096" s="244">
        <v>31929</v>
      </c>
      <c r="E1096" s="243" t="s">
        <v>906</v>
      </c>
      <c r="F1096" s="243" t="s">
        <v>907</v>
      </c>
      <c r="G1096" s="243" t="s">
        <v>1179</v>
      </c>
      <c r="H1096" s="313">
        <v>2141</v>
      </c>
      <c r="I1096" s="243" t="s">
        <v>426</v>
      </c>
      <c r="J1096" s="246">
        <v>36</v>
      </c>
    </row>
    <row r="1097" spans="1:10" ht="15" x14ac:dyDescent="0.25">
      <c r="A1097" s="243">
        <v>40001994</v>
      </c>
      <c r="B1097" s="243">
        <v>8483760827</v>
      </c>
      <c r="C1097" s="243" t="s">
        <v>2067</v>
      </c>
      <c r="D1097" s="244">
        <v>36325</v>
      </c>
      <c r="E1097" s="243" t="s">
        <v>1198</v>
      </c>
      <c r="F1097" s="243" t="s">
        <v>1199</v>
      </c>
      <c r="G1097" s="243" t="s">
        <v>1145</v>
      </c>
      <c r="H1097" s="313">
        <v>3910</v>
      </c>
      <c r="I1097" s="243" t="s">
        <v>616</v>
      </c>
      <c r="J1097" s="246">
        <v>24</v>
      </c>
    </row>
    <row r="1098" spans="1:10" ht="15" x14ac:dyDescent="0.25">
      <c r="A1098" s="243">
        <v>40001995</v>
      </c>
      <c r="B1098" s="243">
        <v>8483840200</v>
      </c>
      <c r="C1098" s="243" t="s">
        <v>2081</v>
      </c>
      <c r="D1098" s="244">
        <v>36333</v>
      </c>
      <c r="E1098" s="243" t="s">
        <v>858</v>
      </c>
      <c r="F1098" s="243" t="s">
        <v>859</v>
      </c>
      <c r="G1098" s="243" t="s">
        <v>1145</v>
      </c>
      <c r="H1098" s="313">
        <v>3910</v>
      </c>
      <c r="I1098" s="243" t="s">
        <v>616</v>
      </c>
      <c r="J1098" s="246">
        <v>24</v>
      </c>
    </row>
    <row r="1099" spans="1:10" ht="15" x14ac:dyDescent="0.25">
      <c r="A1099" s="243">
        <v>40001997</v>
      </c>
      <c r="B1099" s="243">
        <v>8486870631</v>
      </c>
      <c r="C1099" s="243" t="s">
        <v>2082</v>
      </c>
      <c r="D1099" s="244">
        <v>36636</v>
      </c>
      <c r="E1099" s="243" t="s">
        <v>945</v>
      </c>
      <c r="F1099" s="243" t="s">
        <v>946</v>
      </c>
      <c r="G1099" s="243" t="s">
        <v>1179</v>
      </c>
      <c r="H1099" s="313">
        <v>3139</v>
      </c>
      <c r="I1099" s="243" t="s">
        <v>534</v>
      </c>
      <c r="J1099" s="246">
        <v>23</v>
      </c>
    </row>
    <row r="1100" spans="1:10" ht="15" x14ac:dyDescent="0.25">
      <c r="A1100" s="243">
        <v>40001998</v>
      </c>
      <c r="B1100" s="243">
        <v>8487130356</v>
      </c>
      <c r="C1100" s="243" t="s">
        <v>2083</v>
      </c>
      <c r="D1100" s="244">
        <v>36662</v>
      </c>
      <c r="E1100" s="243" t="s">
        <v>945</v>
      </c>
      <c r="F1100" s="243" t="s">
        <v>946</v>
      </c>
      <c r="G1100" s="243" t="s">
        <v>1179</v>
      </c>
      <c r="H1100" s="313">
        <v>3139</v>
      </c>
      <c r="I1100" s="243" t="s">
        <v>534</v>
      </c>
      <c r="J1100" s="246">
        <v>23</v>
      </c>
    </row>
    <row r="1101" spans="1:10" ht="15" x14ac:dyDescent="0.25">
      <c r="A1101" s="243">
        <v>40001999</v>
      </c>
      <c r="B1101" s="243">
        <v>8423862720</v>
      </c>
      <c r="C1101" s="243" t="s">
        <v>2084</v>
      </c>
      <c r="D1101" s="244">
        <v>30335</v>
      </c>
      <c r="E1101" s="243" t="s">
        <v>858</v>
      </c>
      <c r="F1101" s="243" t="s">
        <v>859</v>
      </c>
      <c r="G1101" s="243" t="s">
        <v>1145</v>
      </c>
      <c r="H1101" s="313">
        <v>3910</v>
      </c>
      <c r="I1101" s="243" t="s">
        <v>616</v>
      </c>
      <c r="J1101" s="246">
        <v>40</v>
      </c>
    </row>
    <row r="1102" spans="1:10" ht="15" x14ac:dyDescent="0.25">
      <c r="A1102" s="243">
        <v>40002000</v>
      </c>
      <c r="B1102" s="243">
        <v>8490931135</v>
      </c>
      <c r="C1102" s="243" t="s">
        <v>2085</v>
      </c>
      <c r="D1102" s="244">
        <v>37042</v>
      </c>
      <c r="E1102" s="243" t="s">
        <v>870</v>
      </c>
      <c r="F1102" s="243" t="s">
        <v>871</v>
      </c>
      <c r="G1102" s="243" t="s">
        <v>1145</v>
      </c>
      <c r="H1102" s="313">
        <v>3910</v>
      </c>
      <c r="I1102" s="243" t="s">
        <v>616</v>
      </c>
      <c r="J1102" s="246">
        <v>22</v>
      </c>
    </row>
    <row r="1103" spans="1:10" ht="15" x14ac:dyDescent="0.25">
      <c r="A1103" s="243">
        <v>40002001</v>
      </c>
      <c r="B1103" s="243">
        <v>8488862237</v>
      </c>
      <c r="C1103" s="243" t="s">
        <v>2086</v>
      </c>
      <c r="D1103" s="244">
        <v>36835</v>
      </c>
      <c r="E1103" s="243" t="s">
        <v>858</v>
      </c>
      <c r="F1103" s="243" t="s">
        <v>859</v>
      </c>
      <c r="G1103" s="243" t="s">
        <v>1145</v>
      </c>
      <c r="H1103" s="313">
        <v>3910</v>
      </c>
      <c r="I1103" s="243" t="s">
        <v>616</v>
      </c>
      <c r="J1103" s="246">
        <v>23</v>
      </c>
    </row>
    <row r="1104" spans="1:10" ht="15" x14ac:dyDescent="0.25">
      <c r="A1104" s="243">
        <v>40002002</v>
      </c>
      <c r="B1104" s="243">
        <v>8483740257</v>
      </c>
      <c r="C1104" s="243" t="s">
        <v>2087</v>
      </c>
      <c r="D1104" s="244">
        <v>36323</v>
      </c>
      <c r="E1104" s="243" t="s">
        <v>870</v>
      </c>
      <c r="F1104" s="243" t="s">
        <v>871</v>
      </c>
      <c r="G1104" s="243" t="s">
        <v>1145</v>
      </c>
      <c r="H1104" s="313">
        <v>3910</v>
      </c>
      <c r="I1104" s="243" t="s">
        <v>616</v>
      </c>
      <c r="J1104" s="246">
        <v>24</v>
      </c>
    </row>
    <row r="1105" spans="1:10" ht="15" x14ac:dyDescent="0.25">
      <c r="A1105" s="243">
        <v>40002003</v>
      </c>
      <c r="B1105" s="243">
        <v>8478010726</v>
      </c>
      <c r="C1105" s="243" t="s">
        <v>2088</v>
      </c>
      <c r="D1105" s="244">
        <v>35750</v>
      </c>
      <c r="E1105" s="243" t="s">
        <v>891</v>
      </c>
      <c r="F1105" s="243" t="s">
        <v>892</v>
      </c>
      <c r="G1105" s="243" t="s">
        <v>1935</v>
      </c>
      <c r="H1105" s="313">
        <v>3910</v>
      </c>
      <c r="I1105" s="243" t="s">
        <v>616</v>
      </c>
      <c r="J1105" s="246">
        <v>26</v>
      </c>
    </row>
    <row r="1106" spans="1:10" ht="15" x14ac:dyDescent="0.25">
      <c r="A1106" s="243">
        <v>40002004</v>
      </c>
      <c r="B1106" s="243">
        <v>8483771608</v>
      </c>
      <c r="C1106" s="243" t="s">
        <v>2089</v>
      </c>
      <c r="D1106" s="244">
        <v>36326</v>
      </c>
      <c r="E1106" s="243" t="s">
        <v>1278</v>
      </c>
      <c r="F1106" s="243" t="s">
        <v>1279</v>
      </c>
      <c r="G1106" s="243" t="s">
        <v>1145</v>
      </c>
      <c r="H1106" s="313">
        <v>2910</v>
      </c>
      <c r="I1106" s="243" t="s">
        <v>518</v>
      </c>
      <c r="J1106" s="246">
        <v>24</v>
      </c>
    </row>
    <row r="1107" spans="1:10" ht="15" x14ac:dyDescent="0.25">
      <c r="A1107" s="243">
        <v>40002005</v>
      </c>
      <c r="B1107" s="243">
        <v>8492451181</v>
      </c>
      <c r="C1107" s="243" t="s">
        <v>2074</v>
      </c>
      <c r="D1107" s="244">
        <v>37194</v>
      </c>
      <c r="E1107" s="243" t="s">
        <v>1141</v>
      </c>
      <c r="F1107" s="243" t="s">
        <v>1142</v>
      </c>
      <c r="G1107" s="243" t="s">
        <v>1145</v>
      </c>
      <c r="H1107" s="313">
        <v>3910</v>
      </c>
      <c r="I1107" s="243" t="s">
        <v>616</v>
      </c>
      <c r="J1107" s="246">
        <v>22</v>
      </c>
    </row>
    <row r="1108" spans="1:10" ht="15" x14ac:dyDescent="0.25">
      <c r="A1108" s="243">
        <v>40002006</v>
      </c>
      <c r="B1108" s="243">
        <v>8474240247</v>
      </c>
      <c r="C1108" s="243" t="s">
        <v>2090</v>
      </c>
      <c r="D1108" s="244">
        <v>35373</v>
      </c>
      <c r="E1108" s="243" t="s">
        <v>945</v>
      </c>
      <c r="F1108" s="243" t="s">
        <v>946</v>
      </c>
      <c r="G1108" s="243" t="s">
        <v>1145</v>
      </c>
      <c r="H1108" s="313">
        <v>3910</v>
      </c>
      <c r="I1108" s="243" t="s">
        <v>616</v>
      </c>
      <c r="J1108" s="246">
        <v>27</v>
      </c>
    </row>
    <row r="1109" spans="1:10" ht="15" x14ac:dyDescent="0.25">
      <c r="A1109" s="243">
        <v>40002007</v>
      </c>
      <c r="B1109" s="243">
        <v>8485500210</v>
      </c>
      <c r="C1109" s="243" t="s">
        <v>2091</v>
      </c>
      <c r="D1109" s="244">
        <v>36499</v>
      </c>
      <c r="E1109" s="243" t="s">
        <v>936</v>
      </c>
      <c r="F1109" s="243" t="s">
        <v>937</v>
      </c>
      <c r="G1109" s="243" t="s">
        <v>1145</v>
      </c>
      <c r="H1109" s="313">
        <v>3910</v>
      </c>
      <c r="I1109" s="243" t="s">
        <v>616</v>
      </c>
      <c r="J1109" s="246">
        <v>24</v>
      </c>
    </row>
    <row r="1110" spans="1:10" ht="15" x14ac:dyDescent="0.25">
      <c r="A1110" s="243">
        <v>40002008</v>
      </c>
      <c r="B1110" s="243">
        <v>8485451619</v>
      </c>
      <c r="C1110" s="243" t="s">
        <v>2092</v>
      </c>
      <c r="D1110" s="244">
        <v>36494</v>
      </c>
      <c r="E1110" s="243" t="s">
        <v>936</v>
      </c>
      <c r="F1110" s="243" t="s">
        <v>937</v>
      </c>
      <c r="G1110" s="243" t="s">
        <v>1145</v>
      </c>
      <c r="H1110" s="313">
        <v>3910</v>
      </c>
      <c r="I1110" s="243" t="s">
        <v>616</v>
      </c>
      <c r="J1110" s="246">
        <v>24</v>
      </c>
    </row>
    <row r="1111" spans="1:10" ht="15" x14ac:dyDescent="0.25">
      <c r="A1111" s="243">
        <v>40002009</v>
      </c>
      <c r="B1111" s="243">
        <v>8479381701</v>
      </c>
      <c r="C1111" s="243" t="s">
        <v>2024</v>
      </c>
      <c r="D1111" s="244">
        <v>35887</v>
      </c>
      <c r="E1111" s="243" t="s">
        <v>1248</v>
      </c>
      <c r="F1111" s="243" t="s">
        <v>1249</v>
      </c>
      <c r="G1111" s="243" t="s">
        <v>1145</v>
      </c>
      <c r="H1111" s="313">
        <v>3632</v>
      </c>
      <c r="I1111" s="243" t="s">
        <v>593</v>
      </c>
      <c r="J1111" s="246">
        <v>25</v>
      </c>
    </row>
    <row r="1112" spans="1:10" ht="15" x14ac:dyDescent="0.25">
      <c r="A1112" s="243">
        <v>40002011</v>
      </c>
      <c r="B1112" s="243">
        <v>8477600996</v>
      </c>
      <c r="C1112" s="243" t="s">
        <v>2093</v>
      </c>
      <c r="D1112" s="244">
        <v>35709</v>
      </c>
      <c r="E1112" s="243" t="s">
        <v>858</v>
      </c>
      <c r="F1112" s="243" t="s">
        <v>859</v>
      </c>
      <c r="G1112" s="243" t="s">
        <v>1179</v>
      </c>
      <c r="H1112" s="313">
        <v>3910</v>
      </c>
      <c r="I1112" s="243" t="s">
        <v>616</v>
      </c>
      <c r="J1112" s="246">
        <v>26</v>
      </c>
    </row>
    <row r="1113" spans="1:10" ht="15" x14ac:dyDescent="0.25">
      <c r="A1113" s="243">
        <v>40002012</v>
      </c>
      <c r="B1113" s="243">
        <v>8485702417</v>
      </c>
      <c r="C1113" s="243" t="s">
        <v>2094</v>
      </c>
      <c r="D1113" s="244">
        <v>36519</v>
      </c>
      <c r="E1113" s="243" t="s">
        <v>858</v>
      </c>
      <c r="F1113" s="243" t="s">
        <v>859</v>
      </c>
      <c r="G1113" s="243" t="s">
        <v>1145</v>
      </c>
      <c r="H1113" s="313">
        <v>3910</v>
      </c>
      <c r="I1113" s="243" t="s">
        <v>616</v>
      </c>
      <c r="J1113" s="246">
        <v>24</v>
      </c>
    </row>
    <row r="1114" spans="1:10" ht="15" x14ac:dyDescent="0.25">
      <c r="A1114" s="243">
        <v>40002013</v>
      </c>
      <c r="B1114" s="243">
        <v>8486631289</v>
      </c>
      <c r="C1114" s="243" t="s">
        <v>2095</v>
      </c>
      <c r="D1114" s="244">
        <v>36612</v>
      </c>
      <c r="E1114" s="243" t="s">
        <v>936</v>
      </c>
      <c r="F1114" s="243" t="s">
        <v>937</v>
      </c>
      <c r="G1114" s="243" t="s">
        <v>1179</v>
      </c>
      <c r="H1114" s="313">
        <v>3910</v>
      </c>
      <c r="I1114" s="243" t="s">
        <v>616</v>
      </c>
      <c r="J1114" s="246">
        <v>23</v>
      </c>
    </row>
    <row r="1115" spans="1:10" ht="15" x14ac:dyDescent="0.25">
      <c r="A1115" s="243">
        <v>40002014</v>
      </c>
      <c r="B1115" s="243">
        <v>8467950226</v>
      </c>
      <c r="C1115" s="243" t="s">
        <v>2096</v>
      </c>
      <c r="D1115" s="244">
        <v>34744</v>
      </c>
      <c r="E1115" s="243" t="s">
        <v>1167</v>
      </c>
      <c r="F1115" s="243" t="s">
        <v>1168</v>
      </c>
      <c r="G1115" s="243" t="s">
        <v>1145</v>
      </c>
      <c r="H1115" s="313">
        <v>4134</v>
      </c>
      <c r="I1115" s="243" t="s">
        <v>630</v>
      </c>
      <c r="J1115" s="246">
        <v>28</v>
      </c>
    </row>
    <row r="1116" spans="1:10" ht="15" x14ac:dyDescent="0.25">
      <c r="A1116" s="243">
        <v>40002015</v>
      </c>
      <c r="B1116" s="243">
        <v>8482040391</v>
      </c>
      <c r="C1116" s="243" t="s">
        <v>2097</v>
      </c>
      <c r="D1116" s="244">
        <v>36153</v>
      </c>
      <c r="E1116" s="243" t="s">
        <v>1167</v>
      </c>
      <c r="F1116" s="243" t="s">
        <v>1168</v>
      </c>
      <c r="G1116" s="243" t="s">
        <v>1145</v>
      </c>
      <c r="H1116" s="313">
        <v>3910</v>
      </c>
      <c r="I1116" s="243" t="s">
        <v>616</v>
      </c>
      <c r="J1116" s="246">
        <v>25</v>
      </c>
    </row>
    <row r="1117" spans="1:10" ht="15" x14ac:dyDescent="0.25">
      <c r="A1117" s="243">
        <v>40002016</v>
      </c>
      <c r="B1117" s="243">
        <v>8485391136</v>
      </c>
      <c r="C1117" s="243" t="s">
        <v>1861</v>
      </c>
      <c r="D1117" s="244">
        <v>36488</v>
      </c>
      <c r="E1117" s="243" t="s">
        <v>858</v>
      </c>
      <c r="F1117" s="243" t="s">
        <v>859</v>
      </c>
      <c r="G1117" s="243" t="s">
        <v>1145</v>
      </c>
      <c r="H1117" s="313">
        <v>3910</v>
      </c>
      <c r="I1117" s="243" t="s">
        <v>616</v>
      </c>
      <c r="J1117" s="246">
        <v>24</v>
      </c>
    </row>
    <row r="1118" spans="1:10" ht="15" x14ac:dyDescent="0.25">
      <c r="A1118" s="243">
        <v>40002017</v>
      </c>
      <c r="B1118" s="243">
        <v>8485451619</v>
      </c>
      <c r="C1118" s="243" t="s">
        <v>2092</v>
      </c>
      <c r="D1118" s="244">
        <v>36494</v>
      </c>
      <c r="E1118" s="243" t="s">
        <v>936</v>
      </c>
      <c r="F1118" s="243" t="s">
        <v>937</v>
      </c>
      <c r="G1118" s="243" t="s">
        <v>1145</v>
      </c>
      <c r="H1118" s="313">
        <v>3910</v>
      </c>
      <c r="I1118" s="243" t="s">
        <v>616</v>
      </c>
      <c r="J1118" s="246">
        <v>24</v>
      </c>
    </row>
    <row r="1119" spans="1:10" ht="15" x14ac:dyDescent="0.25">
      <c r="A1119" s="243">
        <v>40002018</v>
      </c>
      <c r="B1119" s="243">
        <v>8485500210</v>
      </c>
      <c r="C1119" s="243" t="s">
        <v>2091</v>
      </c>
      <c r="D1119" s="244">
        <v>36499</v>
      </c>
      <c r="E1119" s="243" t="s">
        <v>936</v>
      </c>
      <c r="F1119" s="243" t="s">
        <v>937</v>
      </c>
      <c r="G1119" s="243" t="s">
        <v>1145</v>
      </c>
      <c r="H1119" s="313">
        <v>3910</v>
      </c>
      <c r="I1119" s="243" t="s">
        <v>616</v>
      </c>
      <c r="J1119" s="246">
        <v>24</v>
      </c>
    </row>
    <row r="1120" spans="1:10" ht="15" x14ac:dyDescent="0.25">
      <c r="A1120" s="243">
        <v>40002019</v>
      </c>
      <c r="B1120" s="243">
        <v>8488862237</v>
      </c>
      <c r="C1120" s="243" t="s">
        <v>2086</v>
      </c>
      <c r="D1120" s="244">
        <v>36835</v>
      </c>
      <c r="E1120" s="243" t="s">
        <v>858</v>
      </c>
      <c r="F1120" s="243" t="s">
        <v>859</v>
      </c>
      <c r="G1120" s="243" t="s">
        <v>1145</v>
      </c>
      <c r="H1120" s="313">
        <v>3910</v>
      </c>
      <c r="I1120" s="243" t="s">
        <v>616</v>
      </c>
      <c r="J1120" s="246">
        <v>23</v>
      </c>
    </row>
    <row r="1121" spans="1:10" ht="15" x14ac:dyDescent="0.25">
      <c r="A1121" s="243">
        <v>40002020</v>
      </c>
      <c r="B1121" s="243">
        <v>8486171679</v>
      </c>
      <c r="C1121" s="243" t="s">
        <v>2098</v>
      </c>
      <c r="D1121" s="244">
        <v>36566</v>
      </c>
      <c r="E1121" s="243" t="s">
        <v>1258</v>
      </c>
      <c r="F1121" s="243" t="s">
        <v>1259</v>
      </c>
      <c r="G1121" s="243" t="s">
        <v>1145</v>
      </c>
      <c r="H1121" s="313">
        <v>3910</v>
      </c>
      <c r="I1121" s="243" t="s">
        <v>616</v>
      </c>
      <c r="J1121" s="246">
        <v>23</v>
      </c>
    </row>
    <row r="1122" spans="1:10" ht="15" x14ac:dyDescent="0.25">
      <c r="A1122" s="243">
        <v>40002021</v>
      </c>
      <c r="B1122" s="243">
        <v>8486560063</v>
      </c>
      <c r="C1122" s="243" t="s">
        <v>2099</v>
      </c>
      <c r="D1122" s="244">
        <v>36605</v>
      </c>
      <c r="E1122" s="243" t="s">
        <v>936</v>
      </c>
      <c r="F1122" s="243" t="s">
        <v>937</v>
      </c>
      <c r="G1122" s="243" t="s">
        <v>1145</v>
      </c>
      <c r="H1122" s="313">
        <v>3910</v>
      </c>
      <c r="I1122" s="243" t="s">
        <v>616</v>
      </c>
      <c r="J1122" s="246">
        <v>23</v>
      </c>
    </row>
    <row r="1123" spans="1:10" ht="15" x14ac:dyDescent="0.25">
      <c r="A1123" s="243">
        <v>40002022</v>
      </c>
      <c r="B1123" s="243">
        <v>8479690798</v>
      </c>
      <c r="C1123" s="243" t="s">
        <v>2100</v>
      </c>
      <c r="D1123" s="244">
        <v>35918</v>
      </c>
      <c r="E1123" s="243" t="s">
        <v>858</v>
      </c>
      <c r="F1123" s="243" t="s">
        <v>859</v>
      </c>
      <c r="G1123" s="243" t="s">
        <v>1145</v>
      </c>
      <c r="H1123" s="313">
        <v>3910</v>
      </c>
      <c r="I1123" s="243" t="s">
        <v>616</v>
      </c>
      <c r="J1123" s="246">
        <v>25</v>
      </c>
    </row>
    <row r="1124" spans="1:10" ht="15" x14ac:dyDescent="0.25">
      <c r="A1124" s="243">
        <v>40002023</v>
      </c>
      <c r="B1124" s="243">
        <v>8469203630</v>
      </c>
      <c r="C1124" s="243" t="s">
        <v>2056</v>
      </c>
      <c r="D1124" s="244">
        <v>34869</v>
      </c>
      <c r="E1124" s="243" t="s">
        <v>858</v>
      </c>
      <c r="F1124" s="243" t="s">
        <v>859</v>
      </c>
      <c r="G1124" s="243" t="s">
        <v>1145</v>
      </c>
      <c r="H1124" s="313">
        <v>3910</v>
      </c>
      <c r="I1124" s="243" t="s">
        <v>616</v>
      </c>
      <c r="J1124" s="246">
        <v>28</v>
      </c>
    </row>
    <row r="1125" spans="1:10" ht="15" x14ac:dyDescent="0.25">
      <c r="A1125" s="243">
        <v>90000002</v>
      </c>
      <c r="B1125" s="243">
        <v>8450510813</v>
      </c>
      <c r="C1125" s="243" t="s">
        <v>201</v>
      </c>
      <c r="D1125" s="244">
        <v>33000</v>
      </c>
      <c r="E1125" s="243" t="s">
        <v>1201</v>
      </c>
      <c r="F1125" s="243" t="s">
        <v>1202</v>
      </c>
      <c r="G1125" s="243" t="s">
        <v>1145</v>
      </c>
      <c r="H1125" s="313">
        <v>2910</v>
      </c>
      <c r="I1125" s="243" t="s">
        <v>518</v>
      </c>
      <c r="J1125" s="246">
        <v>33</v>
      </c>
    </row>
    <row r="1126" spans="1:10" x14ac:dyDescent="0.25">
      <c r="B1126" s="243">
        <v>8457141279</v>
      </c>
      <c r="C1126" s="243" t="s">
        <v>2665</v>
      </c>
      <c r="D1126" s="244">
        <v>33663</v>
      </c>
      <c r="G1126" s="243" t="s">
        <v>1145</v>
      </c>
      <c r="H1126" s="245">
        <v>2121</v>
      </c>
      <c r="J1126" s="243">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50" bestFit="1" customWidth="1"/>
    <col min="2" max="2" width="12.7109375" style="250" customWidth="1"/>
    <col min="3" max="3" width="33.28515625" bestFit="1" customWidth="1"/>
    <col min="4" max="4" width="15.5703125" style="280" customWidth="1"/>
    <col min="5" max="5" width="18.85546875" style="280" customWidth="1"/>
    <col min="6" max="6" width="22.7109375" customWidth="1"/>
  </cols>
  <sheetData>
    <row r="1" spans="1:6" ht="51.6" customHeight="1" x14ac:dyDescent="0.25">
      <c r="A1" s="247" t="s">
        <v>165</v>
      </c>
      <c r="B1" s="247" t="s">
        <v>2101</v>
      </c>
      <c r="C1" s="248" t="s">
        <v>2102</v>
      </c>
      <c r="D1" s="314" t="s">
        <v>2103</v>
      </c>
      <c r="E1" s="314" t="s">
        <v>2104</v>
      </c>
      <c r="F1" s="249" t="s">
        <v>2105</v>
      </c>
    </row>
    <row r="2" spans="1:6" x14ac:dyDescent="0.25">
      <c r="A2" s="250">
        <v>8451322220</v>
      </c>
      <c r="B2">
        <v>10000920</v>
      </c>
      <c r="C2" t="s">
        <v>1377</v>
      </c>
      <c r="D2" s="280">
        <v>372183.33333333331</v>
      </c>
      <c r="E2" s="280">
        <v>372183.33333333331</v>
      </c>
      <c r="F2">
        <v>6</v>
      </c>
    </row>
    <row r="3" spans="1:6" x14ac:dyDescent="0.25">
      <c r="A3" s="250">
        <v>8468030554</v>
      </c>
      <c r="B3">
        <v>10001622</v>
      </c>
      <c r="C3" t="s">
        <v>1583</v>
      </c>
      <c r="D3" s="280">
        <v>275000</v>
      </c>
      <c r="E3" s="280">
        <v>275000</v>
      </c>
      <c r="F3">
        <v>6</v>
      </c>
    </row>
    <row r="4" spans="1:6" x14ac:dyDescent="0.25">
      <c r="A4" s="250">
        <v>8415210264</v>
      </c>
      <c r="B4">
        <v>10000388</v>
      </c>
      <c r="C4" t="s">
        <v>1134</v>
      </c>
      <c r="D4" s="280">
        <v>341000</v>
      </c>
      <c r="E4" s="280">
        <v>341000</v>
      </c>
      <c r="F4">
        <v>6</v>
      </c>
    </row>
    <row r="5" spans="1:6" x14ac:dyDescent="0.25">
      <c r="A5" s="250">
        <v>8415364997</v>
      </c>
      <c r="B5">
        <v>10001980</v>
      </c>
      <c r="C5" t="s">
        <v>1797</v>
      </c>
      <c r="D5" s="280">
        <v>244000</v>
      </c>
      <c r="E5" s="280">
        <v>244000</v>
      </c>
      <c r="F5">
        <v>6</v>
      </c>
    </row>
    <row r="6" spans="1:6" x14ac:dyDescent="0.25">
      <c r="A6" s="250">
        <v>8464542070</v>
      </c>
      <c r="B6">
        <v>10002006</v>
      </c>
      <c r="C6" t="s">
        <v>1816</v>
      </c>
      <c r="D6" s="280">
        <v>450000</v>
      </c>
      <c r="E6" s="280">
        <v>450000</v>
      </c>
      <c r="F6">
        <v>4</v>
      </c>
    </row>
    <row r="7" spans="1:6" x14ac:dyDescent="0.25">
      <c r="A7" s="250">
        <v>8438973132</v>
      </c>
      <c r="B7">
        <v>10002039</v>
      </c>
      <c r="C7" t="s">
        <v>1852</v>
      </c>
      <c r="D7" s="280">
        <v>82500</v>
      </c>
      <c r="E7" s="280">
        <v>330000</v>
      </c>
      <c r="F7">
        <v>2</v>
      </c>
    </row>
    <row r="8" spans="1:6" x14ac:dyDescent="0.25">
      <c r="A8" s="250">
        <v>8483220415</v>
      </c>
      <c r="B8">
        <v>10001892</v>
      </c>
      <c r="C8" t="s">
        <v>2560</v>
      </c>
      <c r="D8" s="280">
        <v>313533.33333333331</v>
      </c>
      <c r="E8" s="280">
        <v>313533.33333333331</v>
      </c>
      <c r="F8">
        <v>6</v>
      </c>
    </row>
    <row r="9" spans="1:6" x14ac:dyDescent="0.25">
      <c r="A9" s="250">
        <v>8366723038</v>
      </c>
      <c r="B9">
        <v>10001026</v>
      </c>
      <c r="C9" t="s">
        <v>1411</v>
      </c>
      <c r="D9" s="280">
        <v>330000</v>
      </c>
      <c r="E9" s="280">
        <v>440000</v>
      </c>
      <c r="F9">
        <v>6</v>
      </c>
    </row>
    <row r="10" spans="1:6" x14ac:dyDescent="0.25">
      <c r="A10" s="250">
        <v>8361381112</v>
      </c>
      <c r="B10">
        <v>10001720</v>
      </c>
      <c r="C10" t="s">
        <v>2194</v>
      </c>
      <c r="D10" s="280">
        <v>287300</v>
      </c>
      <c r="E10" s="280">
        <v>287300</v>
      </c>
      <c r="F10">
        <v>6</v>
      </c>
    </row>
    <row r="11" spans="1:6" x14ac:dyDescent="0.25">
      <c r="A11" s="250">
        <v>8351102644</v>
      </c>
      <c r="B11">
        <v>10000394</v>
      </c>
      <c r="C11" t="s">
        <v>1137</v>
      </c>
      <c r="D11" s="280">
        <v>715000</v>
      </c>
      <c r="E11" s="280">
        <v>715000</v>
      </c>
      <c r="F11">
        <v>6</v>
      </c>
    </row>
    <row r="12" spans="1:6" x14ac:dyDescent="0.25">
      <c r="A12" s="250">
        <v>8350062436</v>
      </c>
      <c r="B12">
        <v>10000395</v>
      </c>
      <c r="C12" t="s">
        <v>1140</v>
      </c>
      <c r="D12" s="280">
        <v>638333.33333333337</v>
      </c>
      <c r="E12" s="280">
        <v>638333.33333333337</v>
      </c>
      <c r="F12">
        <v>6</v>
      </c>
    </row>
    <row r="13" spans="1:6" x14ac:dyDescent="0.25">
      <c r="A13" s="250">
        <v>8387944947</v>
      </c>
      <c r="B13">
        <v>10000396</v>
      </c>
      <c r="C13" t="s">
        <v>1143</v>
      </c>
      <c r="D13" s="280">
        <v>261766.66666666666</v>
      </c>
      <c r="E13" s="280">
        <v>349022.22222222219</v>
      </c>
      <c r="F13">
        <v>6</v>
      </c>
    </row>
    <row r="14" spans="1:6" x14ac:dyDescent="0.25">
      <c r="A14" s="250">
        <v>8465163111</v>
      </c>
      <c r="B14">
        <v>10002045</v>
      </c>
      <c r="C14" t="s">
        <v>2529</v>
      </c>
      <c r="D14" s="280">
        <v>290000</v>
      </c>
      <c r="E14" s="280">
        <v>290000</v>
      </c>
      <c r="F14">
        <v>2</v>
      </c>
    </row>
    <row r="15" spans="1:6" x14ac:dyDescent="0.25">
      <c r="A15" s="250">
        <v>8468362336</v>
      </c>
      <c r="B15">
        <v>10001815</v>
      </c>
      <c r="C15" t="s">
        <v>2534</v>
      </c>
      <c r="D15" s="280">
        <v>66000</v>
      </c>
      <c r="E15" s="280">
        <v>264000</v>
      </c>
      <c r="F15">
        <v>6</v>
      </c>
    </row>
    <row r="16" spans="1:6" x14ac:dyDescent="0.25">
      <c r="A16" s="250">
        <v>8392431405</v>
      </c>
      <c r="B16">
        <v>10001846</v>
      </c>
      <c r="C16" t="s">
        <v>2264</v>
      </c>
      <c r="D16" s="280">
        <v>935000</v>
      </c>
      <c r="E16" s="280">
        <v>1246666.6666666667</v>
      </c>
      <c r="F16">
        <v>6</v>
      </c>
    </row>
    <row r="17" spans="1:6" x14ac:dyDescent="0.25">
      <c r="A17" s="250">
        <v>8411453715</v>
      </c>
      <c r="B17">
        <v>10001738</v>
      </c>
      <c r="C17" t="s">
        <v>2334</v>
      </c>
      <c r="D17" s="280">
        <v>210733.33333333334</v>
      </c>
      <c r="E17" s="280">
        <v>210733.33333333334</v>
      </c>
      <c r="F17">
        <v>6</v>
      </c>
    </row>
    <row r="18" spans="1:6" x14ac:dyDescent="0.25">
      <c r="A18" s="250">
        <v>8457461427</v>
      </c>
      <c r="B18">
        <v>10000903</v>
      </c>
      <c r="C18" t="s">
        <v>2504</v>
      </c>
      <c r="D18" s="280">
        <v>423533.33333333331</v>
      </c>
      <c r="E18" s="280">
        <v>423533.33333333331</v>
      </c>
      <c r="F18">
        <v>6</v>
      </c>
    </row>
    <row r="19" spans="1:6" x14ac:dyDescent="0.25">
      <c r="A19" s="250">
        <v>8433500570</v>
      </c>
      <c r="B19">
        <v>10000335</v>
      </c>
      <c r="C19" t="s">
        <v>2404</v>
      </c>
      <c r="D19" s="280">
        <v>426900</v>
      </c>
      <c r="E19" s="280">
        <v>426900</v>
      </c>
      <c r="F19">
        <v>6</v>
      </c>
    </row>
    <row r="20" spans="1:6" x14ac:dyDescent="0.25">
      <c r="A20" s="250">
        <v>8401383412</v>
      </c>
      <c r="B20">
        <v>10001987</v>
      </c>
      <c r="C20" t="s">
        <v>2293</v>
      </c>
      <c r="D20" s="280">
        <v>616160</v>
      </c>
      <c r="E20" s="280">
        <v>616160</v>
      </c>
      <c r="F20">
        <v>5</v>
      </c>
    </row>
    <row r="21" spans="1:6" x14ac:dyDescent="0.25">
      <c r="A21" s="250">
        <v>8440121865</v>
      </c>
      <c r="B21">
        <v>10001959</v>
      </c>
      <c r="C21" t="s">
        <v>1782</v>
      </c>
      <c r="D21" s="280">
        <v>605000</v>
      </c>
      <c r="E21" s="280">
        <v>605000</v>
      </c>
      <c r="F21">
        <v>6</v>
      </c>
    </row>
    <row r="22" spans="1:6" x14ac:dyDescent="0.25">
      <c r="A22" s="250">
        <v>8360630372</v>
      </c>
      <c r="B22">
        <v>10001758</v>
      </c>
      <c r="C22" t="s">
        <v>2192</v>
      </c>
      <c r="D22" s="280">
        <v>240933.33333333334</v>
      </c>
      <c r="E22" s="280">
        <v>240933.33333333334</v>
      </c>
      <c r="F22">
        <v>6</v>
      </c>
    </row>
    <row r="23" spans="1:6" x14ac:dyDescent="0.25">
      <c r="A23" s="250">
        <v>8382053971</v>
      </c>
      <c r="B23">
        <v>10001806</v>
      </c>
      <c r="C23" t="s">
        <v>1720</v>
      </c>
      <c r="D23" s="280">
        <v>155533.33333333334</v>
      </c>
      <c r="E23" s="280">
        <v>311066.66666666669</v>
      </c>
      <c r="F23">
        <v>6</v>
      </c>
    </row>
    <row r="24" spans="1:6" x14ac:dyDescent="0.25">
      <c r="A24" s="250">
        <v>8387843466</v>
      </c>
      <c r="B24">
        <v>10001732</v>
      </c>
      <c r="C24" t="s">
        <v>2249</v>
      </c>
      <c r="D24" s="280">
        <v>425666.66666666669</v>
      </c>
      <c r="E24" s="280">
        <v>425666.66666666669</v>
      </c>
      <c r="F24">
        <v>6</v>
      </c>
    </row>
    <row r="25" spans="1:6" x14ac:dyDescent="0.25">
      <c r="A25" s="250">
        <v>8424450205</v>
      </c>
      <c r="B25">
        <v>10001125</v>
      </c>
      <c r="C25" t="s">
        <v>1443</v>
      </c>
      <c r="D25" s="280">
        <v>513000</v>
      </c>
      <c r="E25" s="280">
        <v>513000</v>
      </c>
      <c r="F25">
        <v>6</v>
      </c>
    </row>
    <row r="26" spans="1:6" x14ac:dyDescent="0.25">
      <c r="A26" s="250">
        <v>8393403200</v>
      </c>
      <c r="B26">
        <v>10000407</v>
      </c>
      <c r="C26" t="s">
        <v>1144</v>
      </c>
      <c r="D26" s="280">
        <v>405266.66666666669</v>
      </c>
      <c r="E26" s="280">
        <v>405266.66666666669</v>
      </c>
      <c r="F26">
        <v>6</v>
      </c>
    </row>
    <row r="27" spans="1:6" x14ac:dyDescent="0.25">
      <c r="A27" s="250">
        <v>8406592389</v>
      </c>
      <c r="B27">
        <v>10000408</v>
      </c>
      <c r="C27" t="s">
        <v>1146</v>
      </c>
      <c r="D27" s="280">
        <v>394266.66666666669</v>
      </c>
      <c r="E27" s="280">
        <v>394266.66666666669</v>
      </c>
      <c r="F27">
        <v>6</v>
      </c>
    </row>
    <row r="28" spans="1:6" x14ac:dyDescent="0.25">
      <c r="A28" s="250">
        <v>8400614186</v>
      </c>
      <c r="B28">
        <v>10002005</v>
      </c>
      <c r="C28" t="s">
        <v>229</v>
      </c>
      <c r="D28" s="280">
        <v>282700</v>
      </c>
      <c r="E28" s="280">
        <v>282700</v>
      </c>
      <c r="F28">
        <v>4</v>
      </c>
    </row>
    <row r="29" spans="1:6" x14ac:dyDescent="0.25">
      <c r="A29" s="250">
        <v>8463041248</v>
      </c>
      <c r="B29">
        <v>10001854</v>
      </c>
      <c r="C29" t="s">
        <v>1738</v>
      </c>
      <c r="D29" s="280">
        <v>361266.66666666669</v>
      </c>
      <c r="E29" s="280">
        <v>361266.66666666669</v>
      </c>
      <c r="F29">
        <v>6</v>
      </c>
    </row>
    <row r="30" spans="1:6" x14ac:dyDescent="0.25">
      <c r="A30" s="250">
        <v>8396515204</v>
      </c>
      <c r="B30">
        <v>10000409</v>
      </c>
      <c r="C30" t="s">
        <v>2275</v>
      </c>
      <c r="D30" s="280">
        <v>457133.33333333331</v>
      </c>
      <c r="E30" s="280">
        <v>457133.33333333331</v>
      </c>
      <c r="F30">
        <v>6</v>
      </c>
    </row>
    <row r="31" spans="1:6" x14ac:dyDescent="0.25">
      <c r="A31" s="250">
        <v>8408103296</v>
      </c>
      <c r="B31">
        <v>10001449</v>
      </c>
      <c r="C31" t="s">
        <v>2318</v>
      </c>
      <c r="D31" s="280">
        <v>418000</v>
      </c>
      <c r="E31" s="280">
        <v>557333.33333333337</v>
      </c>
      <c r="F31">
        <v>6</v>
      </c>
    </row>
    <row r="32" spans="1:6" x14ac:dyDescent="0.25">
      <c r="A32" s="250">
        <v>8415403542</v>
      </c>
      <c r="B32">
        <v>10000014</v>
      </c>
      <c r="C32" t="s">
        <v>869</v>
      </c>
      <c r="D32" s="280">
        <v>449840</v>
      </c>
      <c r="E32" s="280">
        <v>449840</v>
      </c>
      <c r="F32">
        <v>5</v>
      </c>
    </row>
    <row r="33" spans="1:6" x14ac:dyDescent="0.25">
      <c r="A33" s="250">
        <v>8403482019</v>
      </c>
      <c r="B33">
        <v>10000410</v>
      </c>
      <c r="C33" t="s">
        <v>1152</v>
      </c>
      <c r="D33" s="280">
        <v>353133.33333333331</v>
      </c>
      <c r="E33" s="280">
        <v>353133.33333333331</v>
      </c>
      <c r="F33">
        <v>6</v>
      </c>
    </row>
    <row r="34" spans="1:6" x14ac:dyDescent="0.25">
      <c r="A34" s="250">
        <v>8426341128</v>
      </c>
      <c r="B34">
        <v>10001448</v>
      </c>
      <c r="C34" t="s">
        <v>1533</v>
      </c>
      <c r="D34" s="280">
        <v>330000</v>
      </c>
      <c r="E34" s="280">
        <v>330000</v>
      </c>
      <c r="F34">
        <v>6</v>
      </c>
    </row>
    <row r="35" spans="1:6" x14ac:dyDescent="0.25">
      <c r="A35" s="250">
        <v>8424680057</v>
      </c>
      <c r="B35">
        <v>10000015</v>
      </c>
      <c r="C35" t="s">
        <v>873</v>
      </c>
      <c r="D35" s="280">
        <v>558566.66666666663</v>
      </c>
      <c r="E35" s="280">
        <v>744755.5555555555</v>
      </c>
      <c r="F35">
        <v>6</v>
      </c>
    </row>
    <row r="36" spans="1:6" x14ac:dyDescent="0.25">
      <c r="A36" s="250">
        <v>8363372080</v>
      </c>
      <c r="B36">
        <v>10000411</v>
      </c>
      <c r="C36" t="s">
        <v>2199</v>
      </c>
      <c r="D36" s="280">
        <v>313300</v>
      </c>
      <c r="E36" s="280">
        <v>313300</v>
      </c>
      <c r="F36">
        <v>6</v>
      </c>
    </row>
    <row r="37" spans="1:6" x14ac:dyDescent="0.25">
      <c r="A37" s="250">
        <v>8449900085</v>
      </c>
      <c r="B37">
        <v>10000412</v>
      </c>
      <c r="C37" t="s">
        <v>1154</v>
      </c>
      <c r="D37" s="280">
        <v>273766.66666666669</v>
      </c>
      <c r="E37" s="280">
        <v>273766.66666666669</v>
      </c>
      <c r="F37">
        <v>6</v>
      </c>
    </row>
    <row r="38" spans="1:6" x14ac:dyDescent="0.25">
      <c r="A38" s="250">
        <v>8453534012</v>
      </c>
      <c r="B38">
        <v>10001957</v>
      </c>
      <c r="C38" t="s">
        <v>2484</v>
      </c>
      <c r="D38" s="280">
        <v>310000</v>
      </c>
      <c r="E38" s="280">
        <v>310000</v>
      </c>
      <c r="F38">
        <v>2</v>
      </c>
    </row>
    <row r="39" spans="1:6" x14ac:dyDescent="0.25">
      <c r="A39" s="250">
        <v>8348242694</v>
      </c>
      <c r="B39">
        <v>10001538</v>
      </c>
      <c r="C39" t="s">
        <v>1554</v>
      </c>
      <c r="D39" s="280">
        <v>394266.66666666669</v>
      </c>
      <c r="E39" s="280">
        <v>394266.66666666669</v>
      </c>
      <c r="F39">
        <v>6</v>
      </c>
    </row>
    <row r="40" spans="1:6" x14ac:dyDescent="0.25">
      <c r="A40" s="250">
        <v>8403941870</v>
      </c>
      <c r="B40">
        <v>10001444</v>
      </c>
      <c r="C40" t="s">
        <v>2301</v>
      </c>
      <c r="D40" s="280">
        <v>317933.33333333331</v>
      </c>
      <c r="E40" s="280">
        <v>317933.33333333331</v>
      </c>
      <c r="F40">
        <v>6</v>
      </c>
    </row>
    <row r="41" spans="1:6" x14ac:dyDescent="0.25">
      <c r="A41" s="250">
        <v>8352431714</v>
      </c>
      <c r="B41">
        <v>10000416</v>
      </c>
      <c r="C41" t="s">
        <v>2164</v>
      </c>
      <c r="D41" s="280">
        <v>407666.66666666669</v>
      </c>
      <c r="E41" s="280">
        <v>407666.66666666669</v>
      </c>
      <c r="F41">
        <v>6</v>
      </c>
    </row>
    <row r="42" spans="1:6" x14ac:dyDescent="0.25">
      <c r="A42" s="250">
        <v>8460982173</v>
      </c>
      <c r="B42">
        <v>10002000</v>
      </c>
      <c r="C42" t="s">
        <v>1811</v>
      </c>
      <c r="D42" s="280">
        <v>300000</v>
      </c>
      <c r="E42" s="280">
        <v>300000</v>
      </c>
      <c r="F42">
        <v>4</v>
      </c>
    </row>
    <row r="43" spans="1:6" x14ac:dyDescent="0.25">
      <c r="A43" s="250">
        <v>8450630401</v>
      </c>
      <c r="B43">
        <v>10002032</v>
      </c>
      <c r="C43" t="s">
        <v>1845</v>
      </c>
      <c r="D43" s="280">
        <v>200000</v>
      </c>
      <c r="E43" s="280">
        <v>400000</v>
      </c>
      <c r="F43">
        <v>2</v>
      </c>
    </row>
    <row r="44" spans="1:6" x14ac:dyDescent="0.25">
      <c r="A44" s="250">
        <v>8452590628</v>
      </c>
      <c r="B44">
        <v>10001147</v>
      </c>
      <c r="C44" t="s">
        <v>1455</v>
      </c>
      <c r="D44" s="280">
        <v>378433.33333333331</v>
      </c>
      <c r="E44" s="280">
        <v>378433.33333333331</v>
      </c>
      <c r="F44">
        <v>6</v>
      </c>
    </row>
    <row r="45" spans="1:6" x14ac:dyDescent="0.25">
      <c r="A45" s="250">
        <v>8433880187</v>
      </c>
      <c r="B45">
        <v>10000336</v>
      </c>
      <c r="C45" t="s">
        <v>2407</v>
      </c>
      <c r="D45" s="280">
        <v>682000</v>
      </c>
      <c r="E45" s="280">
        <v>682000</v>
      </c>
      <c r="F45">
        <v>6</v>
      </c>
    </row>
    <row r="46" spans="1:6" x14ac:dyDescent="0.25">
      <c r="A46" s="250">
        <v>8472250296</v>
      </c>
      <c r="B46">
        <v>10001649</v>
      </c>
      <c r="C46" t="s">
        <v>2545</v>
      </c>
      <c r="D46" s="280">
        <v>278200</v>
      </c>
      <c r="E46" s="280">
        <v>278200</v>
      </c>
      <c r="F46">
        <v>6</v>
      </c>
    </row>
    <row r="47" spans="1:6" x14ac:dyDescent="0.25">
      <c r="A47" s="250">
        <v>8445312235</v>
      </c>
      <c r="B47">
        <v>10001747</v>
      </c>
      <c r="C47" t="s">
        <v>2450</v>
      </c>
      <c r="D47" s="280">
        <v>240933.33333333334</v>
      </c>
      <c r="E47" s="280">
        <v>240933.33333333334</v>
      </c>
      <c r="F47">
        <v>6</v>
      </c>
    </row>
    <row r="48" spans="1:6" x14ac:dyDescent="0.25">
      <c r="A48" s="250">
        <v>8471840170</v>
      </c>
      <c r="B48">
        <v>10001629</v>
      </c>
      <c r="C48" t="s">
        <v>2542</v>
      </c>
      <c r="D48" s="280">
        <v>392666.66666666669</v>
      </c>
      <c r="E48" s="280">
        <v>392666.66666666669</v>
      </c>
      <c r="F48">
        <v>6</v>
      </c>
    </row>
    <row r="49" spans="1:6" x14ac:dyDescent="0.25">
      <c r="A49" s="250">
        <v>8346442386</v>
      </c>
      <c r="B49">
        <v>10000021</v>
      </c>
      <c r="C49" t="s">
        <v>2148</v>
      </c>
      <c r="D49" s="280">
        <v>1141800</v>
      </c>
      <c r="E49" s="280">
        <v>1141800</v>
      </c>
      <c r="F49">
        <v>6</v>
      </c>
    </row>
    <row r="50" spans="1:6" x14ac:dyDescent="0.25">
      <c r="A50" s="250">
        <v>8457790412</v>
      </c>
      <c r="B50">
        <v>10001575</v>
      </c>
      <c r="C50" t="s">
        <v>2505</v>
      </c>
      <c r="D50" s="280">
        <v>162150</v>
      </c>
      <c r="E50" s="280">
        <v>324300</v>
      </c>
      <c r="F50">
        <v>6</v>
      </c>
    </row>
    <row r="51" spans="1:6" x14ac:dyDescent="0.25">
      <c r="A51" s="250">
        <v>8459273199</v>
      </c>
      <c r="B51">
        <v>10001818</v>
      </c>
      <c r="C51" t="s">
        <v>2511</v>
      </c>
      <c r="D51" s="280">
        <v>282300</v>
      </c>
      <c r="E51" s="280">
        <v>282300</v>
      </c>
      <c r="F51">
        <v>6</v>
      </c>
    </row>
    <row r="52" spans="1:6" x14ac:dyDescent="0.25">
      <c r="A52" s="250">
        <v>8429410953</v>
      </c>
      <c r="B52">
        <v>10001958</v>
      </c>
      <c r="C52" t="s">
        <v>1781</v>
      </c>
      <c r="D52" s="280">
        <v>366733.33333333331</v>
      </c>
      <c r="E52" s="280">
        <v>366733.33333333331</v>
      </c>
      <c r="F52">
        <v>6</v>
      </c>
    </row>
    <row r="53" spans="1:6" x14ac:dyDescent="0.25">
      <c r="A53" s="250">
        <v>8375151610</v>
      </c>
      <c r="B53">
        <v>10000422</v>
      </c>
      <c r="C53" t="s">
        <v>2225</v>
      </c>
      <c r="D53" s="280">
        <v>304820.83333333331</v>
      </c>
      <c r="E53" s="280">
        <v>304820.83333333331</v>
      </c>
      <c r="F53">
        <v>6</v>
      </c>
    </row>
    <row r="54" spans="1:6" x14ac:dyDescent="0.25">
      <c r="A54" s="250">
        <v>8371162944</v>
      </c>
      <c r="B54">
        <v>10000423</v>
      </c>
      <c r="C54" t="s">
        <v>1163</v>
      </c>
      <c r="D54" s="280">
        <v>484000</v>
      </c>
      <c r="E54" s="280">
        <v>484000</v>
      </c>
      <c r="F54">
        <v>6</v>
      </c>
    </row>
    <row r="55" spans="1:6" x14ac:dyDescent="0.25">
      <c r="A55" s="250">
        <v>8419890081</v>
      </c>
      <c r="B55">
        <v>10002004</v>
      </c>
      <c r="C55" t="s">
        <v>1815</v>
      </c>
      <c r="D55" s="280">
        <v>500000</v>
      </c>
      <c r="E55" s="280">
        <v>500000</v>
      </c>
      <c r="F55">
        <v>4</v>
      </c>
    </row>
    <row r="56" spans="1:6" x14ac:dyDescent="0.25">
      <c r="A56" s="250">
        <v>8358032285</v>
      </c>
      <c r="B56">
        <v>10002034</v>
      </c>
      <c r="C56" t="s">
        <v>1847</v>
      </c>
      <c r="D56" s="280">
        <v>82500</v>
      </c>
      <c r="E56" s="280">
        <v>330000</v>
      </c>
      <c r="F56">
        <v>2</v>
      </c>
    </row>
    <row r="57" spans="1:6" x14ac:dyDescent="0.25">
      <c r="A57" s="250">
        <v>8469730517</v>
      </c>
      <c r="B57">
        <v>10001921</v>
      </c>
      <c r="C57" t="s">
        <v>2537</v>
      </c>
      <c r="D57" s="280">
        <v>247533.33333333334</v>
      </c>
      <c r="E57" s="280">
        <v>330044.44444444444</v>
      </c>
      <c r="F57">
        <v>6</v>
      </c>
    </row>
    <row r="58" spans="1:6" x14ac:dyDescent="0.25">
      <c r="A58" s="250">
        <v>8454831045</v>
      </c>
      <c r="B58">
        <v>10001433</v>
      </c>
      <c r="C58" t="s">
        <v>1527</v>
      </c>
      <c r="D58" s="280">
        <v>295266.66666666669</v>
      </c>
      <c r="E58" s="280">
        <v>295266.66666666669</v>
      </c>
      <c r="F58">
        <v>6</v>
      </c>
    </row>
    <row r="59" spans="1:6" x14ac:dyDescent="0.25">
      <c r="A59" s="250">
        <v>8376941402</v>
      </c>
      <c r="B59">
        <v>10000368</v>
      </c>
      <c r="C59" t="s">
        <v>2227</v>
      </c>
      <c r="D59" s="280">
        <v>151700</v>
      </c>
      <c r="E59" s="280">
        <v>303400</v>
      </c>
      <c r="F59">
        <v>6</v>
      </c>
    </row>
    <row r="60" spans="1:6" x14ac:dyDescent="0.25">
      <c r="A60" s="250">
        <v>8412150252</v>
      </c>
      <c r="B60">
        <v>10001785</v>
      </c>
      <c r="C60" t="s">
        <v>1707</v>
      </c>
      <c r="D60" s="280">
        <v>224700</v>
      </c>
      <c r="E60" s="280">
        <v>449400</v>
      </c>
      <c r="F60">
        <v>4</v>
      </c>
    </row>
    <row r="61" spans="1:6" x14ac:dyDescent="0.25">
      <c r="A61" s="250">
        <v>8440692994</v>
      </c>
      <c r="B61">
        <v>10001182</v>
      </c>
      <c r="C61" t="s">
        <v>2429</v>
      </c>
      <c r="D61" s="280">
        <v>307133.33333333331</v>
      </c>
      <c r="E61" s="280">
        <v>307133.33333333331</v>
      </c>
      <c r="F61">
        <v>6</v>
      </c>
    </row>
    <row r="62" spans="1:6" x14ac:dyDescent="0.25">
      <c r="A62" s="250">
        <v>8388711881</v>
      </c>
      <c r="B62">
        <v>10000430</v>
      </c>
      <c r="C62" t="s">
        <v>2251</v>
      </c>
      <c r="D62" s="280">
        <v>474633.33333333331</v>
      </c>
      <c r="E62" s="280">
        <v>474633.33333333331</v>
      </c>
      <c r="F62">
        <v>6</v>
      </c>
    </row>
    <row r="63" spans="1:6" x14ac:dyDescent="0.25">
      <c r="A63" s="250">
        <v>8482470434</v>
      </c>
      <c r="B63">
        <v>10001424</v>
      </c>
      <c r="C63" t="s">
        <v>2559</v>
      </c>
      <c r="D63" s="280">
        <v>319000</v>
      </c>
      <c r="E63" s="280">
        <v>319000</v>
      </c>
      <c r="F63">
        <v>6</v>
      </c>
    </row>
    <row r="64" spans="1:6" x14ac:dyDescent="0.25">
      <c r="A64" s="250">
        <v>8408953524</v>
      </c>
      <c r="B64">
        <v>10000868</v>
      </c>
      <c r="C64" t="s">
        <v>2322</v>
      </c>
      <c r="D64" s="280">
        <v>330000</v>
      </c>
      <c r="E64" s="280">
        <v>330000</v>
      </c>
      <c r="F64">
        <v>6</v>
      </c>
    </row>
    <row r="65" spans="1:6" x14ac:dyDescent="0.25">
      <c r="A65" s="250">
        <v>8353391902</v>
      </c>
      <c r="B65">
        <v>10002024</v>
      </c>
      <c r="C65" t="s">
        <v>1836</v>
      </c>
      <c r="D65" s="280">
        <v>82500</v>
      </c>
      <c r="E65" s="280">
        <v>330000</v>
      </c>
      <c r="F65">
        <v>2</v>
      </c>
    </row>
    <row r="66" spans="1:6" x14ac:dyDescent="0.25">
      <c r="A66" s="250">
        <v>8432283533</v>
      </c>
      <c r="B66">
        <v>10001743</v>
      </c>
      <c r="C66" t="s">
        <v>2397</v>
      </c>
      <c r="D66" s="280">
        <v>240933.33333333334</v>
      </c>
      <c r="E66" s="280">
        <v>240933.33333333334</v>
      </c>
      <c r="F66">
        <v>6</v>
      </c>
    </row>
    <row r="67" spans="1:6" x14ac:dyDescent="0.25">
      <c r="A67" s="250">
        <v>8398384042</v>
      </c>
      <c r="B67">
        <v>10000432</v>
      </c>
      <c r="C67" t="s">
        <v>1169</v>
      </c>
      <c r="D67" s="280">
        <v>408000</v>
      </c>
      <c r="E67" s="280">
        <v>408000</v>
      </c>
      <c r="F67">
        <v>6</v>
      </c>
    </row>
    <row r="68" spans="1:6" x14ac:dyDescent="0.25">
      <c r="A68" s="250">
        <v>8346702302</v>
      </c>
      <c r="B68">
        <v>10001707</v>
      </c>
      <c r="C68" t="s">
        <v>2149</v>
      </c>
      <c r="D68" s="280">
        <v>240933.33333333334</v>
      </c>
      <c r="E68" s="280">
        <v>240933.33333333334</v>
      </c>
      <c r="F68">
        <v>6</v>
      </c>
    </row>
    <row r="69" spans="1:6" x14ac:dyDescent="0.25">
      <c r="A69" s="250">
        <v>8445372106</v>
      </c>
      <c r="B69">
        <v>10001251</v>
      </c>
      <c r="C69" t="s">
        <v>1477</v>
      </c>
      <c r="D69" s="280">
        <v>315600</v>
      </c>
      <c r="E69" s="280">
        <v>315600</v>
      </c>
      <c r="F69">
        <v>3</v>
      </c>
    </row>
    <row r="70" spans="1:6" x14ac:dyDescent="0.25">
      <c r="A70" s="250">
        <v>8433713434</v>
      </c>
      <c r="B70">
        <v>10001188</v>
      </c>
      <c r="C70" t="s">
        <v>1470</v>
      </c>
      <c r="D70" s="280">
        <v>383266.66666666669</v>
      </c>
      <c r="E70" s="280">
        <v>383266.66666666669</v>
      </c>
      <c r="F70">
        <v>6</v>
      </c>
    </row>
    <row r="71" spans="1:6" x14ac:dyDescent="0.25">
      <c r="A71" s="250">
        <v>8350852550</v>
      </c>
      <c r="B71">
        <v>10002023</v>
      </c>
      <c r="C71" t="s">
        <v>1835</v>
      </c>
      <c r="D71" s="280">
        <v>82500</v>
      </c>
      <c r="E71" s="280">
        <v>330000</v>
      </c>
      <c r="F71">
        <v>2</v>
      </c>
    </row>
    <row r="72" spans="1:6" x14ac:dyDescent="0.25">
      <c r="A72" s="250">
        <v>8480090987</v>
      </c>
      <c r="B72">
        <v>10002047</v>
      </c>
      <c r="C72" t="s">
        <v>1860</v>
      </c>
      <c r="D72" s="280">
        <v>320000</v>
      </c>
      <c r="E72" s="280">
        <v>320000</v>
      </c>
      <c r="F72">
        <v>1</v>
      </c>
    </row>
    <row r="73" spans="1:6" x14ac:dyDescent="0.25">
      <c r="A73" s="250">
        <v>8438912923</v>
      </c>
      <c r="B73">
        <v>10001232</v>
      </c>
      <c r="C73" t="s">
        <v>1473</v>
      </c>
      <c r="D73" s="280">
        <v>297566.66666666669</v>
      </c>
      <c r="E73" s="280">
        <v>297566.66666666669</v>
      </c>
      <c r="F73">
        <v>6</v>
      </c>
    </row>
    <row r="74" spans="1:6" x14ac:dyDescent="0.25">
      <c r="A74" s="250">
        <v>8370773583</v>
      </c>
      <c r="B74">
        <v>10000037</v>
      </c>
      <c r="C74" t="s">
        <v>895</v>
      </c>
      <c r="D74" s="280">
        <v>470900</v>
      </c>
      <c r="E74" s="280">
        <v>470900</v>
      </c>
      <c r="F74">
        <v>6</v>
      </c>
    </row>
    <row r="75" spans="1:6" x14ac:dyDescent="0.25">
      <c r="A75" s="250">
        <v>8399050482</v>
      </c>
      <c r="B75">
        <v>10000437</v>
      </c>
      <c r="C75" t="s">
        <v>2285</v>
      </c>
      <c r="D75" s="280">
        <v>363000</v>
      </c>
      <c r="E75" s="280">
        <v>363000</v>
      </c>
      <c r="F75">
        <v>6</v>
      </c>
    </row>
    <row r="76" spans="1:6" x14ac:dyDescent="0.25">
      <c r="A76" s="250">
        <v>8420711640</v>
      </c>
      <c r="B76">
        <v>10001165</v>
      </c>
      <c r="C76" t="s">
        <v>1460</v>
      </c>
      <c r="D76" s="280">
        <v>376566.66666666669</v>
      </c>
      <c r="E76" s="280">
        <v>376566.66666666669</v>
      </c>
      <c r="F76">
        <v>6</v>
      </c>
    </row>
    <row r="77" spans="1:6" x14ac:dyDescent="0.25">
      <c r="A77" s="250">
        <v>8424970721</v>
      </c>
      <c r="B77">
        <v>10001660</v>
      </c>
      <c r="C77" t="s">
        <v>2381</v>
      </c>
      <c r="D77" s="280">
        <v>60266.666666666664</v>
      </c>
      <c r="E77" s="280">
        <v>241066.66666666666</v>
      </c>
      <c r="F77">
        <v>6</v>
      </c>
    </row>
    <row r="78" spans="1:6" x14ac:dyDescent="0.25">
      <c r="A78" s="250">
        <v>8375791911</v>
      </c>
      <c r="B78">
        <v>10000439</v>
      </c>
      <c r="C78" t="s">
        <v>1176</v>
      </c>
      <c r="D78" s="280">
        <v>355066.66666666669</v>
      </c>
      <c r="E78" s="280">
        <v>355066.66666666669</v>
      </c>
      <c r="F78">
        <v>6</v>
      </c>
    </row>
    <row r="79" spans="1:6" x14ac:dyDescent="0.25">
      <c r="A79" s="250">
        <v>8457050281</v>
      </c>
      <c r="B79">
        <v>10001453</v>
      </c>
      <c r="C79" t="s">
        <v>2500</v>
      </c>
      <c r="D79" s="280">
        <v>248950</v>
      </c>
      <c r="E79" s="280">
        <v>248950</v>
      </c>
      <c r="F79">
        <v>6</v>
      </c>
    </row>
    <row r="80" spans="1:6" x14ac:dyDescent="0.25">
      <c r="A80" s="250">
        <v>8477121125</v>
      </c>
      <c r="B80">
        <v>10001768</v>
      </c>
      <c r="C80" t="s">
        <v>1701</v>
      </c>
      <c r="D80" s="280">
        <v>451000</v>
      </c>
      <c r="E80" s="280">
        <v>451000</v>
      </c>
      <c r="F80">
        <v>6</v>
      </c>
    </row>
    <row r="81" spans="1:6" x14ac:dyDescent="0.25">
      <c r="A81" s="250">
        <v>8391703703</v>
      </c>
      <c r="B81">
        <v>10000441</v>
      </c>
      <c r="C81" t="s">
        <v>292</v>
      </c>
      <c r="D81" s="280">
        <v>484533.33333333331</v>
      </c>
      <c r="E81" s="280">
        <v>484533.33333333331</v>
      </c>
      <c r="F81">
        <v>6</v>
      </c>
    </row>
    <row r="82" spans="1:6" x14ac:dyDescent="0.25">
      <c r="A82" s="250">
        <v>8383633823</v>
      </c>
      <c r="B82">
        <v>10000442</v>
      </c>
      <c r="C82" t="s">
        <v>2239</v>
      </c>
      <c r="D82" s="280">
        <v>652466.66666666663</v>
      </c>
      <c r="E82" s="280">
        <v>652466.66666666663</v>
      </c>
      <c r="F82">
        <v>6</v>
      </c>
    </row>
    <row r="83" spans="1:6" x14ac:dyDescent="0.25">
      <c r="A83" s="250">
        <v>8416873569</v>
      </c>
      <c r="B83">
        <v>10001064</v>
      </c>
      <c r="C83" t="s">
        <v>1428</v>
      </c>
      <c r="D83" s="280">
        <v>350266.66666666669</v>
      </c>
      <c r="E83" s="280">
        <v>350266.66666666669</v>
      </c>
      <c r="F83">
        <v>6</v>
      </c>
    </row>
    <row r="84" spans="1:6" x14ac:dyDescent="0.25">
      <c r="A84" s="250">
        <v>8340680668</v>
      </c>
      <c r="B84">
        <v>10000443</v>
      </c>
      <c r="C84" t="s">
        <v>2143</v>
      </c>
      <c r="D84" s="280">
        <v>492133.33333333331</v>
      </c>
      <c r="E84" s="280">
        <v>492133.33333333331</v>
      </c>
      <c r="F84">
        <v>6</v>
      </c>
    </row>
    <row r="85" spans="1:6" x14ac:dyDescent="0.25">
      <c r="A85" s="250">
        <v>8422550644</v>
      </c>
      <c r="B85">
        <v>10002013</v>
      </c>
      <c r="C85" t="s">
        <v>1825</v>
      </c>
      <c r="D85" s="280">
        <v>300000</v>
      </c>
      <c r="E85" s="280">
        <v>400000</v>
      </c>
      <c r="F85">
        <v>3</v>
      </c>
    </row>
    <row r="86" spans="1:6" x14ac:dyDescent="0.25">
      <c r="A86" s="250">
        <v>8466910670</v>
      </c>
      <c r="B86">
        <v>10001786</v>
      </c>
      <c r="C86" t="s">
        <v>1708</v>
      </c>
      <c r="D86" s="280">
        <v>424666.66666666669</v>
      </c>
      <c r="E86" s="280">
        <v>424666.66666666669</v>
      </c>
      <c r="F86">
        <v>6</v>
      </c>
    </row>
    <row r="87" spans="1:6" x14ac:dyDescent="0.25">
      <c r="A87" s="250">
        <v>8430310738</v>
      </c>
      <c r="B87">
        <v>10002016</v>
      </c>
      <c r="C87" t="s">
        <v>1827</v>
      </c>
      <c r="D87" s="280">
        <v>390000</v>
      </c>
      <c r="E87" s="280">
        <v>390000</v>
      </c>
      <c r="F87">
        <v>3</v>
      </c>
    </row>
    <row r="88" spans="1:6" x14ac:dyDescent="0.25">
      <c r="A88" s="250">
        <v>8469340409</v>
      </c>
      <c r="B88">
        <v>10001900</v>
      </c>
      <c r="C88" t="s">
        <v>1757</v>
      </c>
      <c r="D88" s="280">
        <v>385000</v>
      </c>
      <c r="E88" s="280">
        <v>385000</v>
      </c>
      <c r="F88">
        <v>6</v>
      </c>
    </row>
    <row r="89" spans="1:6" x14ac:dyDescent="0.25">
      <c r="A89" s="250">
        <v>8376733702</v>
      </c>
      <c r="B89">
        <v>10001651</v>
      </c>
      <c r="C89" t="s">
        <v>1600</v>
      </c>
      <c r="D89" s="280">
        <v>434666.66666666669</v>
      </c>
      <c r="E89" s="280">
        <v>434666.66666666669</v>
      </c>
      <c r="F89">
        <v>6</v>
      </c>
    </row>
    <row r="90" spans="1:6" x14ac:dyDescent="0.25">
      <c r="A90" s="250">
        <v>8477853010</v>
      </c>
      <c r="B90">
        <v>10001779</v>
      </c>
      <c r="C90" t="s">
        <v>2553</v>
      </c>
      <c r="D90" s="280">
        <v>440000</v>
      </c>
      <c r="E90" s="280">
        <v>440000</v>
      </c>
      <c r="F90">
        <v>6</v>
      </c>
    </row>
    <row r="91" spans="1:6" x14ac:dyDescent="0.25">
      <c r="A91" s="250">
        <v>8351583782</v>
      </c>
      <c r="B91">
        <v>10000451</v>
      </c>
      <c r="C91" t="s">
        <v>1180</v>
      </c>
      <c r="D91" s="280">
        <v>330000</v>
      </c>
      <c r="E91" s="280">
        <v>330000</v>
      </c>
      <c r="F91">
        <v>6</v>
      </c>
    </row>
    <row r="92" spans="1:6" x14ac:dyDescent="0.25">
      <c r="A92" s="250">
        <v>8310892233</v>
      </c>
      <c r="B92">
        <v>10001621</v>
      </c>
      <c r="C92" t="s">
        <v>1582</v>
      </c>
      <c r="D92" s="280">
        <v>1210000</v>
      </c>
      <c r="E92" s="280">
        <v>1210000</v>
      </c>
      <c r="F92">
        <v>6</v>
      </c>
    </row>
    <row r="93" spans="1:6" x14ac:dyDescent="0.25">
      <c r="A93" s="250">
        <v>8472241629</v>
      </c>
      <c r="B93">
        <v>10001443</v>
      </c>
      <c r="C93" t="s">
        <v>2544</v>
      </c>
      <c r="D93" s="280">
        <v>385000</v>
      </c>
      <c r="E93" s="280">
        <v>385000</v>
      </c>
      <c r="F93">
        <v>6</v>
      </c>
    </row>
    <row r="94" spans="1:6" x14ac:dyDescent="0.25">
      <c r="A94" s="250">
        <v>8485252772</v>
      </c>
      <c r="B94">
        <v>10001445</v>
      </c>
      <c r="C94" t="s">
        <v>2561</v>
      </c>
      <c r="D94" s="280">
        <v>285633.33333333331</v>
      </c>
      <c r="E94" s="280">
        <v>285633.33333333331</v>
      </c>
      <c r="F94">
        <v>6</v>
      </c>
    </row>
    <row r="95" spans="1:6" x14ac:dyDescent="0.25">
      <c r="A95" s="250">
        <v>8459421406</v>
      </c>
      <c r="B95">
        <v>10001893</v>
      </c>
      <c r="C95" t="s">
        <v>2512</v>
      </c>
      <c r="D95" s="280">
        <v>346533.33333333331</v>
      </c>
      <c r="E95" s="280">
        <v>346533.33333333331</v>
      </c>
      <c r="F95">
        <v>6</v>
      </c>
    </row>
    <row r="96" spans="1:6" x14ac:dyDescent="0.25">
      <c r="A96" s="250">
        <v>8407774197</v>
      </c>
      <c r="B96">
        <v>10001693</v>
      </c>
      <c r="C96" t="s">
        <v>2314</v>
      </c>
      <c r="D96" s="280">
        <v>426716.66666666669</v>
      </c>
      <c r="E96" s="280">
        <v>426716.66666666669</v>
      </c>
      <c r="F96">
        <v>6</v>
      </c>
    </row>
    <row r="97" spans="1:6" x14ac:dyDescent="0.25">
      <c r="A97" s="250">
        <v>8455030704</v>
      </c>
      <c r="B97">
        <v>10001157</v>
      </c>
      <c r="C97" t="s">
        <v>2487</v>
      </c>
      <c r="D97" s="280">
        <v>281333.33333333331</v>
      </c>
      <c r="E97" s="280">
        <v>281333.33333333331</v>
      </c>
      <c r="F97">
        <v>6</v>
      </c>
    </row>
    <row r="98" spans="1:6" x14ac:dyDescent="0.25">
      <c r="A98" s="250">
        <v>8386893362</v>
      </c>
      <c r="B98">
        <v>10000888</v>
      </c>
      <c r="C98" t="s">
        <v>1363</v>
      </c>
      <c r="D98" s="280">
        <v>383350</v>
      </c>
      <c r="E98" s="280">
        <v>383350</v>
      </c>
      <c r="F98">
        <v>4</v>
      </c>
    </row>
    <row r="99" spans="1:6" x14ac:dyDescent="0.25">
      <c r="A99" s="250">
        <v>8460153053</v>
      </c>
      <c r="B99">
        <v>10001399</v>
      </c>
      <c r="C99" t="s">
        <v>2513</v>
      </c>
      <c r="D99" s="280">
        <v>315650</v>
      </c>
      <c r="E99" s="280">
        <v>315650</v>
      </c>
      <c r="F99">
        <v>6</v>
      </c>
    </row>
    <row r="100" spans="1:6" x14ac:dyDescent="0.25">
      <c r="A100" s="250">
        <v>8469270311</v>
      </c>
      <c r="B100">
        <v>10001752</v>
      </c>
      <c r="C100" t="s">
        <v>2535</v>
      </c>
      <c r="D100" s="280">
        <v>220000</v>
      </c>
      <c r="E100" s="280">
        <v>220000</v>
      </c>
      <c r="F100">
        <v>2</v>
      </c>
    </row>
    <row r="101" spans="1:6" x14ac:dyDescent="0.25">
      <c r="A101" s="250">
        <v>8464521502</v>
      </c>
      <c r="B101">
        <v>10001573</v>
      </c>
      <c r="C101" t="s">
        <v>1568</v>
      </c>
      <c r="D101" s="280">
        <v>146250</v>
      </c>
      <c r="E101" s="280">
        <v>292500</v>
      </c>
      <c r="F101">
        <v>4</v>
      </c>
    </row>
    <row r="102" spans="1:6" x14ac:dyDescent="0.25">
      <c r="A102" s="250">
        <v>8387294322</v>
      </c>
      <c r="B102">
        <v>10000054</v>
      </c>
      <c r="C102" t="s">
        <v>911</v>
      </c>
      <c r="D102" s="280">
        <v>609866.66666666663</v>
      </c>
      <c r="E102" s="280">
        <v>609866.66666666663</v>
      </c>
      <c r="F102">
        <v>6</v>
      </c>
    </row>
    <row r="103" spans="1:6" x14ac:dyDescent="0.25">
      <c r="A103" s="250">
        <v>8418110333</v>
      </c>
      <c r="B103">
        <v>10000965</v>
      </c>
      <c r="C103" t="s">
        <v>1393</v>
      </c>
      <c r="D103" s="280">
        <v>352000</v>
      </c>
      <c r="E103" s="280">
        <v>352000</v>
      </c>
      <c r="F103">
        <v>6</v>
      </c>
    </row>
    <row r="104" spans="1:6" x14ac:dyDescent="0.25">
      <c r="A104" s="250">
        <v>8419450189</v>
      </c>
      <c r="B104">
        <v>10000457</v>
      </c>
      <c r="C104" t="s">
        <v>1181</v>
      </c>
      <c r="D104" s="280">
        <v>1860000</v>
      </c>
      <c r="E104" s="280">
        <v>1860000</v>
      </c>
      <c r="F104">
        <v>6</v>
      </c>
    </row>
    <row r="105" spans="1:6" x14ac:dyDescent="0.25">
      <c r="A105" s="250">
        <v>8377610388</v>
      </c>
      <c r="B105">
        <v>10001469</v>
      </c>
      <c r="C105" t="s">
        <v>1542</v>
      </c>
      <c r="D105" s="280">
        <v>324100</v>
      </c>
      <c r="E105" s="280">
        <v>324100</v>
      </c>
      <c r="F105">
        <v>6</v>
      </c>
    </row>
    <row r="106" spans="1:6" x14ac:dyDescent="0.25">
      <c r="A106" s="250">
        <v>8412103416</v>
      </c>
      <c r="B106">
        <v>10001878</v>
      </c>
      <c r="C106" t="s">
        <v>2337</v>
      </c>
      <c r="D106" s="280">
        <v>407000</v>
      </c>
      <c r="E106" s="280">
        <v>407000</v>
      </c>
      <c r="F106">
        <v>6</v>
      </c>
    </row>
    <row r="107" spans="1:6" x14ac:dyDescent="0.25">
      <c r="A107" s="250">
        <v>8404371083</v>
      </c>
      <c r="B107">
        <v>10000785</v>
      </c>
      <c r="C107" t="s">
        <v>1333</v>
      </c>
      <c r="D107" s="280">
        <v>350266.66666666669</v>
      </c>
      <c r="E107" s="280">
        <v>350266.66666666669</v>
      </c>
      <c r="F107">
        <v>6</v>
      </c>
    </row>
    <row r="108" spans="1:6" x14ac:dyDescent="0.25">
      <c r="A108" s="250">
        <v>8375073423</v>
      </c>
      <c r="B108">
        <v>10000460</v>
      </c>
      <c r="C108" t="s">
        <v>2223</v>
      </c>
      <c r="D108" s="280">
        <v>464100</v>
      </c>
      <c r="E108" s="280">
        <v>515666.66666666669</v>
      </c>
      <c r="F108">
        <v>6</v>
      </c>
    </row>
    <row r="109" spans="1:6" x14ac:dyDescent="0.25">
      <c r="A109" s="250">
        <v>8397652094</v>
      </c>
      <c r="B109">
        <v>10000057</v>
      </c>
      <c r="C109" t="s">
        <v>913</v>
      </c>
      <c r="D109" s="280">
        <v>707400</v>
      </c>
      <c r="E109" s="280">
        <v>707400</v>
      </c>
      <c r="F109">
        <v>6</v>
      </c>
    </row>
    <row r="110" spans="1:6" x14ac:dyDescent="0.25">
      <c r="A110" s="250">
        <v>8437650712</v>
      </c>
      <c r="B110">
        <v>10000461</v>
      </c>
      <c r="C110" t="s">
        <v>2415</v>
      </c>
      <c r="D110" s="280">
        <v>352000</v>
      </c>
      <c r="E110" s="280">
        <v>352000</v>
      </c>
      <c r="F110">
        <v>6</v>
      </c>
    </row>
    <row r="111" spans="1:6" x14ac:dyDescent="0.25">
      <c r="A111" s="250">
        <v>8369322778</v>
      </c>
      <c r="B111">
        <v>10000463</v>
      </c>
      <c r="C111" t="s">
        <v>1185</v>
      </c>
      <c r="D111" s="280">
        <v>319000</v>
      </c>
      <c r="E111" s="280">
        <v>319000</v>
      </c>
      <c r="F111">
        <v>6</v>
      </c>
    </row>
    <row r="112" spans="1:6" x14ac:dyDescent="0.25">
      <c r="A112" s="250">
        <v>8433700847</v>
      </c>
      <c r="B112">
        <v>10001062</v>
      </c>
      <c r="C112" t="s">
        <v>2405</v>
      </c>
      <c r="D112" s="280">
        <v>473333.33333333331</v>
      </c>
      <c r="E112" s="280">
        <v>473333.33333333331</v>
      </c>
      <c r="F112">
        <v>6</v>
      </c>
    </row>
    <row r="113" spans="1:6" x14ac:dyDescent="0.25">
      <c r="A113" s="250">
        <v>8459483118</v>
      </c>
      <c r="B113">
        <v>10001761</v>
      </c>
      <c r="C113" t="s">
        <v>1696</v>
      </c>
      <c r="D113" s="280">
        <v>385000</v>
      </c>
      <c r="E113" s="280">
        <v>385000</v>
      </c>
      <c r="F113">
        <v>6</v>
      </c>
    </row>
    <row r="114" spans="1:6" x14ac:dyDescent="0.25">
      <c r="A114" s="250">
        <v>8459312267</v>
      </c>
      <c r="B114">
        <v>10001899</v>
      </c>
      <c r="C114" t="s">
        <v>1756</v>
      </c>
      <c r="D114" s="280">
        <v>369666.66666666669</v>
      </c>
      <c r="E114" s="280">
        <v>369666.66666666669</v>
      </c>
      <c r="F114">
        <v>6</v>
      </c>
    </row>
    <row r="115" spans="1:6" x14ac:dyDescent="0.25">
      <c r="A115" s="250">
        <v>8415300263</v>
      </c>
      <c r="B115">
        <v>10001800</v>
      </c>
      <c r="C115" t="s">
        <v>1717</v>
      </c>
      <c r="D115" s="280">
        <v>448000</v>
      </c>
      <c r="E115" s="280">
        <v>448000</v>
      </c>
      <c r="F115">
        <v>6</v>
      </c>
    </row>
    <row r="116" spans="1:6" x14ac:dyDescent="0.25">
      <c r="A116" s="250">
        <v>8424210697</v>
      </c>
      <c r="B116">
        <v>10001127</v>
      </c>
      <c r="C116" t="s">
        <v>2378</v>
      </c>
      <c r="D116" s="280">
        <v>366933.33333333331</v>
      </c>
      <c r="E116" s="280">
        <v>366933.33333333331</v>
      </c>
      <c r="F116">
        <v>6</v>
      </c>
    </row>
    <row r="117" spans="1:6" x14ac:dyDescent="0.25">
      <c r="A117" s="250">
        <v>8461660684</v>
      </c>
      <c r="B117">
        <v>10001891</v>
      </c>
      <c r="C117" t="s">
        <v>2522</v>
      </c>
      <c r="D117" s="280">
        <v>385000</v>
      </c>
      <c r="E117" s="280">
        <v>385000</v>
      </c>
      <c r="F117">
        <v>6</v>
      </c>
    </row>
    <row r="118" spans="1:6" x14ac:dyDescent="0.25">
      <c r="A118" s="250">
        <v>8402810497</v>
      </c>
      <c r="B118">
        <v>10001734</v>
      </c>
      <c r="C118" t="s">
        <v>2297</v>
      </c>
      <c r="D118" s="280">
        <v>271100</v>
      </c>
      <c r="E118" s="280">
        <v>271100</v>
      </c>
      <c r="F118">
        <v>2</v>
      </c>
    </row>
    <row r="119" spans="1:6" x14ac:dyDescent="0.25">
      <c r="A119" s="250">
        <v>8447580458</v>
      </c>
      <c r="B119">
        <v>10000993</v>
      </c>
      <c r="C119" t="s">
        <v>2469</v>
      </c>
      <c r="D119" s="280">
        <v>487333.33333333331</v>
      </c>
      <c r="E119" s="280">
        <v>487333.33333333331</v>
      </c>
      <c r="F119">
        <v>6</v>
      </c>
    </row>
    <row r="120" spans="1:6" x14ac:dyDescent="0.25">
      <c r="A120" s="250">
        <v>8452690312</v>
      </c>
      <c r="B120">
        <v>10001010</v>
      </c>
      <c r="C120" t="s">
        <v>1406</v>
      </c>
      <c r="D120" s="280">
        <v>440000</v>
      </c>
      <c r="E120" s="280">
        <v>440000</v>
      </c>
      <c r="F120">
        <v>6</v>
      </c>
    </row>
    <row r="121" spans="1:6" x14ac:dyDescent="0.25">
      <c r="A121" s="250">
        <v>8375183237</v>
      </c>
      <c r="B121">
        <v>10000469</v>
      </c>
      <c r="C121" t="s">
        <v>1187</v>
      </c>
      <c r="D121" s="280">
        <v>353233.33333333331</v>
      </c>
      <c r="E121" s="280">
        <v>353233.33333333331</v>
      </c>
      <c r="F121">
        <v>6</v>
      </c>
    </row>
    <row r="122" spans="1:6" x14ac:dyDescent="0.25">
      <c r="A122" s="250">
        <v>8443541296</v>
      </c>
      <c r="B122">
        <v>10001923</v>
      </c>
      <c r="C122" t="s">
        <v>1768</v>
      </c>
      <c r="D122" s="280">
        <v>363000</v>
      </c>
      <c r="E122" s="280">
        <v>363000</v>
      </c>
      <c r="F122">
        <v>6</v>
      </c>
    </row>
    <row r="123" spans="1:6" x14ac:dyDescent="0.25">
      <c r="A123" s="250">
        <v>8363194034</v>
      </c>
      <c r="B123">
        <v>10001535</v>
      </c>
      <c r="C123" t="s">
        <v>1553</v>
      </c>
      <c r="D123" s="280">
        <v>440000</v>
      </c>
      <c r="E123" s="280">
        <v>440000</v>
      </c>
      <c r="F123">
        <v>6</v>
      </c>
    </row>
    <row r="124" spans="1:6" x14ac:dyDescent="0.25">
      <c r="A124" s="250">
        <v>8399572616</v>
      </c>
      <c r="B124">
        <v>10001686</v>
      </c>
      <c r="C124" t="s">
        <v>1614</v>
      </c>
      <c r="D124" s="280">
        <v>165000</v>
      </c>
      <c r="E124" s="280">
        <v>330000</v>
      </c>
      <c r="F124">
        <v>6</v>
      </c>
    </row>
    <row r="125" spans="1:6" x14ac:dyDescent="0.25">
      <c r="A125" s="250">
        <v>8427102364</v>
      </c>
      <c r="B125">
        <v>10000470</v>
      </c>
      <c r="C125" t="s">
        <v>1188</v>
      </c>
      <c r="D125" s="280">
        <v>431000</v>
      </c>
      <c r="E125" s="280">
        <v>431000</v>
      </c>
      <c r="F125">
        <v>6</v>
      </c>
    </row>
    <row r="126" spans="1:6" x14ac:dyDescent="0.25">
      <c r="A126" s="250">
        <v>8366693341</v>
      </c>
      <c r="B126">
        <v>10001724</v>
      </c>
      <c r="C126" t="s">
        <v>2206</v>
      </c>
      <c r="D126" s="280">
        <v>276700</v>
      </c>
      <c r="E126" s="280">
        <v>276700</v>
      </c>
      <c r="F126">
        <v>6</v>
      </c>
    </row>
    <row r="127" spans="1:6" x14ac:dyDescent="0.25">
      <c r="A127" s="250">
        <v>8463281443</v>
      </c>
      <c r="B127">
        <v>10001658</v>
      </c>
      <c r="C127" t="s">
        <v>1604</v>
      </c>
      <c r="D127" s="280">
        <v>150000</v>
      </c>
      <c r="E127" s="280">
        <v>300000</v>
      </c>
      <c r="F127">
        <v>3</v>
      </c>
    </row>
    <row r="128" spans="1:6" x14ac:dyDescent="0.25">
      <c r="A128" s="250">
        <v>8391122697</v>
      </c>
      <c r="B128">
        <v>10001175</v>
      </c>
      <c r="C128" t="s">
        <v>1465</v>
      </c>
      <c r="D128" s="280">
        <v>266633.33333333331</v>
      </c>
      <c r="E128" s="280">
        <v>355511.11111111107</v>
      </c>
      <c r="F128">
        <v>6</v>
      </c>
    </row>
    <row r="129" spans="1:6" x14ac:dyDescent="0.25">
      <c r="A129" s="250">
        <v>8424470087</v>
      </c>
      <c r="B129">
        <v>10000242</v>
      </c>
      <c r="C129" t="s">
        <v>2379</v>
      </c>
      <c r="D129" s="280">
        <v>660466.66666666663</v>
      </c>
      <c r="E129" s="280">
        <v>660466.66666666663</v>
      </c>
      <c r="F129">
        <v>6</v>
      </c>
    </row>
    <row r="130" spans="1:6" x14ac:dyDescent="0.25">
      <c r="A130" s="250">
        <v>8392423828</v>
      </c>
      <c r="B130">
        <v>10000002</v>
      </c>
      <c r="C130" t="s">
        <v>2263</v>
      </c>
      <c r="D130" s="280">
        <v>672133.33333333337</v>
      </c>
      <c r="E130" s="280">
        <v>672133.33333333337</v>
      </c>
      <c r="F130">
        <v>6</v>
      </c>
    </row>
    <row r="131" spans="1:6" x14ac:dyDescent="0.25">
      <c r="A131" s="250">
        <v>8329823474</v>
      </c>
      <c r="B131">
        <v>10000003</v>
      </c>
      <c r="C131" t="s">
        <v>861</v>
      </c>
      <c r="D131" s="280">
        <v>443500</v>
      </c>
      <c r="E131" s="280">
        <v>443500</v>
      </c>
      <c r="F131">
        <v>6</v>
      </c>
    </row>
    <row r="132" spans="1:6" x14ac:dyDescent="0.25">
      <c r="A132" s="250">
        <v>8352710532</v>
      </c>
      <c r="B132">
        <v>10000007</v>
      </c>
      <c r="C132" t="s">
        <v>865</v>
      </c>
      <c r="D132" s="280">
        <v>777076.66666666663</v>
      </c>
      <c r="E132" s="280">
        <v>777076.66666666663</v>
      </c>
      <c r="F132">
        <v>6</v>
      </c>
    </row>
    <row r="133" spans="1:6" x14ac:dyDescent="0.25">
      <c r="A133" s="250">
        <v>8401914213</v>
      </c>
      <c r="B133">
        <v>10001733</v>
      </c>
      <c r="C133" t="s">
        <v>2295</v>
      </c>
      <c r="D133" s="280">
        <v>384116.66666666669</v>
      </c>
      <c r="E133" s="280">
        <v>384116.66666666669</v>
      </c>
      <c r="F133">
        <v>6</v>
      </c>
    </row>
    <row r="134" spans="1:6" x14ac:dyDescent="0.25">
      <c r="A134" s="250">
        <v>8399790605</v>
      </c>
      <c r="B134">
        <v>10001327</v>
      </c>
      <c r="C134" t="s">
        <v>1500</v>
      </c>
      <c r="D134" s="280">
        <v>564433.33333333337</v>
      </c>
      <c r="E134" s="280">
        <v>564433.33333333337</v>
      </c>
      <c r="F134">
        <v>6</v>
      </c>
    </row>
    <row r="135" spans="1:6" x14ac:dyDescent="0.25">
      <c r="A135" s="250">
        <v>8367122739</v>
      </c>
      <c r="B135">
        <v>10001796</v>
      </c>
      <c r="C135" t="s">
        <v>1715</v>
      </c>
      <c r="D135" s="280">
        <v>165000</v>
      </c>
      <c r="E135" s="280">
        <v>330000</v>
      </c>
      <c r="F135">
        <v>6</v>
      </c>
    </row>
    <row r="136" spans="1:6" x14ac:dyDescent="0.25">
      <c r="A136" s="250">
        <v>8448900545</v>
      </c>
      <c r="B136">
        <v>10001040</v>
      </c>
      <c r="C136" t="s">
        <v>1419</v>
      </c>
      <c r="D136" s="280">
        <v>877566.66666666663</v>
      </c>
      <c r="E136" s="280">
        <v>877566.66666666663</v>
      </c>
      <c r="F136">
        <v>6</v>
      </c>
    </row>
    <row r="137" spans="1:6" x14ac:dyDescent="0.25">
      <c r="A137" s="250">
        <v>8327581902</v>
      </c>
      <c r="B137">
        <v>10000013</v>
      </c>
      <c r="C137" t="s">
        <v>866</v>
      </c>
      <c r="D137" s="280">
        <v>587430</v>
      </c>
      <c r="E137" s="280">
        <v>587430</v>
      </c>
      <c r="F137">
        <v>5</v>
      </c>
    </row>
    <row r="138" spans="1:6" x14ac:dyDescent="0.25">
      <c r="A138" s="250">
        <v>8390681331</v>
      </c>
      <c r="B138">
        <v>10000017</v>
      </c>
      <c r="C138" t="s">
        <v>2256</v>
      </c>
      <c r="D138" s="280">
        <v>106733.33333333333</v>
      </c>
      <c r="E138" s="280">
        <v>106733.33333333333</v>
      </c>
      <c r="F138">
        <v>6</v>
      </c>
    </row>
    <row r="139" spans="1:6" x14ac:dyDescent="0.25">
      <c r="A139" s="250">
        <v>8432804142</v>
      </c>
      <c r="B139">
        <v>10000020</v>
      </c>
      <c r="C139" t="s">
        <v>879</v>
      </c>
      <c r="D139" s="280">
        <v>312416.66666666669</v>
      </c>
      <c r="E139" s="280">
        <v>312416.66666666669</v>
      </c>
      <c r="F139">
        <v>6</v>
      </c>
    </row>
    <row r="140" spans="1:6" x14ac:dyDescent="0.25">
      <c r="A140" s="250">
        <v>8370861563</v>
      </c>
      <c r="B140">
        <v>10000418</v>
      </c>
      <c r="C140" t="s">
        <v>1156</v>
      </c>
      <c r="D140" s="280">
        <v>341000</v>
      </c>
      <c r="E140" s="280">
        <v>341000</v>
      </c>
      <c r="F140">
        <v>6</v>
      </c>
    </row>
    <row r="141" spans="1:6" x14ac:dyDescent="0.25">
      <c r="A141" s="250">
        <v>8326124451</v>
      </c>
      <c r="B141">
        <v>10001478</v>
      </c>
      <c r="C141" t="s">
        <v>1544</v>
      </c>
      <c r="D141" s="280">
        <v>990000</v>
      </c>
      <c r="E141" s="280">
        <v>990000</v>
      </c>
      <c r="F141">
        <v>6</v>
      </c>
    </row>
    <row r="142" spans="1:6" x14ac:dyDescent="0.25">
      <c r="A142" s="250">
        <v>8355642937</v>
      </c>
      <c r="B142">
        <v>10001714</v>
      </c>
      <c r="C142" t="s">
        <v>2179</v>
      </c>
      <c r="D142" s="280">
        <v>465266.66666666669</v>
      </c>
      <c r="E142" s="280">
        <v>465266.66666666669</v>
      </c>
      <c r="F142">
        <v>6</v>
      </c>
    </row>
    <row r="143" spans="1:6" x14ac:dyDescent="0.25">
      <c r="A143" s="250">
        <v>8399633682</v>
      </c>
      <c r="B143">
        <v>10000027</v>
      </c>
      <c r="C143" t="s">
        <v>2287</v>
      </c>
      <c r="D143" s="280">
        <v>1026616.6666666666</v>
      </c>
      <c r="E143" s="280">
        <v>1026616.6666666666</v>
      </c>
      <c r="F143">
        <v>6</v>
      </c>
    </row>
    <row r="144" spans="1:6" x14ac:dyDescent="0.25">
      <c r="A144" s="250">
        <v>8322883846</v>
      </c>
      <c r="B144">
        <v>10000028</v>
      </c>
      <c r="C144" t="s">
        <v>2112</v>
      </c>
      <c r="D144" s="280">
        <v>628133.33333333337</v>
      </c>
      <c r="E144" s="280">
        <v>628133.33333333337</v>
      </c>
      <c r="F144">
        <v>6</v>
      </c>
    </row>
    <row r="145" spans="1:6" x14ac:dyDescent="0.25">
      <c r="A145" s="250">
        <v>8382052894</v>
      </c>
      <c r="B145">
        <v>10000030</v>
      </c>
      <c r="C145" t="s">
        <v>2237</v>
      </c>
      <c r="D145" s="280">
        <v>213400</v>
      </c>
      <c r="E145" s="280">
        <v>426800</v>
      </c>
      <c r="F145">
        <v>6</v>
      </c>
    </row>
    <row r="146" spans="1:6" x14ac:dyDescent="0.25">
      <c r="A146" s="250">
        <v>8415712928</v>
      </c>
      <c r="B146">
        <v>10000433</v>
      </c>
      <c r="C146" t="s">
        <v>2349</v>
      </c>
      <c r="D146" s="280">
        <v>304933.33333333331</v>
      </c>
      <c r="E146" s="280">
        <v>304933.33333333331</v>
      </c>
      <c r="F146">
        <v>6</v>
      </c>
    </row>
    <row r="147" spans="1:6" x14ac:dyDescent="0.25">
      <c r="A147" s="250">
        <v>8452830645</v>
      </c>
      <c r="B147">
        <v>10001275</v>
      </c>
      <c r="C147" t="s">
        <v>2482</v>
      </c>
      <c r="D147" s="280">
        <v>244000</v>
      </c>
      <c r="E147" s="280">
        <v>244000</v>
      </c>
      <c r="F147">
        <v>6</v>
      </c>
    </row>
    <row r="148" spans="1:6" x14ac:dyDescent="0.25">
      <c r="A148" s="250">
        <v>8417011455</v>
      </c>
      <c r="B148">
        <v>10000032</v>
      </c>
      <c r="C148" t="s">
        <v>2353</v>
      </c>
      <c r="D148" s="280">
        <v>600733.33333333337</v>
      </c>
      <c r="E148" s="280">
        <v>600733.33333333337</v>
      </c>
      <c r="F148">
        <v>6</v>
      </c>
    </row>
    <row r="149" spans="1:6" x14ac:dyDescent="0.25">
      <c r="A149" s="250">
        <v>8368763134</v>
      </c>
      <c r="B149">
        <v>10000033</v>
      </c>
      <c r="C149" t="s">
        <v>2210</v>
      </c>
      <c r="D149" s="280">
        <v>628133.33333333337</v>
      </c>
      <c r="E149" s="280">
        <v>628133.33333333337</v>
      </c>
      <c r="F149">
        <v>6</v>
      </c>
    </row>
    <row r="150" spans="1:6" x14ac:dyDescent="0.25">
      <c r="A150" s="250">
        <v>8432490555</v>
      </c>
      <c r="B150">
        <v>10000035</v>
      </c>
      <c r="C150" t="s">
        <v>894</v>
      </c>
      <c r="D150" s="280">
        <v>526083.33333333337</v>
      </c>
      <c r="E150" s="280">
        <v>526083.33333333337</v>
      </c>
      <c r="F150">
        <v>6</v>
      </c>
    </row>
    <row r="151" spans="1:6" x14ac:dyDescent="0.25">
      <c r="A151" s="250">
        <v>8334653166</v>
      </c>
      <c r="B151">
        <v>10000435</v>
      </c>
      <c r="C151" t="s">
        <v>1171</v>
      </c>
      <c r="D151" s="280">
        <v>729933.33333333337</v>
      </c>
      <c r="E151" s="280">
        <v>729933.33333333337</v>
      </c>
      <c r="F151">
        <v>6</v>
      </c>
    </row>
    <row r="152" spans="1:6" x14ac:dyDescent="0.25">
      <c r="A152" s="250">
        <v>8357612733</v>
      </c>
      <c r="B152">
        <v>10000040</v>
      </c>
      <c r="C152" t="s">
        <v>2183</v>
      </c>
      <c r="D152" s="280">
        <v>495000</v>
      </c>
      <c r="E152" s="280">
        <v>495000</v>
      </c>
      <c r="F152">
        <v>6</v>
      </c>
    </row>
    <row r="153" spans="1:6" x14ac:dyDescent="0.25">
      <c r="A153" s="250">
        <v>8363523275</v>
      </c>
      <c r="B153">
        <v>10000041</v>
      </c>
      <c r="C153" t="s">
        <v>901</v>
      </c>
      <c r="D153" s="280">
        <v>445166.66666666669</v>
      </c>
      <c r="E153" s="280">
        <v>445166.66666666669</v>
      </c>
      <c r="F153">
        <v>6</v>
      </c>
    </row>
    <row r="154" spans="1:6" x14ac:dyDescent="0.25">
      <c r="A154" s="250">
        <v>8374362774</v>
      </c>
      <c r="B154">
        <v>10000045</v>
      </c>
      <c r="C154" t="s">
        <v>904</v>
      </c>
      <c r="D154" s="280">
        <v>507666.66666666669</v>
      </c>
      <c r="E154" s="280">
        <v>507666.66666666669</v>
      </c>
      <c r="F154">
        <v>6</v>
      </c>
    </row>
    <row r="155" spans="1:6" x14ac:dyDescent="0.25">
      <c r="A155" s="250">
        <v>8386912812</v>
      </c>
      <c r="B155">
        <v>10000047</v>
      </c>
      <c r="C155" t="s">
        <v>2244</v>
      </c>
      <c r="D155" s="280">
        <v>890200</v>
      </c>
      <c r="E155" s="280">
        <v>890200</v>
      </c>
      <c r="F155">
        <v>6</v>
      </c>
    </row>
    <row r="156" spans="1:6" x14ac:dyDescent="0.25">
      <c r="A156" s="250">
        <v>8329223957</v>
      </c>
      <c r="B156">
        <v>10001700</v>
      </c>
      <c r="C156" t="s">
        <v>2121</v>
      </c>
      <c r="D156" s="280">
        <v>511033.33333333331</v>
      </c>
      <c r="E156" s="280">
        <v>511033.33333333331</v>
      </c>
      <c r="F156">
        <v>6</v>
      </c>
    </row>
    <row r="157" spans="1:6" x14ac:dyDescent="0.25">
      <c r="A157" s="250">
        <v>8310213476</v>
      </c>
      <c r="B157">
        <v>10000051</v>
      </c>
      <c r="C157" t="s">
        <v>908</v>
      </c>
      <c r="D157" s="280">
        <v>323200</v>
      </c>
      <c r="E157" s="280">
        <v>646400</v>
      </c>
      <c r="F157">
        <v>6</v>
      </c>
    </row>
    <row r="158" spans="1:6" x14ac:dyDescent="0.25">
      <c r="A158" s="250">
        <v>8413122988</v>
      </c>
      <c r="B158">
        <v>10000053</v>
      </c>
      <c r="C158" t="s">
        <v>910</v>
      </c>
      <c r="D158" s="280">
        <v>602366.66666666663</v>
      </c>
      <c r="E158" s="280">
        <v>602366.66666666663</v>
      </c>
      <c r="F158">
        <v>6</v>
      </c>
    </row>
    <row r="159" spans="1:6" x14ac:dyDescent="0.25">
      <c r="A159" s="250">
        <v>8369192769</v>
      </c>
      <c r="B159">
        <v>10001305</v>
      </c>
      <c r="C159" t="s">
        <v>2212</v>
      </c>
      <c r="D159" s="280">
        <v>294000</v>
      </c>
      <c r="E159" s="280">
        <v>588000</v>
      </c>
      <c r="F159">
        <v>1</v>
      </c>
    </row>
    <row r="160" spans="1:6" x14ac:dyDescent="0.25">
      <c r="A160" s="250">
        <v>8396640823</v>
      </c>
      <c r="B160">
        <v>10000056</v>
      </c>
      <c r="C160" t="s">
        <v>2276</v>
      </c>
      <c r="D160" s="280">
        <v>1184064.3333333333</v>
      </c>
      <c r="E160" s="280">
        <v>1184064.3333333333</v>
      </c>
      <c r="F160">
        <v>6</v>
      </c>
    </row>
    <row r="161" spans="1:6" x14ac:dyDescent="0.25">
      <c r="A161" s="250">
        <v>8441412952</v>
      </c>
      <c r="B161">
        <v>10000866</v>
      </c>
      <c r="C161" t="s">
        <v>2435</v>
      </c>
      <c r="D161" s="280">
        <v>316500</v>
      </c>
      <c r="E161" s="280">
        <v>316500</v>
      </c>
      <c r="F161">
        <v>6</v>
      </c>
    </row>
    <row r="162" spans="1:6" x14ac:dyDescent="0.25">
      <c r="A162" s="250">
        <v>8414880940</v>
      </c>
      <c r="B162">
        <v>10000058</v>
      </c>
      <c r="C162" t="s">
        <v>2345</v>
      </c>
      <c r="D162" s="280">
        <v>194000</v>
      </c>
      <c r="E162" s="280">
        <v>388000</v>
      </c>
      <c r="F162">
        <v>2</v>
      </c>
    </row>
    <row r="163" spans="1:6" x14ac:dyDescent="0.25">
      <c r="A163" s="250">
        <v>8397243569</v>
      </c>
      <c r="B163">
        <v>10000464</v>
      </c>
      <c r="C163" t="s">
        <v>2279</v>
      </c>
      <c r="D163" s="280">
        <v>606200</v>
      </c>
      <c r="E163" s="280">
        <v>606200</v>
      </c>
      <c r="F163">
        <v>6</v>
      </c>
    </row>
    <row r="164" spans="1:6" x14ac:dyDescent="0.25">
      <c r="A164" s="250">
        <v>8405303510</v>
      </c>
      <c r="B164">
        <v>10000371</v>
      </c>
      <c r="C164" t="s">
        <v>1124</v>
      </c>
      <c r="D164" s="280">
        <v>798900</v>
      </c>
      <c r="E164" s="280">
        <v>798900</v>
      </c>
      <c r="F164">
        <v>6</v>
      </c>
    </row>
    <row r="165" spans="1:6" x14ac:dyDescent="0.25">
      <c r="A165" s="250">
        <v>8395723636</v>
      </c>
      <c r="B165">
        <v>10001924</v>
      </c>
      <c r="C165" t="s">
        <v>1769</v>
      </c>
      <c r="D165" s="280">
        <v>334666.66666666669</v>
      </c>
      <c r="E165" s="280">
        <v>394200</v>
      </c>
      <c r="F165">
        <v>6</v>
      </c>
    </row>
    <row r="166" spans="1:6" x14ac:dyDescent="0.25">
      <c r="A166" s="250">
        <v>8403740913</v>
      </c>
      <c r="B166">
        <v>10000061</v>
      </c>
      <c r="C166" t="s">
        <v>2300</v>
      </c>
      <c r="D166" s="280">
        <v>743383.33333333337</v>
      </c>
      <c r="E166" s="280">
        <v>743383.33333333337</v>
      </c>
      <c r="F166">
        <v>6</v>
      </c>
    </row>
    <row r="167" spans="1:6" x14ac:dyDescent="0.25">
      <c r="A167" s="250">
        <v>8393082064</v>
      </c>
      <c r="B167">
        <v>10000064</v>
      </c>
      <c r="C167" t="s">
        <v>2267</v>
      </c>
      <c r="D167" s="280">
        <v>1034000</v>
      </c>
      <c r="E167" s="280">
        <v>1034000</v>
      </c>
      <c r="F167">
        <v>6</v>
      </c>
    </row>
    <row r="168" spans="1:6" x14ac:dyDescent="0.25">
      <c r="A168" s="250">
        <v>8352592858</v>
      </c>
      <c r="B168">
        <v>10000065</v>
      </c>
      <c r="C168" t="s">
        <v>2165</v>
      </c>
      <c r="D168" s="280">
        <v>702466.66666666663</v>
      </c>
      <c r="E168" s="280">
        <v>702466.66666666663</v>
      </c>
      <c r="F168">
        <v>6</v>
      </c>
    </row>
    <row r="169" spans="1:6" x14ac:dyDescent="0.25">
      <c r="A169" s="250">
        <v>8439610572</v>
      </c>
      <c r="B169">
        <v>10000340</v>
      </c>
      <c r="C169" t="s">
        <v>2423</v>
      </c>
      <c r="D169" s="280">
        <v>844900</v>
      </c>
      <c r="E169" s="280">
        <v>844900</v>
      </c>
      <c r="F169">
        <v>6</v>
      </c>
    </row>
    <row r="170" spans="1:6" x14ac:dyDescent="0.25">
      <c r="A170" s="250">
        <v>8445401858</v>
      </c>
      <c r="B170">
        <v>10000892</v>
      </c>
      <c r="C170" t="s">
        <v>2451</v>
      </c>
      <c r="D170" s="280">
        <v>634680</v>
      </c>
      <c r="E170" s="280">
        <v>634680</v>
      </c>
      <c r="F170">
        <v>5</v>
      </c>
    </row>
    <row r="171" spans="1:6" x14ac:dyDescent="0.25">
      <c r="A171" s="250">
        <v>8421413546</v>
      </c>
      <c r="B171">
        <v>10001932</v>
      </c>
      <c r="C171" t="s">
        <v>1772</v>
      </c>
      <c r="D171" s="280">
        <v>400000</v>
      </c>
      <c r="E171" s="280">
        <v>400000</v>
      </c>
      <c r="F171">
        <v>3</v>
      </c>
    </row>
    <row r="172" spans="1:6" x14ac:dyDescent="0.25">
      <c r="A172" s="250">
        <v>8436381068</v>
      </c>
      <c r="B172">
        <v>10000342</v>
      </c>
      <c r="C172" t="s">
        <v>2412</v>
      </c>
      <c r="D172" s="280">
        <v>874533.33333333337</v>
      </c>
      <c r="E172" s="280">
        <v>874533.33333333337</v>
      </c>
      <c r="F172">
        <v>6</v>
      </c>
    </row>
    <row r="173" spans="1:6" x14ac:dyDescent="0.25">
      <c r="A173" s="250">
        <v>8405063064</v>
      </c>
      <c r="B173">
        <v>10000072</v>
      </c>
      <c r="C173" t="s">
        <v>2305</v>
      </c>
      <c r="D173" s="280">
        <v>495000</v>
      </c>
      <c r="E173" s="280">
        <v>495000</v>
      </c>
      <c r="F173">
        <v>6</v>
      </c>
    </row>
    <row r="174" spans="1:6" x14ac:dyDescent="0.25">
      <c r="A174" s="250">
        <v>8333893694</v>
      </c>
      <c r="B174">
        <v>10000073</v>
      </c>
      <c r="C174" t="s">
        <v>923</v>
      </c>
      <c r="D174" s="280">
        <v>426900</v>
      </c>
      <c r="E174" s="280">
        <v>426900</v>
      </c>
      <c r="F174">
        <v>6</v>
      </c>
    </row>
    <row r="175" spans="1:6" x14ac:dyDescent="0.25">
      <c r="A175" s="250">
        <v>8438023282</v>
      </c>
      <c r="B175">
        <v>10000074</v>
      </c>
      <c r="C175" t="s">
        <v>2416</v>
      </c>
      <c r="D175" s="280">
        <v>476900</v>
      </c>
      <c r="E175" s="280">
        <v>476900</v>
      </c>
      <c r="F175">
        <v>6</v>
      </c>
    </row>
    <row r="176" spans="1:6" x14ac:dyDescent="0.25">
      <c r="A176" s="250">
        <v>8400125053</v>
      </c>
      <c r="B176">
        <v>10001829</v>
      </c>
      <c r="C176" t="s">
        <v>1732</v>
      </c>
      <c r="D176" s="280">
        <v>304933.33333333331</v>
      </c>
      <c r="E176" s="280">
        <v>304933.33333333331</v>
      </c>
      <c r="F176">
        <v>6</v>
      </c>
    </row>
    <row r="177" spans="1:6" x14ac:dyDescent="0.25">
      <c r="A177" s="250">
        <v>8399753726</v>
      </c>
      <c r="B177">
        <v>10000078</v>
      </c>
      <c r="C177" t="s">
        <v>928</v>
      </c>
      <c r="D177" s="280">
        <v>789333.33333333337</v>
      </c>
      <c r="E177" s="280">
        <v>789333.33333333337</v>
      </c>
      <c r="F177">
        <v>6</v>
      </c>
    </row>
    <row r="178" spans="1:6" x14ac:dyDescent="0.25">
      <c r="A178" s="250">
        <v>8398703792</v>
      </c>
      <c r="B178">
        <v>10000079</v>
      </c>
      <c r="C178" t="s">
        <v>931</v>
      </c>
      <c r="D178" s="280">
        <v>1435066.6666666667</v>
      </c>
      <c r="E178" s="280">
        <v>1435066.6666666667</v>
      </c>
      <c r="F178">
        <v>6</v>
      </c>
    </row>
    <row r="179" spans="1:6" x14ac:dyDescent="0.25">
      <c r="A179" s="250">
        <v>8426023649</v>
      </c>
      <c r="B179">
        <v>10000493</v>
      </c>
      <c r="C179" t="s">
        <v>1196</v>
      </c>
      <c r="D179" s="280">
        <v>385000</v>
      </c>
      <c r="E179" s="280">
        <v>385000</v>
      </c>
      <c r="F179">
        <v>6</v>
      </c>
    </row>
    <row r="180" spans="1:6" x14ac:dyDescent="0.25">
      <c r="A180" s="250">
        <v>8399783617</v>
      </c>
      <c r="B180">
        <v>10000081</v>
      </c>
      <c r="C180" t="s">
        <v>933</v>
      </c>
      <c r="D180" s="280">
        <v>427400</v>
      </c>
      <c r="E180" s="280">
        <v>427400</v>
      </c>
      <c r="F180">
        <v>6</v>
      </c>
    </row>
    <row r="181" spans="1:6" x14ac:dyDescent="0.25">
      <c r="A181" s="250">
        <v>8409541254</v>
      </c>
      <c r="B181">
        <v>10000082</v>
      </c>
      <c r="C181" t="s">
        <v>2326</v>
      </c>
      <c r="D181" s="280">
        <v>1430000</v>
      </c>
      <c r="E181" s="280">
        <v>1430000</v>
      </c>
      <c r="F181">
        <v>6</v>
      </c>
    </row>
    <row r="182" spans="1:6" x14ac:dyDescent="0.25">
      <c r="A182" s="250">
        <v>8359153914</v>
      </c>
      <c r="B182">
        <v>10000083</v>
      </c>
      <c r="C182" t="s">
        <v>2186</v>
      </c>
      <c r="D182" s="280">
        <v>880000</v>
      </c>
      <c r="E182" s="280">
        <v>880000</v>
      </c>
      <c r="F182">
        <v>6</v>
      </c>
    </row>
    <row r="183" spans="1:6" x14ac:dyDescent="0.25">
      <c r="A183" s="250">
        <v>8380183029</v>
      </c>
      <c r="B183">
        <v>10000084</v>
      </c>
      <c r="C183" t="s">
        <v>2234</v>
      </c>
      <c r="D183" s="280">
        <v>465632.5</v>
      </c>
      <c r="E183" s="280">
        <v>465632.5</v>
      </c>
      <c r="F183">
        <v>6</v>
      </c>
    </row>
    <row r="184" spans="1:6" x14ac:dyDescent="0.25">
      <c r="A184" s="250">
        <v>8389220210</v>
      </c>
      <c r="B184">
        <v>10000086</v>
      </c>
      <c r="C184" t="s">
        <v>2253</v>
      </c>
      <c r="D184" s="280">
        <v>1182900</v>
      </c>
      <c r="E184" s="280">
        <v>1182900</v>
      </c>
      <c r="F184">
        <v>6</v>
      </c>
    </row>
    <row r="185" spans="1:6" x14ac:dyDescent="0.25">
      <c r="A185" s="250">
        <v>8361012761</v>
      </c>
      <c r="B185">
        <v>10000087</v>
      </c>
      <c r="C185" t="s">
        <v>940</v>
      </c>
      <c r="D185" s="280">
        <v>724356.66666666663</v>
      </c>
      <c r="E185" s="280">
        <v>724356.66666666663</v>
      </c>
      <c r="F185">
        <v>6</v>
      </c>
    </row>
    <row r="186" spans="1:6" x14ac:dyDescent="0.25">
      <c r="A186" s="250">
        <v>8389152959</v>
      </c>
      <c r="B186">
        <v>10001477</v>
      </c>
      <c r="C186" t="s">
        <v>1543</v>
      </c>
      <c r="D186" s="280">
        <v>822900</v>
      </c>
      <c r="E186" s="280">
        <v>822900</v>
      </c>
      <c r="F186">
        <v>6</v>
      </c>
    </row>
    <row r="187" spans="1:6" x14ac:dyDescent="0.25">
      <c r="A187" s="250">
        <v>8333952534</v>
      </c>
      <c r="B187">
        <v>10000088</v>
      </c>
      <c r="C187" t="s">
        <v>2129</v>
      </c>
      <c r="D187" s="280">
        <v>323200</v>
      </c>
      <c r="E187" s="280">
        <v>646400</v>
      </c>
      <c r="F187">
        <v>6</v>
      </c>
    </row>
    <row r="188" spans="1:6" x14ac:dyDescent="0.25">
      <c r="A188" s="250">
        <v>8442530479</v>
      </c>
      <c r="B188">
        <v>10001799</v>
      </c>
      <c r="C188" t="s">
        <v>2436</v>
      </c>
      <c r="D188" s="280">
        <v>165000</v>
      </c>
      <c r="E188" s="280">
        <v>330000</v>
      </c>
      <c r="F188">
        <v>6</v>
      </c>
    </row>
    <row r="189" spans="1:6" x14ac:dyDescent="0.25">
      <c r="A189" s="250">
        <v>8406163348</v>
      </c>
      <c r="B189">
        <v>10000343</v>
      </c>
      <c r="C189" t="s">
        <v>2311</v>
      </c>
      <c r="D189" s="280">
        <v>797533.33333333337</v>
      </c>
      <c r="E189" s="280">
        <v>797533.33333333337</v>
      </c>
      <c r="F189">
        <v>6</v>
      </c>
    </row>
    <row r="190" spans="1:6" x14ac:dyDescent="0.25">
      <c r="A190" s="250">
        <v>8363972193</v>
      </c>
      <c r="B190">
        <v>10000092</v>
      </c>
      <c r="C190" t="s">
        <v>2202</v>
      </c>
      <c r="D190" s="280">
        <v>2021500</v>
      </c>
      <c r="E190" s="280">
        <v>2021500</v>
      </c>
      <c r="F190">
        <v>6</v>
      </c>
    </row>
    <row r="191" spans="1:6" x14ac:dyDescent="0.25">
      <c r="A191" s="250">
        <v>8340202553</v>
      </c>
      <c r="B191">
        <v>10000093</v>
      </c>
      <c r="C191" t="s">
        <v>2141</v>
      </c>
      <c r="D191" s="280">
        <v>591433.33333333337</v>
      </c>
      <c r="E191" s="280">
        <v>591433.33333333337</v>
      </c>
      <c r="F191">
        <v>6</v>
      </c>
    </row>
    <row r="192" spans="1:6" x14ac:dyDescent="0.25">
      <c r="A192" s="250">
        <v>8399734772</v>
      </c>
      <c r="B192">
        <v>10001633</v>
      </c>
      <c r="C192" t="s">
        <v>2288</v>
      </c>
      <c r="D192" s="280">
        <v>250000</v>
      </c>
      <c r="E192" s="280">
        <v>500000</v>
      </c>
      <c r="F192">
        <v>2</v>
      </c>
    </row>
    <row r="193" spans="1:6" x14ac:dyDescent="0.25">
      <c r="A193" s="250">
        <v>8377184230</v>
      </c>
      <c r="B193">
        <v>10001728</v>
      </c>
      <c r="C193" t="s">
        <v>2230</v>
      </c>
      <c r="D193" s="280">
        <v>260600</v>
      </c>
      <c r="E193" s="280">
        <v>260600</v>
      </c>
      <c r="F193">
        <v>1</v>
      </c>
    </row>
    <row r="194" spans="1:6" x14ac:dyDescent="0.25">
      <c r="A194" s="250">
        <v>8357833284</v>
      </c>
      <c r="B194">
        <v>10000095</v>
      </c>
      <c r="C194" t="s">
        <v>2184</v>
      </c>
      <c r="D194" s="280">
        <v>481433.33333333331</v>
      </c>
      <c r="E194" s="280">
        <v>481433.33333333331</v>
      </c>
      <c r="F194">
        <v>6</v>
      </c>
    </row>
    <row r="195" spans="1:6" x14ac:dyDescent="0.25">
      <c r="A195" s="250">
        <v>8385173412</v>
      </c>
      <c r="B195">
        <v>10000096</v>
      </c>
      <c r="C195" t="s">
        <v>2241</v>
      </c>
      <c r="D195" s="280">
        <v>304933.33333333331</v>
      </c>
      <c r="E195" s="280">
        <v>304933.33333333331</v>
      </c>
      <c r="F195">
        <v>6</v>
      </c>
    </row>
    <row r="196" spans="1:6" x14ac:dyDescent="0.25">
      <c r="A196" s="250">
        <v>8442600442</v>
      </c>
      <c r="B196">
        <v>10001052</v>
      </c>
      <c r="C196" t="s">
        <v>1423</v>
      </c>
      <c r="D196" s="280">
        <v>441866.66666666669</v>
      </c>
      <c r="E196" s="280">
        <v>441866.66666666669</v>
      </c>
      <c r="F196">
        <v>6</v>
      </c>
    </row>
    <row r="197" spans="1:6" x14ac:dyDescent="0.25">
      <c r="A197" s="250">
        <v>8358022476</v>
      </c>
      <c r="B197">
        <v>10000098</v>
      </c>
      <c r="C197" t="s">
        <v>2185</v>
      </c>
      <c r="D197" s="280">
        <v>539000</v>
      </c>
      <c r="E197" s="280">
        <v>539000</v>
      </c>
      <c r="F197">
        <v>6</v>
      </c>
    </row>
    <row r="198" spans="1:6" x14ac:dyDescent="0.25">
      <c r="A198" s="250">
        <v>8320030072</v>
      </c>
      <c r="B198">
        <v>10000100</v>
      </c>
      <c r="C198" t="s">
        <v>2111</v>
      </c>
      <c r="D198" s="280">
        <v>940966.66666666663</v>
      </c>
      <c r="E198" s="280">
        <v>1254622.2222222222</v>
      </c>
      <c r="F198">
        <v>6</v>
      </c>
    </row>
    <row r="199" spans="1:6" x14ac:dyDescent="0.25">
      <c r="A199" s="250">
        <v>8456000604</v>
      </c>
      <c r="B199">
        <v>10002009</v>
      </c>
      <c r="C199" t="s">
        <v>1819</v>
      </c>
      <c r="D199" s="280">
        <v>662600</v>
      </c>
      <c r="E199" s="280">
        <v>662600</v>
      </c>
      <c r="F199">
        <v>3</v>
      </c>
    </row>
    <row r="200" spans="1:6" x14ac:dyDescent="0.25">
      <c r="A200" s="250">
        <v>8330322432</v>
      </c>
      <c r="B200">
        <v>10000101</v>
      </c>
      <c r="C200" t="s">
        <v>953</v>
      </c>
      <c r="D200" s="280">
        <v>389933.33333333331</v>
      </c>
      <c r="E200" s="280">
        <v>389933.33333333331</v>
      </c>
      <c r="F200">
        <v>6</v>
      </c>
    </row>
    <row r="201" spans="1:6" x14ac:dyDescent="0.25">
      <c r="A201" s="250">
        <v>8422031841</v>
      </c>
      <c r="B201">
        <v>10000103</v>
      </c>
      <c r="C201" t="s">
        <v>2371</v>
      </c>
      <c r="D201" s="280">
        <v>633583.33333333337</v>
      </c>
      <c r="E201" s="280">
        <v>633583.33333333337</v>
      </c>
      <c r="F201">
        <v>6</v>
      </c>
    </row>
    <row r="202" spans="1:6" x14ac:dyDescent="0.25">
      <c r="A202" s="250">
        <v>8396661065</v>
      </c>
      <c r="B202">
        <v>10000346</v>
      </c>
      <c r="C202" t="s">
        <v>2277</v>
      </c>
      <c r="D202" s="280">
        <v>594833.33333333337</v>
      </c>
      <c r="E202" s="280">
        <v>594833.33333333337</v>
      </c>
      <c r="F202">
        <v>6</v>
      </c>
    </row>
    <row r="203" spans="1:6" x14ac:dyDescent="0.25">
      <c r="A203" s="250">
        <v>8426043291</v>
      </c>
      <c r="B203">
        <v>10001138</v>
      </c>
      <c r="C203" t="s">
        <v>1451</v>
      </c>
      <c r="D203" s="280">
        <v>429000</v>
      </c>
      <c r="E203" s="280">
        <v>429000</v>
      </c>
      <c r="F203">
        <v>6</v>
      </c>
    </row>
    <row r="204" spans="1:6" x14ac:dyDescent="0.25">
      <c r="A204" s="250">
        <v>8328852489</v>
      </c>
      <c r="B204">
        <v>10000105</v>
      </c>
      <c r="C204" t="s">
        <v>2119</v>
      </c>
      <c r="D204" s="280">
        <v>550833.33333333337</v>
      </c>
      <c r="E204" s="280">
        <v>550833.33333333337</v>
      </c>
      <c r="F204">
        <v>6</v>
      </c>
    </row>
    <row r="205" spans="1:6" x14ac:dyDescent="0.25">
      <c r="A205" s="250">
        <v>8313154187</v>
      </c>
      <c r="B205">
        <v>10000107</v>
      </c>
      <c r="C205" t="s">
        <v>2107</v>
      </c>
      <c r="D205" s="280">
        <v>501466.66666666669</v>
      </c>
      <c r="E205" s="280">
        <v>668622.22222222225</v>
      </c>
      <c r="F205">
        <v>6</v>
      </c>
    </row>
    <row r="206" spans="1:6" x14ac:dyDescent="0.25">
      <c r="A206" s="250">
        <v>8418630426</v>
      </c>
      <c r="B206">
        <v>10000529</v>
      </c>
      <c r="C206" t="s">
        <v>1223</v>
      </c>
      <c r="D206" s="280">
        <v>1086666.6666666667</v>
      </c>
      <c r="E206" s="280">
        <v>1086666.6666666667</v>
      </c>
      <c r="F206">
        <v>6</v>
      </c>
    </row>
    <row r="207" spans="1:6" x14ac:dyDescent="0.25">
      <c r="A207" s="250">
        <v>8348530169</v>
      </c>
      <c r="B207">
        <v>10000109</v>
      </c>
      <c r="C207" t="s">
        <v>2154</v>
      </c>
      <c r="D207" s="280">
        <v>1222133.3333333333</v>
      </c>
      <c r="E207" s="280">
        <v>1222133.3333333333</v>
      </c>
      <c r="F207">
        <v>6</v>
      </c>
    </row>
    <row r="208" spans="1:6" x14ac:dyDescent="0.25">
      <c r="A208" s="250">
        <v>8400900790</v>
      </c>
      <c r="B208">
        <v>10000110</v>
      </c>
      <c r="C208" t="s">
        <v>2292</v>
      </c>
      <c r="D208" s="280">
        <v>823433.33333333337</v>
      </c>
      <c r="E208" s="280">
        <v>823433.33333333337</v>
      </c>
      <c r="F208">
        <v>6</v>
      </c>
    </row>
    <row r="209" spans="1:6" x14ac:dyDescent="0.25">
      <c r="A209" s="250">
        <v>8442631402</v>
      </c>
      <c r="B209">
        <v>10001295</v>
      </c>
      <c r="C209" t="s">
        <v>2437</v>
      </c>
      <c r="D209" s="280">
        <v>244000</v>
      </c>
      <c r="E209" s="280">
        <v>244000</v>
      </c>
      <c r="F209">
        <v>6</v>
      </c>
    </row>
    <row r="210" spans="1:6" x14ac:dyDescent="0.25">
      <c r="A210" s="250">
        <v>8372591652</v>
      </c>
      <c r="B210">
        <v>10001564</v>
      </c>
      <c r="C210" t="s">
        <v>1564</v>
      </c>
      <c r="D210" s="280">
        <v>675933.33333333337</v>
      </c>
      <c r="E210" s="280">
        <v>675933.33333333337</v>
      </c>
      <c r="F210">
        <v>6</v>
      </c>
    </row>
    <row r="211" spans="1:6" x14ac:dyDescent="0.25">
      <c r="A211" s="250">
        <v>8423011275</v>
      </c>
      <c r="B211">
        <v>10000115</v>
      </c>
      <c r="C211" t="s">
        <v>2374</v>
      </c>
      <c r="D211" s="280">
        <v>121000</v>
      </c>
      <c r="E211" s="280">
        <v>484000</v>
      </c>
      <c r="F211">
        <v>6</v>
      </c>
    </row>
    <row r="212" spans="1:6" x14ac:dyDescent="0.25">
      <c r="A212" s="250">
        <v>8388423770</v>
      </c>
      <c r="B212">
        <v>10000117</v>
      </c>
      <c r="C212" t="s">
        <v>2250</v>
      </c>
      <c r="D212" s="280">
        <v>867000</v>
      </c>
      <c r="E212" s="280">
        <v>867000</v>
      </c>
      <c r="F212">
        <v>6</v>
      </c>
    </row>
    <row r="213" spans="1:6" x14ac:dyDescent="0.25">
      <c r="A213" s="250">
        <v>8341024020</v>
      </c>
      <c r="B213">
        <v>10000120</v>
      </c>
      <c r="C213" t="s">
        <v>967</v>
      </c>
      <c r="D213" s="280">
        <v>935000</v>
      </c>
      <c r="E213" s="280">
        <v>935000</v>
      </c>
      <c r="F213">
        <v>6</v>
      </c>
    </row>
    <row r="214" spans="1:6" x14ac:dyDescent="0.25">
      <c r="A214" s="250">
        <v>8337772778</v>
      </c>
      <c r="B214">
        <v>10000125</v>
      </c>
      <c r="C214" t="s">
        <v>2136</v>
      </c>
      <c r="D214" s="280">
        <v>463833.33333333331</v>
      </c>
      <c r="E214" s="280">
        <v>463833.33333333331</v>
      </c>
      <c r="F214">
        <v>6</v>
      </c>
    </row>
    <row r="215" spans="1:6" x14ac:dyDescent="0.25">
      <c r="A215" s="250">
        <v>8332743370</v>
      </c>
      <c r="B215">
        <v>10000126</v>
      </c>
      <c r="C215" t="s">
        <v>2128</v>
      </c>
      <c r="D215" s="280">
        <v>1261285.5</v>
      </c>
      <c r="E215" s="280">
        <v>1261285.5</v>
      </c>
      <c r="F215">
        <v>6</v>
      </c>
    </row>
    <row r="216" spans="1:6" x14ac:dyDescent="0.25">
      <c r="A216" s="250">
        <v>8389024780</v>
      </c>
      <c r="B216">
        <v>10000128</v>
      </c>
      <c r="C216" t="s">
        <v>971</v>
      </c>
      <c r="D216" s="280">
        <v>304933.33333333331</v>
      </c>
      <c r="E216" s="280">
        <v>304933.33333333331</v>
      </c>
      <c r="F216">
        <v>6</v>
      </c>
    </row>
    <row r="217" spans="1:6" x14ac:dyDescent="0.25">
      <c r="A217" s="250">
        <v>8432360317</v>
      </c>
      <c r="B217">
        <v>10000130</v>
      </c>
      <c r="C217" t="s">
        <v>2398</v>
      </c>
      <c r="D217" s="280">
        <v>304933.33333333331</v>
      </c>
      <c r="E217" s="280">
        <v>304933.33333333331</v>
      </c>
      <c r="F217">
        <v>6</v>
      </c>
    </row>
    <row r="218" spans="1:6" x14ac:dyDescent="0.25">
      <c r="A218" s="250">
        <v>8407742120</v>
      </c>
      <c r="B218">
        <v>10001118</v>
      </c>
      <c r="C218" t="s">
        <v>1441</v>
      </c>
      <c r="D218" s="280">
        <v>253600</v>
      </c>
      <c r="E218" s="280">
        <v>498777.77777777775</v>
      </c>
      <c r="F218">
        <v>6</v>
      </c>
    </row>
    <row r="219" spans="1:6" x14ac:dyDescent="0.25">
      <c r="A219" s="250">
        <v>8391833836</v>
      </c>
      <c r="B219">
        <v>10001804</v>
      </c>
      <c r="C219" t="s">
        <v>1718</v>
      </c>
      <c r="D219" s="280">
        <v>317433.33333333331</v>
      </c>
      <c r="E219" s="280">
        <v>317433.33333333331</v>
      </c>
      <c r="F219">
        <v>6</v>
      </c>
    </row>
    <row r="220" spans="1:6" x14ac:dyDescent="0.25">
      <c r="A220" s="250">
        <v>8433840320</v>
      </c>
      <c r="B220">
        <v>10001156</v>
      </c>
      <c r="C220" t="s">
        <v>2406</v>
      </c>
      <c r="D220" s="280">
        <v>462000</v>
      </c>
      <c r="E220" s="280">
        <v>462000</v>
      </c>
      <c r="F220">
        <v>6</v>
      </c>
    </row>
    <row r="221" spans="1:6" x14ac:dyDescent="0.25">
      <c r="A221" s="250">
        <v>8331913493</v>
      </c>
      <c r="B221">
        <v>10001703</v>
      </c>
      <c r="C221" t="s">
        <v>2126</v>
      </c>
      <c r="D221" s="280">
        <v>516633.33333333331</v>
      </c>
      <c r="E221" s="280">
        <v>516633.33333333331</v>
      </c>
      <c r="F221">
        <v>6</v>
      </c>
    </row>
    <row r="222" spans="1:6" x14ac:dyDescent="0.25">
      <c r="A222" s="250">
        <v>8422871416</v>
      </c>
      <c r="B222">
        <v>10001035</v>
      </c>
      <c r="C222" t="s">
        <v>2373</v>
      </c>
      <c r="D222" s="280">
        <v>658666.66666666663</v>
      </c>
      <c r="E222" s="280">
        <v>658666.66666666663</v>
      </c>
      <c r="F222">
        <v>6</v>
      </c>
    </row>
    <row r="223" spans="1:6" x14ac:dyDescent="0.25">
      <c r="A223" s="250">
        <v>8411063054</v>
      </c>
      <c r="B223">
        <v>10000132</v>
      </c>
      <c r="C223" t="s">
        <v>2332</v>
      </c>
      <c r="D223" s="280">
        <v>660000</v>
      </c>
      <c r="E223" s="280">
        <v>660000</v>
      </c>
      <c r="F223">
        <v>6</v>
      </c>
    </row>
    <row r="224" spans="1:6" x14ac:dyDescent="0.25">
      <c r="A224" s="250">
        <v>8341254700</v>
      </c>
      <c r="B224">
        <v>10000134</v>
      </c>
      <c r="C224" t="s">
        <v>979</v>
      </c>
      <c r="D224" s="280">
        <v>628133.33333333337</v>
      </c>
      <c r="E224" s="280">
        <v>628133.33333333337</v>
      </c>
      <c r="F224">
        <v>6</v>
      </c>
    </row>
    <row r="225" spans="1:6" x14ac:dyDescent="0.25">
      <c r="A225" s="250">
        <v>8341603020</v>
      </c>
      <c r="B225">
        <v>10001879</v>
      </c>
      <c r="C225" t="s">
        <v>1745</v>
      </c>
      <c r="D225" s="280">
        <v>498100</v>
      </c>
      <c r="E225" s="280">
        <v>664133.33333333337</v>
      </c>
      <c r="F225">
        <v>6</v>
      </c>
    </row>
    <row r="226" spans="1:6" x14ac:dyDescent="0.25">
      <c r="A226" s="250">
        <v>8359470707</v>
      </c>
      <c r="B226">
        <v>10000135</v>
      </c>
      <c r="C226" t="s">
        <v>2187</v>
      </c>
      <c r="D226" s="280">
        <v>548000</v>
      </c>
      <c r="E226" s="280">
        <v>548000</v>
      </c>
      <c r="F226">
        <v>6</v>
      </c>
    </row>
    <row r="227" spans="1:6" x14ac:dyDescent="0.25">
      <c r="A227" s="250">
        <v>8403195265</v>
      </c>
      <c r="B227">
        <v>10000136</v>
      </c>
      <c r="C227" t="s">
        <v>2298</v>
      </c>
      <c r="D227" s="280">
        <v>773433.33333333337</v>
      </c>
      <c r="E227" s="280">
        <v>773433.33333333337</v>
      </c>
      <c r="F227">
        <v>6</v>
      </c>
    </row>
    <row r="228" spans="1:6" x14ac:dyDescent="0.25">
      <c r="A228" s="250">
        <v>8368651034</v>
      </c>
      <c r="B228">
        <v>10000137</v>
      </c>
      <c r="C228" t="s">
        <v>2209</v>
      </c>
      <c r="D228" s="280">
        <v>658800</v>
      </c>
      <c r="E228" s="280">
        <v>658800</v>
      </c>
      <c r="F228">
        <v>6</v>
      </c>
    </row>
    <row r="229" spans="1:6" x14ac:dyDescent="0.25">
      <c r="A229" s="250">
        <v>8433331655</v>
      </c>
      <c r="B229">
        <v>10000581</v>
      </c>
      <c r="C229" t="s">
        <v>2403</v>
      </c>
      <c r="D229" s="280">
        <v>385000</v>
      </c>
      <c r="E229" s="280">
        <v>385000</v>
      </c>
      <c r="F229">
        <v>6</v>
      </c>
    </row>
    <row r="230" spans="1:6" x14ac:dyDescent="0.25">
      <c r="A230" s="250">
        <v>8365062305</v>
      </c>
      <c r="B230">
        <v>10000138</v>
      </c>
      <c r="C230" t="s">
        <v>983</v>
      </c>
      <c r="D230" s="280">
        <v>602300</v>
      </c>
      <c r="E230" s="280">
        <v>602300</v>
      </c>
      <c r="F230">
        <v>6</v>
      </c>
    </row>
    <row r="231" spans="1:6" x14ac:dyDescent="0.25">
      <c r="A231" s="250">
        <v>8449770939</v>
      </c>
      <c r="B231">
        <v>10001780</v>
      </c>
      <c r="C231" t="s">
        <v>1705</v>
      </c>
      <c r="D231" s="280">
        <v>612933.33333333337</v>
      </c>
      <c r="E231" s="280">
        <v>612933.33333333337</v>
      </c>
      <c r="F231">
        <v>6</v>
      </c>
    </row>
    <row r="232" spans="1:6" x14ac:dyDescent="0.25">
      <c r="A232" s="250">
        <v>8386020911</v>
      </c>
      <c r="B232">
        <v>10001964</v>
      </c>
      <c r="C232" t="s">
        <v>1784</v>
      </c>
      <c r="D232" s="280">
        <v>550000</v>
      </c>
      <c r="E232" s="280">
        <v>733333.33333333337</v>
      </c>
      <c r="F232">
        <v>6</v>
      </c>
    </row>
    <row r="233" spans="1:6" x14ac:dyDescent="0.25">
      <c r="A233" s="250">
        <v>8434170299</v>
      </c>
      <c r="B233">
        <v>10002040</v>
      </c>
      <c r="C233" t="s">
        <v>1853</v>
      </c>
      <c r="D233" s="280">
        <v>350000</v>
      </c>
      <c r="E233" s="280">
        <v>700000</v>
      </c>
      <c r="F233">
        <v>2</v>
      </c>
    </row>
    <row r="234" spans="1:6" x14ac:dyDescent="0.25">
      <c r="A234" s="250">
        <v>8373761691</v>
      </c>
      <c r="B234">
        <v>10000142</v>
      </c>
      <c r="C234" t="s">
        <v>986</v>
      </c>
      <c r="D234" s="280">
        <v>222666.66666666666</v>
      </c>
      <c r="E234" s="280">
        <v>445333.33333333331</v>
      </c>
      <c r="F234">
        <v>6</v>
      </c>
    </row>
    <row r="235" spans="1:6" x14ac:dyDescent="0.25">
      <c r="A235" s="250">
        <v>8425551579</v>
      </c>
      <c r="B235">
        <v>10000121</v>
      </c>
      <c r="C235" t="s">
        <v>2382</v>
      </c>
      <c r="D235" s="280">
        <v>304933.33333333331</v>
      </c>
      <c r="E235" s="280">
        <v>304933.33333333331</v>
      </c>
      <c r="F235">
        <v>6</v>
      </c>
    </row>
    <row r="236" spans="1:6" x14ac:dyDescent="0.25">
      <c r="A236" s="250">
        <v>8349432063</v>
      </c>
      <c r="B236">
        <v>10000150</v>
      </c>
      <c r="C236" t="s">
        <v>2157</v>
      </c>
      <c r="D236" s="280">
        <v>594000</v>
      </c>
      <c r="E236" s="280">
        <v>594000</v>
      </c>
      <c r="F236">
        <v>6</v>
      </c>
    </row>
    <row r="237" spans="1:6" x14ac:dyDescent="0.25">
      <c r="A237" s="250">
        <v>8348102639</v>
      </c>
      <c r="B237">
        <v>10000353</v>
      </c>
      <c r="C237" t="s">
        <v>2153</v>
      </c>
      <c r="D237" s="280">
        <v>167000</v>
      </c>
      <c r="E237" s="280">
        <v>445333.33333333331</v>
      </c>
      <c r="F237">
        <v>6</v>
      </c>
    </row>
    <row r="238" spans="1:6" x14ac:dyDescent="0.25">
      <c r="A238" s="250">
        <v>8404621748</v>
      </c>
      <c r="B238">
        <v>10000152</v>
      </c>
      <c r="C238" t="s">
        <v>991</v>
      </c>
      <c r="D238" s="280">
        <v>804100</v>
      </c>
      <c r="E238" s="280">
        <v>1072133.3333333333</v>
      </c>
      <c r="F238">
        <v>6</v>
      </c>
    </row>
    <row r="239" spans="1:6" x14ac:dyDescent="0.25">
      <c r="A239" s="250">
        <v>8447570010</v>
      </c>
      <c r="B239">
        <v>10000886</v>
      </c>
      <c r="C239" t="s">
        <v>2468</v>
      </c>
      <c r="D239" s="280">
        <v>511733.33333333331</v>
      </c>
      <c r="E239" s="280">
        <v>511733.33333333331</v>
      </c>
      <c r="F239">
        <v>6</v>
      </c>
    </row>
    <row r="240" spans="1:6" x14ac:dyDescent="0.25">
      <c r="A240" s="250">
        <v>8413511798</v>
      </c>
      <c r="B240">
        <v>10000156</v>
      </c>
      <c r="C240" t="s">
        <v>992</v>
      </c>
      <c r="D240" s="280">
        <v>393633.33333333331</v>
      </c>
      <c r="E240" s="280">
        <v>393633.33333333331</v>
      </c>
      <c r="F240">
        <v>6</v>
      </c>
    </row>
    <row r="241" spans="1:6" x14ac:dyDescent="0.25">
      <c r="A241" s="250">
        <v>8400442539</v>
      </c>
      <c r="B241">
        <v>10000160</v>
      </c>
      <c r="C241" t="s">
        <v>2290</v>
      </c>
      <c r="D241" s="280">
        <v>316630.83333333331</v>
      </c>
      <c r="E241" s="280">
        <v>422174.44444444444</v>
      </c>
      <c r="F241">
        <v>6</v>
      </c>
    </row>
    <row r="242" spans="1:6" x14ac:dyDescent="0.25">
      <c r="A242" s="250">
        <v>8401664799</v>
      </c>
      <c r="B242">
        <v>10002001</v>
      </c>
      <c r="C242" t="s">
        <v>1812</v>
      </c>
      <c r="D242" s="280">
        <v>450000</v>
      </c>
      <c r="E242" s="280">
        <v>450000</v>
      </c>
      <c r="F242">
        <v>4</v>
      </c>
    </row>
    <row r="243" spans="1:6" x14ac:dyDescent="0.25">
      <c r="A243" s="250">
        <v>8354973050</v>
      </c>
      <c r="B243">
        <v>10000166</v>
      </c>
      <c r="C243" t="s">
        <v>2174</v>
      </c>
      <c r="D243" s="280">
        <v>518333.33333333331</v>
      </c>
      <c r="E243" s="280">
        <v>518333.33333333331</v>
      </c>
      <c r="F243">
        <v>6</v>
      </c>
    </row>
    <row r="244" spans="1:6" x14ac:dyDescent="0.25">
      <c r="A244" s="250">
        <v>8372881383</v>
      </c>
      <c r="B244">
        <v>10000163</v>
      </c>
      <c r="C244" t="s">
        <v>2218</v>
      </c>
      <c r="D244" s="280">
        <v>445166.66666666669</v>
      </c>
      <c r="E244" s="280">
        <v>445166.66666666669</v>
      </c>
      <c r="F244">
        <v>6</v>
      </c>
    </row>
    <row r="245" spans="1:6" x14ac:dyDescent="0.25">
      <c r="A245" s="250">
        <v>8324893164</v>
      </c>
      <c r="B245">
        <v>10000164</v>
      </c>
      <c r="C245" t="s">
        <v>995</v>
      </c>
      <c r="D245" s="280">
        <v>1336500</v>
      </c>
      <c r="E245" s="280">
        <v>1336500</v>
      </c>
      <c r="F245">
        <v>6</v>
      </c>
    </row>
    <row r="246" spans="1:6" x14ac:dyDescent="0.25">
      <c r="A246" s="250">
        <v>8417671102</v>
      </c>
      <c r="B246">
        <v>10000165</v>
      </c>
      <c r="C246" t="s">
        <v>2354</v>
      </c>
      <c r="D246" s="280">
        <v>586333.33333333337</v>
      </c>
      <c r="E246" s="280">
        <v>586333.33333333337</v>
      </c>
      <c r="F246">
        <v>6</v>
      </c>
    </row>
    <row r="247" spans="1:6" x14ac:dyDescent="0.25">
      <c r="A247" s="250">
        <v>8442550232</v>
      </c>
      <c r="B247">
        <v>10002002</v>
      </c>
      <c r="C247" t="s">
        <v>1813</v>
      </c>
      <c r="D247" s="280">
        <v>500000</v>
      </c>
      <c r="E247" s="280">
        <v>500000</v>
      </c>
      <c r="F247">
        <v>4</v>
      </c>
    </row>
    <row r="248" spans="1:6" x14ac:dyDescent="0.25">
      <c r="A248" s="250">
        <v>8453283079</v>
      </c>
      <c r="B248">
        <v>10001813</v>
      </c>
      <c r="C248" t="s">
        <v>1726</v>
      </c>
      <c r="D248" s="280">
        <v>507316.66666666669</v>
      </c>
      <c r="E248" s="280">
        <v>507316.66666666669</v>
      </c>
      <c r="F248">
        <v>6</v>
      </c>
    </row>
    <row r="249" spans="1:6" x14ac:dyDescent="0.25">
      <c r="A249" s="250">
        <v>8396595097</v>
      </c>
      <c r="B249">
        <v>10000627</v>
      </c>
      <c r="C249" t="s">
        <v>1274</v>
      </c>
      <c r="D249" s="280">
        <v>418850</v>
      </c>
      <c r="E249" s="280">
        <v>418850</v>
      </c>
      <c r="F249">
        <v>6</v>
      </c>
    </row>
    <row r="250" spans="1:6" x14ac:dyDescent="0.25">
      <c r="A250" s="250">
        <v>8393305691</v>
      </c>
      <c r="B250">
        <v>10000168</v>
      </c>
      <c r="C250" t="s">
        <v>999</v>
      </c>
      <c r="D250" s="280">
        <v>994335.5</v>
      </c>
      <c r="E250" s="280">
        <v>994335.5</v>
      </c>
      <c r="F250">
        <v>6</v>
      </c>
    </row>
    <row r="251" spans="1:6" x14ac:dyDescent="0.25">
      <c r="A251" s="250">
        <v>8350662190</v>
      </c>
      <c r="B251">
        <v>10000172</v>
      </c>
      <c r="C251" t="s">
        <v>2161</v>
      </c>
      <c r="D251" s="280">
        <v>680933.33333333337</v>
      </c>
      <c r="E251" s="280">
        <v>680933.33333333337</v>
      </c>
      <c r="F251">
        <v>6</v>
      </c>
    </row>
    <row r="252" spans="1:6" x14ac:dyDescent="0.25">
      <c r="A252" s="250">
        <v>8363851310</v>
      </c>
      <c r="B252">
        <v>10000173</v>
      </c>
      <c r="C252" t="s">
        <v>2201</v>
      </c>
      <c r="D252" s="280">
        <v>649000</v>
      </c>
      <c r="E252" s="280">
        <v>649000</v>
      </c>
      <c r="F252">
        <v>6</v>
      </c>
    </row>
    <row r="253" spans="1:6" x14ac:dyDescent="0.25">
      <c r="A253" s="250">
        <v>8422512769</v>
      </c>
      <c r="B253">
        <v>10000174</v>
      </c>
      <c r="C253" t="s">
        <v>1003</v>
      </c>
      <c r="D253" s="280">
        <v>298966.66666666669</v>
      </c>
      <c r="E253" s="280">
        <v>298966.66666666669</v>
      </c>
      <c r="F253">
        <v>6</v>
      </c>
    </row>
    <row r="254" spans="1:6" x14ac:dyDescent="0.25">
      <c r="A254" s="250">
        <v>8425661145</v>
      </c>
      <c r="B254">
        <v>10001905</v>
      </c>
      <c r="C254" t="s">
        <v>1759</v>
      </c>
      <c r="D254" s="280">
        <v>511600</v>
      </c>
      <c r="E254" s="280">
        <v>511600</v>
      </c>
      <c r="F254">
        <v>6</v>
      </c>
    </row>
    <row r="255" spans="1:6" x14ac:dyDescent="0.25">
      <c r="A255" s="250">
        <v>8395913354</v>
      </c>
      <c r="B255">
        <v>10000176</v>
      </c>
      <c r="C255" t="s">
        <v>2272</v>
      </c>
      <c r="D255" s="280">
        <v>1430000</v>
      </c>
      <c r="E255" s="280">
        <v>1430000</v>
      </c>
      <c r="F255">
        <v>6</v>
      </c>
    </row>
    <row r="256" spans="1:6" x14ac:dyDescent="0.25">
      <c r="A256" s="250">
        <v>8353533073</v>
      </c>
      <c r="B256">
        <v>10000177</v>
      </c>
      <c r="C256" t="s">
        <v>1005</v>
      </c>
      <c r="D256" s="280">
        <v>518333.33333333331</v>
      </c>
      <c r="E256" s="280">
        <v>518333.33333333331</v>
      </c>
      <c r="F256">
        <v>6</v>
      </c>
    </row>
    <row r="257" spans="1:6" x14ac:dyDescent="0.25">
      <c r="A257" s="250">
        <v>8393375789</v>
      </c>
      <c r="B257">
        <v>10000178</v>
      </c>
      <c r="C257" t="s">
        <v>1006</v>
      </c>
      <c r="D257" s="280">
        <v>304933.33333333331</v>
      </c>
      <c r="E257" s="280">
        <v>304933.33333333331</v>
      </c>
      <c r="F257">
        <v>6</v>
      </c>
    </row>
    <row r="258" spans="1:6" x14ac:dyDescent="0.25">
      <c r="A258" s="250">
        <v>8439630735</v>
      </c>
      <c r="B258">
        <v>10000180</v>
      </c>
      <c r="C258" t="s">
        <v>2424</v>
      </c>
      <c r="D258" s="280">
        <v>304933.33333333331</v>
      </c>
      <c r="E258" s="280">
        <v>304933.33333333331</v>
      </c>
      <c r="F258">
        <v>6</v>
      </c>
    </row>
    <row r="259" spans="1:6" x14ac:dyDescent="0.25">
      <c r="A259" s="250">
        <v>8344203074</v>
      </c>
      <c r="B259">
        <v>10000182</v>
      </c>
      <c r="C259" t="s">
        <v>2146</v>
      </c>
      <c r="D259" s="280">
        <v>977166.66666666663</v>
      </c>
      <c r="E259" s="280">
        <v>977166.66666666663</v>
      </c>
      <c r="F259">
        <v>6</v>
      </c>
    </row>
    <row r="260" spans="1:6" x14ac:dyDescent="0.25">
      <c r="A260" s="250">
        <v>8451860338</v>
      </c>
      <c r="B260">
        <v>10001038</v>
      </c>
      <c r="C260" t="s">
        <v>2479</v>
      </c>
      <c r="D260" s="280">
        <v>658733.33333333337</v>
      </c>
      <c r="E260" s="280">
        <v>658733.33333333337</v>
      </c>
      <c r="F260">
        <v>6</v>
      </c>
    </row>
    <row r="261" spans="1:6" x14ac:dyDescent="0.25">
      <c r="A261" s="250">
        <v>8324113819</v>
      </c>
      <c r="B261">
        <v>10000183</v>
      </c>
      <c r="C261" t="s">
        <v>2114</v>
      </c>
      <c r="D261" s="280">
        <v>169400</v>
      </c>
      <c r="E261" s="280">
        <v>677600</v>
      </c>
      <c r="F261">
        <v>6</v>
      </c>
    </row>
    <row r="262" spans="1:6" x14ac:dyDescent="0.25">
      <c r="A262" s="250">
        <v>8434153491</v>
      </c>
      <c r="B262">
        <v>10001417</v>
      </c>
      <c r="C262" t="s">
        <v>2408</v>
      </c>
      <c r="D262" s="280">
        <v>304933.33333333331</v>
      </c>
      <c r="E262" s="280">
        <v>304933.33333333331</v>
      </c>
      <c r="F262">
        <v>6</v>
      </c>
    </row>
    <row r="263" spans="1:6" x14ac:dyDescent="0.25">
      <c r="A263" s="250">
        <v>8360760632</v>
      </c>
      <c r="B263">
        <v>10000184</v>
      </c>
      <c r="C263" t="s">
        <v>2193</v>
      </c>
      <c r="D263" s="280">
        <v>878133.33333333337</v>
      </c>
      <c r="E263" s="280">
        <v>878133.33333333337</v>
      </c>
      <c r="F263">
        <v>6</v>
      </c>
    </row>
    <row r="264" spans="1:6" x14ac:dyDescent="0.25">
      <c r="A264" s="250">
        <v>8456630403</v>
      </c>
      <c r="B264">
        <v>10001782</v>
      </c>
      <c r="C264" t="s">
        <v>1706</v>
      </c>
      <c r="D264" s="280">
        <v>494466.66666666669</v>
      </c>
      <c r="E264" s="280">
        <v>494466.66666666669</v>
      </c>
      <c r="F264">
        <v>6</v>
      </c>
    </row>
    <row r="265" spans="1:6" x14ac:dyDescent="0.25">
      <c r="A265" s="250">
        <v>8384390509</v>
      </c>
      <c r="B265">
        <v>10000187</v>
      </c>
      <c r="C265" t="s">
        <v>1011</v>
      </c>
      <c r="D265" s="280">
        <v>1091728.3333333333</v>
      </c>
      <c r="E265" s="280">
        <v>1091728.3333333333</v>
      </c>
      <c r="F265">
        <v>6</v>
      </c>
    </row>
    <row r="266" spans="1:6" x14ac:dyDescent="0.25">
      <c r="A266" s="250">
        <v>8414223338</v>
      </c>
      <c r="B266">
        <v>10000188</v>
      </c>
      <c r="C266" t="s">
        <v>2344</v>
      </c>
      <c r="D266" s="280">
        <v>550000</v>
      </c>
      <c r="E266" s="280">
        <v>1100000</v>
      </c>
      <c r="F266">
        <v>6</v>
      </c>
    </row>
    <row r="267" spans="1:6" x14ac:dyDescent="0.25">
      <c r="A267" s="250">
        <v>8380433149</v>
      </c>
      <c r="B267">
        <v>10001491</v>
      </c>
      <c r="C267" t="s">
        <v>2235</v>
      </c>
      <c r="D267" s="280">
        <v>1100000</v>
      </c>
      <c r="E267" s="280">
        <v>1100000</v>
      </c>
      <c r="F267">
        <v>6</v>
      </c>
    </row>
    <row r="268" spans="1:6" x14ac:dyDescent="0.25">
      <c r="A268" s="250">
        <v>8437480957</v>
      </c>
      <c r="B268">
        <v>10001793</v>
      </c>
      <c r="C268" t="s">
        <v>1712</v>
      </c>
      <c r="D268" s="280">
        <v>1077850</v>
      </c>
      <c r="E268" s="280">
        <v>1077850</v>
      </c>
      <c r="F268">
        <v>4</v>
      </c>
    </row>
    <row r="269" spans="1:6" x14ac:dyDescent="0.25">
      <c r="A269" s="250">
        <v>8442082794</v>
      </c>
      <c r="B269">
        <v>10001794</v>
      </c>
      <c r="C269" t="s">
        <v>1713</v>
      </c>
      <c r="D269" s="280">
        <v>379200</v>
      </c>
      <c r="E269" s="280">
        <v>379200</v>
      </c>
      <c r="F269">
        <v>6</v>
      </c>
    </row>
    <row r="270" spans="1:6" x14ac:dyDescent="0.25">
      <c r="A270" s="250">
        <v>8402144543</v>
      </c>
      <c r="B270">
        <v>10000190</v>
      </c>
      <c r="C270" t="s">
        <v>1015</v>
      </c>
      <c r="D270" s="280">
        <v>724566.66666666663</v>
      </c>
      <c r="E270" s="280">
        <v>724566.66666666663</v>
      </c>
      <c r="F270">
        <v>6</v>
      </c>
    </row>
    <row r="271" spans="1:6" x14ac:dyDescent="0.25">
      <c r="A271" s="250">
        <v>8412140524</v>
      </c>
      <c r="B271">
        <v>10000191</v>
      </c>
      <c r="C271" t="s">
        <v>2338</v>
      </c>
      <c r="D271" s="280">
        <v>643733.33333333337</v>
      </c>
      <c r="E271" s="280">
        <v>643733.33333333337</v>
      </c>
      <c r="F271">
        <v>6</v>
      </c>
    </row>
    <row r="272" spans="1:6" x14ac:dyDescent="0.25">
      <c r="A272" s="250">
        <v>8393461960</v>
      </c>
      <c r="B272">
        <v>10001585</v>
      </c>
      <c r="C272" t="s">
        <v>1574</v>
      </c>
      <c r="D272" s="280">
        <v>512500</v>
      </c>
      <c r="E272" s="280">
        <v>1025000</v>
      </c>
      <c r="F272">
        <v>6</v>
      </c>
    </row>
    <row r="273" spans="1:6" x14ac:dyDescent="0.25">
      <c r="A273" s="250">
        <v>8433111051</v>
      </c>
      <c r="B273">
        <v>10000195</v>
      </c>
      <c r="C273" t="s">
        <v>2401</v>
      </c>
      <c r="D273" s="280">
        <v>601600</v>
      </c>
      <c r="E273" s="280">
        <v>601600</v>
      </c>
      <c r="F273">
        <v>6</v>
      </c>
    </row>
    <row r="274" spans="1:6" x14ac:dyDescent="0.25">
      <c r="A274" s="250">
        <v>8412171462</v>
      </c>
      <c r="B274">
        <v>10000872</v>
      </c>
      <c r="C274" t="s">
        <v>1359</v>
      </c>
      <c r="D274" s="280">
        <v>550000</v>
      </c>
      <c r="E274" s="280">
        <v>550000</v>
      </c>
      <c r="F274">
        <v>6</v>
      </c>
    </row>
    <row r="275" spans="1:6" x14ac:dyDescent="0.25">
      <c r="A275" s="250">
        <v>8355491459</v>
      </c>
      <c r="B275">
        <v>10001713</v>
      </c>
      <c r="C275" t="s">
        <v>2178</v>
      </c>
      <c r="D275" s="280">
        <v>478433.33333333331</v>
      </c>
      <c r="E275" s="280">
        <v>478433.33333333331</v>
      </c>
      <c r="F275">
        <v>6</v>
      </c>
    </row>
    <row r="276" spans="1:6" x14ac:dyDescent="0.25">
      <c r="A276" s="250">
        <v>8384883114</v>
      </c>
      <c r="B276">
        <v>10001610</v>
      </c>
      <c r="C276" t="s">
        <v>1578</v>
      </c>
      <c r="D276" s="280">
        <v>235166.66666666666</v>
      </c>
      <c r="E276" s="280">
        <v>470333.33333333331</v>
      </c>
      <c r="F276">
        <v>6</v>
      </c>
    </row>
    <row r="277" spans="1:6" x14ac:dyDescent="0.25">
      <c r="A277" s="250">
        <v>8349842210</v>
      </c>
      <c r="B277">
        <v>10000198</v>
      </c>
      <c r="C277" t="s">
        <v>2158</v>
      </c>
      <c r="D277" s="280">
        <v>536033.33333333337</v>
      </c>
      <c r="E277" s="280">
        <v>536033.33333333337</v>
      </c>
      <c r="F277">
        <v>6</v>
      </c>
    </row>
    <row r="278" spans="1:6" x14ac:dyDescent="0.25">
      <c r="A278" s="250">
        <v>8356021898</v>
      </c>
      <c r="B278">
        <v>10000199</v>
      </c>
      <c r="C278" t="s">
        <v>2180</v>
      </c>
      <c r="D278" s="280">
        <v>505206.66666666669</v>
      </c>
      <c r="E278" s="280">
        <v>505206.66666666669</v>
      </c>
      <c r="F278">
        <v>6</v>
      </c>
    </row>
    <row r="279" spans="1:6" x14ac:dyDescent="0.25">
      <c r="A279" s="250">
        <v>8405472754</v>
      </c>
      <c r="B279">
        <v>10000200</v>
      </c>
      <c r="C279" t="s">
        <v>2307</v>
      </c>
      <c r="D279" s="280">
        <v>1163800</v>
      </c>
      <c r="E279" s="280">
        <v>1163800</v>
      </c>
      <c r="F279">
        <v>6</v>
      </c>
    </row>
    <row r="280" spans="1:6" x14ac:dyDescent="0.25">
      <c r="A280" s="250">
        <v>8319363632</v>
      </c>
      <c r="B280">
        <v>10000201</v>
      </c>
      <c r="C280" t="s">
        <v>2110</v>
      </c>
      <c r="D280" s="280">
        <v>323200</v>
      </c>
      <c r="E280" s="280">
        <v>646400</v>
      </c>
      <c r="F280">
        <v>6</v>
      </c>
    </row>
    <row r="281" spans="1:6" x14ac:dyDescent="0.25">
      <c r="A281" s="250">
        <v>8349722673</v>
      </c>
      <c r="B281">
        <v>10001117</v>
      </c>
      <c r="C281" t="s">
        <v>1440</v>
      </c>
      <c r="D281" s="280">
        <v>279120</v>
      </c>
      <c r="E281" s="280">
        <v>497733.33333333331</v>
      </c>
      <c r="F281">
        <v>5</v>
      </c>
    </row>
    <row r="282" spans="1:6" x14ac:dyDescent="0.25">
      <c r="A282" s="250">
        <v>8356902746</v>
      </c>
      <c r="B282">
        <v>10000202</v>
      </c>
      <c r="C282" t="s">
        <v>1025</v>
      </c>
      <c r="D282" s="280">
        <v>1013916.6666666666</v>
      </c>
      <c r="E282" s="280">
        <v>1013916.6666666666</v>
      </c>
      <c r="F282">
        <v>6</v>
      </c>
    </row>
    <row r="283" spans="1:6" x14ac:dyDescent="0.25">
      <c r="A283" s="250">
        <v>8407302430</v>
      </c>
      <c r="B283">
        <v>10000203</v>
      </c>
      <c r="C283" t="s">
        <v>1026</v>
      </c>
      <c r="D283" s="280">
        <v>1183233.3333333333</v>
      </c>
      <c r="E283" s="280">
        <v>1183233.3333333333</v>
      </c>
      <c r="F283">
        <v>6</v>
      </c>
    </row>
    <row r="284" spans="1:6" x14ac:dyDescent="0.25">
      <c r="A284" s="250">
        <v>8396640327</v>
      </c>
      <c r="B284">
        <v>10001396</v>
      </c>
      <c r="C284" t="s">
        <v>1515</v>
      </c>
      <c r="D284" s="280">
        <v>426900</v>
      </c>
      <c r="E284" s="280">
        <v>426900</v>
      </c>
      <c r="F284">
        <v>6</v>
      </c>
    </row>
    <row r="285" spans="1:6" x14ac:dyDescent="0.25">
      <c r="A285" s="250">
        <v>8326653225</v>
      </c>
      <c r="B285">
        <v>10000207</v>
      </c>
      <c r="C285" t="s">
        <v>2117</v>
      </c>
      <c r="D285" s="280">
        <v>518333.33333333331</v>
      </c>
      <c r="E285" s="280">
        <v>518333.33333333331</v>
      </c>
      <c r="F285">
        <v>6</v>
      </c>
    </row>
    <row r="286" spans="1:6" x14ac:dyDescent="0.25">
      <c r="A286" s="250">
        <v>8433380907</v>
      </c>
      <c r="B286">
        <v>10000919</v>
      </c>
      <c r="C286" t="s">
        <v>1376</v>
      </c>
      <c r="D286" s="280">
        <v>508133.33333333331</v>
      </c>
      <c r="E286" s="280">
        <v>508133.33333333331</v>
      </c>
      <c r="F286">
        <v>6</v>
      </c>
    </row>
    <row r="287" spans="1:6" x14ac:dyDescent="0.25">
      <c r="A287" s="250">
        <v>8380284038</v>
      </c>
      <c r="B287">
        <v>10001938</v>
      </c>
      <c r="C287" t="s">
        <v>1774</v>
      </c>
      <c r="D287" s="280">
        <v>159266.66666666666</v>
      </c>
      <c r="E287" s="280">
        <v>637066.66666666663</v>
      </c>
      <c r="F287">
        <v>6</v>
      </c>
    </row>
    <row r="288" spans="1:6" x14ac:dyDescent="0.25">
      <c r="A288" s="250">
        <v>8348782737</v>
      </c>
      <c r="B288">
        <v>10000209</v>
      </c>
      <c r="C288" t="s">
        <v>2156</v>
      </c>
      <c r="D288" s="280">
        <v>841166.66666666663</v>
      </c>
      <c r="E288" s="280">
        <v>841166.66666666663</v>
      </c>
      <c r="F288">
        <v>6</v>
      </c>
    </row>
    <row r="289" spans="1:6" x14ac:dyDescent="0.25">
      <c r="A289" s="250">
        <v>8416232512</v>
      </c>
      <c r="B289">
        <v>10000357</v>
      </c>
      <c r="C289" t="s">
        <v>2351</v>
      </c>
      <c r="D289" s="280">
        <v>1011233.3333333334</v>
      </c>
      <c r="E289" s="280">
        <v>1011233.3333333334</v>
      </c>
      <c r="F289">
        <v>6</v>
      </c>
    </row>
    <row r="290" spans="1:6" x14ac:dyDescent="0.25">
      <c r="A290" s="250">
        <v>8341813394</v>
      </c>
      <c r="B290">
        <v>10000213</v>
      </c>
      <c r="C290" t="s">
        <v>1030</v>
      </c>
      <c r="D290" s="280">
        <v>1234633.3333333333</v>
      </c>
      <c r="E290" s="280">
        <v>1234633.3333333333</v>
      </c>
      <c r="F290">
        <v>6</v>
      </c>
    </row>
    <row r="291" spans="1:6" x14ac:dyDescent="0.25">
      <c r="A291" s="250">
        <v>8399760935</v>
      </c>
      <c r="B291">
        <v>10000214</v>
      </c>
      <c r="C291" t="s">
        <v>2289</v>
      </c>
      <c r="D291" s="280">
        <v>698233.33333333337</v>
      </c>
      <c r="E291" s="280">
        <v>698233.33333333337</v>
      </c>
      <c r="F291">
        <v>6</v>
      </c>
    </row>
    <row r="292" spans="1:6" x14ac:dyDescent="0.25">
      <c r="A292" s="250">
        <v>8352692267</v>
      </c>
      <c r="B292">
        <v>10000215</v>
      </c>
      <c r="C292" t="s">
        <v>2166</v>
      </c>
      <c r="D292" s="280">
        <v>445166.66666666669</v>
      </c>
      <c r="E292" s="280">
        <v>445166.66666666669</v>
      </c>
      <c r="F292">
        <v>6</v>
      </c>
    </row>
    <row r="293" spans="1:6" x14ac:dyDescent="0.25">
      <c r="A293" s="250">
        <v>8382191150</v>
      </c>
      <c r="B293">
        <v>10001766</v>
      </c>
      <c r="C293" t="s">
        <v>2238</v>
      </c>
      <c r="D293" s="280">
        <v>1655166.6666666667</v>
      </c>
      <c r="E293" s="280">
        <v>1655166.6666666667</v>
      </c>
      <c r="F293">
        <v>6</v>
      </c>
    </row>
    <row r="294" spans="1:6" x14ac:dyDescent="0.25">
      <c r="A294" s="250">
        <v>8415163150</v>
      </c>
      <c r="B294">
        <v>10000216</v>
      </c>
      <c r="C294" t="s">
        <v>2346</v>
      </c>
      <c r="D294" s="280">
        <v>615766.66666666663</v>
      </c>
      <c r="E294" s="280">
        <v>615766.66666666663</v>
      </c>
      <c r="F294">
        <v>6</v>
      </c>
    </row>
    <row r="295" spans="1:6" x14ac:dyDescent="0.25">
      <c r="A295" s="250">
        <v>8353332485</v>
      </c>
      <c r="B295">
        <v>10000217</v>
      </c>
      <c r="C295" t="s">
        <v>2168</v>
      </c>
      <c r="D295" s="280">
        <v>1430000</v>
      </c>
      <c r="E295" s="280">
        <v>1430000</v>
      </c>
      <c r="F295">
        <v>6</v>
      </c>
    </row>
    <row r="296" spans="1:6" x14ac:dyDescent="0.25">
      <c r="A296" s="250">
        <v>8403762941</v>
      </c>
      <c r="B296">
        <v>10000221</v>
      </c>
      <c r="C296" t="s">
        <v>1036</v>
      </c>
      <c r="D296" s="280">
        <v>1070200</v>
      </c>
      <c r="E296" s="280">
        <v>1070200</v>
      </c>
      <c r="F296">
        <v>6</v>
      </c>
    </row>
    <row r="297" spans="1:6" x14ac:dyDescent="0.25">
      <c r="A297" s="250">
        <v>8396574812</v>
      </c>
      <c r="B297">
        <v>10001074</v>
      </c>
      <c r="C297" t="s">
        <v>1430</v>
      </c>
      <c r="D297" s="280">
        <v>591900</v>
      </c>
      <c r="E297" s="280">
        <v>591900</v>
      </c>
      <c r="F297">
        <v>6</v>
      </c>
    </row>
    <row r="298" spans="1:6" x14ac:dyDescent="0.25">
      <c r="A298" s="250">
        <v>8342323544</v>
      </c>
      <c r="B298">
        <v>10000222</v>
      </c>
      <c r="C298" t="s">
        <v>1037</v>
      </c>
      <c r="D298" s="280">
        <v>551666.66666666663</v>
      </c>
      <c r="E298" s="280">
        <v>551666.66666666663</v>
      </c>
      <c r="F298">
        <v>6</v>
      </c>
    </row>
    <row r="299" spans="1:6" x14ac:dyDescent="0.25">
      <c r="A299" s="250">
        <v>8411242498</v>
      </c>
      <c r="B299">
        <v>10001918</v>
      </c>
      <c r="C299" t="s">
        <v>1764</v>
      </c>
      <c r="D299" s="280">
        <v>385000</v>
      </c>
      <c r="E299" s="280">
        <v>513333.33333333331</v>
      </c>
      <c r="F299">
        <v>6</v>
      </c>
    </row>
    <row r="300" spans="1:6" x14ac:dyDescent="0.25">
      <c r="A300" s="250">
        <v>8324144846</v>
      </c>
      <c r="B300">
        <v>10000223</v>
      </c>
      <c r="C300" t="s">
        <v>2115</v>
      </c>
      <c r="D300" s="280">
        <v>651000</v>
      </c>
      <c r="E300" s="280">
        <v>651000</v>
      </c>
      <c r="F300">
        <v>6</v>
      </c>
    </row>
    <row r="301" spans="1:6" x14ac:dyDescent="0.25">
      <c r="A301" s="250">
        <v>8360023166</v>
      </c>
      <c r="B301">
        <v>10001718</v>
      </c>
      <c r="C301" t="s">
        <v>2189</v>
      </c>
      <c r="D301" s="280">
        <v>990166.66666666663</v>
      </c>
      <c r="E301" s="280">
        <v>990166.66666666663</v>
      </c>
      <c r="F301">
        <v>6</v>
      </c>
    </row>
    <row r="302" spans="1:6" x14ac:dyDescent="0.25">
      <c r="A302" s="250">
        <v>8403181604</v>
      </c>
      <c r="B302">
        <v>10000226</v>
      </c>
      <c r="C302" t="s">
        <v>1039</v>
      </c>
      <c r="D302" s="280">
        <v>518394</v>
      </c>
      <c r="E302" s="280">
        <v>518394</v>
      </c>
      <c r="F302">
        <v>6</v>
      </c>
    </row>
    <row r="303" spans="1:6" x14ac:dyDescent="0.25">
      <c r="A303" s="250">
        <v>8436690672</v>
      </c>
      <c r="B303">
        <v>10001146</v>
      </c>
      <c r="C303" t="s">
        <v>1454</v>
      </c>
      <c r="D303" s="280">
        <v>426900</v>
      </c>
      <c r="E303" s="280">
        <v>426900</v>
      </c>
      <c r="F303">
        <v>6</v>
      </c>
    </row>
    <row r="304" spans="1:6" x14ac:dyDescent="0.25">
      <c r="A304" s="250">
        <v>8445040871</v>
      </c>
      <c r="B304">
        <v>10001647</v>
      </c>
      <c r="C304" t="s">
        <v>1595</v>
      </c>
      <c r="D304" s="280">
        <v>440000</v>
      </c>
      <c r="E304" s="280">
        <v>440000</v>
      </c>
      <c r="F304">
        <v>6</v>
      </c>
    </row>
    <row r="305" spans="1:6" x14ac:dyDescent="0.25">
      <c r="A305" s="250">
        <v>8410460823</v>
      </c>
      <c r="B305">
        <v>10000228</v>
      </c>
      <c r="C305" t="s">
        <v>2328</v>
      </c>
      <c r="D305" s="280">
        <v>495000</v>
      </c>
      <c r="E305" s="280">
        <v>495000</v>
      </c>
      <c r="F305">
        <v>6</v>
      </c>
    </row>
    <row r="306" spans="1:6" x14ac:dyDescent="0.25">
      <c r="A306" s="250">
        <v>8421732463</v>
      </c>
      <c r="B306">
        <v>10000230</v>
      </c>
      <c r="C306" t="s">
        <v>2369</v>
      </c>
      <c r="D306" s="280">
        <v>1012000</v>
      </c>
      <c r="E306" s="280">
        <v>1012000</v>
      </c>
      <c r="F306">
        <v>6</v>
      </c>
    </row>
    <row r="307" spans="1:6" x14ac:dyDescent="0.25">
      <c r="A307" s="250">
        <v>8346201834</v>
      </c>
      <c r="B307">
        <v>10000075</v>
      </c>
      <c r="C307" t="s">
        <v>925</v>
      </c>
      <c r="D307" s="280">
        <v>507666.66666666669</v>
      </c>
      <c r="E307" s="280">
        <v>507666.66666666669</v>
      </c>
      <c r="F307">
        <v>6</v>
      </c>
    </row>
    <row r="308" spans="1:6" x14ac:dyDescent="0.25">
      <c r="A308" s="250">
        <v>8350062770</v>
      </c>
      <c r="B308">
        <v>10000231</v>
      </c>
      <c r="C308" t="s">
        <v>2160</v>
      </c>
      <c r="D308" s="280">
        <v>709833.33333333337</v>
      </c>
      <c r="E308" s="280">
        <v>709833.33333333337</v>
      </c>
      <c r="F308">
        <v>6</v>
      </c>
    </row>
    <row r="309" spans="1:6" x14ac:dyDescent="0.25">
      <c r="A309" s="250">
        <v>8351710237</v>
      </c>
      <c r="B309">
        <v>10000236</v>
      </c>
      <c r="C309" t="s">
        <v>2163</v>
      </c>
      <c r="D309" s="280">
        <v>866500</v>
      </c>
      <c r="E309" s="280">
        <v>866500</v>
      </c>
      <c r="F309">
        <v>6</v>
      </c>
    </row>
    <row r="310" spans="1:6" x14ac:dyDescent="0.25">
      <c r="A310" s="250">
        <v>8426141927</v>
      </c>
      <c r="B310">
        <v>10000358</v>
      </c>
      <c r="C310" t="s">
        <v>1115</v>
      </c>
      <c r="D310" s="280">
        <v>154600</v>
      </c>
      <c r="E310" s="280">
        <v>309200</v>
      </c>
      <c r="F310">
        <v>6</v>
      </c>
    </row>
    <row r="311" spans="1:6" x14ac:dyDescent="0.25">
      <c r="A311" s="250">
        <v>8338093564</v>
      </c>
      <c r="B311">
        <v>10000239</v>
      </c>
      <c r="C311" t="s">
        <v>1045</v>
      </c>
      <c r="D311" s="280">
        <v>404700</v>
      </c>
      <c r="E311" s="280">
        <v>404700</v>
      </c>
      <c r="F311">
        <v>3</v>
      </c>
    </row>
    <row r="312" spans="1:6" x14ac:dyDescent="0.25">
      <c r="A312" s="250">
        <v>8395384386</v>
      </c>
      <c r="B312">
        <v>10000241</v>
      </c>
      <c r="C312" t="s">
        <v>1047</v>
      </c>
      <c r="D312" s="280">
        <v>849833.33333333337</v>
      </c>
      <c r="E312" s="280">
        <v>849833.33333333337</v>
      </c>
      <c r="F312">
        <v>6</v>
      </c>
    </row>
    <row r="313" spans="1:6" x14ac:dyDescent="0.25">
      <c r="A313" s="250">
        <v>8405784101</v>
      </c>
      <c r="B313">
        <v>10000428</v>
      </c>
      <c r="C313" t="s">
        <v>2310</v>
      </c>
      <c r="D313" s="280">
        <v>1050000</v>
      </c>
      <c r="E313" s="280">
        <v>1050000</v>
      </c>
      <c r="F313">
        <v>6</v>
      </c>
    </row>
    <row r="314" spans="1:6" x14ac:dyDescent="0.25">
      <c r="A314" s="250">
        <v>8418752394</v>
      </c>
      <c r="B314">
        <v>10000245</v>
      </c>
      <c r="C314" t="s">
        <v>2361</v>
      </c>
      <c r="D314" s="280">
        <v>728883.33333333337</v>
      </c>
      <c r="E314" s="280">
        <v>728883.33333333337</v>
      </c>
      <c r="F314">
        <v>6</v>
      </c>
    </row>
    <row r="315" spans="1:6" x14ac:dyDescent="0.25">
      <c r="A315" s="250">
        <v>8445023675</v>
      </c>
      <c r="B315">
        <v>10001408</v>
      </c>
      <c r="C315" t="s">
        <v>2448</v>
      </c>
      <c r="D315" s="280">
        <v>627000</v>
      </c>
      <c r="E315" s="280">
        <v>627000</v>
      </c>
      <c r="F315">
        <v>6</v>
      </c>
    </row>
    <row r="316" spans="1:6" x14ac:dyDescent="0.25">
      <c r="A316" s="250">
        <v>8442983112</v>
      </c>
      <c r="B316">
        <v>10000360</v>
      </c>
      <c r="C316" t="s">
        <v>2441</v>
      </c>
      <c r="D316" s="280">
        <v>756166.66666666663</v>
      </c>
      <c r="E316" s="280">
        <v>756166.66666666663</v>
      </c>
      <c r="F316">
        <v>6</v>
      </c>
    </row>
    <row r="317" spans="1:6" x14ac:dyDescent="0.25">
      <c r="A317" s="250">
        <v>8438311180</v>
      </c>
      <c r="B317">
        <v>10000251</v>
      </c>
      <c r="C317" t="s">
        <v>2417</v>
      </c>
      <c r="D317" s="280">
        <v>334933.33333333331</v>
      </c>
      <c r="E317" s="280">
        <v>334933.33333333331</v>
      </c>
      <c r="F317">
        <v>6</v>
      </c>
    </row>
    <row r="318" spans="1:6" x14ac:dyDescent="0.25">
      <c r="A318" s="250">
        <v>8442692398</v>
      </c>
      <c r="B318">
        <v>10001131</v>
      </c>
      <c r="C318" t="s">
        <v>2438</v>
      </c>
      <c r="D318" s="280">
        <v>378000</v>
      </c>
      <c r="E318" s="280">
        <v>378000</v>
      </c>
      <c r="F318">
        <v>6</v>
      </c>
    </row>
    <row r="319" spans="1:6" x14ac:dyDescent="0.25">
      <c r="A319" s="250">
        <v>8452330308</v>
      </c>
      <c r="B319">
        <v>10001160</v>
      </c>
      <c r="C319" t="s">
        <v>2481</v>
      </c>
      <c r="D319" s="280">
        <v>377933.33333333331</v>
      </c>
      <c r="E319" s="280">
        <v>377933.33333333331</v>
      </c>
      <c r="F319">
        <v>6</v>
      </c>
    </row>
    <row r="320" spans="1:6" x14ac:dyDescent="0.25">
      <c r="A320" s="250">
        <v>8410920832</v>
      </c>
      <c r="B320">
        <v>10000261</v>
      </c>
      <c r="C320" t="s">
        <v>2330</v>
      </c>
      <c r="D320" s="280">
        <v>770000</v>
      </c>
      <c r="E320" s="280">
        <v>770000</v>
      </c>
      <c r="F320">
        <v>6</v>
      </c>
    </row>
    <row r="321" spans="1:6" x14ac:dyDescent="0.25">
      <c r="A321" s="250">
        <v>8411312577</v>
      </c>
      <c r="B321">
        <v>10000267</v>
      </c>
      <c r="C321" t="s">
        <v>2333</v>
      </c>
      <c r="D321" s="280">
        <v>426900</v>
      </c>
      <c r="E321" s="280">
        <v>426900</v>
      </c>
      <c r="F321">
        <v>6</v>
      </c>
    </row>
    <row r="322" spans="1:6" x14ac:dyDescent="0.25">
      <c r="A322" s="250">
        <v>8405474196</v>
      </c>
      <c r="B322">
        <v>10000268</v>
      </c>
      <c r="C322" t="s">
        <v>1061</v>
      </c>
      <c r="D322" s="280">
        <v>616000</v>
      </c>
      <c r="E322" s="280">
        <v>616000</v>
      </c>
      <c r="F322">
        <v>6</v>
      </c>
    </row>
    <row r="323" spans="1:6" x14ac:dyDescent="0.25">
      <c r="A323" s="250">
        <v>8413880491</v>
      </c>
      <c r="B323">
        <v>10000269</v>
      </c>
      <c r="C323" t="s">
        <v>2342</v>
      </c>
      <c r="D323" s="280">
        <v>1270566.6666666667</v>
      </c>
      <c r="E323" s="280">
        <v>1270566.6666666667</v>
      </c>
      <c r="F323">
        <v>6</v>
      </c>
    </row>
    <row r="324" spans="1:6" x14ac:dyDescent="0.25">
      <c r="A324" s="250">
        <v>8382493424</v>
      </c>
      <c r="B324">
        <v>10000270</v>
      </c>
      <c r="C324" t="s">
        <v>1065</v>
      </c>
      <c r="D324" s="280">
        <v>492900</v>
      </c>
      <c r="E324" s="280">
        <v>492900</v>
      </c>
      <c r="F324">
        <v>6</v>
      </c>
    </row>
    <row r="325" spans="1:6" x14ac:dyDescent="0.25">
      <c r="A325" s="250">
        <v>8421761048</v>
      </c>
      <c r="B325">
        <v>10000271</v>
      </c>
      <c r="C325" t="s">
        <v>2370</v>
      </c>
      <c r="D325" s="280">
        <v>812400</v>
      </c>
      <c r="E325" s="280">
        <v>812400</v>
      </c>
      <c r="F325">
        <v>6</v>
      </c>
    </row>
    <row r="326" spans="1:6" x14ac:dyDescent="0.25">
      <c r="A326" s="250">
        <v>8303113313</v>
      </c>
      <c r="B326">
        <v>10002007</v>
      </c>
      <c r="C326" t="s">
        <v>1817</v>
      </c>
      <c r="D326" s="280">
        <v>370000</v>
      </c>
      <c r="E326" s="280">
        <v>370000</v>
      </c>
      <c r="F326">
        <v>3</v>
      </c>
    </row>
    <row r="327" spans="1:6" x14ac:dyDescent="0.25">
      <c r="A327" s="250">
        <v>8325913762</v>
      </c>
      <c r="B327">
        <v>10000279</v>
      </c>
      <c r="C327" t="s">
        <v>2116</v>
      </c>
      <c r="D327" s="280">
        <v>1916666.6666666667</v>
      </c>
      <c r="E327" s="280">
        <v>1916666.6666666667</v>
      </c>
      <c r="F327">
        <v>6</v>
      </c>
    </row>
    <row r="328" spans="1:6" x14ac:dyDescent="0.25">
      <c r="A328" s="250">
        <v>8341372746</v>
      </c>
      <c r="B328">
        <v>10000281</v>
      </c>
      <c r="C328" t="s">
        <v>2144</v>
      </c>
      <c r="D328" s="280">
        <v>552100</v>
      </c>
      <c r="E328" s="280">
        <v>552100</v>
      </c>
      <c r="F328">
        <v>6</v>
      </c>
    </row>
    <row r="329" spans="1:6" x14ac:dyDescent="0.25">
      <c r="A329" s="250">
        <v>8371460325</v>
      </c>
      <c r="B329">
        <v>10000283</v>
      </c>
      <c r="C329" t="s">
        <v>1071</v>
      </c>
      <c r="D329" s="280">
        <v>518333.33333333331</v>
      </c>
      <c r="E329" s="280">
        <v>518333.33333333331</v>
      </c>
      <c r="F329">
        <v>6</v>
      </c>
    </row>
    <row r="330" spans="1:6" x14ac:dyDescent="0.25">
      <c r="A330" s="250">
        <v>8381323010</v>
      </c>
      <c r="B330">
        <v>10000285</v>
      </c>
      <c r="C330" t="s">
        <v>1072</v>
      </c>
      <c r="D330" s="280">
        <v>935000</v>
      </c>
      <c r="E330" s="280">
        <v>935000</v>
      </c>
      <c r="F330">
        <v>6</v>
      </c>
    </row>
    <row r="331" spans="1:6" x14ac:dyDescent="0.25">
      <c r="A331" s="250">
        <v>8396600406</v>
      </c>
      <c r="B331">
        <v>10000286</v>
      </c>
      <c r="C331" t="s">
        <v>1073</v>
      </c>
      <c r="D331" s="280">
        <v>426900</v>
      </c>
      <c r="E331" s="280">
        <v>426900</v>
      </c>
      <c r="F331">
        <v>6</v>
      </c>
    </row>
    <row r="332" spans="1:6" x14ac:dyDescent="0.25">
      <c r="A332" s="250">
        <v>8413364175</v>
      </c>
      <c r="B332">
        <v>10001324</v>
      </c>
      <c r="C332" t="s">
        <v>1499</v>
      </c>
      <c r="D332" s="280">
        <v>426900</v>
      </c>
      <c r="E332" s="280">
        <v>426900</v>
      </c>
      <c r="F332">
        <v>6</v>
      </c>
    </row>
    <row r="333" spans="1:6" x14ac:dyDescent="0.25">
      <c r="A333" s="250">
        <v>8404893268</v>
      </c>
      <c r="B333">
        <v>10001978</v>
      </c>
      <c r="C333" t="s">
        <v>2304</v>
      </c>
      <c r="D333" s="280">
        <v>577500</v>
      </c>
      <c r="E333" s="280">
        <v>577500</v>
      </c>
      <c r="F333">
        <v>6</v>
      </c>
    </row>
    <row r="334" spans="1:6" x14ac:dyDescent="0.25">
      <c r="A334" s="250">
        <v>8439851952</v>
      </c>
      <c r="B334">
        <v>10001791</v>
      </c>
      <c r="C334" t="s">
        <v>1710</v>
      </c>
      <c r="D334" s="280">
        <v>475533.33333333331</v>
      </c>
      <c r="E334" s="280">
        <v>475533.33333333331</v>
      </c>
      <c r="F334">
        <v>6</v>
      </c>
    </row>
    <row r="335" spans="1:6" x14ac:dyDescent="0.25">
      <c r="A335" s="250">
        <v>8327942409</v>
      </c>
      <c r="B335">
        <v>10000289</v>
      </c>
      <c r="C335" t="s">
        <v>1074</v>
      </c>
      <c r="D335" s="280">
        <v>445166.66666666669</v>
      </c>
      <c r="E335" s="280">
        <v>445166.66666666669</v>
      </c>
      <c r="F335">
        <v>6</v>
      </c>
    </row>
    <row r="336" spans="1:6" x14ac:dyDescent="0.25">
      <c r="A336" s="250">
        <v>8456852562</v>
      </c>
      <c r="B336">
        <v>10002010</v>
      </c>
      <c r="C336" t="s">
        <v>1822</v>
      </c>
      <c r="D336" s="280">
        <v>650933.33333333337</v>
      </c>
      <c r="E336" s="280">
        <v>650933.33333333337</v>
      </c>
      <c r="F336">
        <v>3</v>
      </c>
    </row>
    <row r="337" spans="1:6" x14ac:dyDescent="0.25">
      <c r="A337" s="250">
        <v>8386243686</v>
      </c>
      <c r="B337">
        <v>10000290</v>
      </c>
      <c r="C337" t="s">
        <v>2243</v>
      </c>
      <c r="D337" s="280">
        <v>596266.66666666663</v>
      </c>
      <c r="E337" s="280">
        <v>596266.66666666663</v>
      </c>
      <c r="F337">
        <v>6</v>
      </c>
    </row>
    <row r="338" spans="1:6" x14ac:dyDescent="0.25">
      <c r="A338" s="250">
        <v>8439201346</v>
      </c>
      <c r="B338">
        <v>10000292</v>
      </c>
      <c r="C338" t="s">
        <v>1076</v>
      </c>
      <c r="D338" s="280">
        <v>751966.66666666663</v>
      </c>
      <c r="E338" s="280">
        <v>751966.66666666663</v>
      </c>
      <c r="F338">
        <v>6</v>
      </c>
    </row>
    <row r="339" spans="1:6" x14ac:dyDescent="0.25">
      <c r="A339" s="250">
        <v>8403263651</v>
      </c>
      <c r="B339">
        <v>10000294</v>
      </c>
      <c r="C339" t="s">
        <v>2299</v>
      </c>
      <c r="D339" s="280">
        <v>442933.33333333331</v>
      </c>
      <c r="E339" s="280">
        <v>442933.33333333331</v>
      </c>
      <c r="F339">
        <v>6</v>
      </c>
    </row>
    <row r="340" spans="1:6" x14ac:dyDescent="0.25">
      <c r="A340" s="250">
        <v>8325703113</v>
      </c>
      <c r="B340">
        <v>10000296</v>
      </c>
      <c r="C340" t="s">
        <v>1078</v>
      </c>
      <c r="D340" s="280">
        <v>223066.66666666666</v>
      </c>
      <c r="E340" s="280">
        <v>892266.66666666663</v>
      </c>
      <c r="F340">
        <v>6</v>
      </c>
    </row>
    <row r="341" spans="1:6" x14ac:dyDescent="0.25">
      <c r="A341" s="250">
        <v>8310853262</v>
      </c>
      <c r="B341">
        <v>10000299</v>
      </c>
      <c r="C341" t="s">
        <v>2106</v>
      </c>
      <c r="D341" s="280">
        <v>723712.5</v>
      </c>
      <c r="E341" s="280">
        <v>723712.5</v>
      </c>
      <c r="F341">
        <v>6</v>
      </c>
    </row>
    <row r="342" spans="1:6" x14ac:dyDescent="0.25">
      <c r="A342" s="250">
        <v>8451923488</v>
      </c>
      <c r="B342">
        <v>10001631</v>
      </c>
      <c r="C342" t="s">
        <v>1587</v>
      </c>
      <c r="D342" s="280">
        <v>93818.333333333328</v>
      </c>
      <c r="E342" s="280">
        <v>375273.33333333331</v>
      </c>
      <c r="F342">
        <v>6</v>
      </c>
    </row>
    <row r="343" spans="1:6" x14ac:dyDescent="0.25">
      <c r="A343" s="250">
        <v>8450063418</v>
      </c>
      <c r="B343">
        <v>10000891</v>
      </c>
      <c r="C343" t="s">
        <v>2475</v>
      </c>
      <c r="D343" s="280">
        <v>640500</v>
      </c>
      <c r="E343" s="280">
        <v>640500</v>
      </c>
      <c r="F343">
        <v>6</v>
      </c>
    </row>
    <row r="344" spans="1:6" x14ac:dyDescent="0.25">
      <c r="A344" s="250">
        <v>8432463973</v>
      </c>
      <c r="B344">
        <v>10001342</v>
      </c>
      <c r="C344" t="s">
        <v>1504</v>
      </c>
      <c r="D344" s="280">
        <v>352000</v>
      </c>
      <c r="E344" s="280">
        <v>352000</v>
      </c>
      <c r="F344">
        <v>6</v>
      </c>
    </row>
    <row r="345" spans="1:6" x14ac:dyDescent="0.25">
      <c r="A345" s="250">
        <v>8401954231</v>
      </c>
      <c r="B345">
        <v>10001896</v>
      </c>
      <c r="C345" t="s">
        <v>1753</v>
      </c>
      <c r="D345" s="280">
        <v>376400</v>
      </c>
      <c r="E345" s="280">
        <v>376400</v>
      </c>
      <c r="F345">
        <v>6</v>
      </c>
    </row>
    <row r="346" spans="1:6" x14ac:dyDescent="0.25">
      <c r="A346" s="250">
        <v>8426142613</v>
      </c>
      <c r="B346">
        <v>10000366</v>
      </c>
      <c r="C346" t="s">
        <v>2383</v>
      </c>
      <c r="D346" s="280">
        <v>316933.33333333331</v>
      </c>
      <c r="E346" s="280">
        <v>316933.33333333331</v>
      </c>
      <c r="F346">
        <v>6</v>
      </c>
    </row>
    <row r="347" spans="1:6" x14ac:dyDescent="0.25">
      <c r="A347" s="250">
        <v>8350671920</v>
      </c>
      <c r="B347">
        <v>10000303</v>
      </c>
      <c r="C347" t="s">
        <v>1081</v>
      </c>
      <c r="D347" s="280">
        <v>780183.33333333337</v>
      </c>
      <c r="E347" s="280">
        <v>780183.33333333337</v>
      </c>
      <c r="F347">
        <v>6</v>
      </c>
    </row>
    <row r="348" spans="1:6" x14ac:dyDescent="0.25">
      <c r="A348" s="250">
        <v>8408031821</v>
      </c>
      <c r="B348">
        <v>10000305</v>
      </c>
      <c r="C348" t="s">
        <v>2317</v>
      </c>
      <c r="D348" s="280">
        <v>451900</v>
      </c>
      <c r="E348" s="280">
        <v>451900</v>
      </c>
      <c r="F348">
        <v>6</v>
      </c>
    </row>
    <row r="349" spans="1:6" x14ac:dyDescent="0.25">
      <c r="A349" s="250">
        <v>8438731872</v>
      </c>
      <c r="B349">
        <v>10000306</v>
      </c>
      <c r="C349" t="s">
        <v>2420</v>
      </c>
      <c r="D349" s="280">
        <v>1086900</v>
      </c>
      <c r="E349" s="280">
        <v>1086900</v>
      </c>
      <c r="F349">
        <v>6</v>
      </c>
    </row>
    <row r="350" spans="1:6" x14ac:dyDescent="0.25">
      <c r="A350" s="250">
        <v>8440712316</v>
      </c>
      <c r="B350">
        <v>10000208</v>
      </c>
      <c r="C350" t="s">
        <v>2430</v>
      </c>
      <c r="D350" s="280">
        <v>694500</v>
      </c>
      <c r="E350" s="280">
        <v>694500</v>
      </c>
      <c r="F350">
        <v>6</v>
      </c>
    </row>
    <row r="351" spans="1:6" x14ac:dyDescent="0.25">
      <c r="A351" s="250">
        <v>8313412607</v>
      </c>
      <c r="B351">
        <v>10000307</v>
      </c>
      <c r="C351" t="s">
        <v>2108</v>
      </c>
      <c r="D351" s="280">
        <v>1116533.3333333333</v>
      </c>
      <c r="E351" s="280">
        <v>1116533.3333333333</v>
      </c>
      <c r="F351">
        <v>6</v>
      </c>
    </row>
    <row r="352" spans="1:6" x14ac:dyDescent="0.25">
      <c r="A352" s="250">
        <v>8426440355</v>
      </c>
      <c r="B352">
        <v>10001075</v>
      </c>
      <c r="C352" t="s">
        <v>2384</v>
      </c>
      <c r="D352" s="280">
        <v>597500</v>
      </c>
      <c r="E352" s="280">
        <v>597500</v>
      </c>
      <c r="F352">
        <v>6</v>
      </c>
    </row>
    <row r="353" spans="1:6" x14ac:dyDescent="0.25">
      <c r="A353" s="250">
        <v>8436542223</v>
      </c>
      <c r="B353">
        <v>10000308</v>
      </c>
      <c r="C353" t="s">
        <v>2413</v>
      </c>
      <c r="D353" s="280">
        <v>491900</v>
      </c>
      <c r="E353" s="280">
        <v>491900</v>
      </c>
      <c r="F353">
        <v>6</v>
      </c>
    </row>
    <row r="354" spans="1:6" x14ac:dyDescent="0.25">
      <c r="A354" s="250">
        <v>8316733579</v>
      </c>
      <c r="B354">
        <v>10000309</v>
      </c>
      <c r="C354" t="s">
        <v>2109</v>
      </c>
      <c r="D354" s="280">
        <v>662500</v>
      </c>
      <c r="E354" s="280">
        <v>662500</v>
      </c>
      <c r="F354">
        <v>6</v>
      </c>
    </row>
    <row r="355" spans="1:6" x14ac:dyDescent="0.25">
      <c r="A355" s="250">
        <v>8327793829</v>
      </c>
      <c r="B355">
        <v>10000367</v>
      </c>
      <c r="C355" t="s">
        <v>2118</v>
      </c>
      <c r="D355" s="280">
        <v>434760</v>
      </c>
      <c r="E355" s="280">
        <v>434760</v>
      </c>
      <c r="F355">
        <v>5</v>
      </c>
    </row>
    <row r="356" spans="1:6" x14ac:dyDescent="0.25">
      <c r="A356" s="250">
        <v>8364652524</v>
      </c>
      <c r="B356">
        <v>10000310</v>
      </c>
      <c r="C356" t="s">
        <v>2204</v>
      </c>
      <c r="D356" s="280">
        <v>841166.66666666663</v>
      </c>
      <c r="E356" s="280">
        <v>841166.66666666663</v>
      </c>
      <c r="F356">
        <v>6</v>
      </c>
    </row>
    <row r="357" spans="1:6" x14ac:dyDescent="0.25">
      <c r="A357" s="250">
        <v>8369293506</v>
      </c>
      <c r="B357">
        <v>10000312</v>
      </c>
      <c r="C357" t="s">
        <v>1088</v>
      </c>
      <c r="D357" s="280">
        <v>530833.33333333337</v>
      </c>
      <c r="E357" s="280">
        <v>530833.33333333337</v>
      </c>
      <c r="F357">
        <v>6</v>
      </c>
    </row>
    <row r="358" spans="1:6" x14ac:dyDescent="0.25">
      <c r="A358" s="250">
        <v>8360112924</v>
      </c>
      <c r="B358">
        <v>10001719</v>
      </c>
      <c r="C358" t="s">
        <v>2190</v>
      </c>
      <c r="D358" s="280">
        <v>314800</v>
      </c>
      <c r="E358" s="280">
        <v>314800</v>
      </c>
      <c r="F358">
        <v>6</v>
      </c>
    </row>
    <row r="359" spans="1:6" x14ac:dyDescent="0.25">
      <c r="A359" s="250">
        <v>8412803434</v>
      </c>
      <c r="B359">
        <v>10000315</v>
      </c>
      <c r="C359" t="s">
        <v>2340</v>
      </c>
      <c r="D359" s="280">
        <v>527437.5</v>
      </c>
      <c r="E359" s="280">
        <v>527437.5</v>
      </c>
      <c r="F359">
        <v>6</v>
      </c>
    </row>
    <row r="360" spans="1:6" x14ac:dyDescent="0.25">
      <c r="A360" s="250">
        <v>8397553649</v>
      </c>
      <c r="B360">
        <v>10000316</v>
      </c>
      <c r="C360" t="s">
        <v>2281</v>
      </c>
      <c r="D360" s="280">
        <v>426900</v>
      </c>
      <c r="E360" s="280">
        <v>426900</v>
      </c>
      <c r="F360">
        <v>6</v>
      </c>
    </row>
    <row r="361" spans="1:6" x14ac:dyDescent="0.25">
      <c r="A361" s="250">
        <v>8423011763</v>
      </c>
      <c r="B361">
        <v>10000319</v>
      </c>
      <c r="C361" t="s">
        <v>2375</v>
      </c>
      <c r="D361" s="280">
        <v>756900</v>
      </c>
      <c r="E361" s="280">
        <v>756900</v>
      </c>
      <c r="F361">
        <v>6</v>
      </c>
    </row>
    <row r="362" spans="1:6" x14ac:dyDescent="0.25">
      <c r="A362" s="250">
        <v>8387271209</v>
      </c>
      <c r="B362">
        <v>10000320</v>
      </c>
      <c r="C362" t="s">
        <v>2246</v>
      </c>
      <c r="D362" s="280">
        <v>518333.33333333331</v>
      </c>
      <c r="E362" s="280">
        <v>518333.33333333331</v>
      </c>
      <c r="F362">
        <v>6</v>
      </c>
    </row>
    <row r="363" spans="1:6" x14ac:dyDescent="0.25">
      <c r="A363" s="250">
        <v>8416043760</v>
      </c>
      <c r="B363">
        <v>10000321</v>
      </c>
      <c r="C363" t="s">
        <v>2350</v>
      </c>
      <c r="D363" s="280">
        <v>900567</v>
      </c>
      <c r="E363" s="280">
        <v>900566.66666666663</v>
      </c>
      <c r="F363">
        <v>6</v>
      </c>
    </row>
    <row r="364" spans="1:6" x14ac:dyDescent="0.25">
      <c r="A364" s="250">
        <v>8337633700</v>
      </c>
      <c r="B364">
        <v>10001294</v>
      </c>
      <c r="C364" t="s">
        <v>1490</v>
      </c>
      <c r="D364" s="280">
        <v>426900</v>
      </c>
      <c r="E364" s="280">
        <v>426900</v>
      </c>
      <c r="F364">
        <v>6</v>
      </c>
    </row>
    <row r="365" spans="1:6" x14ac:dyDescent="0.25">
      <c r="A365" s="250">
        <v>8374654287</v>
      </c>
      <c r="B365">
        <v>10000323</v>
      </c>
      <c r="C365" t="s">
        <v>2221</v>
      </c>
      <c r="D365" s="280">
        <v>730800</v>
      </c>
      <c r="E365" s="280">
        <v>730800</v>
      </c>
      <c r="F365">
        <v>6</v>
      </c>
    </row>
    <row r="366" spans="1:6" x14ac:dyDescent="0.25">
      <c r="A366" s="250">
        <v>8315302531</v>
      </c>
      <c r="B366">
        <v>10000325</v>
      </c>
      <c r="C366" t="s">
        <v>1096</v>
      </c>
      <c r="D366" s="280">
        <v>1363466.6666666667</v>
      </c>
      <c r="E366" s="280">
        <v>1363466.6666666667</v>
      </c>
      <c r="F366">
        <v>6</v>
      </c>
    </row>
    <row r="367" spans="1:6" x14ac:dyDescent="0.25">
      <c r="A367" s="250">
        <v>8393730538</v>
      </c>
      <c r="B367">
        <v>10000327</v>
      </c>
      <c r="C367" t="s">
        <v>1097</v>
      </c>
      <c r="D367" s="280">
        <v>395956.66666666669</v>
      </c>
      <c r="E367" s="280">
        <v>395956.66666666669</v>
      </c>
      <c r="F367">
        <v>6</v>
      </c>
    </row>
    <row r="368" spans="1:6" x14ac:dyDescent="0.25">
      <c r="A368" s="250">
        <v>8372793190</v>
      </c>
      <c r="B368">
        <v>10000386</v>
      </c>
      <c r="C368" t="s">
        <v>2217</v>
      </c>
      <c r="D368" s="280">
        <v>594000</v>
      </c>
      <c r="E368" s="280">
        <v>594000</v>
      </c>
      <c r="F368">
        <v>6</v>
      </c>
    </row>
    <row r="369" spans="1:6" x14ac:dyDescent="0.25">
      <c r="A369" s="250">
        <v>8334552580</v>
      </c>
      <c r="B369">
        <v>10000328</v>
      </c>
      <c r="C369" t="s">
        <v>2131</v>
      </c>
      <c r="D369" s="280">
        <v>1686107.6666666667</v>
      </c>
      <c r="E369" s="280">
        <v>1686107.6666666667</v>
      </c>
      <c r="F369">
        <v>6</v>
      </c>
    </row>
    <row r="370" spans="1:6" x14ac:dyDescent="0.25">
      <c r="A370" s="250">
        <v>8347262403</v>
      </c>
      <c r="B370">
        <v>10001857</v>
      </c>
      <c r="C370" t="s">
        <v>1739</v>
      </c>
      <c r="D370" s="280">
        <v>880000</v>
      </c>
      <c r="E370" s="280">
        <v>880000</v>
      </c>
      <c r="F370">
        <v>6</v>
      </c>
    </row>
    <row r="371" spans="1:6" x14ac:dyDescent="0.25">
      <c r="A371" s="250">
        <v>8409140497</v>
      </c>
      <c r="B371">
        <v>10000329</v>
      </c>
      <c r="C371" t="s">
        <v>2325</v>
      </c>
      <c r="D371" s="280">
        <v>632100</v>
      </c>
      <c r="E371" s="280">
        <v>632100</v>
      </c>
      <c r="F371">
        <v>6</v>
      </c>
    </row>
    <row r="372" spans="1:6" x14ac:dyDescent="0.25">
      <c r="A372" s="250">
        <v>8460271463</v>
      </c>
      <c r="B372">
        <v>10001652</v>
      </c>
      <c r="C372" t="s">
        <v>1601</v>
      </c>
      <c r="D372" s="280">
        <v>440000</v>
      </c>
      <c r="E372" s="280">
        <v>440000</v>
      </c>
      <c r="F372">
        <v>6</v>
      </c>
    </row>
    <row r="373" spans="1:6" x14ac:dyDescent="0.25">
      <c r="A373" s="250">
        <v>8444651087</v>
      </c>
      <c r="B373">
        <v>10001066</v>
      </c>
      <c r="C373" t="s">
        <v>2446</v>
      </c>
      <c r="D373" s="280">
        <v>594000</v>
      </c>
      <c r="E373" s="280">
        <v>594000</v>
      </c>
      <c r="F373">
        <v>6</v>
      </c>
    </row>
    <row r="374" spans="1:6" x14ac:dyDescent="0.25">
      <c r="A374" s="250">
        <v>8365743329</v>
      </c>
      <c r="B374">
        <v>10000334</v>
      </c>
      <c r="C374" t="s">
        <v>1100</v>
      </c>
      <c r="D374" s="280">
        <v>445166.66666666669</v>
      </c>
      <c r="E374" s="280">
        <v>445166.66666666669</v>
      </c>
      <c r="F374">
        <v>6</v>
      </c>
    </row>
    <row r="375" spans="1:6" x14ac:dyDescent="0.25">
      <c r="A375" s="250">
        <v>8337512741</v>
      </c>
      <c r="B375">
        <v>10000849</v>
      </c>
      <c r="C375" t="s">
        <v>2135</v>
      </c>
      <c r="D375" s="280">
        <v>395335</v>
      </c>
      <c r="E375" s="280">
        <v>395335</v>
      </c>
      <c r="F375">
        <v>6</v>
      </c>
    </row>
    <row r="376" spans="1:6" x14ac:dyDescent="0.25">
      <c r="A376" s="250">
        <v>8439131399</v>
      </c>
      <c r="B376">
        <v>10000850</v>
      </c>
      <c r="C376" t="s">
        <v>2421</v>
      </c>
      <c r="D376" s="280">
        <v>497666.66666666669</v>
      </c>
      <c r="E376" s="280">
        <v>497666.66666666669</v>
      </c>
      <c r="F376">
        <v>6</v>
      </c>
    </row>
    <row r="377" spans="1:6" x14ac:dyDescent="0.25">
      <c r="A377" s="250">
        <v>8448413687</v>
      </c>
      <c r="B377">
        <v>10001053</v>
      </c>
      <c r="C377" t="s">
        <v>1424</v>
      </c>
      <c r="D377" s="280">
        <v>354100</v>
      </c>
      <c r="E377" s="280">
        <v>354100</v>
      </c>
      <c r="F377">
        <v>6</v>
      </c>
    </row>
    <row r="378" spans="1:6" x14ac:dyDescent="0.25">
      <c r="A378" s="250">
        <v>8409231832</v>
      </c>
      <c r="B378">
        <v>10000067</v>
      </c>
      <c r="C378" t="s">
        <v>917</v>
      </c>
      <c r="D378" s="280">
        <v>523633.33333333331</v>
      </c>
      <c r="E378" s="280">
        <v>523633.33333333331</v>
      </c>
      <c r="F378">
        <v>6</v>
      </c>
    </row>
    <row r="379" spans="1:6" x14ac:dyDescent="0.25">
      <c r="A379" s="250">
        <v>8443570865</v>
      </c>
      <c r="B379">
        <v>10000927</v>
      </c>
      <c r="C379" t="s">
        <v>2444</v>
      </c>
      <c r="D379" s="280">
        <v>244000</v>
      </c>
      <c r="E379" s="280">
        <v>244000</v>
      </c>
      <c r="F379">
        <v>6</v>
      </c>
    </row>
    <row r="380" spans="1:6" x14ac:dyDescent="0.25">
      <c r="A380" s="250">
        <v>8377123479</v>
      </c>
      <c r="B380">
        <v>10000070</v>
      </c>
      <c r="C380" t="s">
        <v>2229</v>
      </c>
      <c r="D380" s="280">
        <v>586383.33333333337</v>
      </c>
      <c r="E380" s="280">
        <v>586383.33333333337</v>
      </c>
      <c r="F380">
        <v>6</v>
      </c>
    </row>
    <row r="381" spans="1:6" x14ac:dyDescent="0.25">
      <c r="A381" s="250">
        <v>8418523018</v>
      </c>
      <c r="B381">
        <v>10001741</v>
      </c>
      <c r="C381" t="s">
        <v>2359</v>
      </c>
      <c r="D381" s="280">
        <v>210733.33333333334</v>
      </c>
      <c r="E381" s="280">
        <v>210733.33333333334</v>
      </c>
      <c r="F381">
        <v>6</v>
      </c>
    </row>
    <row r="382" spans="1:6" x14ac:dyDescent="0.25">
      <c r="A382" s="250">
        <v>8454831525</v>
      </c>
      <c r="B382">
        <v>10001037</v>
      </c>
      <c r="C382" t="s">
        <v>2486</v>
      </c>
      <c r="D382" s="280">
        <v>608333.33333333337</v>
      </c>
      <c r="E382" s="280">
        <v>608333.33333333337</v>
      </c>
      <c r="F382">
        <v>6</v>
      </c>
    </row>
    <row r="383" spans="1:6" x14ac:dyDescent="0.25">
      <c r="A383" s="250">
        <v>8359032394</v>
      </c>
      <c r="B383">
        <v>10001419</v>
      </c>
      <c r="C383" t="s">
        <v>1523</v>
      </c>
      <c r="D383" s="280">
        <v>385000</v>
      </c>
      <c r="E383" s="280">
        <v>385000</v>
      </c>
      <c r="F383">
        <v>6</v>
      </c>
    </row>
    <row r="384" spans="1:6" x14ac:dyDescent="0.25">
      <c r="A384" s="250">
        <v>8433263439</v>
      </c>
      <c r="B384">
        <v>10000341</v>
      </c>
      <c r="C384" t="s">
        <v>2402</v>
      </c>
      <c r="D384" s="280">
        <v>720483.33333333337</v>
      </c>
      <c r="E384" s="280">
        <v>720483.33333333337</v>
      </c>
      <c r="F384">
        <v>6</v>
      </c>
    </row>
    <row r="385" spans="1:6" x14ac:dyDescent="0.25">
      <c r="A385" s="250">
        <v>8440864078</v>
      </c>
      <c r="B385">
        <v>10001583</v>
      </c>
      <c r="C385" t="s">
        <v>2431</v>
      </c>
      <c r="D385" s="280">
        <v>398266.66666666669</v>
      </c>
      <c r="E385" s="280">
        <v>398266.66666666669</v>
      </c>
      <c r="F385">
        <v>6</v>
      </c>
    </row>
    <row r="386" spans="1:6" x14ac:dyDescent="0.25">
      <c r="A386" s="250">
        <v>8450163250</v>
      </c>
      <c r="B386">
        <v>10002008</v>
      </c>
      <c r="C386" t="s">
        <v>1818</v>
      </c>
      <c r="D386" s="280">
        <v>277200</v>
      </c>
      <c r="E386" s="280">
        <v>277200</v>
      </c>
      <c r="F386">
        <v>3</v>
      </c>
    </row>
    <row r="387" spans="1:6" x14ac:dyDescent="0.25">
      <c r="A387" s="250">
        <v>8331781015</v>
      </c>
      <c r="B387">
        <v>10000482</v>
      </c>
      <c r="C387" t="s">
        <v>1189</v>
      </c>
      <c r="D387" s="280">
        <v>300733.33333333331</v>
      </c>
      <c r="E387" s="280">
        <v>300733.33333333331</v>
      </c>
      <c r="F387">
        <v>6</v>
      </c>
    </row>
    <row r="388" spans="1:6" x14ac:dyDescent="0.25">
      <c r="A388" s="250">
        <v>8425041317</v>
      </c>
      <c r="B388">
        <v>10000483</v>
      </c>
      <c r="C388" t="s">
        <v>1190</v>
      </c>
      <c r="D388" s="280">
        <v>451000</v>
      </c>
      <c r="E388" s="280">
        <v>451000</v>
      </c>
      <c r="F388">
        <v>6</v>
      </c>
    </row>
    <row r="389" spans="1:6" x14ac:dyDescent="0.25">
      <c r="A389" s="250">
        <v>8332283086</v>
      </c>
      <c r="B389">
        <v>10000485</v>
      </c>
      <c r="C389" t="s">
        <v>1193</v>
      </c>
      <c r="D389" s="280">
        <v>440000</v>
      </c>
      <c r="E389" s="280">
        <v>440000</v>
      </c>
      <c r="F389">
        <v>6</v>
      </c>
    </row>
    <row r="390" spans="1:6" x14ac:dyDescent="0.25">
      <c r="A390" s="250">
        <v>8404800294</v>
      </c>
      <c r="B390">
        <v>10000487</v>
      </c>
      <c r="C390" t="s">
        <v>1194</v>
      </c>
      <c r="D390" s="280">
        <v>359266.66666666669</v>
      </c>
      <c r="E390" s="280">
        <v>359266.66666666669</v>
      </c>
      <c r="F390">
        <v>6</v>
      </c>
    </row>
    <row r="391" spans="1:6" x14ac:dyDescent="0.25">
      <c r="A391" s="250">
        <v>8427041934</v>
      </c>
      <c r="B391">
        <v>10001109</v>
      </c>
      <c r="C391" t="s">
        <v>2388</v>
      </c>
      <c r="D391" s="280">
        <v>333400</v>
      </c>
      <c r="E391" s="280">
        <v>333400</v>
      </c>
      <c r="F391">
        <v>2</v>
      </c>
    </row>
    <row r="392" spans="1:6" x14ac:dyDescent="0.25">
      <c r="A392" s="250">
        <v>8447772748</v>
      </c>
      <c r="B392">
        <v>10001795</v>
      </c>
      <c r="C392" t="s">
        <v>2471</v>
      </c>
      <c r="D392" s="280">
        <v>367500</v>
      </c>
      <c r="E392" s="280">
        <v>367500</v>
      </c>
      <c r="F392">
        <v>6</v>
      </c>
    </row>
    <row r="393" spans="1:6" x14ac:dyDescent="0.25">
      <c r="A393" s="250">
        <v>8460541932</v>
      </c>
      <c r="B393">
        <v>10001357</v>
      </c>
      <c r="C393" t="s">
        <v>2515</v>
      </c>
      <c r="D393" s="280">
        <v>328933.33333333331</v>
      </c>
      <c r="E393" s="280">
        <v>328933.33333333331</v>
      </c>
      <c r="F393">
        <v>6</v>
      </c>
    </row>
    <row r="394" spans="1:6" x14ac:dyDescent="0.25">
      <c r="A394" s="250">
        <v>8414153305</v>
      </c>
      <c r="B394">
        <v>10000076</v>
      </c>
      <c r="C394" t="s">
        <v>2343</v>
      </c>
      <c r="D394" s="280">
        <v>527666.66666666663</v>
      </c>
      <c r="E394" s="280">
        <v>527666.66666666663</v>
      </c>
      <c r="F394">
        <v>6</v>
      </c>
    </row>
    <row r="395" spans="1:6" x14ac:dyDescent="0.25">
      <c r="A395" s="250">
        <v>8362921579</v>
      </c>
      <c r="B395">
        <v>10001722</v>
      </c>
      <c r="C395" t="s">
        <v>2198</v>
      </c>
      <c r="D395" s="280">
        <v>260066.66666666666</v>
      </c>
      <c r="E395" s="280">
        <v>260066.66666666666</v>
      </c>
      <c r="F395">
        <v>6</v>
      </c>
    </row>
    <row r="396" spans="1:6" x14ac:dyDescent="0.25">
      <c r="A396" s="250">
        <v>8392061268</v>
      </c>
      <c r="B396">
        <v>10001861</v>
      </c>
      <c r="C396" t="s">
        <v>2261</v>
      </c>
      <c r="D396" s="280">
        <v>124600</v>
      </c>
      <c r="E396" s="280">
        <v>249200</v>
      </c>
      <c r="F396">
        <v>6</v>
      </c>
    </row>
    <row r="397" spans="1:6" x14ac:dyDescent="0.25">
      <c r="A397" s="250">
        <v>8372712697</v>
      </c>
      <c r="B397">
        <v>10000492</v>
      </c>
      <c r="C397" t="s">
        <v>1195</v>
      </c>
      <c r="D397" s="280">
        <v>341600</v>
      </c>
      <c r="E397" s="280">
        <v>341600</v>
      </c>
      <c r="F397">
        <v>6</v>
      </c>
    </row>
    <row r="398" spans="1:6" x14ac:dyDescent="0.25">
      <c r="A398" s="250">
        <v>8399020796</v>
      </c>
      <c r="B398">
        <v>10000989</v>
      </c>
      <c r="C398" t="s">
        <v>1401</v>
      </c>
      <c r="D398" s="280">
        <v>880000</v>
      </c>
      <c r="E398" s="280">
        <v>880000</v>
      </c>
      <c r="F398">
        <v>6</v>
      </c>
    </row>
    <row r="399" spans="1:6" x14ac:dyDescent="0.25">
      <c r="A399" s="250">
        <v>8391122948</v>
      </c>
      <c r="B399">
        <v>10000080</v>
      </c>
      <c r="C399" t="s">
        <v>2259</v>
      </c>
      <c r="D399" s="280">
        <v>672133.33333333337</v>
      </c>
      <c r="E399" s="280">
        <v>672133.33333333337</v>
      </c>
      <c r="F399">
        <v>6</v>
      </c>
    </row>
    <row r="400" spans="1:6" x14ac:dyDescent="0.25">
      <c r="A400" s="250">
        <v>8470991035</v>
      </c>
      <c r="B400">
        <v>10001965</v>
      </c>
      <c r="C400" t="s">
        <v>2541</v>
      </c>
      <c r="D400" s="280">
        <v>264000</v>
      </c>
      <c r="E400" s="280">
        <v>264000</v>
      </c>
      <c r="F400">
        <v>6</v>
      </c>
    </row>
    <row r="401" spans="1:6" x14ac:dyDescent="0.25">
      <c r="A401" s="250">
        <v>8404622922</v>
      </c>
      <c r="B401">
        <v>10000495</v>
      </c>
      <c r="C401" t="s">
        <v>1197</v>
      </c>
      <c r="D401" s="280">
        <v>451000</v>
      </c>
      <c r="E401" s="280">
        <v>451000</v>
      </c>
      <c r="F401">
        <v>6</v>
      </c>
    </row>
    <row r="402" spans="1:6" x14ac:dyDescent="0.25">
      <c r="A402" s="250">
        <v>8416410135</v>
      </c>
      <c r="B402">
        <v>10000496</v>
      </c>
      <c r="C402" t="s">
        <v>2352</v>
      </c>
      <c r="D402" s="280">
        <v>389400</v>
      </c>
      <c r="E402" s="280">
        <v>389400</v>
      </c>
      <c r="F402">
        <v>6</v>
      </c>
    </row>
    <row r="403" spans="1:6" x14ac:dyDescent="0.25">
      <c r="A403" s="250">
        <v>8390261707</v>
      </c>
      <c r="B403">
        <v>10000501</v>
      </c>
      <c r="C403" t="s">
        <v>1203</v>
      </c>
      <c r="D403" s="280">
        <v>352000</v>
      </c>
      <c r="E403" s="280">
        <v>352000</v>
      </c>
      <c r="F403">
        <v>6</v>
      </c>
    </row>
    <row r="404" spans="1:6" x14ac:dyDescent="0.25">
      <c r="A404" s="250">
        <v>8479830956</v>
      </c>
      <c r="B404">
        <v>10001945</v>
      </c>
      <c r="C404" t="s">
        <v>2557</v>
      </c>
      <c r="D404" s="280">
        <v>233000</v>
      </c>
      <c r="E404" s="280">
        <v>466000</v>
      </c>
      <c r="F404">
        <v>6</v>
      </c>
    </row>
    <row r="405" spans="1:6" x14ac:dyDescent="0.25">
      <c r="A405" s="250">
        <v>8470832808</v>
      </c>
      <c r="B405">
        <v>10001851</v>
      </c>
      <c r="C405" t="s">
        <v>2540</v>
      </c>
      <c r="D405" s="280">
        <v>380000</v>
      </c>
      <c r="E405" s="280">
        <v>380000</v>
      </c>
      <c r="F405">
        <v>6</v>
      </c>
    </row>
    <row r="406" spans="1:6" x14ac:dyDescent="0.25">
      <c r="A406" s="250">
        <v>8394864074</v>
      </c>
      <c r="B406">
        <v>10000503</v>
      </c>
      <c r="C406" t="s">
        <v>1204</v>
      </c>
      <c r="D406" s="280">
        <v>330000</v>
      </c>
      <c r="E406" s="280">
        <v>330000</v>
      </c>
      <c r="F406">
        <v>6</v>
      </c>
    </row>
    <row r="407" spans="1:6" x14ac:dyDescent="0.25">
      <c r="A407" s="250">
        <v>8374221283</v>
      </c>
      <c r="B407">
        <v>10000504</v>
      </c>
      <c r="C407" t="s">
        <v>2220</v>
      </c>
      <c r="D407" s="280">
        <v>289766.66666666669</v>
      </c>
      <c r="E407" s="280">
        <v>289766.66666666669</v>
      </c>
      <c r="F407">
        <v>6</v>
      </c>
    </row>
    <row r="408" spans="1:6" x14ac:dyDescent="0.25">
      <c r="A408" s="250">
        <v>8338103594</v>
      </c>
      <c r="B408">
        <v>10000372</v>
      </c>
      <c r="C408" t="s">
        <v>2138</v>
      </c>
      <c r="D408" s="280">
        <v>320233.33333333331</v>
      </c>
      <c r="E408" s="280">
        <v>320233.33333333331</v>
      </c>
      <c r="F408">
        <v>6</v>
      </c>
    </row>
    <row r="409" spans="1:6" x14ac:dyDescent="0.25">
      <c r="A409" s="250">
        <v>8401883954</v>
      </c>
      <c r="B409">
        <v>10001607</v>
      </c>
      <c r="C409" t="s">
        <v>1577</v>
      </c>
      <c r="D409" s="280">
        <v>394266.66666666669</v>
      </c>
      <c r="E409" s="280">
        <v>394266.66666666669</v>
      </c>
      <c r="F409">
        <v>6</v>
      </c>
    </row>
    <row r="410" spans="1:6" x14ac:dyDescent="0.25">
      <c r="A410" s="250">
        <v>8442834311</v>
      </c>
      <c r="B410">
        <v>10001343</v>
      </c>
      <c r="C410" t="s">
        <v>2440</v>
      </c>
      <c r="D410" s="280">
        <v>418000</v>
      </c>
      <c r="E410" s="280">
        <v>418000</v>
      </c>
      <c r="F410">
        <v>6</v>
      </c>
    </row>
    <row r="411" spans="1:6" x14ac:dyDescent="0.25">
      <c r="A411" s="250">
        <v>8438500706</v>
      </c>
      <c r="B411">
        <v>10000506</v>
      </c>
      <c r="C411" t="s">
        <v>2419</v>
      </c>
      <c r="D411" s="280">
        <v>846266.66666666663</v>
      </c>
      <c r="E411" s="280">
        <v>846266.66666666663</v>
      </c>
      <c r="F411">
        <v>6</v>
      </c>
    </row>
    <row r="412" spans="1:6" x14ac:dyDescent="0.25">
      <c r="A412" s="250">
        <v>8374913193</v>
      </c>
      <c r="B412">
        <v>10000508</v>
      </c>
      <c r="C412" t="s">
        <v>2222</v>
      </c>
      <c r="D412" s="280">
        <v>324533.33333333331</v>
      </c>
      <c r="E412" s="280">
        <v>324533.33333333331</v>
      </c>
      <c r="F412">
        <v>6</v>
      </c>
    </row>
    <row r="413" spans="1:6" x14ac:dyDescent="0.25">
      <c r="A413" s="250">
        <v>8422620510</v>
      </c>
      <c r="B413">
        <v>10001406</v>
      </c>
      <c r="C413" t="s">
        <v>2372</v>
      </c>
      <c r="D413" s="280">
        <v>436000</v>
      </c>
      <c r="E413" s="280">
        <v>436000</v>
      </c>
      <c r="F413">
        <v>6</v>
      </c>
    </row>
    <row r="414" spans="1:6" x14ac:dyDescent="0.25">
      <c r="A414" s="250">
        <v>8459382907</v>
      </c>
      <c r="B414">
        <v>10001375</v>
      </c>
      <c r="C414" t="s">
        <v>1510</v>
      </c>
      <c r="D414" s="280">
        <v>152600</v>
      </c>
      <c r="E414" s="280">
        <v>305200</v>
      </c>
      <c r="F414">
        <v>5</v>
      </c>
    </row>
    <row r="415" spans="1:6" x14ac:dyDescent="0.25">
      <c r="A415" s="250">
        <v>8433111434</v>
      </c>
      <c r="B415">
        <v>10001008</v>
      </c>
      <c r="C415" t="s">
        <v>1405</v>
      </c>
      <c r="D415" s="280">
        <v>393933.33333333331</v>
      </c>
      <c r="E415" s="280">
        <v>393933.33333333331</v>
      </c>
      <c r="F415">
        <v>6</v>
      </c>
    </row>
    <row r="416" spans="1:6" x14ac:dyDescent="0.25">
      <c r="A416" s="250">
        <v>8400004086</v>
      </c>
      <c r="B416">
        <v>10000509</v>
      </c>
      <c r="C416" t="s">
        <v>1209</v>
      </c>
      <c r="D416" s="280">
        <v>935000</v>
      </c>
      <c r="E416" s="280">
        <v>935000</v>
      </c>
      <c r="F416">
        <v>6</v>
      </c>
    </row>
    <row r="417" spans="1:6" x14ac:dyDescent="0.25">
      <c r="A417" s="250">
        <v>8476082037</v>
      </c>
      <c r="B417">
        <v>10001889</v>
      </c>
      <c r="C417" t="s">
        <v>218</v>
      </c>
      <c r="D417" s="280">
        <v>284260</v>
      </c>
      <c r="E417" s="280">
        <v>284260</v>
      </c>
      <c r="F417">
        <v>6</v>
      </c>
    </row>
    <row r="418" spans="1:6" x14ac:dyDescent="0.25">
      <c r="A418" s="250">
        <v>8335033226</v>
      </c>
      <c r="B418">
        <v>10001705</v>
      </c>
      <c r="C418" t="s">
        <v>2132</v>
      </c>
      <c r="D418" s="280">
        <v>240933.33333333334</v>
      </c>
      <c r="E418" s="280">
        <v>240933.33333333334</v>
      </c>
      <c r="F418">
        <v>6</v>
      </c>
    </row>
    <row r="419" spans="1:6" x14ac:dyDescent="0.25">
      <c r="A419" s="250">
        <v>8447171132</v>
      </c>
      <c r="B419">
        <v>10000591</v>
      </c>
      <c r="C419" t="s">
        <v>2465</v>
      </c>
      <c r="D419" s="280">
        <v>251933.33333333334</v>
      </c>
      <c r="E419" s="280">
        <v>251933.33333333334</v>
      </c>
      <c r="F419">
        <v>6</v>
      </c>
    </row>
    <row r="420" spans="1:6" x14ac:dyDescent="0.25">
      <c r="A420" s="250">
        <v>8385343660</v>
      </c>
      <c r="B420">
        <v>10000511</v>
      </c>
      <c r="C420" t="s">
        <v>1210</v>
      </c>
      <c r="D420" s="280">
        <v>443633.33333333331</v>
      </c>
      <c r="E420" s="280">
        <v>443633.33333333331</v>
      </c>
      <c r="F420">
        <v>6</v>
      </c>
    </row>
    <row r="421" spans="1:6" x14ac:dyDescent="0.25">
      <c r="A421" s="250">
        <v>8335073988</v>
      </c>
      <c r="B421">
        <v>10000512</v>
      </c>
      <c r="C421" t="s">
        <v>1211</v>
      </c>
      <c r="D421" s="280">
        <v>374000</v>
      </c>
      <c r="E421" s="280">
        <v>374000</v>
      </c>
      <c r="F421">
        <v>6</v>
      </c>
    </row>
    <row r="422" spans="1:6" x14ac:dyDescent="0.25">
      <c r="A422" s="250">
        <v>8368910234</v>
      </c>
      <c r="B422">
        <v>10001726</v>
      </c>
      <c r="C422" t="s">
        <v>2211</v>
      </c>
      <c r="D422" s="280">
        <v>249700</v>
      </c>
      <c r="E422" s="280">
        <v>249700</v>
      </c>
      <c r="F422">
        <v>6</v>
      </c>
    </row>
    <row r="423" spans="1:6" x14ac:dyDescent="0.25">
      <c r="A423" s="250">
        <v>8407900273</v>
      </c>
      <c r="B423">
        <v>10000344</v>
      </c>
      <c r="C423" t="s">
        <v>2316</v>
      </c>
      <c r="D423" s="280">
        <v>815233.33333333337</v>
      </c>
      <c r="E423" s="280">
        <v>815233.33333333337</v>
      </c>
      <c r="F423">
        <v>6</v>
      </c>
    </row>
    <row r="424" spans="1:6" x14ac:dyDescent="0.25">
      <c r="A424" s="250">
        <v>8387024724</v>
      </c>
      <c r="B424">
        <v>10001731</v>
      </c>
      <c r="C424" t="s">
        <v>2245</v>
      </c>
      <c r="D424" s="280">
        <v>279533.33333333331</v>
      </c>
      <c r="E424" s="280">
        <v>279533.33333333331</v>
      </c>
      <c r="F424">
        <v>6</v>
      </c>
    </row>
    <row r="425" spans="1:6" x14ac:dyDescent="0.25">
      <c r="A425" s="250">
        <v>8351692085</v>
      </c>
      <c r="B425">
        <v>10000514</v>
      </c>
      <c r="C425" t="s">
        <v>2162</v>
      </c>
      <c r="D425" s="280">
        <v>349406.66666666669</v>
      </c>
      <c r="E425" s="280">
        <v>349406.66666666669</v>
      </c>
      <c r="F425">
        <v>6</v>
      </c>
    </row>
    <row r="426" spans="1:6" x14ac:dyDescent="0.25">
      <c r="A426" s="250">
        <v>8432381489</v>
      </c>
      <c r="B426">
        <v>10000516</v>
      </c>
      <c r="C426" t="s">
        <v>2399</v>
      </c>
      <c r="D426" s="280">
        <v>302013</v>
      </c>
      <c r="E426" s="280">
        <v>302013</v>
      </c>
      <c r="F426">
        <v>2</v>
      </c>
    </row>
    <row r="427" spans="1:6" x14ac:dyDescent="0.25">
      <c r="A427" s="250">
        <v>8335673411</v>
      </c>
      <c r="B427">
        <v>10001092</v>
      </c>
      <c r="C427" t="s">
        <v>2133</v>
      </c>
      <c r="D427" s="280">
        <v>252433.33333333334</v>
      </c>
      <c r="E427" s="280">
        <v>252433.33333333334</v>
      </c>
      <c r="F427">
        <v>6</v>
      </c>
    </row>
    <row r="428" spans="1:6" x14ac:dyDescent="0.25">
      <c r="A428" s="250">
        <v>8449600928</v>
      </c>
      <c r="B428">
        <v>10001750</v>
      </c>
      <c r="C428" t="s">
        <v>2473</v>
      </c>
      <c r="D428" s="280">
        <v>458166.66666666669</v>
      </c>
      <c r="E428" s="280">
        <v>458166.66666666669</v>
      </c>
      <c r="F428">
        <v>6</v>
      </c>
    </row>
    <row r="429" spans="1:6" x14ac:dyDescent="0.25">
      <c r="A429" s="250">
        <v>8359752680</v>
      </c>
      <c r="B429">
        <v>10001717</v>
      </c>
      <c r="C429" t="s">
        <v>2188</v>
      </c>
      <c r="D429" s="280">
        <v>323533.33333333331</v>
      </c>
      <c r="E429" s="280">
        <v>323533.33333333331</v>
      </c>
      <c r="F429">
        <v>6</v>
      </c>
    </row>
    <row r="430" spans="1:6" x14ac:dyDescent="0.25">
      <c r="A430" s="250">
        <v>8429343245</v>
      </c>
      <c r="B430">
        <v>10000567</v>
      </c>
      <c r="C430" t="s">
        <v>1240</v>
      </c>
      <c r="D430" s="280">
        <v>341000</v>
      </c>
      <c r="E430" s="280">
        <v>341000</v>
      </c>
      <c r="F430">
        <v>6</v>
      </c>
    </row>
    <row r="431" spans="1:6" x14ac:dyDescent="0.25">
      <c r="A431" s="250">
        <v>8366163326</v>
      </c>
      <c r="B431">
        <v>10000517</v>
      </c>
      <c r="C431" t="s">
        <v>1214</v>
      </c>
      <c r="D431" s="280">
        <v>374200</v>
      </c>
      <c r="E431" s="280">
        <v>374200</v>
      </c>
      <c r="F431">
        <v>6</v>
      </c>
    </row>
    <row r="432" spans="1:6" x14ac:dyDescent="0.25">
      <c r="A432" s="250">
        <v>8309423470</v>
      </c>
      <c r="B432">
        <v>10001244</v>
      </c>
      <c r="C432" t="s">
        <v>1476</v>
      </c>
      <c r="D432" s="280">
        <v>1159880</v>
      </c>
      <c r="E432" s="280">
        <v>1159880</v>
      </c>
      <c r="F432">
        <v>5</v>
      </c>
    </row>
    <row r="433" spans="1:6" x14ac:dyDescent="0.25">
      <c r="A433" s="250">
        <v>8408820435</v>
      </c>
      <c r="B433">
        <v>10001934</v>
      </c>
      <c r="C433" t="s">
        <v>1773</v>
      </c>
      <c r="D433" s="280">
        <v>1045000</v>
      </c>
      <c r="E433" s="280">
        <v>1045000</v>
      </c>
      <c r="F433">
        <v>6</v>
      </c>
    </row>
    <row r="434" spans="1:6" x14ac:dyDescent="0.25">
      <c r="A434" s="250">
        <v>8411441628</v>
      </c>
      <c r="B434">
        <v>10000519</v>
      </c>
      <c r="C434" t="s">
        <v>1215</v>
      </c>
      <c r="D434" s="280">
        <v>911900</v>
      </c>
      <c r="E434" s="280">
        <v>911900</v>
      </c>
      <c r="F434">
        <v>6</v>
      </c>
    </row>
    <row r="435" spans="1:6" x14ac:dyDescent="0.25">
      <c r="A435" s="250">
        <v>8394663109</v>
      </c>
      <c r="B435">
        <v>10001637</v>
      </c>
      <c r="C435" t="s">
        <v>1589</v>
      </c>
      <c r="D435" s="280">
        <v>317266.66666666669</v>
      </c>
      <c r="E435" s="280">
        <v>317266.66666666669</v>
      </c>
      <c r="F435">
        <v>6</v>
      </c>
    </row>
    <row r="436" spans="1:6" x14ac:dyDescent="0.25">
      <c r="A436" s="250">
        <v>8381280249</v>
      </c>
      <c r="B436">
        <v>10000099</v>
      </c>
      <c r="C436" t="s">
        <v>2236</v>
      </c>
      <c r="D436" s="280">
        <v>426900</v>
      </c>
      <c r="E436" s="280">
        <v>426900</v>
      </c>
      <c r="F436">
        <v>6</v>
      </c>
    </row>
    <row r="437" spans="1:6" x14ac:dyDescent="0.25">
      <c r="A437" s="250">
        <v>8486551374</v>
      </c>
      <c r="B437">
        <v>10002020</v>
      </c>
      <c r="C437" t="s">
        <v>1832</v>
      </c>
      <c r="D437" s="280">
        <v>85000</v>
      </c>
      <c r="E437" s="280">
        <v>340000</v>
      </c>
      <c r="F437">
        <v>3</v>
      </c>
    </row>
    <row r="438" spans="1:6" x14ac:dyDescent="0.25">
      <c r="A438" s="250">
        <v>8392893409</v>
      </c>
      <c r="B438">
        <v>10000523</v>
      </c>
      <c r="C438" t="s">
        <v>2266</v>
      </c>
      <c r="D438" s="280">
        <v>358500</v>
      </c>
      <c r="E438" s="280">
        <v>358500</v>
      </c>
      <c r="F438">
        <v>6</v>
      </c>
    </row>
    <row r="439" spans="1:6" x14ac:dyDescent="0.25">
      <c r="A439" s="250">
        <v>8455681152</v>
      </c>
      <c r="B439">
        <v>10000956</v>
      </c>
      <c r="C439" t="s">
        <v>1386</v>
      </c>
      <c r="D439" s="280">
        <v>456666.66666666669</v>
      </c>
      <c r="E439" s="280">
        <v>456666.66666666669</v>
      </c>
      <c r="F439">
        <v>6</v>
      </c>
    </row>
    <row r="440" spans="1:6" x14ac:dyDescent="0.25">
      <c r="A440" s="250">
        <v>8451551351</v>
      </c>
      <c r="B440">
        <v>10001386</v>
      </c>
      <c r="C440" t="s">
        <v>2478</v>
      </c>
      <c r="D440" s="280">
        <v>226300</v>
      </c>
      <c r="E440" s="280">
        <v>301733.33333333331</v>
      </c>
      <c r="F440">
        <v>2</v>
      </c>
    </row>
    <row r="441" spans="1:6" x14ac:dyDescent="0.25">
      <c r="A441" s="250">
        <v>8422122847</v>
      </c>
      <c r="C441" t="s">
        <v>956</v>
      </c>
      <c r="D441" s="280">
        <v>837400</v>
      </c>
      <c r="E441" s="280">
        <v>837400</v>
      </c>
      <c r="F441">
        <v>6</v>
      </c>
    </row>
    <row r="442" spans="1:6" x14ac:dyDescent="0.25">
      <c r="A442" s="250">
        <v>8440460899</v>
      </c>
      <c r="B442">
        <v>10000963</v>
      </c>
      <c r="C442" t="s">
        <v>2427</v>
      </c>
      <c r="D442" s="280">
        <v>251933.33333333334</v>
      </c>
      <c r="E442" s="280">
        <v>251933.33333333334</v>
      </c>
      <c r="F442">
        <v>6</v>
      </c>
    </row>
    <row r="443" spans="1:6" x14ac:dyDescent="0.25">
      <c r="A443" s="250">
        <v>8367553926</v>
      </c>
      <c r="B443">
        <v>10001757</v>
      </c>
      <c r="C443" t="s">
        <v>2208</v>
      </c>
      <c r="D443" s="280">
        <v>299016.66666666669</v>
      </c>
      <c r="E443" s="280">
        <v>299016.66666666669</v>
      </c>
      <c r="F443">
        <v>6</v>
      </c>
    </row>
    <row r="444" spans="1:6" x14ac:dyDescent="0.25">
      <c r="A444" s="250">
        <v>8448060083</v>
      </c>
      <c r="B444">
        <v>10000961</v>
      </c>
      <c r="C444" t="s">
        <v>1389</v>
      </c>
      <c r="D444" s="280">
        <v>265233.33333333331</v>
      </c>
      <c r="E444" s="280">
        <v>265233.33333333331</v>
      </c>
      <c r="F444">
        <v>6</v>
      </c>
    </row>
    <row r="445" spans="1:6" x14ac:dyDescent="0.25">
      <c r="A445" s="250">
        <v>8350002298</v>
      </c>
      <c r="B445">
        <v>10000525</v>
      </c>
      <c r="C445" t="s">
        <v>1217</v>
      </c>
      <c r="D445" s="280">
        <v>300733.33333333331</v>
      </c>
      <c r="E445" s="280">
        <v>300733.33333333331</v>
      </c>
      <c r="F445">
        <v>6</v>
      </c>
    </row>
    <row r="446" spans="1:6" x14ac:dyDescent="0.25">
      <c r="A446" s="250">
        <v>8425662095</v>
      </c>
      <c r="B446">
        <v>10000526</v>
      </c>
      <c r="C446" t="s">
        <v>1218</v>
      </c>
      <c r="D446" s="280">
        <v>641333.33333333337</v>
      </c>
      <c r="E446" s="280">
        <v>641333.33333333337</v>
      </c>
      <c r="F446">
        <v>6</v>
      </c>
    </row>
    <row r="447" spans="1:6" x14ac:dyDescent="0.25">
      <c r="A447" s="250">
        <v>8355472470</v>
      </c>
      <c r="B447">
        <v>10000347</v>
      </c>
      <c r="C447" t="s">
        <v>2177</v>
      </c>
      <c r="D447" s="280">
        <v>495000</v>
      </c>
      <c r="E447" s="280">
        <v>495000</v>
      </c>
      <c r="F447">
        <v>6</v>
      </c>
    </row>
    <row r="448" spans="1:6" x14ac:dyDescent="0.25">
      <c r="A448" s="250">
        <v>8438652077</v>
      </c>
      <c r="B448">
        <v>10000984</v>
      </c>
      <c r="C448" t="s">
        <v>1398</v>
      </c>
      <c r="D448" s="280">
        <v>352000</v>
      </c>
      <c r="E448" s="280">
        <v>352000</v>
      </c>
      <c r="F448">
        <v>6</v>
      </c>
    </row>
    <row r="449" spans="1:6" x14ac:dyDescent="0.25">
      <c r="A449" s="250">
        <v>8406802103</v>
      </c>
      <c r="B449">
        <v>10000527</v>
      </c>
      <c r="C449" t="s">
        <v>1219</v>
      </c>
      <c r="D449" s="280">
        <v>319000</v>
      </c>
      <c r="E449" s="280">
        <v>319000</v>
      </c>
      <c r="F449">
        <v>6</v>
      </c>
    </row>
    <row r="450" spans="1:6" x14ac:dyDescent="0.25">
      <c r="A450" s="250">
        <v>8380182219</v>
      </c>
      <c r="B450">
        <v>10000528</v>
      </c>
      <c r="C450" t="s">
        <v>1222</v>
      </c>
      <c r="D450" s="280">
        <v>300000</v>
      </c>
      <c r="E450" s="280">
        <v>300000</v>
      </c>
      <c r="F450">
        <v>3</v>
      </c>
    </row>
    <row r="451" spans="1:6" x14ac:dyDescent="0.25">
      <c r="A451" s="250">
        <v>8462731127</v>
      </c>
      <c r="B451">
        <v>10001972</v>
      </c>
      <c r="C451" t="s">
        <v>2525</v>
      </c>
      <c r="D451" s="280">
        <v>240933.33333333334</v>
      </c>
      <c r="E451" s="280">
        <v>240933.33333333334</v>
      </c>
      <c r="F451">
        <v>6</v>
      </c>
    </row>
    <row r="452" spans="1:6" x14ac:dyDescent="0.25">
      <c r="A452" s="250">
        <v>8411391213</v>
      </c>
      <c r="B452">
        <v>10000530</v>
      </c>
      <c r="C452" t="s">
        <v>1224</v>
      </c>
      <c r="D452" s="280">
        <v>825000</v>
      </c>
      <c r="E452" s="280">
        <v>825000</v>
      </c>
      <c r="F452">
        <v>6</v>
      </c>
    </row>
    <row r="453" spans="1:6" x14ac:dyDescent="0.25">
      <c r="A453" s="250">
        <v>8446483645</v>
      </c>
      <c r="B453">
        <v>10001050</v>
      </c>
      <c r="C453" t="s">
        <v>2462</v>
      </c>
      <c r="D453" s="280">
        <v>240933.33333333334</v>
      </c>
      <c r="E453" s="280">
        <v>240933.33333333334</v>
      </c>
      <c r="F453">
        <v>6</v>
      </c>
    </row>
    <row r="454" spans="1:6" x14ac:dyDescent="0.25">
      <c r="A454" s="250">
        <v>8440643195</v>
      </c>
      <c r="B454">
        <v>10000348</v>
      </c>
      <c r="C454" t="s">
        <v>1110</v>
      </c>
      <c r="D454" s="280">
        <v>442083.33333333331</v>
      </c>
      <c r="E454" s="280">
        <v>442083.33333333331</v>
      </c>
      <c r="F454">
        <v>6</v>
      </c>
    </row>
    <row r="455" spans="1:6" x14ac:dyDescent="0.25">
      <c r="A455" s="250">
        <v>8354340740</v>
      </c>
      <c r="B455">
        <v>10000533</v>
      </c>
      <c r="C455" t="s">
        <v>1225</v>
      </c>
      <c r="D455" s="280">
        <v>340266.66666666669</v>
      </c>
      <c r="E455" s="280">
        <v>340266.66666666669</v>
      </c>
      <c r="F455">
        <v>6</v>
      </c>
    </row>
    <row r="456" spans="1:6" x14ac:dyDescent="0.25">
      <c r="A456" s="250">
        <v>8468170232</v>
      </c>
      <c r="B456">
        <v>10001626</v>
      </c>
      <c r="C456" t="s">
        <v>1585</v>
      </c>
      <c r="D456" s="280">
        <v>297000</v>
      </c>
      <c r="E456" s="280">
        <v>396000</v>
      </c>
      <c r="F456">
        <v>6</v>
      </c>
    </row>
    <row r="457" spans="1:6" x14ac:dyDescent="0.25">
      <c r="A457" s="250">
        <v>8431040599</v>
      </c>
      <c r="B457">
        <v>10000534</v>
      </c>
      <c r="C457" t="s">
        <v>2395</v>
      </c>
      <c r="D457" s="280">
        <v>371000</v>
      </c>
      <c r="E457" s="280">
        <v>371000</v>
      </c>
      <c r="F457">
        <v>6</v>
      </c>
    </row>
    <row r="458" spans="1:6" x14ac:dyDescent="0.25">
      <c r="A458" s="250">
        <v>8374392681</v>
      </c>
      <c r="B458">
        <v>10000535</v>
      </c>
      <c r="C458" t="s">
        <v>1227</v>
      </c>
      <c r="D458" s="280">
        <v>655000</v>
      </c>
      <c r="E458" s="280">
        <v>655000</v>
      </c>
      <c r="F458">
        <v>6</v>
      </c>
    </row>
    <row r="459" spans="1:6" x14ac:dyDescent="0.25">
      <c r="A459" s="250">
        <v>8432052701</v>
      </c>
      <c r="B459">
        <v>10000111</v>
      </c>
      <c r="C459" t="s">
        <v>962</v>
      </c>
      <c r="D459" s="280">
        <v>834120.66666666663</v>
      </c>
      <c r="E459" s="280">
        <v>834120.66666666663</v>
      </c>
      <c r="F459">
        <v>6</v>
      </c>
    </row>
    <row r="460" spans="1:6" x14ac:dyDescent="0.25">
      <c r="A460" s="250">
        <v>8405671307</v>
      </c>
      <c r="B460">
        <v>10000113</v>
      </c>
      <c r="C460" t="s">
        <v>2309</v>
      </c>
      <c r="D460" s="280">
        <v>786533.33333333337</v>
      </c>
      <c r="E460" s="280">
        <v>786533.33333333337</v>
      </c>
      <c r="F460">
        <v>6</v>
      </c>
    </row>
    <row r="461" spans="1:6" x14ac:dyDescent="0.25">
      <c r="A461" s="250">
        <v>8421612808</v>
      </c>
      <c r="B461">
        <v>10001481</v>
      </c>
      <c r="C461" t="s">
        <v>2368</v>
      </c>
      <c r="D461" s="280">
        <v>331633.33333333331</v>
      </c>
      <c r="E461" s="280">
        <v>331633.33333333331</v>
      </c>
      <c r="F461">
        <v>6</v>
      </c>
    </row>
    <row r="462" spans="1:6" x14ac:dyDescent="0.25">
      <c r="A462" s="250">
        <v>8423350061</v>
      </c>
      <c r="B462">
        <v>10000538</v>
      </c>
      <c r="C462" t="s">
        <v>2376</v>
      </c>
      <c r="D462" s="280">
        <v>308470</v>
      </c>
      <c r="E462" s="280">
        <v>308470</v>
      </c>
      <c r="F462">
        <v>6</v>
      </c>
    </row>
    <row r="463" spans="1:6" x14ac:dyDescent="0.25">
      <c r="A463" s="250">
        <v>8419652113</v>
      </c>
      <c r="B463">
        <v>10000539</v>
      </c>
      <c r="C463" t="s">
        <v>2362</v>
      </c>
      <c r="D463" s="280">
        <v>423533.33333333331</v>
      </c>
      <c r="E463" s="280">
        <v>423533.33333333331</v>
      </c>
      <c r="F463">
        <v>6</v>
      </c>
    </row>
    <row r="464" spans="1:6" x14ac:dyDescent="0.25">
      <c r="A464" s="250">
        <v>8357052797</v>
      </c>
      <c r="B464">
        <v>10000541</v>
      </c>
      <c r="C464" t="s">
        <v>1231</v>
      </c>
      <c r="D464" s="280">
        <v>330800</v>
      </c>
      <c r="E464" s="280">
        <v>330800</v>
      </c>
      <c r="F464">
        <v>6</v>
      </c>
    </row>
    <row r="465" spans="1:6" x14ac:dyDescent="0.25">
      <c r="A465" s="250">
        <v>8450510597</v>
      </c>
      <c r="B465">
        <v>10001989</v>
      </c>
      <c r="C465" t="s">
        <v>1808</v>
      </c>
      <c r="D465" s="280">
        <v>184840</v>
      </c>
      <c r="E465" s="280">
        <v>369680</v>
      </c>
      <c r="F465">
        <v>5</v>
      </c>
    </row>
    <row r="466" spans="1:6" x14ac:dyDescent="0.25">
      <c r="A466" s="250">
        <v>8396663947</v>
      </c>
      <c r="B466">
        <v>10001763</v>
      </c>
      <c r="C466" t="s">
        <v>2278</v>
      </c>
      <c r="D466" s="280">
        <v>387533.33333333331</v>
      </c>
      <c r="E466" s="280">
        <v>387533.33333333331</v>
      </c>
      <c r="F466">
        <v>6</v>
      </c>
    </row>
    <row r="467" spans="1:6" x14ac:dyDescent="0.25">
      <c r="A467" s="250">
        <v>8427980140</v>
      </c>
      <c r="B467">
        <v>10000889</v>
      </c>
      <c r="C467" t="s">
        <v>1364</v>
      </c>
      <c r="D467" s="280">
        <v>322500</v>
      </c>
      <c r="E467" s="280">
        <v>322500</v>
      </c>
      <c r="F467">
        <v>4</v>
      </c>
    </row>
    <row r="468" spans="1:6" x14ac:dyDescent="0.25">
      <c r="A468" s="250">
        <v>8357452329</v>
      </c>
      <c r="B468">
        <v>10000548</v>
      </c>
      <c r="C468" t="s">
        <v>1232</v>
      </c>
      <c r="D468" s="280">
        <v>328266.66666666669</v>
      </c>
      <c r="E468" s="280">
        <v>328266.66666666669</v>
      </c>
      <c r="F468">
        <v>6</v>
      </c>
    </row>
    <row r="469" spans="1:6" x14ac:dyDescent="0.25">
      <c r="A469" s="250">
        <v>8331062841</v>
      </c>
      <c r="B469">
        <v>10001702</v>
      </c>
      <c r="C469" t="s">
        <v>2124</v>
      </c>
      <c r="D469" s="280">
        <v>393400</v>
      </c>
      <c r="E469" s="280">
        <v>393400</v>
      </c>
      <c r="F469">
        <v>6</v>
      </c>
    </row>
    <row r="470" spans="1:6" x14ac:dyDescent="0.25">
      <c r="A470" s="250">
        <v>8486242665</v>
      </c>
      <c r="B470">
        <v>10001985</v>
      </c>
      <c r="C470" t="s">
        <v>1802</v>
      </c>
      <c r="D470" s="280">
        <v>302400</v>
      </c>
      <c r="E470" s="280">
        <v>302400</v>
      </c>
      <c r="F470">
        <v>5</v>
      </c>
    </row>
    <row r="471" spans="1:6" x14ac:dyDescent="0.25">
      <c r="A471" s="250">
        <v>8447411184</v>
      </c>
      <c r="B471">
        <v>10000549</v>
      </c>
      <c r="C471" t="s">
        <v>2466</v>
      </c>
      <c r="D471" s="280">
        <v>800500</v>
      </c>
      <c r="E471" s="280">
        <v>800500</v>
      </c>
      <c r="F471">
        <v>6</v>
      </c>
    </row>
    <row r="472" spans="1:6" x14ac:dyDescent="0.25">
      <c r="A472" s="250">
        <v>8471202522</v>
      </c>
      <c r="B472">
        <v>10001936</v>
      </c>
      <c r="C472" t="s">
        <v>1233</v>
      </c>
      <c r="D472" s="280">
        <v>375000</v>
      </c>
      <c r="E472" s="280">
        <v>375000</v>
      </c>
      <c r="F472">
        <v>3</v>
      </c>
    </row>
    <row r="473" spans="1:6" x14ac:dyDescent="0.25">
      <c r="A473" s="250">
        <v>8395674600</v>
      </c>
      <c r="B473">
        <v>10000550</v>
      </c>
      <c r="C473" t="s">
        <v>2271</v>
      </c>
      <c r="D473" s="280">
        <v>314236.66666666669</v>
      </c>
      <c r="E473" s="280">
        <v>314236.66666666669</v>
      </c>
      <c r="F473">
        <v>6</v>
      </c>
    </row>
    <row r="474" spans="1:6" x14ac:dyDescent="0.25">
      <c r="A474" s="250">
        <v>8410220024</v>
      </c>
      <c r="B474">
        <v>10000350</v>
      </c>
      <c r="C474" t="s">
        <v>1111</v>
      </c>
      <c r="D474" s="280">
        <v>582583.33333333337</v>
      </c>
      <c r="E474" s="280">
        <v>582583.33333333337</v>
      </c>
      <c r="F474">
        <v>6</v>
      </c>
    </row>
    <row r="475" spans="1:6" x14ac:dyDescent="0.25">
      <c r="A475" s="250">
        <v>8473562283</v>
      </c>
      <c r="B475">
        <v>10001831</v>
      </c>
      <c r="C475" t="s">
        <v>2548</v>
      </c>
      <c r="D475" s="280">
        <v>325000</v>
      </c>
      <c r="E475" s="280">
        <v>325000</v>
      </c>
      <c r="F475">
        <v>2</v>
      </c>
    </row>
    <row r="476" spans="1:6" x14ac:dyDescent="0.25">
      <c r="A476" s="250">
        <v>8470090275</v>
      </c>
      <c r="B476">
        <v>10001409</v>
      </c>
      <c r="C476" t="s">
        <v>2538</v>
      </c>
      <c r="D476" s="280">
        <v>350000</v>
      </c>
      <c r="E476" s="280">
        <v>350000</v>
      </c>
      <c r="F476">
        <v>2</v>
      </c>
    </row>
    <row r="477" spans="1:6" x14ac:dyDescent="0.25">
      <c r="A477" s="250">
        <v>8476162324</v>
      </c>
      <c r="B477">
        <v>10001410</v>
      </c>
      <c r="C477" t="s">
        <v>2550</v>
      </c>
      <c r="D477" s="280">
        <v>385000</v>
      </c>
      <c r="E477" s="280">
        <v>385000</v>
      </c>
      <c r="F477">
        <v>6</v>
      </c>
    </row>
    <row r="478" spans="1:6" x14ac:dyDescent="0.25">
      <c r="A478" s="250">
        <v>8446882825</v>
      </c>
      <c r="B478">
        <v>10001749</v>
      </c>
      <c r="C478" t="s">
        <v>2463</v>
      </c>
      <c r="D478" s="280">
        <v>240933.33333333334</v>
      </c>
      <c r="E478" s="280">
        <v>240933.33333333334</v>
      </c>
      <c r="F478">
        <v>6</v>
      </c>
    </row>
    <row r="479" spans="1:6" x14ac:dyDescent="0.25">
      <c r="A479" s="250">
        <v>8407181587</v>
      </c>
      <c r="B479">
        <v>10000124</v>
      </c>
      <c r="C479" t="s">
        <v>2313</v>
      </c>
      <c r="D479" s="280">
        <v>1123333.3333333333</v>
      </c>
      <c r="E479" s="280">
        <v>1123333.3333333333</v>
      </c>
      <c r="F479">
        <v>6</v>
      </c>
    </row>
    <row r="480" spans="1:6" x14ac:dyDescent="0.25">
      <c r="A480" s="250">
        <v>8330423271</v>
      </c>
      <c r="B480">
        <v>10001701</v>
      </c>
      <c r="C480" t="s">
        <v>2122</v>
      </c>
      <c r="D480" s="280">
        <v>277066.66666666669</v>
      </c>
      <c r="E480" s="280">
        <v>277066.66666666669</v>
      </c>
      <c r="F480">
        <v>6</v>
      </c>
    </row>
    <row r="481" spans="1:6" x14ac:dyDescent="0.25">
      <c r="A481" s="250">
        <v>8409311364</v>
      </c>
      <c r="B481">
        <v>10000557</v>
      </c>
      <c r="C481" t="s">
        <v>1236</v>
      </c>
      <c r="D481" s="280">
        <v>770000</v>
      </c>
      <c r="E481" s="280">
        <v>770000</v>
      </c>
      <c r="F481">
        <v>6</v>
      </c>
    </row>
    <row r="482" spans="1:6" x14ac:dyDescent="0.25">
      <c r="A482" s="250">
        <v>8344550599</v>
      </c>
      <c r="B482">
        <v>10000558</v>
      </c>
      <c r="C482" t="s">
        <v>1237</v>
      </c>
      <c r="D482" s="280">
        <v>340266.66666666669</v>
      </c>
      <c r="E482" s="280">
        <v>340266.66666666669</v>
      </c>
      <c r="F482">
        <v>6</v>
      </c>
    </row>
    <row r="483" spans="1:6" x14ac:dyDescent="0.25">
      <c r="A483" s="250">
        <v>8438330428</v>
      </c>
      <c r="B483">
        <v>10001744</v>
      </c>
      <c r="C483" t="s">
        <v>2418</v>
      </c>
      <c r="D483" s="280">
        <v>240933.33333333334</v>
      </c>
      <c r="E483" s="280">
        <v>240933.33333333334</v>
      </c>
      <c r="F483">
        <v>6</v>
      </c>
    </row>
    <row r="484" spans="1:6" x14ac:dyDescent="0.25">
      <c r="A484" s="250">
        <v>8464342063</v>
      </c>
      <c r="B484">
        <v>10001805</v>
      </c>
      <c r="C484" t="s">
        <v>1719</v>
      </c>
      <c r="D484" s="280">
        <v>307433.33333333331</v>
      </c>
      <c r="E484" s="280">
        <v>614866.66666666663</v>
      </c>
      <c r="F484">
        <v>6</v>
      </c>
    </row>
    <row r="485" spans="1:6" x14ac:dyDescent="0.25">
      <c r="A485" s="250">
        <v>8388324136</v>
      </c>
      <c r="B485">
        <v>10001914</v>
      </c>
      <c r="C485" t="s">
        <v>1761</v>
      </c>
      <c r="D485" s="280">
        <v>550000</v>
      </c>
      <c r="E485" s="280">
        <v>733333.33333333337</v>
      </c>
      <c r="F485">
        <v>6</v>
      </c>
    </row>
    <row r="486" spans="1:6" x14ac:dyDescent="0.25">
      <c r="A486" s="250">
        <v>8418153059</v>
      </c>
      <c r="B486">
        <v>10001259</v>
      </c>
      <c r="C486" t="s">
        <v>2358</v>
      </c>
      <c r="D486" s="280">
        <v>330000</v>
      </c>
      <c r="E486" s="280">
        <v>330000</v>
      </c>
      <c r="F486">
        <v>6</v>
      </c>
    </row>
    <row r="487" spans="1:6" x14ac:dyDescent="0.25">
      <c r="A487" s="250">
        <v>8432772577</v>
      </c>
      <c r="B487">
        <v>10000559</v>
      </c>
      <c r="C487" t="s">
        <v>1238</v>
      </c>
      <c r="D487" s="280">
        <v>460166.66666666669</v>
      </c>
      <c r="E487" s="280">
        <v>460166.66666666669</v>
      </c>
      <c r="F487">
        <v>6</v>
      </c>
    </row>
    <row r="488" spans="1:6" x14ac:dyDescent="0.25">
      <c r="A488" s="250">
        <v>8459031489</v>
      </c>
      <c r="B488">
        <v>10001690</v>
      </c>
      <c r="C488" t="s">
        <v>2509</v>
      </c>
      <c r="D488" s="280">
        <v>395000</v>
      </c>
      <c r="E488" s="280">
        <v>395000</v>
      </c>
      <c r="F488">
        <v>6</v>
      </c>
    </row>
    <row r="489" spans="1:6" x14ac:dyDescent="0.25">
      <c r="A489" s="250">
        <v>8469202529</v>
      </c>
      <c r="B489">
        <v>10001540</v>
      </c>
      <c r="C489" t="s">
        <v>1556</v>
      </c>
      <c r="D489" s="280">
        <v>326533.33333333331</v>
      </c>
      <c r="E489" s="280">
        <v>326533.33333333331</v>
      </c>
      <c r="F489">
        <v>6</v>
      </c>
    </row>
    <row r="490" spans="1:6" x14ac:dyDescent="0.25">
      <c r="A490" s="250">
        <v>8415312261</v>
      </c>
      <c r="B490">
        <v>10000987</v>
      </c>
      <c r="C490" t="s">
        <v>2348</v>
      </c>
      <c r="D490" s="280">
        <v>440000</v>
      </c>
      <c r="E490" s="280">
        <v>440000</v>
      </c>
      <c r="F490">
        <v>6</v>
      </c>
    </row>
    <row r="491" spans="1:6" x14ac:dyDescent="0.25">
      <c r="A491" s="250">
        <v>8427353219</v>
      </c>
      <c r="B491">
        <v>10001452</v>
      </c>
      <c r="C491" t="s">
        <v>2390</v>
      </c>
      <c r="D491" s="280">
        <v>337433.33333333331</v>
      </c>
      <c r="E491" s="280">
        <v>337433.33333333331</v>
      </c>
      <c r="F491">
        <v>6</v>
      </c>
    </row>
    <row r="492" spans="1:6" x14ac:dyDescent="0.25">
      <c r="A492" s="250">
        <v>8455343222</v>
      </c>
      <c r="B492">
        <v>10000939</v>
      </c>
      <c r="C492" t="s">
        <v>2488</v>
      </c>
      <c r="D492" s="280">
        <v>240933.33333333334</v>
      </c>
      <c r="E492" s="280">
        <v>240933.33333333334</v>
      </c>
      <c r="F492">
        <v>6</v>
      </c>
    </row>
    <row r="493" spans="1:6" x14ac:dyDescent="0.25">
      <c r="A493" s="250">
        <v>8404111863</v>
      </c>
      <c r="B493">
        <v>10001578</v>
      </c>
      <c r="C493" t="s">
        <v>1572</v>
      </c>
      <c r="D493" s="280">
        <v>495000</v>
      </c>
      <c r="E493" s="280">
        <v>495000</v>
      </c>
      <c r="F493">
        <v>6</v>
      </c>
    </row>
    <row r="494" spans="1:6" x14ac:dyDescent="0.25">
      <c r="A494" s="250">
        <v>8378563758</v>
      </c>
      <c r="B494">
        <v>10000569</v>
      </c>
      <c r="C494" t="s">
        <v>2232</v>
      </c>
      <c r="D494" s="280">
        <v>418000</v>
      </c>
      <c r="E494" s="280">
        <v>418000</v>
      </c>
      <c r="F494">
        <v>6</v>
      </c>
    </row>
    <row r="495" spans="1:6" x14ac:dyDescent="0.25">
      <c r="A495" s="250">
        <v>8486570808</v>
      </c>
      <c r="B495">
        <v>10001931</v>
      </c>
      <c r="C495" t="s">
        <v>2562</v>
      </c>
      <c r="D495" s="280">
        <v>275000</v>
      </c>
      <c r="E495" s="280">
        <v>275000</v>
      </c>
      <c r="F495">
        <v>6</v>
      </c>
    </row>
    <row r="496" spans="1:6" x14ac:dyDescent="0.25">
      <c r="A496" s="250">
        <v>8460470792</v>
      </c>
      <c r="B496">
        <v>10001788</v>
      </c>
      <c r="C496" t="s">
        <v>1709</v>
      </c>
      <c r="D496" s="280">
        <v>253450</v>
      </c>
      <c r="E496" s="280">
        <v>253450</v>
      </c>
      <c r="F496">
        <v>4</v>
      </c>
    </row>
    <row r="497" spans="1:6" x14ac:dyDescent="0.25">
      <c r="A497" s="250">
        <v>8426803148</v>
      </c>
      <c r="B497">
        <v>10000571</v>
      </c>
      <c r="C497" t="s">
        <v>1242</v>
      </c>
      <c r="D497" s="280">
        <v>542948.16666666663</v>
      </c>
      <c r="E497" s="280">
        <v>542948.16666666663</v>
      </c>
      <c r="F497">
        <v>6</v>
      </c>
    </row>
    <row r="498" spans="1:6" x14ac:dyDescent="0.25">
      <c r="A498" s="250">
        <v>8394092071</v>
      </c>
      <c r="B498">
        <v>10001017</v>
      </c>
      <c r="C498" t="s">
        <v>1408</v>
      </c>
      <c r="D498" s="280">
        <v>418000</v>
      </c>
      <c r="E498" s="280">
        <v>418000</v>
      </c>
      <c r="F498">
        <v>6</v>
      </c>
    </row>
    <row r="499" spans="1:6" x14ac:dyDescent="0.25">
      <c r="A499" s="250">
        <v>8462701147</v>
      </c>
      <c r="B499">
        <v>10001887</v>
      </c>
      <c r="C499" t="s">
        <v>1746</v>
      </c>
      <c r="D499" s="280">
        <v>357533.33333333331</v>
      </c>
      <c r="E499" s="280">
        <v>357533.33333333331</v>
      </c>
      <c r="F499">
        <v>6</v>
      </c>
    </row>
    <row r="500" spans="1:6" x14ac:dyDescent="0.25">
      <c r="A500" s="250">
        <v>8462721202</v>
      </c>
      <c r="B500">
        <v>10001130</v>
      </c>
      <c r="C500" t="s">
        <v>2524</v>
      </c>
      <c r="D500" s="280">
        <v>275000</v>
      </c>
      <c r="E500" s="280">
        <v>275000</v>
      </c>
      <c r="F500">
        <v>6</v>
      </c>
    </row>
    <row r="501" spans="1:6" x14ac:dyDescent="0.25">
      <c r="A501" s="250">
        <v>8340433393</v>
      </c>
      <c r="B501">
        <v>10001706</v>
      </c>
      <c r="C501" t="s">
        <v>2142</v>
      </c>
      <c r="D501" s="280">
        <v>331700</v>
      </c>
      <c r="E501" s="280">
        <v>331700</v>
      </c>
      <c r="F501">
        <v>6</v>
      </c>
    </row>
    <row r="502" spans="1:6" x14ac:dyDescent="0.25">
      <c r="A502" s="250">
        <v>8412964357</v>
      </c>
      <c r="B502">
        <v>10001258</v>
      </c>
      <c r="C502" t="s">
        <v>1479</v>
      </c>
      <c r="D502" s="280">
        <v>322500</v>
      </c>
      <c r="E502" s="280">
        <v>322500</v>
      </c>
      <c r="F502">
        <v>4</v>
      </c>
    </row>
    <row r="503" spans="1:6" x14ac:dyDescent="0.25">
      <c r="A503" s="250">
        <v>8425711185</v>
      </c>
      <c r="B503">
        <v>10001036</v>
      </c>
      <c r="C503" t="s">
        <v>1415</v>
      </c>
      <c r="D503" s="280">
        <v>240933.33333333334</v>
      </c>
      <c r="E503" s="280">
        <v>240933.33333333334</v>
      </c>
      <c r="F503">
        <v>6</v>
      </c>
    </row>
    <row r="504" spans="1:6" x14ac:dyDescent="0.25">
      <c r="A504" s="250">
        <v>8392552407</v>
      </c>
      <c r="B504">
        <v>10000131</v>
      </c>
      <c r="C504" t="s">
        <v>2265</v>
      </c>
      <c r="D504" s="280">
        <v>561000</v>
      </c>
      <c r="E504" s="280">
        <v>561000</v>
      </c>
      <c r="F504">
        <v>6</v>
      </c>
    </row>
    <row r="505" spans="1:6" x14ac:dyDescent="0.25">
      <c r="A505" s="250">
        <v>8365790491</v>
      </c>
      <c r="B505">
        <v>10000574</v>
      </c>
      <c r="C505" t="s">
        <v>1245</v>
      </c>
      <c r="D505" s="280">
        <v>339266.66666666669</v>
      </c>
      <c r="E505" s="280">
        <v>339266.66666666669</v>
      </c>
      <c r="F505">
        <v>6</v>
      </c>
    </row>
    <row r="506" spans="1:6" x14ac:dyDescent="0.25">
      <c r="A506" s="250">
        <v>8387393045</v>
      </c>
      <c r="B506">
        <v>10000575</v>
      </c>
      <c r="C506" t="s">
        <v>2247</v>
      </c>
      <c r="D506" s="280">
        <v>308166.66666666669</v>
      </c>
      <c r="E506" s="280">
        <v>308166.66666666669</v>
      </c>
      <c r="F506">
        <v>6</v>
      </c>
    </row>
    <row r="507" spans="1:6" x14ac:dyDescent="0.25">
      <c r="A507" s="250">
        <v>8365792761</v>
      </c>
      <c r="B507">
        <v>10001960</v>
      </c>
      <c r="C507" t="s">
        <v>1783</v>
      </c>
      <c r="D507" s="280">
        <v>204916.66666666666</v>
      </c>
      <c r="E507" s="280">
        <v>409833.33333333331</v>
      </c>
      <c r="F507">
        <v>6</v>
      </c>
    </row>
    <row r="508" spans="1:6" x14ac:dyDescent="0.25">
      <c r="A508" s="250">
        <v>8323705771</v>
      </c>
      <c r="B508">
        <v>10000133</v>
      </c>
      <c r="C508" t="s">
        <v>2113</v>
      </c>
      <c r="D508" s="280">
        <v>426900</v>
      </c>
      <c r="E508" s="280">
        <v>426900</v>
      </c>
      <c r="F508">
        <v>6</v>
      </c>
    </row>
    <row r="509" spans="1:6" x14ac:dyDescent="0.25">
      <c r="A509" s="250">
        <v>8470592335</v>
      </c>
      <c r="B509">
        <v>10001390</v>
      </c>
      <c r="C509" t="s">
        <v>1513</v>
      </c>
      <c r="D509" s="280">
        <v>154000</v>
      </c>
      <c r="E509" s="280">
        <v>308000</v>
      </c>
      <c r="F509">
        <v>6</v>
      </c>
    </row>
    <row r="510" spans="1:6" x14ac:dyDescent="0.25">
      <c r="A510" s="250">
        <v>8388670670</v>
      </c>
      <c r="B510">
        <v>10002030</v>
      </c>
      <c r="C510" t="s">
        <v>1842</v>
      </c>
      <c r="D510" s="280">
        <v>82500</v>
      </c>
      <c r="E510" s="280">
        <v>330000</v>
      </c>
      <c r="F510">
        <v>2</v>
      </c>
    </row>
    <row r="511" spans="1:6" x14ac:dyDescent="0.25">
      <c r="A511" s="250">
        <v>8446200813</v>
      </c>
      <c r="B511">
        <v>10001310</v>
      </c>
      <c r="C511" t="s">
        <v>2457</v>
      </c>
      <c r="D511" s="280">
        <v>341000</v>
      </c>
      <c r="E511" s="280">
        <v>341000</v>
      </c>
      <c r="F511">
        <v>6</v>
      </c>
    </row>
    <row r="512" spans="1:6" x14ac:dyDescent="0.25">
      <c r="A512" s="250">
        <v>8392460766</v>
      </c>
      <c r="B512">
        <v>10001922</v>
      </c>
      <c r="C512" t="s">
        <v>1767</v>
      </c>
      <c r="D512" s="280">
        <v>330000</v>
      </c>
      <c r="E512" s="280">
        <v>330000</v>
      </c>
      <c r="F512">
        <v>6</v>
      </c>
    </row>
    <row r="513" spans="1:6" x14ac:dyDescent="0.25">
      <c r="A513" s="250">
        <v>8471310406</v>
      </c>
      <c r="B513">
        <v>10001557</v>
      </c>
      <c r="C513" t="s">
        <v>1562</v>
      </c>
      <c r="D513" s="280">
        <v>244000</v>
      </c>
      <c r="E513" s="280">
        <v>244000</v>
      </c>
      <c r="F513">
        <v>6</v>
      </c>
    </row>
    <row r="514" spans="1:6" x14ac:dyDescent="0.25">
      <c r="A514" s="250">
        <v>8454431039</v>
      </c>
      <c r="B514">
        <v>10001231</v>
      </c>
      <c r="C514" t="s">
        <v>1472</v>
      </c>
      <c r="D514" s="280">
        <v>252433.33333333334</v>
      </c>
      <c r="E514" s="280">
        <v>252433.33333333334</v>
      </c>
      <c r="F514">
        <v>6</v>
      </c>
    </row>
    <row r="515" spans="1:6" x14ac:dyDescent="0.25">
      <c r="A515" s="250">
        <v>8472472035</v>
      </c>
      <c r="B515">
        <v>10001973</v>
      </c>
      <c r="C515" t="s">
        <v>2546</v>
      </c>
      <c r="D515" s="280">
        <v>240933.33333333334</v>
      </c>
      <c r="E515" s="280">
        <v>240933.33333333334</v>
      </c>
      <c r="F515">
        <v>6</v>
      </c>
    </row>
    <row r="516" spans="1:6" x14ac:dyDescent="0.25">
      <c r="A516" s="250">
        <v>8428730148</v>
      </c>
      <c r="B516">
        <v>10002028</v>
      </c>
      <c r="C516" t="s">
        <v>1840</v>
      </c>
      <c r="D516" s="280">
        <v>82500</v>
      </c>
      <c r="E516" s="280">
        <v>330000</v>
      </c>
      <c r="F516">
        <v>2</v>
      </c>
    </row>
    <row r="517" spans="1:6" x14ac:dyDescent="0.25">
      <c r="A517" s="250">
        <v>8436493206</v>
      </c>
      <c r="B517">
        <v>10002035</v>
      </c>
      <c r="C517" t="s">
        <v>1848</v>
      </c>
      <c r="D517" s="280">
        <v>82500</v>
      </c>
      <c r="E517" s="280">
        <v>330000</v>
      </c>
      <c r="F517">
        <v>2</v>
      </c>
    </row>
    <row r="518" spans="1:6" x14ac:dyDescent="0.25">
      <c r="A518" s="250">
        <v>8456992658</v>
      </c>
      <c r="B518">
        <v>10001898</v>
      </c>
      <c r="C518" t="s">
        <v>2499</v>
      </c>
      <c r="D518" s="280">
        <v>365333.33333333331</v>
      </c>
      <c r="E518" s="280">
        <v>365333.33333333331</v>
      </c>
      <c r="F518">
        <v>6</v>
      </c>
    </row>
    <row r="519" spans="1:6" x14ac:dyDescent="0.25">
      <c r="A519" s="250">
        <v>8342722945</v>
      </c>
      <c r="B519">
        <v>10000585</v>
      </c>
      <c r="C519" t="s">
        <v>1247</v>
      </c>
      <c r="D519" s="280">
        <v>218033.33333333334</v>
      </c>
      <c r="E519" s="280">
        <v>290711.11111111112</v>
      </c>
      <c r="F519">
        <v>6</v>
      </c>
    </row>
    <row r="520" spans="1:6" x14ac:dyDescent="0.25">
      <c r="A520" s="250">
        <v>8367913612</v>
      </c>
      <c r="B520">
        <v>10000586</v>
      </c>
      <c r="C520" t="s">
        <v>1250</v>
      </c>
      <c r="D520" s="280">
        <v>252900</v>
      </c>
      <c r="E520" s="280">
        <v>252900</v>
      </c>
      <c r="F520">
        <v>6</v>
      </c>
    </row>
    <row r="521" spans="1:6" x14ac:dyDescent="0.25">
      <c r="A521" s="250">
        <v>8363351288</v>
      </c>
      <c r="B521">
        <v>10000587</v>
      </c>
      <c r="C521" t="s">
        <v>1251</v>
      </c>
      <c r="D521" s="280">
        <v>352000</v>
      </c>
      <c r="E521" s="280">
        <v>352000</v>
      </c>
      <c r="F521">
        <v>6</v>
      </c>
    </row>
    <row r="522" spans="1:6" x14ac:dyDescent="0.25">
      <c r="A522" s="250">
        <v>8397883924</v>
      </c>
      <c r="B522">
        <v>10001835</v>
      </c>
      <c r="C522" t="s">
        <v>1734</v>
      </c>
      <c r="D522" s="280">
        <v>388000</v>
      </c>
      <c r="E522" s="280">
        <v>388000</v>
      </c>
      <c r="F522">
        <v>6</v>
      </c>
    </row>
    <row r="523" spans="1:6" x14ac:dyDescent="0.25">
      <c r="A523" s="250">
        <v>8381002001</v>
      </c>
      <c r="B523">
        <v>10001902</v>
      </c>
      <c r="C523" t="s">
        <v>1758</v>
      </c>
      <c r="D523" s="280">
        <v>109500</v>
      </c>
      <c r="E523" s="280">
        <v>219000</v>
      </c>
      <c r="F523">
        <v>3</v>
      </c>
    </row>
    <row r="524" spans="1:6" x14ac:dyDescent="0.25">
      <c r="A524" s="250">
        <v>8462260035</v>
      </c>
      <c r="B524">
        <v>10001467</v>
      </c>
      <c r="C524" t="s">
        <v>1541</v>
      </c>
      <c r="D524" s="280">
        <v>291050</v>
      </c>
      <c r="E524" s="280">
        <v>346700</v>
      </c>
      <c r="F524">
        <v>6</v>
      </c>
    </row>
    <row r="525" spans="1:6" x14ac:dyDescent="0.25">
      <c r="A525" s="250">
        <v>8415246099</v>
      </c>
      <c r="B525">
        <v>10001577</v>
      </c>
      <c r="C525" t="s">
        <v>1571</v>
      </c>
      <c r="D525" s="280">
        <v>414933.33333333331</v>
      </c>
      <c r="E525" s="280">
        <v>414933.33333333331</v>
      </c>
      <c r="F525">
        <v>6</v>
      </c>
    </row>
    <row r="526" spans="1:6" x14ac:dyDescent="0.25">
      <c r="A526" s="250">
        <v>8369201563</v>
      </c>
      <c r="B526">
        <v>10000139</v>
      </c>
      <c r="C526" t="s">
        <v>2213</v>
      </c>
      <c r="D526" s="280">
        <v>636566.66666666663</v>
      </c>
      <c r="E526" s="280">
        <v>636566.66666666663</v>
      </c>
      <c r="F526">
        <v>6</v>
      </c>
    </row>
    <row r="527" spans="1:6" x14ac:dyDescent="0.25">
      <c r="A527" s="250">
        <v>8341952432</v>
      </c>
      <c r="B527">
        <v>10000588</v>
      </c>
      <c r="C527" t="s">
        <v>1252</v>
      </c>
      <c r="D527" s="280">
        <v>306806.66666666669</v>
      </c>
      <c r="E527" s="280">
        <v>306806.66666666669</v>
      </c>
      <c r="F527">
        <v>6</v>
      </c>
    </row>
    <row r="528" spans="1:6" x14ac:dyDescent="0.25">
      <c r="A528" s="250">
        <v>8419021393</v>
      </c>
      <c r="B528">
        <v>10000988</v>
      </c>
      <c r="C528" t="s">
        <v>1400</v>
      </c>
      <c r="D528" s="280">
        <v>440000</v>
      </c>
      <c r="E528" s="280">
        <v>440000</v>
      </c>
      <c r="F528">
        <v>6</v>
      </c>
    </row>
    <row r="529" spans="1:6" x14ac:dyDescent="0.25">
      <c r="A529" s="250">
        <v>8459141144</v>
      </c>
      <c r="B529">
        <v>10001274</v>
      </c>
      <c r="C529" t="s">
        <v>2510</v>
      </c>
      <c r="D529" s="280">
        <v>284133.33333333331</v>
      </c>
      <c r="E529" s="280">
        <v>284133.33333333331</v>
      </c>
      <c r="F529">
        <v>6</v>
      </c>
    </row>
    <row r="530" spans="1:6" x14ac:dyDescent="0.25">
      <c r="A530" s="250">
        <v>8424630238</v>
      </c>
      <c r="B530">
        <v>10000589</v>
      </c>
      <c r="C530" t="s">
        <v>1253</v>
      </c>
      <c r="D530" s="280">
        <v>396000</v>
      </c>
      <c r="E530" s="280">
        <v>396000</v>
      </c>
      <c r="F530">
        <v>6</v>
      </c>
    </row>
    <row r="531" spans="1:6" x14ac:dyDescent="0.25">
      <c r="A531" s="250">
        <v>8399494542</v>
      </c>
      <c r="B531">
        <v>10001928</v>
      </c>
      <c r="C531" t="s">
        <v>1770</v>
      </c>
      <c r="D531" s="280">
        <v>330000</v>
      </c>
      <c r="E531" s="280">
        <v>330000</v>
      </c>
      <c r="F531">
        <v>6</v>
      </c>
    </row>
    <row r="532" spans="1:6" x14ac:dyDescent="0.25">
      <c r="A532" s="250">
        <v>8440551258</v>
      </c>
      <c r="B532">
        <v>10001025</v>
      </c>
      <c r="C532" t="s">
        <v>1410</v>
      </c>
      <c r="D532" s="280">
        <v>438916.66666666669</v>
      </c>
      <c r="E532" s="280">
        <v>438916.66666666669</v>
      </c>
      <c r="F532">
        <v>6</v>
      </c>
    </row>
    <row r="533" spans="1:6" x14ac:dyDescent="0.25">
      <c r="A533" s="250">
        <v>8476922108</v>
      </c>
      <c r="B533">
        <v>10001351</v>
      </c>
      <c r="C533" t="s">
        <v>2552</v>
      </c>
      <c r="D533" s="280">
        <v>275000</v>
      </c>
      <c r="E533" s="280">
        <v>275000</v>
      </c>
      <c r="F533">
        <v>6</v>
      </c>
    </row>
    <row r="534" spans="1:6" x14ac:dyDescent="0.25">
      <c r="A534" s="250">
        <v>8447572374</v>
      </c>
      <c r="B534">
        <v>10001830</v>
      </c>
      <c r="C534" t="s">
        <v>1733</v>
      </c>
      <c r="D534" s="280">
        <v>319000</v>
      </c>
      <c r="E534" s="280">
        <v>319000</v>
      </c>
      <c r="F534">
        <v>6</v>
      </c>
    </row>
    <row r="535" spans="1:6" x14ac:dyDescent="0.25">
      <c r="A535" s="250">
        <v>8469560212</v>
      </c>
      <c r="B535">
        <v>10001288</v>
      </c>
      <c r="C535" t="s">
        <v>2536</v>
      </c>
      <c r="D535" s="280">
        <v>646666.66666666663</v>
      </c>
      <c r="E535" s="280">
        <v>646666.66666666663</v>
      </c>
      <c r="F535">
        <v>6</v>
      </c>
    </row>
    <row r="536" spans="1:6" x14ac:dyDescent="0.25">
      <c r="A536" s="250">
        <v>8408141996</v>
      </c>
      <c r="B536">
        <v>10001462</v>
      </c>
      <c r="C536" t="s">
        <v>1539</v>
      </c>
      <c r="D536" s="280">
        <v>550000</v>
      </c>
      <c r="E536" s="280">
        <v>550000</v>
      </c>
      <c r="F536">
        <v>6</v>
      </c>
    </row>
    <row r="537" spans="1:6" x14ac:dyDescent="0.25">
      <c r="A537" s="250">
        <v>8457232983</v>
      </c>
      <c r="B537">
        <v>10001789</v>
      </c>
      <c r="C537" t="s">
        <v>2502</v>
      </c>
      <c r="D537" s="280">
        <v>261800</v>
      </c>
      <c r="E537" s="280">
        <v>261800</v>
      </c>
      <c r="F537">
        <v>1</v>
      </c>
    </row>
    <row r="538" spans="1:6" x14ac:dyDescent="0.25">
      <c r="A538" s="250">
        <v>8460750965</v>
      </c>
      <c r="B538">
        <v>10001425</v>
      </c>
      <c r="C538" t="s">
        <v>2516</v>
      </c>
      <c r="D538" s="280">
        <v>374000</v>
      </c>
      <c r="E538" s="280">
        <v>374000</v>
      </c>
      <c r="F538">
        <v>6</v>
      </c>
    </row>
    <row r="539" spans="1:6" x14ac:dyDescent="0.25">
      <c r="A539" s="250">
        <v>8431812710</v>
      </c>
      <c r="B539">
        <v>10001007</v>
      </c>
      <c r="C539" t="s">
        <v>1404</v>
      </c>
      <c r="D539" s="280">
        <v>480663.66666666669</v>
      </c>
      <c r="E539" s="280">
        <v>480663.66666666669</v>
      </c>
      <c r="F539">
        <v>6</v>
      </c>
    </row>
    <row r="540" spans="1:6" x14ac:dyDescent="0.25">
      <c r="A540" s="250">
        <v>8391860450</v>
      </c>
      <c r="B540">
        <v>10000593</v>
      </c>
      <c r="C540" t="s">
        <v>2260</v>
      </c>
      <c r="D540" s="280">
        <v>302533.33333333331</v>
      </c>
      <c r="E540" s="280">
        <v>302533.33333333331</v>
      </c>
      <c r="F540">
        <v>6</v>
      </c>
    </row>
    <row r="541" spans="1:6" x14ac:dyDescent="0.25">
      <c r="A541" s="250">
        <v>8467980052</v>
      </c>
      <c r="B541">
        <v>10001303</v>
      </c>
      <c r="C541" t="s">
        <v>2533</v>
      </c>
      <c r="D541" s="280">
        <v>240933.33333333334</v>
      </c>
      <c r="E541" s="280">
        <v>240933.33333333334</v>
      </c>
      <c r="F541">
        <v>6</v>
      </c>
    </row>
    <row r="542" spans="1:6" x14ac:dyDescent="0.25">
      <c r="A542" s="250">
        <v>8410762048</v>
      </c>
      <c r="B542">
        <v>10001694</v>
      </c>
      <c r="C542" t="s">
        <v>2329</v>
      </c>
      <c r="D542" s="280">
        <v>319600</v>
      </c>
      <c r="E542" s="280">
        <v>319600</v>
      </c>
      <c r="F542">
        <v>1</v>
      </c>
    </row>
    <row r="543" spans="1:6" x14ac:dyDescent="0.25">
      <c r="A543" s="250">
        <v>8405334394</v>
      </c>
      <c r="B543">
        <v>10000598</v>
      </c>
      <c r="C543" t="s">
        <v>1256</v>
      </c>
      <c r="D543" s="280">
        <v>280533.33333333331</v>
      </c>
      <c r="E543" s="280">
        <v>280533.33333333331</v>
      </c>
      <c r="F543">
        <v>6</v>
      </c>
    </row>
    <row r="544" spans="1:6" x14ac:dyDescent="0.25">
      <c r="A544" s="250">
        <v>8395304986</v>
      </c>
      <c r="B544">
        <v>10000143</v>
      </c>
      <c r="C544" t="s">
        <v>2268</v>
      </c>
      <c r="D544" s="280">
        <v>465300</v>
      </c>
      <c r="E544" s="280">
        <v>465300</v>
      </c>
      <c r="F544">
        <v>6</v>
      </c>
    </row>
    <row r="545" spans="1:6" x14ac:dyDescent="0.25">
      <c r="A545" s="250">
        <v>8426810039</v>
      </c>
      <c r="B545">
        <v>10000600</v>
      </c>
      <c r="C545" t="s">
        <v>2386</v>
      </c>
      <c r="D545" s="280">
        <v>538000</v>
      </c>
      <c r="E545" s="280">
        <v>538000</v>
      </c>
      <c r="F545">
        <v>2</v>
      </c>
    </row>
    <row r="546" spans="1:6" x14ac:dyDescent="0.25">
      <c r="A546" s="250">
        <v>8441310858</v>
      </c>
      <c r="B546">
        <v>10001134</v>
      </c>
      <c r="C546" t="s">
        <v>2434</v>
      </c>
      <c r="D546" s="280">
        <v>517000</v>
      </c>
      <c r="E546" s="280">
        <v>517000</v>
      </c>
      <c r="F546">
        <v>6</v>
      </c>
    </row>
    <row r="547" spans="1:6" x14ac:dyDescent="0.25">
      <c r="A547" s="250">
        <v>8430140549</v>
      </c>
      <c r="B547">
        <v>10001907</v>
      </c>
      <c r="C547" t="s">
        <v>2393</v>
      </c>
      <c r="D547" s="280">
        <v>126533.33333333333</v>
      </c>
      <c r="E547" s="280">
        <v>253066.66666666666</v>
      </c>
      <c r="F547">
        <v>6</v>
      </c>
    </row>
    <row r="548" spans="1:6" x14ac:dyDescent="0.25">
      <c r="A548" s="250">
        <v>8357182429</v>
      </c>
      <c r="B548">
        <v>10001715</v>
      </c>
      <c r="C548" t="s">
        <v>2181</v>
      </c>
      <c r="D548" s="280">
        <v>256933.33333333334</v>
      </c>
      <c r="E548" s="280">
        <v>256933.33333333334</v>
      </c>
      <c r="F548">
        <v>6</v>
      </c>
    </row>
    <row r="549" spans="1:6" x14ac:dyDescent="0.25">
      <c r="A549" s="250">
        <v>8389142244</v>
      </c>
      <c r="B549">
        <v>10000565</v>
      </c>
      <c r="C549" t="s">
        <v>2252</v>
      </c>
      <c r="D549" s="280">
        <v>418666.66666666669</v>
      </c>
      <c r="E549" s="280">
        <v>418666.66666666669</v>
      </c>
      <c r="F549">
        <v>6</v>
      </c>
    </row>
    <row r="550" spans="1:6" x14ac:dyDescent="0.25">
      <c r="A550" s="250">
        <v>8347962146</v>
      </c>
      <c r="B550">
        <v>10001710</v>
      </c>
      <c r="C550" t="s">
        <v>2152</v>
      </c>
      <c r="D550" s="280">
        <v>240933.33333333334</v>
      </c>
      <c r="E550" s="280">
        <v>240933.33333333334</v>
      </c>
      <c r="F550">
        <v>6</v>
      </c>
    </row>
    <row r="551" spans="1:6" x14ac:dyDescent="0.25">
      <c r="A551" s="250">
        <v>8401964733</v>
      </c>
      <c r="B551">
        <v>10000144</v>
      </c>
      <c r="C551" t="s">
        <v>988</v>
      </c>
      <c r="D551" s="280">
        <v>402433.33333333331</v>
      </c>
      <c r="E551" s="280">
        <v>402433.33333333331</v>
      </c>
      <c r="F551">
        <v>6</v>
      </c>
    </row>
    <row r="552" spans="1:6" x14ac:dyDescent="0.25">
      <c r="A552" s="250">
        <v>8446380846</v>
      </c>
      <c r="B552">
        <v>10000890</v>
      </c>
      <c r="C552" t="s">
        <v>2460</v>
      </c>
      <c r="D552" s="280">
        <v>244000</v>
      </c>
      <c r="E552" s="280">
        <v>244000</v>
      </c>
      <c r="F552">
        <v>6</v>
      </c>
    </row>
    <row r="553" spans="1:6" x14ac:dyDescent="0.25">
      <c r="A553" s="250">
        <v>8408294245</v>
      </c>
      <c r="B553">
        <v>10000145</v>
      </c>
      <c r="C553" t="s">
        <v>989</v>
      </c>
      <c r="D553" s="280">
        <v>340933.33333333331</v>
      </c>
      <c r="E553" s="280">
        <v>340933.33333333331</v>
      </c>
      <c r="F553">
        <v>6</v>
      </c>
    </row>
    <row r="554" spans="1:6" x14ac:dyDescent="0.25">
      <c r="A554" s="250">
        <v>8360241228</v>
      </c>
      <c r="B554">
        <v>10001807</v>
      </c>
      <c r="C554" t="s">
        <v>2191</v>
      </c>
      <c r="D554" s="280">
        <v>240933.33333333334</v>
      </c>
      <c r="E554" s="280">
        <v>240933.33333333334</v>
      </c>
      <c r="F554">
        <v>6</v>
      </c>
    </row>
    <row r="555" spans="1:6" x14ac:dyDescent="0.25">
      <c r="A555" s="250">
        <v>8374470305</v>
      </c>
      <c r="B555">
        <v>10000605</v>
      </c>
      <c r="C555" t="s">
        <v>1257</v>
      </c>
      <c r="D555" s="280">
        <v>495000</v>
      </c>
      <c r="E555" s="280">
        <v>495000</v>
      </c>
      <c r="F555">
        <v>6</v>
      </c>
    </row>
    <row r="556" spans="1:6" x14ac:dyDescent="0.25">
      <c r="A556" s="250">
        <v>8411870324</v>
      </c>
      <c r="B556">
        <v>10001456</v>
      </c>
      <c r="C556" t="s">
        <v>2336</v>
      </c>
      <c r="D556" s="280">
        <v>244000</v>
      </c>
      <c r="E556" s="280">
        <v>244000</v>
      </c>
      <c r="F556">
        <v>6</v>
      </c>
    </row>
    <row r="557" spans="1:6" x14ac:dyDescent="0.25">
      <c r="A557" s="250">
        <v>8446052717</v>
      </c>
      <c r="B557">
        <v>10001084</v>
      </c>
      <c r="C557" t="s">
        <v>2455</v>
      </c>
      <c r="D557" s="280">
        <v>698166.66666666663</v>
      </c>
      <c r="E557" s="280">
        <v>698166.66666666663</v>
      </c>
      <c r="F557">
        <v>6</v>
      </c>
    </row>
    <row r="558" spans="1:6" x14ac:dyDescent="0.25">
      <c r="A558" s="250">
        <v>8414452523</v>
      </c>
      <c r="B558">
        <v>10000606</v>
      </c>
      <c r="C558" t="s">
        <v>1260</v>
      </c>
      <c r="D558" s="280">
        <v>577610.33333333337</v>
      </c>
      <c r="E558" s="280">
        <v>577610.33333333337</v>
      </c>
      <c r="F558">
        <v>6</v>
      </c>
    </row>
    <row r="559" spans="1:6" x14ac:dyDescent="0.25">
      <c r="A559" s="250">
        <v>8377802570</v>
      </c>
      <c r="B559">
        <v>10000607</v>
      </c>
      <c r="C559" t="s">
        <v>2231</v>
      </c>
      <c r="D559" s="280">
        <v>367933.33333333331</v>
      </c>
      <c r="E559" s="280">
        <v>367933.33333333331</v>
      </c>
      <c r="F559">
        <v>6</v>
      </c>
    </row>
    <row r="560" spans="1:6" x14ac:dyDescent="0.25">
      <c r="A560" s="250">
        <v>8398461780</v>
      </c>
      <c r="B560">
        <v>10000608</v>
      </c>
      <c r="C560" t="s">
        <v>2284</v>
      </c>
      <c r="D560" s="280">
        <v>411966.66666666669</v>
      </c>
      <c r="E560" s="280">
        <v>411966.66666666669</v>
      </c>
      <c r="F560">
        <v>6</v>
      </c>
    </row>
    <row r="561" spans="1:6" x14ac:dyDescent="0.25">
      <c r="A561" s="250">
        <v>8456651230</v>
      </c>
      <c r="B561">
        <v>10001803</v>
      </c>
      <c r="C561" t="s">
        <v>2495</v>
      </c>
      <c r="D561" s="280">
        <v>350000</v>
      </c>
      <c r="E561" s="280">
        <v>350000</v>
      </c>
      <c r="F561">
        <v>1</v>
      </c>
    </row>
    <row r="562" spans="1:6" x14ac:dyDescent="0.25">
      <c r="A562" s="250">
        <v>8404660271</v>
      </c>
      <c r="B562">
        <v>10001352</v>
      </c>
      <c r="C562" t="s">
        <v>1507</v>
      </c>
      <c r="D562" s="280">
        <v>460300</v>
      </c>
      <c r="E562" s="280">
        <v>460300</v>
      </c>
      <c r="F562">
        <v>6</v>
      </c>
    </row>
    <row r="563" spans="1:6" x14ac:dyDescent="0.25">
      <c r="A563" s="250">
        <v>8353902435</v>
      </c>
      <c r="B563">
        <v>10001946</v>
      </c>
      <c r="C563" t="s">
        <v>2170</v>
      </c>
      <c r="D563" s="280">
        <v>470583.33333333331</v>
      </c>
      <c r="E563" s="280">
        <v>470583.33333333331</v>
      </c>
      <c r="F563">
        <v>6</v>
      </c>
    </row>
    <row r="564" spans="1:6" x14ac:dyDescent="0.25">
      <c r="A564" s="250">
        <v>8445030736</v>
      </c>
      <c r="B564">
        <v>10001975</v>
      </c>
      <c r="C564" t="s">
        <v>2449</v>
      </c>
      <c r="D564" s="280">
        <v>341000</v>
      </c>
      <c r="E564" s="280">
        <v>682000</v>
      </c>
      <c r="F564">
        <v>6</v>
      </c>
    </row>
    <row r="565" spans="1:6" x14ac:dyDescent="0.25">
      <c r="A565" s="250">
        <v>8477941602</v>
      </c>
      <c r="B565">
        <v>10002012</v>
      </c>
      <c r="C565" t="s">
        <v>1824</v>
      </c>
      <c r="D565" s="280">
        <v>105000</v>
      </c>
      <c r="E565" s="280">
        <v>420000</v>
      </c>
      <c r="F565">
        <v>3</v>
      </c>
    </row>
    <row r="566" spans="1:6" x14ac:dyDescent="0.25">
      <c r="A566" s="250">
        <v>8450130646</v>
      </c>
      <c r="B566">
        <v>10000967</v>
      </c>
      <c r="C566" t="s">
        <v>1394</v>
      </c>
      <c r="D566" s="280">
        <v>486100</v>
      </c>
      <c r="E566" s="280">
        <v>486100</v>
      </c>
      <c r="F566">
        <v>6</v>
      </c>
    </row>
    <row r="567" spans="1:6" x14ac:dyDescent="0.25">
      <c r="A567" s="250">
        <v>8456232890</v>
      </c>
      <c r="B567">
        <v>10001166</v>
      </c>
      <c r="C567" t="s">
        <v>2492</v>
      </c>
      <c r="D567" s="280">
        <v>252433.33333333334</v>
      </c>
      <c r="E567" s="280">
        <v>252433.33333333334</v>
      </c>
      <c r="F567">
        <v>6</v>
      </c>
    </row>
    <row r="568" spans="1:6" x14ac:dyDescent="0.25">
      <c r="A568" s="250">
        <v>8454981969</v>
      </c>
      <c r="B568">
        <v>10001999</v>
      </c>
      <c r="C568" t="s">
        <v>169</v>
      </c>
      <c r="D568" s="280">
        <v>300000</v>
      </c>
      <c r="E568" s="280">
        <v>300000</v>
      </c>
      <c r="F568">
        <v>4</v>
      </c>
    </row>
    <row r="569" spans="1:6" x14ac:dyDescent="0.25">
      <c r="A569" s="250">
        <v>8418113154</v>
      </c>
      <c r="B569">
        <v>10000612</v>
      </c>
      <c r="C569" t="s">
        <v>2357</v>
      </c>
      <c r="D569" s="280">
        <v>311303.33333333331</v>
      </c>
      <c r="E569" s="280">
        <v>311303.33333333331</v>
      </c>
      <c r="F569">
        <v>6</v>
      </c>
    </row>
    <row r="570" spans="1:6" x14ac:dyDescent="0.25">
      <c r="A570" s="250">
        <v>8408352725</v>
      </c>
      <c r="B570">
        <v>10001411</v>
      </c>
      <c r="C570" t="s">
        <v>2320</v>
      </c>
      <c r="D570" s="280">
        <v>407000</v>
      </c>
      <c r="E570" s="280">
        <v>407000</v>
      </c>
      <c r="F570">
        <v>6</v>
      </c>
    </row>
    <row r="571" spans="1:6" x14ac:dyDescent="0.25">
      <c r="A571" s="250">
        <v>8401062608</v>
      </c>
      <c r="B571">
        <v>10000615</v>
      </c>
      <c r="C571" t="s">
        <v>1265</v>
      </c>
      <c r="D571" s="280">
        <v>495000</v>
      </c>
      <c r="E571" s="280">
        <v>495000</v>
      </c>
      <c r="F571">
        <v>6</v>
      </c>
    </row>
    <row r="572" spans="1:6" x14ac:dyDescent="0.25">
      <c r="A572" s="250">
        <v>8458363844</v>
      </c>
      <c r="B572">
        <v>10001890</v>
      </c>
      <c r="C572" t="s">
        <v>2508</v>
      </c>
      <c r="D572" s="280">
        <v>157500</v>
      </c>
      <c r="E572" s="280">
        <v>315000</v>
      </c>
      <c r="F572">
        <v>6</v>
      </c>
    </row>
    <row r="573" spans="1:6" x14ac:dyDescent="0.25">
      <c r="A573" s="250">
        <v>8429333843</v>
      </c>
      <c r="B573">
        <v>10001133</v>
      </c>
      <c r="C573" t="s">
        <v>2392</v>
      </c>
      <c r="D573" s="280">
        <v>376666.66666666669</v>
      </c>
      <c r="E573" s="280">
        <v>376666.66666666669</v>
      </c>
      <c r="F573">
        <v>6</v>
      </c>
    </row>
    <row r="574" spans="1:6" x14ac:dyDescent="0.25">
      <c r="A574" s="250">
        <v>8374741791</v>
      </c>
      <c r="B574">
        <v>10000438</v>
      </c>
      <c r="C574" t="s">
        <v>1175</v>
      </c>
      <c r="D574" s="280">
        <v>430600</v>
      </c>
      <c r="E574" s="280">
        <v>430600</v>
      </c>
      <c r="F574">
        <v>6</v>
      </c>
    </row>
    <row r="575" spans="1:6" x14ac:dyDescent="0.25">
      <c r="A575" s="250">
        <v>8372192340</v>
      </c>
      <c r="B575">
        <v>10000153</v>
      </c>
      <c r="C575" t="s">
        <v>2216</v>
      </c>
      <c r="D575" s="280">
        <v>212100</v>
      </c>
      <c r="E575" s="280">
        <v>282800</v>
      </c>
      <c r="F575">
        <v>2</v>
      </c>
    </row>
    <row r="576" spans="1:6" x14ac:dyDescent="0.25">
      <c r="A576" s="250">
        <v>8423762033</v>
      </c>
      <c r="B576">
        <v>10000616</v>
      </c>
      <c r="C576" t="s">
        <v>2377</v>
      </c>
      <c r="D576" s="280">
        <v>295466.66666666669</v>
      </c>
      <c r="E576" s="280">
        <v>295466.66666666669</v>
      </c>
      <c r="F576">
        <v>6</v>
      </c>
    </row>
    <row r="577" spans="1:6" x14ac:dyDescent="0.25">
      <c r="A577" s="250">
        <v>8363073083</v>
      </c>
      <c r="B577">
        <v>10001773</v>
      </c>
      <c r="C577" t="s">
        <v>1702</v>
      </c>
      <c r="D577" s="280">
        <v>447733.33333333331</v>
      </c>
      <c r="E577" s="280">
        <v>447733.33333333331</v>
      </c>
      <c r="F577">
        <v>6</v>
      </c>
    </row>
    <row r="578" spans="1:6" x14ac:dyDescent="0.25">
      <c r="A578" s="250">
        <v>8329093492</v>
      </c>
      <c r="B578">
        <v>10001699</v>
      </c>
      <c r="C578" t="s">
        <v>2120</v>
      </c>
      <c r="D578" s="280">
        <v>244066.66666666666</v>
      </c>
      <c r="E578" s="280">
        <v>244066.66666666666</v>
      </c>
      <c r="F578">
        <v>6</v>
      </c>
    </row>
    <row r="579" spans="1:6" x14ac:dyDescent="0.25">
      <c r="A579" s="250">
        <v>8379181603</v>
      </c>
      <c r="B579">
        <v>10001167</v>
      </c>
      <c r="C579" t="s">
        <v>2233</v>
      </c>
      <c r="D579" s="280">
        <v>252433.33333333334</v>
      </c>
      <c r="E579" s="280">
        <v>252433.33333333334</v>
      </c>
      <c r="F579">
        <v>6</v>
      </c>
    </row>
    <row r="580" spans="1:6" x14ac:dyDescent="0.25">
      <c r="A580" s="250">
        <v>8450532272</v>
      </c>
      <c r="B580">
        <v>10001640</v>
      </c>
      <c r="C580" t="s">
        <v>1592</v>
      </c>
      <c r="D580" s="280">
        <v>264000</v>
      </c>
      <c r="E580" s="280">
        <v>264000</v>
      </c>
      <c r="F580">
        <v>6</v>
      </c>
    </row>
    <row r="581" spans="1:6" x14ac:dyDescent="0.25">
      <c r="A581" s="250">
        <v>8460780449</v>
      </c>
      <c r="B581">
        <v>10000977</v>
      </c>
      <c r="C581" t="s">
        <v>2517</v>
      </c>
      <c r="D581" s="280">
        <v>374000</v>
      </c>
      <c r="E581" s="280">
        <v>374000</v>
      </c>
      <c r="F581">
        <v>6</v>
      </c>
    </row>
    <row r="582" spans="1:6" x14ac:dyDescent="0.25">
      <c r="A582" s="250">
        <v>8408832921</v>
      </c>
      <c r="B582">
        <v>10000620</v>
      </c>
      <c r="C582" t="s">
        <v>2321</v>
      </c>
      <c r="D582" s="280">
        <v>412533.33333333331</v>
      </c>
      <c r="E582" s="280">
        <v>412533.33333333331</v>
      </c>
      <c r="F582">
        <v>6</v>
      </c>
    </row>
    <row r="583" spans="1:6" x14ac:dyDescent="0.25">
      <c r="A583" s="250">
        <v>8404433356</v>
      </c>
      <c r="B583">
        <v>10001385</v>
      </c>
      <c r="C583" t="s">
        <v>2303</v>
      </c>
      <c r="D583" s="280">
        <v>440000</v>
      </c>
      <c r="E583" s="280">
        <v>440000</v>
      </c>
      <c r="F583">
        <v>6</v>
      </c>
    </row>
    <row r="584" spans="1:6" x14ac:dyDescent="0.25">
      <c r="A584" s="250">
        <v>8465950113</v>
      </c>
      <c r="B584">
        <v>10001356</v>
      </c>
      <c r="C584" t="s">
        <v>1508</v>
      </c>
      <c r="D584" s="280">
        <v>397750</v>
      </c>
      <c r="E584" s="280">
        <v>397750</v>
      </c>
      <c r="F584">
        <v>4</v>
      </c>
    </row>
    <row r="585" spans="1:6" x14ac:dyDescent="0.25">
      <c r="A585" s="250">
        <v>8421062379</v>
      </c>
      <c r="B585">
        <v>10001566</v>
      </c>
      <c r="C585" t="s">
        <v>2367</v>
      </c>
      <c r="D585" s="280">
        <v>339266.66666666669</v>
      </c>
      <c r="E585" s="280">
        <v>339266.66666666669</v>
      </c>
      <c r="F585">
        <v>6</v>
      </c>
    </row>
    <row r="586" spans="1:6" x14ac:dyDescent="0.25">
      <c r="A586" s="250">
        <v>8437361664</v>
      </c>
      <c r="B586">
        <v>10000621</v>
      </c>
      <c r="C586" t="s">
        <v>1272</v>
      </c>
      <c r="D586" s="280">
        <v>497000</v>
      </c>
      <c r="E586" s="280">
        <v>497000</v>
      </c>
      <c r="F586">
        <v>6</v>
      </c>
    </row>
    <row r="587" spans="1:6" x14ac:dyDescent="0.25">
      <c r="A587" s="250">
        <v>8455192550</v>
      </c>
      <c r="B587">
        <v>10001988</v>
      </c>
      <c r="C587" t="s">
        <v>1807</v>
      </c>
      <c r="D587" s="280">
        <v>240933.33333333334</v>
      </c>
      <c r="E587" s="280">
        <v>240933.33333333334</v>
      </c>
      <c r="F587">
        <v>3</v>
      </c>
    </row>
    <row r="588" spans="1:6" x14ac:dyDescent="0.25">
      <c r="A588" s="250">
        <v>8409091712</v>
      </c>
      <c r="B588">
        <v>10000626</v>
      </c>
      <c r="C588" t="s">
        <v>2324</v>
      </c>
      <c r="D588" s="280">
        <v>395933.33333333331</v>
      </c>
      <c r="E588" s="280">
        <v>395933.33333333331</v>
      </c>
      <c r="F588">
        <v>6</v>
      </c>
    </row>
    <row r="589" spans="1:6" x14ac:dyDescent="0.25">
      <c r="A589" s="250">
        <v>8386143789</v>
      </c>
      <c r="B589">
        <v>10001674</v>
      </c>
      <c r="C589" t="s">
        <v>2242</v>
      </c>
      <c r="D589" s="280">
        <v>394266.66666666669</v>
      </c>
      <c r="E589" s="280">
        <v>394266.66666666669</v>
      </c>
      <c r="F589">
        <v>6</v>
      </c>
    </row>
    <row r="590" spans="1:6" x14ac:dyDescent="0.25">
      <c r="A590" s="250">
        <v>8331833333</v>
      </c>
      <c r="B590">
        <v>10000629</v>
      </c>
      <c r="C590" t="s">
        <v>2125</v>
      </c>
      <c r="D590" s="280">
        <v>426933.33333333331</v>
      </c>
      <c r="E590" s="280">
        <v>426933.33333333331</v>
      </c>
      <c r="F590">
        <v>6</v>
      </c>
    </row>
    <row r="591" spans="1:6" x14ac:dyDescent="0.25">
      <c r="A591" s="250">
        <v>8348612807</v>
      </c>
      <c r="B591">
        <v>10001300</v>
      </c>
      <c r="C591" t="s">
        <v>2155</v>
      </c>
      <c r="D591" s="280">
        <v>240933.33333333334</v>
      </c>
      <c r="E591" s="280">
        <v>240933.33333333334</v>
      </c>
      <c r="F591">
        <v>6</v>
      </c>
    </row>
    <row r="592" spans="1:6" x14ac:dyDescent="0.25">
      <c r="A592" s="250">
        <v>8471932784</v>
      </c>
      <c r="B592">
        <v>10001655</v>
      </c>
      <c r="C592" t="s">
        <v>2543</v>
      </c>
      <c r="D592" s="280">
        <v>278200</v>
      </c>
      <c r="E592" s="280">
        <v>278200</v>
      </c>
      <c r="F592">
        <v>6</v>
      </c>
    </row>
    <row r="593" spans="1:6" x14ac:dyDescent="0.25">
      <c r="A593" s="250">
        <v>8390182424</v>
      </c>
      <c r="B593">
        <v>10000169</v>
      </c>
      <c r="C593" t="s">
        <v>2255</v>
      </c>
      <c r="D593" s="280">
        <v>308933.33333333331</v>
      </c>
      <c r="E593" s="280">
        <v>308933.33333333331</v>
      </c>
      <c r="F593">
        <v>6</v>
      </c>
    </row>
    <row r="594" spans="1:6" x14ac:dyDescent="0.25">
      <c r="A594" s="250">
        <v>8415300794</v>
      </c>
      <c r="B594">
        <v>10000630</v>
      </c>
      <c r="C594" t="s">
        <v>2347</v>
      </c>
      <c r="D594" s="280">
        <v>278683.33333333331</v>
      </c>
      <c r="E594" s="280">
        <v>278683.33333333331</v>
      </c>
      <c r="F594">
        <v>6</v>
      </c>
    </row>
    <row r="595" spans="1:6" x14ac:dyDescent="0.25">
      <c r="A595" s="250">
        <v>8407251070</v>
      </c>
      <c r="B595">
        <v>10000631</v>
      </c>
      <c r="C595" t="s">
        <v>1277</v>
      </c>
      <c r="D595" s="280">
        <v>515000</v>
      </c>
      <c r="E595" s="280">
        <v>515000</v>
      </c>
      <c r="F595">
        <v>6</v>
      </c>
    </row>
    <row r="596" spans="1:6" x14ac:dyDescent="0.25">
      <c r="A596" s="250">
        <v>8459230287</v>
      </c>
      <c r="B596">
        <v>10001143</v>
      </c>
      <c r="C596" t="s">
        <v>1453</v>
      </c>
      <c r="D596" s="280">
        <v>385000</v>
      </c>
      <c r="E596" s="280">
        <v>385000</v>
      </c>
      <c r="F596">
        <v>6</v>
      </c>
    </row>
    <row r="597" spans="1:6" x14ac:dyDescent="0.25">
      <c r="A597" s="250">
        <v>8417951342</v>
      </c>
      <c r="B597">
        <v>10001505</v>
      </c>
      <c r="C597" t="s">
        <v>2356</v>
      </c>
      <c r="D597" s="280">
        <v>407000</v>
      </c>
      <c r="E597" s="280">
        <v>407000</v>
      </c>
      <c r="F597">
        <v>6</v>
      </c>
    </row>
    <row r="598" spans="1:6" x14ac:dyDescent="0.25">
      <c r="A598" s="250">
        <v>8381284139</v>
      </c>
      <c r="B598">
        <v>10001808</v>
      </c>
      <c r="C598" t="s">
        <v>1723</v>
      </c>
      <c r="D598" s="280">
        <v>470666.66666666669</v>
      </c>
      <c r="E598" s="280">
        <v>470666.66666666669</v>
      </c>
      <c r="F598">
        <v>6</v>
      </c>
    </row>
    <row r="599" spans="1:6" x14ac:dyDescent="0.25">
      <c r="A599" s="250">
        <v>8461011201</v>
      </c>
      <c r="B599">
        <v>10001624</v>
      </c>
      <c r="C599" t="s">
        <v>2518</v>
      </c>
      <c r="D599" s="280">
        <v>302533.33333333331</v>
      </c>
      <c r="E599" s="280">
        <v>302533.33333333331</v>
      </c>
      <c r="F599">
        <v>6</v>
      </c>
    </row>
    <row r="600" spans="1:6" x14ac:dyDescent="0.25">
      <c r="A600" s="250">
        <v>8479172010</v>
      </c>
      <c r="B600">
        <v>10000960</v>
      </c>
      <c r="C600" t="s">
        <v>2555</v>
      </c>
      <c r="D600" s="280">
        <v>319000</v>
      </c>
      <c r="E600" s="280">
        <v>319000</v>
      </c>
      <c r="F600">
        <v>6</v>
      </c>
    </row>
    <row r="601" spans="1:6" x14ac:dyDescent="0.25">
      <c r="A601" s="250">
        <v>8401584663</v>
      </c>
      <c r="B601">
        <v>10001250</v>
      </c>
      <c r="C601" t="s">
        <v>2294</v>
      </c>
      <c r="D601" s="280">
        <v>300000</v>
      </c>
      <c r="E601" s="280">
        <v>300000</v>
      </c>
      <c r="F601">
        <v>2</v>
      </c>
    </row>
    <row r="602" spans="1:6" x14ac:dyDescent="0.25">
      <c r="A602" s="250">
        <v>8456941492</v>
      </c>
      <c r="B602">
        <v>10001680</v>
      </c>
      <c r="C602" t="s">
        <v>2498</v>
      </c>
      <c r="D602" s="280">
        <v>609500</v>
      </c>
      <c r="E602" s="280">
        <v>609500</v>
      </c>
      <c r="F602">
        <v>6</v>
      </c>
    </row>
    <row r="603" spans="1:6" x14ac:dyDescent="0.25">
      <c r="A603" s="250">
        <v>8456490458</v>
      </c>
      <c r="B603">
        <v>10001844</v>
      </c>
      <c r="C603" t="s">
        <v>2493</v>
      </c>
      <c r="D603" s="280">
        <v>109500</v>
      </c>
      <c r="E603" s="280">
        <v>219000</v>
      </c>
      <c r="F603">
        <v>2</v>
      </c>
    </row>
    <row r="604" spans="1:6" x14ac:dyDescent="0.25">
      <c r="A604" s="250">
        <v>8416001936</v>
      </c>
      <c r="B604">
        <v>10001532</v>
      </c>
      <c r="C604" t="s">
        <v>1552</v>
      </c>
      <c r="D604" s="280">
        <v>350266.66666666669</v>
      </c>
      <c r="E604" s="280">
        <v>350266.66666666669</v>
      </c>
      <c r="F604">
        <v>6</v>
      </c>
    </row>
    <row r="605" spans="1:6" x14ac:dyDescent="0.25">
      <c r="A605" s="250">
        <v>8409820269</v>
      </c>
      <c r="B605">
        <v>10000636</v>
      </c>
      <c r="C605" t="s">
        <v>2327</v>
      </c>
      <c r="D605" s="280">
        <v>393333.33333333331</v>
      </c>
      <c r="E605" s="280">
        <v>393333.33333333331</v>
      </c>
      <c r="F605">
        <v>6</v>
      </c>
    </row>
    <row r="606" spans="1:6" x14ac:dyDescent="0.25">
      <c r="A606" s="250">
        <v>8331381300</v>
      </c>
      <c r="B606">
        <v>10000637</v>
      </c>
      <c r="C606" t="s">
        <v>1281</v>
      </c>
      <c r="D606" s="280">
        <v>340266.66666666669</v>
      </c>
      <c r="E606" s="280">
        <v>340266.66666666669</v>
      </c>
      <c r="F606">
        <v>6</v>
      </c>
    </row>
    <row r="607" spans="1:6" x14ac:dyDescent="0.25">
      <c r="A607" s="250">
        <v>8371473184</v>
      </c>
      <c r="B607">
        <v>10000638</v>
      </c>
      <c r="C607" t="s">
        <v>1282</v>
      </c>
      <c r="D607" s="280">
        <v>312200</v>
      </c>
      <c r="E607" s="280">
        <v>312200</v>
      </c>
      <c r="F607">
        <v>6</v>
      </c>
    </row>
    <row r="608" spans="1:6" x14ac:dyDescent="0.25">
      <c r="A608" s="250">
        <v>8407780618</v>
      </c>
      <c r="B608">
        <v>10001737</v>
      </c>
      <c r="C608" t="s">
        <v>2315</v>
      </c>
      <c r="D608" s="280">
        <v>345333.33333333331</v>
      </c>
      <c r="E608" s="280">
        <v>345333.33333333331</v>
      </c>
      <c r="F608">
        <v>6</v>
      </c>
    </row>
    <row r="609" spans="1:6" x14ac:dyDescent="0.25">
      <c r="A609" s="250">
        <v>8355333578</v>
      </c>
      <c r="B609">
        <v>10001712</v>
      </c>
      <c r="C609" t="s">
        <v>2176</v>
      </c>
      <c r="D609" s="280">
        <v>240933.33333333334</v>
      </c>
      <c r="E609" s="280">
        <v>240933.33333333334</v>
      </c>
      <c r="F609">
        <v>6</v>
      </c>
    </row>
    <row r="610" spans="1:6" x14ac:dyDescent="0.25">
      <c r="A610" s="250">
        <v>8465210845</v>
      </c>
      <c r="B610">
        <v>10002058</v>
      </c>
      <c r="C610" t="s">
        <v>1867</v>
      </c>
      <c r="D610" s="280">
        <v>200000</v>
      </c>
      <c r="E610" s="280">
        <v>266666.66666666669</v>
      </c>
      <c r="F610">
        <v>1</v>
      </c>
    </row>
    <row r="611" spans="1:6" x14ac:dyDescent="0.25">
      <c r="A611" s="250">
        <v>8427861834</v>
      </c>
      <c r="B611">
        <v>10001919</v>
      </c>
      <c r="C611" t="s">
        <v>1765</v>
      </c>
      <c r="D611" s="280">
        <v>341000</v>
      </c>
      <c r="E611" s="280">
        <v>341000</v>
      </c>
      <c r="F611">
        <v>6</v>
      </c>
    </row>
    <row r="612" spans="1:6" x14ac:dyDescent="0.25">
      <c r="A612" s="250">
        <v>8472651363</v>
      </c>
      <c r="B612">
        <v>10001984</v>
      </c>
      <c r="C612" t="s">
        <v>1801</v>
      </c>
      <c r="D612" s="280">
        <v>473000</v>
      </c>
      <c r="E612" s="280">
        <v>473000</v>
      </c>
      <c r="F612">
        <v>3</v>
      </c>
    </row>
    <row r="613" spans="1:6" x14ac:dyDescent="0.25">
      <c r="A613" s="250">
        <v>8318834208</v>
      </c>
      <c r="B613">
        <v>10002046</v>
      </c>
      <c r="C613" t="s">
        <v>1859</v>
      </c>
      <c r="D613" s="280">
        <v>150000</v>
      </c>
      <c r="E613" s="280">
        <v>300000</v>
      </c>
      <c r="F613">
        <v>2</v>
      </c>
    </row>
    <row r="614" spans="1:6" x14ac:dyDescent="0.25">
      <c r="A614" s="250">
        <v>8384415307</v>
      </c>
      <c r="B614">
        <v>10001888</v>
      </c>
      <c r="C614" t="s">
        <v>2240</v>
      </c>
      <c r="D614" s="280">
        <v>935000</v>
      </c>
      <c r="E614" s="280">
        <v>1246666.6666666667</v>
      </c>
      <c r="F614">
        <v>6</v>
      </c>
    </row>
    <row r="615" spans="1:6" x14ac:dyDescent="0.25">
      <c r="A615" s="250">
        <v>8401773423</v>
      </c>
      <c r="B615">
        <v>10000643</v>
      </c>
      <c r="C615" t="s">
        <v>1283</v>
      </c>
      <c r="D615" s="280">
        <v>649666.66666666663</v>
      </c>
      <c r="E615" s="280">
        <v>649666.66666666663</v>
      </c>
      <c r="F615">
        <v>6</v>
      </c>
    </row>
    <row r="616" spans="1:6" x14ac:dyDescent="0.25">
      <c r="A616" s="250">
        <v>8376711709</v>
      </c>
      <c r="B616">
        <v>10000355</v>
      </c>
      <c r="C616" t="s">
        <v>2226</v>
      </c>
      <c r="D616" s="280">
        <v>458066.66666666669</v>
      </c>
      <c r="E616" s="280">
        <v>458066.66666666669</v>
      </c>
      <c r="F616">
        <v>6</v>
      </c>
    </row>
    <row r="617" spans="1:6" x14ac:dyDescent="0.25">
      <c r="A617" s="250">
        <v>8457084143</v>
      </c>
      <c r="B617">
        <v>10001778</v>
      </c>
      <c r="C617" t="s">
        <v>2501</v>
      </c>
      <c r="D617" s="280">
        <v>385000</v>
      </c>
      <c r="E617" s="280">
        <v>385000</v>
      </c>
      <c r="F617">
        <v>6</v>
      </c>
    </row>
    <row r="618" spans="1:6" x14ac:dyDescent="0.25">
      <c r="A618" s="250">
        <v>8444752533</v>
      </c>
      <c r="B618">
        <v>10001431</v>
      </c>
      <c r="C618" t="s">
        <v>2447</v>
      </c>
      <c r="D618" s="280">
        <v>378000</v>
      </c>
      <c r="E618" s="280">
        <v>378000</v>
      </c>
      <c r="F618">
        <v>6</v>
      </c>
    </row>
    <row r="619" spans="1:6" x14ac:dyDescent="0.25">
      <c r="A619" s="250">
        <v>8354163245</v>
      </c>
      <c r="B619">
        <v>10001949</v>
      </c>
      <c r="C619" t="s">
        <v>2171</v>
      </c>
      <c r="D619" s="280">
        <v>322640</v>
      </c>
      <c r="E619" s="280">
        <v>322640</v>
      </c>
      <c r="F619">
        <v>5</v>
      </c>
    </row>
    <row r="620" spans="1:6" x14ac:dyDescent="0.25">
      <c r="A620" s="250">
        <v>8351943541</v>
      </c>
      <c r="B620">
        <v>10000648</v>
      </c>
      <c r="C620" t="s">
        <v>1284</v>
      </c>
      <c r="D620" s="280">
        <v>397333.33333333331</v>
      </c>
      <c r="E620" s="280">
        <v>397333.33333333331</v>
      </c>
      <c r="F620">
        <v>6</v>
      </c>
    </row>
    <row r="621" spans="1:6" x14ac:dyDescent="0.25">
      <c r="A621" s="250">
        <v>8355672534</v>
      </c>
      <c r="B621">
        <v>10002018</v>
      </c>
      <c r="C621" t="s">
        <v>1829</v>
      </c>
      <c r="D621" s="280">
        <v>280000</v>
      </c>
      <c r="E621" s="280">
        <v>280000</v>
      </c>
      <c r="F621">
        <v>3</v>
      </c>
    </row>
    <row r="622" spans="1:6" x14ac:dyDescent="0.25">
      <c r="A622" s="250">
        <v>8339973762</v>
      </c>
      <c r="B622">
        <v>10000940</v>
      </c>
      <c r="C622" t="s">
        <v>1383</v>
      </c>
      <c r="D622" s="280">
        <v>410166.66666666669</v>
      </c>
      <c r="E622" s="280">
        <v>569500</v>
      </c>
      <c r="F622">
        <v>6</v>
      </c>
    </row>
    <row r="623" spans="1:6" x14ac:dyDescent="0.25">
      <c r="A623" s="250">
        <v>8453751919</v>
      </c>
      <c r="B623">
        <v>10001751</v>
      </c>
      <c r="C623" t="s">
        <v>2485</v>
      </c>
      <c r="D623" s="280">
        <v>408200</v>
      </c>
      <c r="E623" s="280">
        <v>408200</v>
      </c>
      <c r="F623">
        <v>6</v>
      </c>
    </row>
    <row r="624" spans="1:6" x14ac:dyDescent="0.25">
      <c r="A624" s="250">
        <v>8479450444</v>
      </c>
      <c r="B624">
        <v>10002021</v>
      </c>
      <c r="C624" t="s">
        <v>2556</v>
      </c>
      <c r="D624" s="280">
        <v>82500</v>
      </c>
      <c r="E624" s="280">
        <v>330000</v>
      </c>
      <c r="F624">
        <v>2</v>
      </c>
    </row>
    <row r="625" spans="1:6" x14ac:dyDescent="0.25">
      <c r="A625" s="250">
        <v>8398334916</v>
      </c>
      <c r="B625">
        <v>10001642</v>
      </c>
      <c r="C625" t="s">
        <v>2283</v>
      </c>
      <c r="D625" s="280">
        <v>370666.66666666669</v>
      </c>
      <c r="E625" s="280">
        <v>370666.66666666669</v>
      </c>
      <c r="F625">
        <v>6</v>
      </c>
    </row>
    <row r="626" spans="1:6" x14ac:dyDescent="0.25">
      <c r="A626" s="250">
        <v>8446352656</v>
      </c>
      <c r="B626">
        <v>10001862</v>
      </c>
      <c r="C626" t="s">
        <v>2459</v>
      </c>
      <c r="D626" s="280">
        <v>221800</v>
      </c>
      <c r="E626" s="280">
        <v>221800</v>
      </c>
      <c r="F626">
        <v>1</v>
      </c>
    </row>
    <row r="627" spans="1:6" x14ac:dyDescent="0.25">
      <c r="A627" s="250">
        <v>8441091919</v>
      </c>
      <c r="B627">
        <v>10001745</v>
      </c>
      <c r="C627" t="s">
        <v>2433</v>
      </c>
      <c r="D627" s="280">
        <v>297066.66666666669</v>
      </c>
      <c r="E627" s="280">
        <v>297066.66666666669</v>
      </c>
      <c r="F627">
        <v>6</v>
      </c>
    </row>
    <row r="628" spans="1:6" x14ac:dyDescent="0.25">
      <c r="A628" s="250">
        <v>8477402981</v>
      </c>
      <c r="B628">
        <v>10001845</v>
      </c>
      <c r="C628" t="s">
        <v>1735</v>
      </c>
      <c r="D628" s="280">
        <v>131583.33333333334</v>
      </c>
      <c r="E628" s="280">
        <v>374066.66666666669</v>
      </c>
      <c r="F628">
        <v>6</v>
      </c>
    </row>
    <row r="629" spans="1:6" x14ac:dyDescent="0.25">
      <c r="A629" s="250">
        <v>8409162962</v>
      </c>
      <c r="B629">
        <v>10001605</v>
      </c>
      <c r="C629" t="s">
        <v>1576</v>
      </c>
      <c r="D629" s="280">
        <v>394266.66666666669</v>
      </c>
      <c r="E629" s="280">
        <v>394266.66666666669</v>
      </c>
      <c r="F629">
        <v>6</v>
      </c>
    </row>
    <row r="630" spans="1:6" x14ac:dyDescent="0.25">
      <c r="A630" s="250">
        <v>8429101519</v>
      </c>
      <c r="B630">
        <v>10000657</v>
      </c>
      <c r="C630" t="s">
        <v>1285</v>
      </c>
      <c r="D630" s="280">
        <v>797666.66666666663</v>
      </c>
      <c r="E630" s="280">
        <v>797666.66666666663</v>
      </c>
      <c r="F630">
        <v>6</v>
      </c>
    </row>
    <row r="631" spans="1:6" x14ac:dyDescent="0.25">
      <c r="A631" s="250">
        <v>8427202695</v>
      </c>
      <c r="B631">
        <v>10001011</v>
      </c>
      <c r="C631" t="s">
        <v>2389</v>
      </c>
      <c r="D631" s="280">
        <v>541000</v>
      </c>
      <c r="E631" s="280">
        <v>541000</v>
      </c>
      <c r="F631">
        <v>6</v>
      </c>
    </row>
    <row r="632" spans="1:6" x14ac:dyDescent="0.25">
      <c r="A632" s="250">
        <v>8445951254</v>
      </c>
      <c r="B632">
        <v>10001170</v>
      </c>
      <c r="C632" t="s">
        <v>2454</v>
      </c>
      <c r="D632" s="280">
        <v>244000</v>
      </c>
      <c r="E632" s="280">
        <v>244000</v>
      </c>
      <c r="F632">
        <v>6</v>
      </c>
    </row>
    <row r="633" spans="1:6" x14ac:dyDescent="0.25">
      <c r="A633" s="250">
        <v>8388983024</v>
      </c>
      <c r="B633">
        <v>10001042</v>
      </c>
      <c r="C633" t="s">
        <v>1420</v>
      </c>
      <c r="D633" s="280">
        <v>418000</v>
      </c>
      <c r="E633" s="280">
        <v>418000</v>
      </c>
      <c r="F633">
        <v>6</v>
      </c>
    </row>
    <row r="634" spans="1:6" x14ac:dyDescent="0.25">
      <c r="A634" s="250">
        <v>8398613750</v>
      </c>
      <c r="B634">
        <v>10000660</v>
      </c>
      <c r="C634" t="s">
        <v>1286</v>
      </c>
      <c r="D634" s="280">
        <v>346533.33333333331</v>
      </c>
      <c r="E634" s="280">
        <v>346533.33333333331</v>
      </c>
      <c r="F634">
        <v>6</v>
      </c>
    </row>
    <row r="635" spans="1:6" x14ac:dyDescent="0.25">
      <c r="A635" s="250">
        <v>8439632215</v>
      </c>
      <c r="B635">
        <v>10001338</v>
      </c>
      <c r="C635" t="s">
        <v>2425</v>
      </c>
      <c r="D635" s="280">
        <v>539666.66666666663</v>
      </c>
      <c r="E635" s="280">
        <v>539666.66666666663</v>
      </c>
      <c r="F635">
        <v>6</v>
      </c>
    </row>
    <row r="636" spans="1:6" x14ac:dyDescent="0.25">
      <c r="A636" s="250">
        <v>8425000386</v>
      </c>
      <c r="B636">
        <v>10001179</v>
      </c>
      <c r="C636" t="s">
        <v>1467</v>
      </c>
      <c r="D636" s="280">
        <v>382066.66666666669</v>
      </c>
      <c r="E636" s="280">
        <v>382066.66666666669</v>
      </c>
      <c r="F636">
        <v>6</v>
      </c>
    </row>
    <row r="637" spans="1:6" x14ac:dyDescent="0.25">
      <c r="A637" s="250">
        <v>8470952773</v>
      </c>
      <c r="B637">
        <v>10001942</v>
      </c>
      <c r="C637" t="s">
        <v>1776</v>
      </c>
      <c r="D637" s="280">
        <v>297000</v>
      </c>
      <c r="E637" s="280">
        <v>297000</v>
      </c>
      <c r="F637">
        <v>6</v>
      </c>
    </row>
    <row r="638" spans="1:6" x14ac:dyDescent="0.25">
      <c r="A638" s="250">
        <v>8347572488</v>
      </c>
      <c r="B638">
        <v>10001709</v>
      </c>
      <c r="C638" t="s">
        <v>2151</v>
      </c>
      <c r="D638" s="280">
        <v>240933.33333333334</v>
      </c>
      <c r="E638" s="280">
        <v>240933.33333333334</v>
      </c>
      <c r="F638">
        <v>6</v>
      </c>
    </row>
    <row r="639" spans="1:6" x14ac:dyDescent="0.25">
      <c r="A639" s="250">
        <v>8385382259</v>
      </c>
      <c r="B639">
        <v>10000661</v>
      </c>
      <c r="C639" t="s">
        <v>1287</v>
      </c>
      <c r="D639" s="280">
        <v>440000</v>
      </c>
      <c r="E639" s="280">
        <v>440000</v>
      </c>
      <c r="F639">
        <v>6</v>
      </c>
    </row>
    <row r="640" spans="1:6" x14ac:dyDescent="0.25">
      <c r="A640" s="250">
        <v>8440682115</v>
      </c>
      <c r="B640">
        <v>10000197</v>
      </c>
      <c r="C640" t="s">
        <v>2428</v>
      </c>
      <c r="D640" s="280">
        <v>528000</v>
      </c>
      <c r="E640" s="280">
        <v>528000</v>
      </c>
      <c r="F640">
        <v>6</v>
      </c>
    </row>
    <row r="641" spans="1:6" x14ac:dyDescent="0.25">
      <c r="A641" s="250">
        <v>8424321014</v>
      </c>
      <c r="B641">
        <v>10001970</v>
      </c>
      <c r="C641" t="s">
        <v>1787</v>
      </c>
      <c r="D641" s="280">
        <v>379533.33333333331</v>
      </c>
      <c r="E641" s="280">
        <v>379533.33333333331</v>
      </c>
      <c r="F641">
        <v>6</v>
      </c>
    </row>
    <row r="642" spans="1:6" x14ac:dyDescent="0.25">
      <c r="A642" s="250">
        <v>8414503373</v>
      </c>
      <c r="B642">
        <v>10000663</v>
      </c>
      <c r="C642" t="s">
        <v>1288</v>
      </c>
      <c r="D642" s="280">
        <v>273766.66666666669</v>
      </c>
      <c r="E642" s="280">
        <v>273766.66666666669</v>
      </c>
      <c r="F642">
        <v>6</v>
      </c>
    </row>
    <row r="643" spans="1:6" x14ac:dyDescent="0.25">
      <c r="A643" s="250">
        <v>8424730070</v>
      </c>
      <c r="B643">
        <v>10000665</v>
      </c>
      <c r="C643" t="s">
        <v>1289</v>
      </c>
      <c r="D643" s="280">
        <v>528133.33333333337</v>
      </c>
      <c r="E643" s="280">
        <v>528133.33333333337</v>
      </c>
      <c r="F643">
        <v>6</v>
      </c>
    </row>
    <row r="644" spans="1:6" x14ac:dyDescent="0.25">
      <c r="A644" s="250">
        <v>8381490405</v>
      </c>
      <c r="B644">
        <v>10000666</v>
      </c>
      <c r="C644" t="s">
        <v>1290</v>
      </c>
      <c r="D644" s="280">
        <v>498200</v>
      </c>
      <c r="E644" s="280">
        <v>498200</v>
      </c>
      <c r="F644">
        <v>6</v>
      </c>
    </row>
    <row r="645" spans="1:6" x14ac:dyDescent="0.25">
      <c r="A645" s="250">
        <v>8485391136</v>
      </c>
      <c r="B645">
        <v>10002049</v>
      </c>
      <c r="C645" t="s">
        <v>1861</v>
      </c>
      <c r="D645" s="280">
        <v>75000</v>
      </c>
      <c r="E645" s="280">
        <v>300000</v>
      </c>
      <c r="F645">
        <v>1</v>
      </c>
    </row>
    <row r="646" spans="1:6" x14ac:dyDescent="0.25">
      <c r="A646" s="250">
        <v>8434592517</v>
      </c>
      <c r="B646">
        <v>10001646</v>
      </c>
      <c r="C646" t="s">
        <v>1594</v>
      </c>
      <c r="D646" s="280">
        <v>357533.33333333331</v>
      </c>
      <c r="E646" s="280">
        <v>357533.33333333331</v>
      </c>
      <c r="F646">
        <v>6</v>
      </c>
    </row>
    <row r="647" spans="1:6" x14ac:dyDescent="0.25">
      <c r="A647" s="250">
        <v>8463393128</v>
      </c>
      <c r="B647">
        <v>10002057</v>
      </c>
      <c r="C647" t="s">
        <v>2526</v>
      </c>
      <c r="D647" s="280">
        <v>80150</v>
      </c>
      <c r="E647" s="280">
        <v>320600</v>
      </c>
      <c r="F647">
        <v>3</v>
      </c>
    </row>
    <row r="648" spans="1:6" x14ac:dyDescent="0.25">
      <c r="A648" s="250">
        <v>8432843334</v>
      </c>
      <c r="B648">
        <v>10000945</v>
      </c>
      <c r="C648" t="s">
        <v>2400</v>
      </c>
      <c r="D648" s="280">
        <v>423533.33333333331</v>
      </c>
      <c r="E648" s="280">
        <v>423533.33333333331</v>
      </c>
      <c r="F648">
        <v>6</v>
      </c>
    </row>
    <row r="649" spans="1:6" x14ac:dyDescent="0.25">
      <c r="A649" s="250">
        <v>8451324509</v>
      </c>
      <c r="B649">
        <v>10001863</v>
      </c>
      <c r="C649" t="s">
        <v>2477</v>
      </c>
      <c r="D649" s="280">
        <v>330000</v>
      </c>
      <c r="E649" s="280">
        <v>330000</v>
      </c>
      <c r="F649">
        <v>6</v>
      </c>
    </row>
    <row r="650" spans="1:6" x14ac:dyDescent="0.25">
      <c r="A650" s="250">
        <v>8452442041</v>
      </c>
      <c r="B650">
        <v>10001329</v>
      </c>
      <c r="C650" t="s">
        <v>1501</v>
      </c>
      <c r="D650" s="280">
        <v>440000</v>
      </c>
      <c r="E650" s="280">
        <v>440000</v>
      </c>
      <c r="F650">
        <v>6</v>
      </c>
    </row>
    <row r="651" spans="1:6" x14ac:dyDescent="0.25">
      <c r="A651" s="250">
        <v>8456811165</v>
      </c>
      <c r="B651">
        <v>10001032</v>
      </c>
      <c r="C651" t="s">
        <v>2496</v>
      </c>
      <c r="D651" s="280">
        <v>151500</v>
      </c>
      <c r="E651" s="280">
        <v>303000</v>
      </c>
      <c r="F651">
        <v>6</v>
      </c>
    </row>
    <row r="652" spans="1:6" x14ac:dyDescent="0.25">
      <c r="A652" s="250">
        <v>8473740297</v>
      </c>
      <c r="B652">
        <v>10002042</v>
      </c>
      <c r="C652" t="s">
        <v>1855</v>
      </c>
      <c r="D652" s="280">
        <v>219000</v>
      </c>
      <c r="E652" s="280">
        <v>219000</v>
      </c>
      <c r="F652">
        <v>2</v>
      </c>
    </row>
    <row r="653" spans="1:6" x14ac:dyDescent="0.25">
      <c r="A653" s="250">
        <v>8381124921</v>
      </c>
      <c r="B653">
        <v>10000670</v>
      </c>
      <c r="C653" t="s">
        <v>1291</v>
      </c>
      <c r="D653" s="280">
        <v>439400</v>
      </c>
      <c r="E653" s="280">
        <v>439400</v>
      </c>
      <c r="F653">
        <v>6</v>
      </c>
    </row>
    <row r="654" spans="1:6" x14ac:dyDescent="0.25">
      <c r="A654" s="250">
        <v>8419653322</v>
      </c>
      <c r="B654">
        <v>10001051</v>
      </c>
      <c r="C654" t="s">
        <v>2363</v>
      </c>
      <c r="D654" s="280">
        <v>363000</v>
      </c>
      <c r="E654" s="280">
        <v>363000</v>
      </c>
      <c r="F654">
        <v>6</v>
      </c>
    </row>
    <row r="655" spans="1:6" x14ac:dyDescent="0.25">
      <c r="A655" s="250">
        <v>8466610820</v>
      </c>
      <c r="B655">
        <v>10001675</v>
      </c>
      <c r="C655" t="s">
        <v>2531</v>
      </c>
      <c r="D655" s="280">
        <v>240933.33333333334</v>
      </c>
      <c r="E655" s="280">
        <v>240933.33333333334</v>
      </c>
      <c r="F655">
        <v>6</v>
      </c>
    </row>
    <row r="656" spans="1:6" x14ac:dyDescent="0.25">
      <c r="A656" s="250">
        <v>8445181513</v>
      </c>
      <c r="B656">
        <v>10001638</v>
      </c>
      <c r="C656" t="s">
        <v>1590</v>
      </c>
      <c r="D656" s="280">
        <v>466666.66666666669</v>
      </c>
      <c r="E656" s="280">
        <v>466666.66666666669</v>
      </c>
      <c r="F656">
        <v>6</v>
      </c>
    </row>
    <row r="657" spans="1:6" x14ac:dyDescent="0.25">
      <c r="A657" s="250">
        <v>8432950068</v>
      </c>
      <c r="B657">
        <v>10000671</v>
      </c>
      <c r="C657" t="s">
        <v>1292</v>
      </c>
      <c r="D657" s="280">
        <v>682000</v>
      </c>
      <c r="E657" s="280">
        <v>852500</v>
      </c>
      <c r="F657">
        <v>6</v>
      </c>
    </row>
    <row r="658" spans="1:6" x14ac:dyDescent="0.25">
      <c r="A658" s="250">
        <v>8439382790</v>
      </c>
      <c r="B658">
        <v>10001986</v>
      </c>
      <c r="C658" t="s">
        <v>2422</v>
      </c>
      <c r="D658" s="280">
        <v>464400</v>
      </c>
      <c r="E658" s="280">
        <v>464400</v>
      </c>
      <c r="F658">
        <v>5</v>
      </c>
    </row>
    <row r="659" spans="1:6" x14ac:dyDescent="0.25">
      <c r="A659" s="250">
        <v>8461870093</v>
      </c>
      <c r="B659">
        <v>10001101</v>
      </c>
      <c r="C659" t="s">
        <v>2523</v>
      </c>
      <c r="D659" s="280">
        <v>288766.66666666669</v>
      </c>
      <c r="E659" s="280">
        <v>288766.66666666669</v>
      </c>
      <c r="F659">
        <v>6</v>
      </c>
    </row>
    <row r="660" spans="1:6" x14ac:dyDescent="0.25">
      <c r="A660" s="250">
        <v>8329381064</v>
      </c>
      <c r="B660">
        <v>10000673</v>
      </c>
      <c r="C660" t="s">
        <v>1293</v>
      </c>
      <c r="D660" s="280">
        <v>340266.66666666669</v>
      </c>
      <c r="E660" s="280">
        <v>340266.66666666669</v>
      </c>
      <c r="F660">
        <v>6</v>
      </c>
    </row>
    <row r="661" spans="1:6" x14ac:dyDescent="0.25">
      <c r="A661" s="250">
        <v>8465870039</v>
      </c>
      <c r="B661">
        <v>10001543</v>
      </c>
      <c r="C661" t="s">
        <v>2530</v>
      </c>
      <c r="D661" s="280">
        <v>300000</v>
      </c>
      <c r="E661" s="280">
        <v>300000</v>
      </c>
      <c r="F661">
        <v>2</v>
      </c>
    </row>
    <row r="662" spans="1:6" x14ac:dyDescent="0.25">
      <c r="A662" s="250">
        <v>8459972100</v>
      </c>
      <c r="B662">
        <v>10001908</v>
      </c>
      <c r="C662" t="s">
        <v>1760</v>
      </c>
      <c r="D662" s="280">
        <v>220000</v>
      </c>
      <c r="E662" s="280">
        <v>293333.33333333331</v>
      </c>
      <c r="F662">
        <v>6</v>
      </c>
    </row>
    <row r="663" spans="1:6" x14ac:dyDescent="0.25">
      <c r="A663" s="250">
        <v>8482380842</v>
      </c>
      <c r="B663">
        <v>10001239</v>
      </c>
      <c r="C663" t="s">
        <v>2558</v>
      </c>
      <c r="D663" s="280">
        <v>341666.66666666669</v>
      </c>
      <c r="E663" s="280">
        <v>341666.66666666669</v>
      </c>
      <c r="F663">
        <v>6</v>
      </c>
    </row>
    <row r="664" spans="1:6" x14ac:dyDescent="0.25">
      <c r="A664" s="250">
        <v>8396281300</v>
      </c>
      <c r="B664">
        <v>10000677</v>
      </c>
      <c r="C664" t="s">
        <v>1294</v>
      </c>
      <c r="D664" s="280">
        <v>297000</v>
      </c>
      <c r="E664" s="280">
        <v>297000</v>
      </c>
      <c r="F664">
        <v>6</v>
      </c>
    </row>
    <row r="665" spans="1:6" x14ac:dyDescent="0.25">
      <c r="A665" s="250">
        <v>8446950472</v>
      </c>
      <c r="B665">
        <v>10001041</v>
      </c>
      <c r="C665" t="s">
        <v>2464</v>
      </c>
      <c r="D665" s="280">
        <v>495000</v>
      </c>
      <c r="E665" s="280">
        <v>495000</v>
      </c>
      <c r="F665">
        <v>6</v>
      </c>
    </row>
    <row r="666" spans="1:6" x14ac:dyDescent="0.25">
      <c r="A666" s="250">
        <v>8476222777</v>
      </c>
      <c r="B666">
        <v>10001569</v>
      </c>
      <c r="C666" t="s">
        <v>2551</v>
      </c>
      <c r="D666" s="280">
        <v>578666.66666666663</v>
      </c>
      <c r="E666" s="280">
        <v>578666.66666666663</v>
      </c>
      <c r="F666">
        <v>6</v>
      </c>
    </row>
    <row r="667" spans="1:6" x14ac:dyDescent="0.25">
      <c r="A667" s="250">
        <v>8437401119</v>
      </c>
      <c r="B667">
        <v>10000902</v>
      </c>
      <c r="C667" t="s">
        <v>1370</v>
      </c>
      <c r="D667" s="280">
        <v>440000</v>
      </c>
      <c r="E667" s="280">
        <v>440000</v>
      </c>
      <c r="F667">
        <v>6</v>
      </c>
    </row>
    <row r="668" spans="1:6" x14ac:dyDescent="0.25">
      <c r="A668" s="250">
        <v>8471092190</v>
      </c>
      <c r="B668">
        <v>10002003</v>
      </c>
      <c r="C668" t="s">
        <v>1814</v>
      </c>
      <c r="D668" s="280">
        <v>219000</v>
      </c>
      <c r="E668" s="280">
        <v>219000</v>
      </c>
      <c r="F668">
        <v>4</v>
      </c>
    </row>
    <row r="669" spans="1:6" x14ac:dyDescent="0.25">
      <c r="A669" s="250">
        <v>8363643505</v>
      </c>
      <c r="B669">
        <v>10001723</v>
      </c>
      <c r="C669" t="s">
        <v>2200</v>
      </c>
      <c r="D669" s="280">
        <v>314500</v>
      </c>
      <c r="E669" s="280">
        <v>314500</v>
      </c>
      <c r="F669">
        <v>6</v>
      </c>
    </row>
    <row r="670" spans="1:6" x14ac:dyDescent="0.25">
      <c r="A670" s="250">
        <v>8439813473</v>
      </c>
      <c r="B670">
        <v>10000682</v>
      </c>
      <c r="C670" t="s">
        <v>2426</v>
      </c>
      <c r="D670" s="280">
        <v>286000</v>
      </c>
      <c r="E670" s="280">
        <v>286000</v>
      </c>
      <c r="F670">
        <v>6</v>
      </c>
    </row>
    <row r="671" spans="1:6" x14ac:dyDescent="0.25">
      <c r="A671" s="250">
        <v>8403794029</v>
      </c>
      <c r="B671">
        <v>10001560</v>
      </c>
      <c r="C671" t="s">
        <v>1563</v>
      </c>
      <c r="D671" s="280">
        <v>399064.33333333331</v>
      </c>
      <c r="E671" s="280">
        <v>399064.33333333331</v>
      </c>
      <c r="F671">
        <v>6</v>
      </c>
    </row>
    <row r="672" spans="1:6" x14ac:dyDescent="0.25">
      <c r="A672" s="250">
        <v>8461383214</v>
      </c>
      <c r="B672">
        <v>10001654</v>
      </c>
      <c r="C672" t="s">
        <v>2519</v>
      </c>
      <c r="D672" s="280">
        <v>330000</v>
      </c>
      <c r="E672" s="280">
        <v>330000</v>
      </c>
      <c r="F672">
        <v>6</v>
      </c>
    </row>
    <row r="673" spans="1:6" x14ac:dyDescent="0.25">
      <c r="A673" s="250">
        <v>8440150547</v>
      </c>
      <c r="B673">
        <v>10001317</v>
      </c>
      <c r="C673" t="s">
        <v>1497</v>
      </c>
      <c r="D673" s="280">
        <v>301866.66666666669</v>
      </c>
      <c r="E673" s="280">
        <v>301866.66666666669</v>
      </c>
      <c r="F673">
        <v>6</v>
      </c>
    </row>
    <row r="674" spans="1:6" x14ac:dyDescent="0.25">
      <c r="A674" s="250">
        <v>8473390040</v>
      </c>
      <c r="B674">
        <v>10001667</v>
      </c>
      <c r="C674" t="s">
        <v>1607</v>
      </c>
      <c r="D674" s="280">
        <v>398833.33333333331</v>
      </c>
      <c r="E674" s="280">
        <v>398833.33333333331</v>
      </c>
      <c r="F674">
        <v>6</v>
      </c>
    </row>
    <row r="675" spans="1:6" x14ac:dyDescent="0.25">
      <c r="A675" s="250">
        <v>8473952286</v>
      </c>
      <c r="B675">
        <v>10002017</v>
      </c>
      <c r="C675" t="s">
        <v>1828</v>
      </c>
      <c r="D675" s="280">
        <v>250000</v>
      </c>
      <c r="E675" s="280">
        <v>250000</v>
      </c>
      <c r="F675">
        <v>3</v>
      </c>
    </row>
    <row r="676" spans="1:6" x14ac:dyDescent="0.25">
      <c r="A676" s="250">
        <v>8437330769</v>
      </c>
      <c r="B676">
        <v>10001648</v>
      </c>
      <c r="C676" t="s">
        <v>2414</v>
      </c>
      <c r="D676" s="280">
        <v>935000</v>
      </c>
      <c r="E676" s="280">
        <v>935000</v>
      </c>
      <c r="F676">
        <v>6</v>
      </c>
    </row>
    <row r="677" spans="1:6" x14ac:dyDescent="0.25">
      <c r="A677" s="250">
        <v>8446122928</v>
      </c>
      <c r="B677">
        <v>10001748</v>
      </c>
      <c r="C677" t="s">
        <v>2456</v>
      </c>
      <c r="D677" s="280">
        <v>387666.66666666669</v>
      </c>
      <c r="E677" s="280">
        <v>387666.66666666669</v>
      </c>
      <c r="F677">
        <v>6</v>
      </c>
    </row>
    <row r="678" spans="1:6" x14ac:dyDescent="0.25">
      <c r="A678" s="250">
        <v>8405600728</v>
      </c>
      <c r="B678">
        <v>10001460</v>
      </c>
      <c r="C678" t="s">
        <v>2308</v>
      </c>
      <c r="D678" s="280">
        <v>110000</v>
      </c>
      <c r="E678" s="280">
        <v>440000</v>
      </c>
      <c r="F678">
        <v>6</v>
      </c>
    </row>
    <row r="679" spans="1:6" x14ac:dyDescent="0.25">
      <c r="A679" s="250">
        <v>8449114357</v>
      </c>
      <c r="B679">
        <v>10002027</v>
      </c>
      <c r="C679" t="s">
        <v>1839</v>
      </c>
      <c r="D679" s="280">
        <v>82500</v>
      </c>
      <c r="E679" s="280">
        <v>330000</v>
      </c>
      <c r="F679">
        <v>2</v>
      </c>
    </row>
    <row r="680" spans="1:6" x14ac:dyDescent="0.25">
      <c r="A680" s="250">
        <v>8450852021</v>
      </c>
      <c r="B680">
        <v>10001486</v>
      </c>
      <c r="C680" t="s">
        <v>1547</v>
      </c>
      <c r="D680" s="280">
        <v>412533.33333333331</v>
      </c>
      <c r="E680" s="280">
        <v>412533.33333333331</v>
      </c>
      <c r="F680">
        <v>6</v>
      </c>
    </row>
    <row r="681" spans="1:6" x14ac:dyDescent="0.25">
      <c r="A681" s="250">
        <v>8362763639</v>
      </c>
      <c r="B681">
        <v>10000220</v>
      </c>
      <c r="C681" t="s">
        <v>2196</v>
      </c>
      <c r="D681" s="280">
        <v>710566.66666666663</v>
      </c>
      <c r="E681" s="280">
        <v>710566.66666666663</v>
      </c>
      <c r="F681">
        <v>6</v>
      </c>
    </row>
    <row r="682" spans="1:6" x14ac:dyDescent="0.25">
      <c r="A682" s="250">
        <v>8445414666</v>
      </c>
      <c r="B682">
        <v>10001545</v>
      </c>
      <c r="C682" t="s">
        <v>2452</v>
      </c>
      <c r="D682" s="280">
        <v>308000</v>
      </c>
      <c r="E682" s="280">
        <v>308000</v>
      </c>
      <c r="F682">
        <v>6</v>
      </c>
    </row>
    <row r="683" spans="1:6" x14ac:dyDescent="0.25">
      <c r="A683" s="250">
        <v>8406634006</v>
      </c>
      <c r="B683">
        <v>10000925</v>
      </c>
      <c r="C683" t="s">
        <v>2312</v>
      </c>
      <c r="D683" s="280">
        <v>385000</v>
      </c>
      <c r="E683" s="280">
        <v>385000</v>
      </c>
      <c r="F683">
        <v>6</v>
      </c>
    </row>
    <row r="684" spans="1:6" x14ac:dyDescent="0.25">
      <c r="A684" s="250">
        <v>8455620730</v>
      </c>
      <c r="B684">
        <v>10002011</v>
      </c>
      <c r="C684" t="s">
        <v>2489</v>
      </c>
      <c r="D684" s="280">
        <v>310000</v>
      </c>
      <c r="E684" s="280">
        <v>620000</v>
      </c>
      <c r="F684">
        <v>3</v>
      </c>
    </row>
    <row r="685" spans="1:6" x14ac:dyDescent="0.25">
      <c r="A685" s="250">
        <v>8418112433</v>
      </c>
      <c r="B685">
        <v>10001612</v>
      </c>
      <c r="C685" t="s">
        <v>1579</v>
      </c>
      <c r="D685" s="280">
        <v>385000</v>
      </c>
      <c r="E685" s="280">
        <v>385000</v>
      </c>
      <c r="F685">
        <v>6</v>
      </c>
    </row>
    <row r="686" spans="1:6" x14ac:dyDescent="0.25">
      <c r="A686" s="250">
        <v>8457292900</v>
      </c>
      <c r="B686">
        <v>10001615</v>
      </c>
      <c r="C686" t="s">
        <v>1581</v>
      </c>
      <c r="D686" s="280">
        <v>478333.33333333331</v>
      </c>
      <c r="E686" s="280">
        <v>478333.33333333331</v>
      </c>
      <c r="F686">
        <v>6</v>
      </c>
    </row>
    <row r="687" spans="1:6" x14ac:dyDescent="0.25">
      <c r="A687" s="250">
        <v>8365593564</v>
      </c>
      <c r="B687">
        <v>10002022</v>
      </c>
      <c r="C687" t="s">
        <v>1834</v>
      </c>
      <c r="D687" s="280">
        <v>82500</v>
      </c>
      <c r="E687" s="280">
        <v>330000</v>
      </c>
      <c r="F687">
        <v>2</v>
      </c>
    </row>
    <row r="688" spans="1:6" x14ac:dyDescent="0.25">
      <c r="A688" s="250">
        <v>8370633390</v>
      </c>
      <c r="B688">
        <v>10000698</v>
      </c>
      <c r="C688" t="s">
        <v>2214</v>
      </c>
      <c r="D688" s="280">
        <v>308000</v>
      </c>
      <c r="E688" s="280">
        <v>308000</v>
      </c>
      <c r="F688">
        <v>6</v>
      </c>
    </row>
    <row r="689" spans="1:6" x14ac:dyDescent="0.25">
      <c r="A689" s="250">
        <v>8452020228</v>
      </c>
      <c r="B689">
        <v>10001059</v>
      </c>
      <c r="C689" t="s">
        <v>2480</v>
      </c>
      <c r="D689" s="280">
        <v>569333.33333333337</v>
      </c>
      <c r="E689" s="280">
        <v>569333.33333333337</v>
      </c>
      <c r="F689">
        <v>6</v>
      </c>
    </row>
    <row r="690" spans="1:6" x14ac:dyDescent="0.25">
      <c r="A690" s="250">
        <v>8355271106</v>
      </c>
      <c r="B690">
        <v>10001464</v>
      </c>
      <c r="C690" t="s">
        <v>1540</v>
      </c>
      <c r="D690" s="280">
        <v>350266.66666666669</v>
      </c>
      <c r="E690" s="280">
        <v>350266.66666666669</v>
      </c>
      <c r="F690">
        <v>6</v>
      </c>
    </row>
    <row r="691" spans="1:6" x14ac:dyDescent="0.25">
      <c r="A691" s="250">
        <v>8448260430</v>
      </c>
      <c r="B691">
        <v>10000896</v>
      </c>
      <c r="C691" t="s">
        <v>2472</v>
      </c>
      <c r="D691" s="280">
        <v>411966.66666666669</v>
      </c>
      <c r="E691" s="280">
        <v>411966.66666666669</v>
      </c>
      <c r="F691">
        <v>6</v>
      </c>
    </row>
    <row r="692" spans="1:6" x14ac:dyDescent="0.25">
      <c r="A692" s="250">
        <v>8338131113</v>
      </c>
      <c r="B692">
        <v>10000700</v>
      </c>
      <c r="C692" t="s">
        <v>2139</v>
      </c>
      <c r="D692" s="280">
        <v>313533.33333333331</v>
      </c>
      <c r="E692" s="280">
        <v>313533.33333333331</v>
      </c>
      <c r="F692">
        <v>6</v>
      </c>
    </row>
    <row r="693" spans="1:6" x14ac:dyDescent="0.25">
      <c r="A693" s="250">
        <v>8404405506</v>
      </c>
      <c r="B693">
        <v>10001144</v>
      </c>
      <c r="C693" t="s">
        <v>2302</v>
      </c>
      <c r="D693" s="280">
        <v>288300</v>
      </c>
      <c r="E693" s="280">
        <v>288300</v>
      </c>
      <c r="F693">
        <v>1</v>
      </c>
    </row>
    <row r="694" spans="1:6" x14ac:dyDescent="0.25">
      <c r="A694" s="250">
        <v>8390832461</v>
      </c>
      <c r="B694">
        <v>10001756</v>
      </c>
      <c r="C694" t="s">
        <v>2258</v>
      </c>
      <c r="D694" s="280">
        <v>322066.66666666669</v>
      </c>
      <c r="E694" s="280">
        <v>322066.66666666669</v>
      </c>
      <c r="F694">
        <v>6</v>
      </c>
    </row>
    <row r="695" spans="1:6" x14ac:dyDescent="0.25">
      <c r="A695" s="250">
        <v>8451490050</v>
      </c>
      <c r="B695">
        <v>10002038</v>
      </c>
      <c r="C695" t="s">
        <v>1851</v>
      </c>
      <c r="D695" s="280">
        <v>400000</v>
      </c>
      <c r="E695" s="280">
        <v>400000</v>
      </c>
      <c r="F695">
        <v>2</v>
      </c>
    </row>
    <row r="696" spans="1:6" x14ac:dyDescent="0.25">
      <c r="A696" s="250">
        <v>8470232703</v>
      </c>
      <c r="B696">
        <v>10001361</v>
      </c>
      <c r="C696" t="s">
        <v>2539</v>
      </c>
      <c r="D696" s="280">
        <v>370000</v>
      </c>
      <c r="E696" s="280">
        <v>370000</v>
      </c>
      <c r="F696">
        <v>2</v>
      </c>
    </row>
    <row r="697" spans="1:6" x14ac:dyDescent="0.25">
      <c r="A697" s="250">
        <v>8440502516</v>
      </c>
      <c r="B697">
        <v>10002036</v>
      </c>
      <c r="C697" t="s">
        <v>1849</v>
      </c>
      <c r="D697" s="280">
        <v>300000</v>
      </c>
      <c r="E697" s="280">
        <v>300000</v>
      </c>
      <c r="F697">
        <v>2</v>
      </c>
    </row>
    <row r="698" spans="1:6" x14ac:dyDescent="0.25">
      <c r="A698" s="250">
        <v>8389222558</v>
      </c>
      <c r="B698">
        <v>10000705</v>
      </c>
      <c r="C698" t="s">
        <v>1298</v>
      </c>
      <c r="D698" s="280">
        <v>361266.66666666669</v>
      </c>
      <c r="E698" s="280">
        <v>361266.66666666669</v>
      </c>
      <c r="F698">
        <v>6</v>
      </c>
    </row>
    <row r="699" spans="1:6" x14ac:dyDescent="0.25">
      <c r="A699" s="250">
        <v>8376974440</v>
      </c>
      <c r="B699">
        <v>10001434</v>
      </c>
      <c r="C699" t="s">
        <v>1528</v>
      </c>
      <c r="D699" s="280">
        <v>350266.66666666669</v>
      </c>
      <c r="E699" s="280">
        <v>350266.66666666669</v>
      </c>
      <c r="F699">
        <v>6</v>
      </c>
    </row>
    <row r="700" spans="1:6" x14ac:dyDescent="0.25">
      <c r="A700" s="250">
        <v>8408011464</v>
      </c>
      <c r="B700">
        <v>10001235</v>
      </c>
      <c r="C700" t="s">
        <v>1474</v>
      </c>
      <c r="D700" s="280">
        <v>1320000</v>
      </c>
      <c r="E700" s="280">
        <v>1320000</v>
      </c>
      <c r="F700">
        <v>6</v>
      </c>
    </row>
    <row r="701" spans="1:6" x14ac:dyDescent="0.25">
      <c r="A701" s="250">
        <v>8389721899</v>
      </c>
      <c r="B701">
        <v>10000227</v>
      </c>
      <c r="C701" t="s">
        <v>2254</v>
      </c>
      <c r="D701" s="280">
        <v>471200</v>
      </c>
      <c r="E701" s="280">
        <v>471200</v>
      </c>
      <c r="F701">
        <v>2</v>
      </c>
    </row>
    <row r="702" spans="1:6" x14ac:dyDescent="0.25">
      <c r="A702" s="250">
        <v>8456822582</v>
      </c>
      <c r="B702">
        <v>10001809</v>
      </c>
      <c r="C702" t="s">
        <v>2497</v>
      </c>
      <c r="D702" s="280">
        <v>177000</v>
      </c>
      <c r="E702" s="280">
        <v>354000</v>
      </c>
      <c r="F702">
        <v>6</v>
      </c>
    </row>
    <row r="703" spans="1:6" x14ac:dyDescent="0.25">
      <c r="A703" s="250">
        <v>8409092557</v>
      </c>
      <c r="B703">
        <v>10001077</v>
      </c>
      <c r="C703" t="s">
        <v>195</v>
      </c>
      <c r="D703" s="280">
        <v>880000</v>
      </c>
      <c r="E703" s="280">
        <v>880000</v>
      </c>
      <c r="F703">
        <v>6</v>
      </c>
    </row>
    <row r="704" spans="1:6" x14ac:dyDescent="0.25">
      <c r="A704" s="250">
        <v>8443330120</v>
      </c>
      <c r="B704">
        <v>10000875</v>
      </c>
      <c r="C704" t="s">
        <v>2443</v>
      </c>
      <c r="D704" s="280">
        <v>847533.33333333337</v>
      </c>
      <c r="E704" s="280">
        <v>847533.33333333337</v>
      </c>
      <c r="F704">
        <v>6</v>
      </c>
    </row>
    <row r="705" spans="1:6" x14ac:dyDescent="0.25">
      <c r="A705" s="250">
        <v>8465090238</v>
      </c>
      <c r="B705">
        <v>10001816</v>
      </c>
      <c r="C705" t="s">
        <v>1729</v>
      </c>
      <c r="D705" s="280">
        <v>394266.66666666669</v>
      </c>
      <c r="E705" s="280">
        <v>394266.66666666669</v>
      </c>
      <c r="F705">
        <v>6</v>
      </c>
    </row>
    <row r="706" spans="1:6" x14ac:dyDescent="0.25">
      <c r="A706" s="250">
        <v>8418640162</v>
      </c>
      <c r="B706">
        <v>10001093</v>
      </c>
      <c r="C706" t="s">
        <v>2360</v>
      </c>
      <c r="D706" s="280">
        <v>528000</v>
      </c>
      <c r="E706" s="280">
        <v>528000</v>
      </c>
      <c r="F706">
        <v>6</v>
      </c>
    </row>
    <row r="707" spans="1:6" x14ac:dyDescent="0.25">
      <c r="A707" s="250">
        <v>8429253254</v>
      </c>
      <c r="B707">
        <v>10001792</v>
      </c>
      <c r="C707" t="s">
        <v>1711</v>
      </c>
      <c r="D707" s="280">
        <v>340833.33333333331</v>
      </c>
      <c r="E707" s="280">
        <v>340833.33333333331</v>
      </c>
      <c r="F707">
        <v>6</v>
      </c>
    </row>
    <row r="708" spans="1:6" x14ac:dyDescent="0.25">
      <c r="A708" s="250">
        <v>8439311400</v>
      </c>
      <c r="B708">
        <v>10002029</v>
      </c>
      <c r="C708" t="s">
        <v>1841</v>
      </c>
      <c r="D708" s="280">
        <v>82500</v>
      </c>
      <c r="E708" s="280">
        <v>330000</v>
      </c>
      <c r="F708">
        <v>2</v>
      </c>
    </row>
    <row r="709" spans="1:6" x14ac:dyDescent="0.25">
      <c r="A709" s="250">
        <v>8387485616</v>
      </c>
      <c r="B709">
        <v>10001814</v>
      </c>
      <c r="C709" t="s">
        <v>2248</v>
      </c>
      <c r="D709" s="280">
        <v>330000</v>
      </c>
      <c r="E709" s="280">
        <v>660000</v>
      </c>
      <c r="F709">
        <v>6</v>
      </c>
    </row>
    <row r="710" spans="1:6" x14ac:dyDescent="0.25">
      <c r="A710" s="250">
        <v>8488942230</v>
      </c>
      <c r="B710">
        <v>10002019</v>
      </c>
      <c r="C710" t="s">
        <v>1830</v>
      </c>
      <c r="D710" s="280">
        <v>300000</v>
      </c>
      <c r="E710" s="280">
        <v>300000</v>
      </c>
      <c r="F710">
        <v>3</v>
      </c>
    </row>
    <row r="711" spans="1:6" x14ac:dyDescent="0.25">
      <c r="A711" s="250">
        <v>8361081690</v>
      </c>
      <c r="B711">
        <v>10000715</v>
      </c>
      <c r="C711" t="s">
        <v>1299</v>
      </c>
      <c r="D711" s="280">
        <v>250500</v>
      </c>
      <c r="E711" s="280">
        <v>250500</v>
      </c>
      <c r="F711">
        <v>6</v>
      </c>
    </row>
    <row r="712" spans="1:6" x14ac:dyDescent="0.25">
      <c r="A712" s="250">
        <v>8430420215</v>
      </c>
      <c r="B712">
        <v>10001183</v>
      </c>
      <c r="C712" t="s">
        <v>2394</v>
      </c>
      <c r="D712" s="280">
        <v>341333.33333333331</v>
      </c>
      <c r="E712" s="280">
        <v>430777.77777777775</v>
      </c>
      <c r="F712">
        <v>6</v>
      </c>
    </row>
    <row r="713" spans="1:6" x14ac:dyDescent="0.25">
      <c r="A713" s="250">
        <v>8455730277</v>
      </c>
      <c r="B713">
        <v>10000717</v>
      </c>
      <c r="C713" t="s">
        <v>1300</v>
      </c>
      <c r="D713" s="280">
        <v>317266.66666666669</v>
      </c>
      <c r="E713" s="280">
        <v>317266.66666666669</v>
      </c>
      <c r="F713">
        <v>6</v>
      </c>
    </row>
    <row r="714" spans="1:6" x14ac:dyDescent="0.25">
      <c r="A714" s="250">
        <v>8375521736</v>
      </c>
      <c r="B714">
        <v>10000718</v>
      </c>
      <c r="C714" t="s">
        <v>1301</v>
      </c>
      <c r="D714" s="280">
        <v>394266.66666666669</v>
      </c>
      <c r="E714" s="280">
        <v>394266.66666666669</v>
      </c>
      <c r="F714">
        <v>6</v>
      </c>
    </row>
    <row r="715" spans="1:6" x14ac:dyDescent="0.25">
      <c r="A715" s="250">
        <v>8334462786</v>
      </c>
      <c r="B715">
        <v>10001124</v>
      </c>
      <c r="C715" t="s">
        <v>1442</v>
      </c>
      <c r="D715" s="280">
        <v>475933.33333333331</v>
      </c>
      <c r="E715" s="280">
        <v>475933.33333333331</v>
      </c>
      <c r="F715">
        <v>6</v>
      </c>
    </row>
    <row r="716" spans="1:6" x14ac:dyDescent="0.25">
      <c r="A716" s="250">
        <v>8471190532</v>
      </c>
      <c r="B716">
        <v>10002014</v>
      </c>
      <c r="C716" t="s">
        <v>1826</v>
      </c>
      <c r="D716" s="280">
        <v>320000</v>
      </c>
      <c r="E716" s="280">
        <v>320000</v>
      </c>
      <c r="F716">
        <v>3</v>
      </c>
    </row>
    <row r="717" spans="1:6" x14ac:dyDescent="0.25">
      <c r="A717" s="250">
        <v>8457261002</v>
      </c>
      <c r="B717">
        <v>10001039</v>
      </c>
      <c r="C717" t="s">
        <v>2503</v>
      </c>
      <c r="D717" s="280">
        <v>526250</v>
      </c>
      <c r="E717" s="280">
        <v>526250</v>
      </c>
      <c r="F717">
        <v>6</v>
      </c>
    </row>
    <row r="718" spans="1:6" x14ac:dyDescent="0.25">
      <c r="A718" s="250">
        <v>8395470916</v>
      </c>
      <c r="B718">
        <v>10000237</v>
      </c>
      <c r="C718" t="s">
        <v>2270</v>
      </c>
      <c r="D718" s="280">
        <v>362066.66666666669</v>
      </c>
      <c r="E718" s="280">
        <v>362066.66666666669</v>
      </c>
      <c r="F718">
        <v>6</v>
      </c>
    </row>
    <row r="719" spans="1:6" x14ac:dyDescent="0.25">
      <c r="A719" s="250">
        <v>8397461884</v>
      </c>
      <c r="B719">
        <v>10000719</v>
      </c>
      <c r="C719" t="s">
        <v>1302</v>
      </c>
      <c r="D719" s="280">
        <v>693348.33333333337</v>
      </c>
      <c r="E719" s="280">
        <v>693348.33333333337</v>
      </c>
      <c r="F719">
        <v>6</v>
      </c>
    </row>
    <row r="720" spans="1:6" x14ac:dyDescent="0.25">
      <c r="A720" s="250">
        <v>8336301208</v>
      </c>
      <c r="B720">
        <v>10000720</v>
      </c>
      <c r="C720" t="s">
        <v>2134</v>
      </c>
      <c r="D720" s="280">
        <v>331233.33333333331</v>
      </c>
      <c r="E720" s="280">
        <v>331233.33333333331</v>
      </c>
      <c r="F720">
        <v>6</v>
      </c>
    </row>
    <row r="721" spans="1:6" x14ac:dyDescent="0.25">
      <c r="A721" s="250">
        <v>8366942589</v>
      </c>
      <c r="B721">
        <v>10000721</v>
      </c>
      <c r="C721" t="s">
        <v>2207</v>
      </c>
      <c r="D721" s="280">
        <v>459983.33333333331</v>
      </c>
      <c r="E721" s="280">
        <v>459983.33333333331</v>
      </c>
      <c r="F721">
        <v>6</v>
      </c>
    </row>
    <row r="722" spans="1:6" x14ac:dyDescent="0.25">
      <c r="A722" s="250">
        <v>8400583329</v>
      </c>
      <c r="B722">
        <v>10000723</v>
      </c>
      <c r="C722" t="s">
        <v>2291</v>
      </c>
      <c r="D722" s="280">
        <v>590000</v>
      </c>
      <c r="E722" s="280">
        <v>590000</v>
      </c>
      <c r="F722">
        <v>1</v>
      </c>
    </row>
    <row r="723" spans="1:6" x14ac:dyDescent="0.25">
      <c r="A723" s="250">
        <v>8466920137</v>
      </c>
      <c r="B723">
        <v>10001614</v>
      </c>
      <c r="C723" t="s">
        <v>2532</v>
      </c>
      <c r="D723" s="280">
        <v>165000</v>
      </c>
      <c r="E723" s="280">
        <v>330000</v>
      </c>
      <c r="F723">
        <v>6</v>
      </c>
    </row>
    <row r="724" spans="1:6" x14ac:dyDescent="0.25">
      <c r="A724" s="250">
        <v>8463660355</v>
      </c>
      <c r="B724">
        <v>10001871</v>
      </c>
      <c r="C724" t="s">
        <v>2527</v>
      </c>
      <c r="D724" s="280">
        <v>180000</v>
      </c>
      <c r="E724" s="280">
        <v>360000</v>
      </c>
      <c r="F724">
        <v>6</v>
      </c>
    </row>
    <row r="725" spans="1:6" x14ac:dyDescent="0.25">
      <c r="A725" s="250">
        <v>8400144694</v>
      </c>
      <c r="B725">
        <v>10000240</v>
      </c>
      <c r="C725" t="s">
        <v>1046</v>
      </c>
      <c r="D725" s="280">
        <v>338200</v>
      </c>
      <c r="E725" s="280">
        <v>365920</v>
      </c>
      <c r="F725">
        <v>5</v>
      </c>
    </row>
    <row r="726" spans="1:6" x14ac:dyDescent="0.25">
      <c r="A726" s="250">
        <v>8444583421</v>
      </c>
      <c r="B726">
        <v>10000724</v>
      </c>
      <c r="C726" t="s">
        <v>2445</v>
      </c>
      <c r="D726" s="280">
        <v>263433.33333333331</v>
      </c>
      <c r="E726" s="280">
        <v>263433.33333333331</v>
      </c>
      <c r="F726">
        <v>6</v>
      </c>
    </row>
    <row r="727" spans="1:6" x14ac:dyDescent="0.25">
      <c r="A727" s="250">
        <v>8351331759</v>
      </c>
      <c r="B727">
        <v>10001022</v>
      </c>
      <c r="C727" t="s">
        <v>296</v>
      </c>
      <c r="D727" s="280">
        <v>339260</v>
      </c>
      <c r="E727" s="280">
        <v>339260</v>
      </c>
      <c r="F727">
        <v>6</v>
      </c>
    </row>
    <row r="728" spans="1:6" x14ac:dyDescent="0.25">
      <c r="A728" s="250">
        <v>8443481749</v>
      </c>
      <c r="B728">
        <v>10001033</v>
      </c>
      <c r="C728" t="s">
        <v>1413</v>
      </c>
      <c r="D728" s="280">
        <v>539000</v>
      </c>
      <c r="E728" s="280">
        <v>539000</v>
      </c>
      <c r="F728">
        <v>6</v>
      </c>
    </row>
    <row r="729" spans="1:6" x14ac:dyDescent="0.25">
      <c r="A729" s="250">
        <v>8405202617</v>
      </c>
      <c r="B729">
        <v>10001590</v>
      </c>
      <c r="C729" t="s">
        <v>2306</v>
      </c>
      <c r="D729" s="280">
        <v>385300</v>
      </c>
      <c r="E729" s="280">
        <v>770600</v>
      </c>
      <c r="F729">
        <v>2</v>
      </c>
    </row>
    <row r="730" spans="1:6" x14ac:dyDescent="0.25">
      <c r="A730" s="250">
        <v>8458500310</v>
      </c>
      <c r="B730">
        <v>10001950</v>
      </c>
      <c r="C730" t="s">
        <v>1779</v>
      </c>
      <c r="D730" s="280">
        <v>330000</v>
      </c>
      <c r="E730" s="280">
        <v>660000</v>
      </c>
      <c r="F730">
        <v>6</v>
      </c>
    </row>
    <row r="731" spans="1:6" x14ac:dyDescent="0.25">
      <c r="A731" s="250">
        <v>8390823888</v>
      </c>
      <c r="B731">
        <v>10001337</v>
      </c>
      <c r="C731" t="s">
        <v>2257</v>
      </c>
      <c r="D731" s="280">
        <v>317260</v>
      </c>
      <c r="E731" s="280">
        <v>317260</v>
      </c>
      <c r="F731">
        <v>6</v>
      </c>
    </row>
    <row r="732" spans="1:6" x14ac:dyDescent="0.25">
      <c r="A732" s="250">
        <v>8361703136</v>
      </c>
      <c r="B732">
        <v>10000243</v>
      </c>
      <c r="C732" t="s">
        <v>1049</v>
      </c>
      <c r="D732" s="280">
        <v>450966.66666666669</v>
      </c>
      <c r="E732" s="280">
        <v>450966.66666666669</v>
      </c>
      <c r="F732">
        <v>6</v>
      </c>
    </row>
    <row r="733" spans="1:6" x14ac:dyDescent="0.25">
      <c r="A733" s="250">
        <v>8342612481</v>
      </c>
      <c r="B733">
        <v>10000244</v>
      </c>
      <c r="C733" t="s">
        <v>2145</v>
      </c>
      <c r="D733" s="280">
        <v>388966.66666666669</v>
      </c>
      <c r="E733" s="280">
        <v>388966.66666666669</v>
      </c>
      <c r="F733">
        <v>6</v>
      </c>
    </row>
    <row r="734" spans="1:6" x14ac:dyDescent="0.25">
      <c r="A734" s="250">
        <v>8464480210</v>
      </c>
      <c r="B734">
        <v>10001287</v>
      </c>
      <c r="C734" t="s">
        <v>1488</v>
      </c>
      <c r="D734" s="280">
        <v>484000</v>
      </c>
      <c r="E734" s="280">
        <v>484000</v>
      </c>
      <c r="F734">
        <v>6</v>
      </c>
    </row>
    <row r="735" spans="1:6" x14ac:dyDescent="0.25">
      <c r="A735" s="250">
        <v>8442990062</v>
      </c>
      <c r="B735">
        <v>10001009</v>
      </c>
      <c r="C735" t="s">
        <v>2442</v>
      </c>
      <c r="D735" s="280">
        <v>340933.33333333331</v>
      </c>
      <c r="E735" s="280">
        <v>340933.33333333331</v>
      </c>
      <c r="F735">
        <v>6</v>
      </c>
    </row>
    <row r="736" spans="1:6" x14ac:dyDescent="0.25">
      <c r="A736" s="250">
        <v>8361522107</v>
      </c>
      <c r="B736">
        <v>10000728</v>
      </c>
      <c r="C736" t="s">
        <v>1307</v>
      </c>
      <c r="D736" s="280">
        <v>990000</v>
      </c>
      <c r="E736" s="280">
        <v>990000</v>
      </c>
      <c r="F736">
        <v>6</v>
      </c>
    </row>
    <row r="737" spans="1:6" x14ac:dyDescent="0.25">
      <c r="A737" s="250">
        <v>8344491819</v>
      </c>
      <c r="B737">
        <v>10000729</v>
      </c>
      <c r="C737" t="s">
        <v>2147</v>
      </c>
      <c r="D737" s="280">
        <v>316550</v>
      </c>
      <c r="E737" s="280">
        <v>316550</v>
      </c>
      <c r="F737">
        <v>6</v>
      </c>
    </row>
    <row r="738" spans="1:6" x14ac:dyDescent="0.25">
      <c r="A738" s="250">
        <v>8358303319</v>
      </c>
      <c r="B738">
        <v>10002059</v>
      </c>
      <c r="C738" t="s">
        <v>1868</v>
      </c>
      <c r="D738" s="280">
        <v>450000</v>
      </c>
      <c r="E738" s="280">
        <v>450000</v>
      </c>
      <c r="F738">
        <v>1</v>
      </c>
    </row>
    <row r="739" spans="1:6" x14ac:dyDescent="0.25">
      <c r="A739" s="250">
        <v>8452043619</v>
      </c>
      <c r="B739">
        <v>10002053</v>
      </c>
      <c r="C739" t="s">
        <v>1864</v>
      </c>
      <c r="D739" s="280">
        <v>314400</v>
      </c>
      <c r="E739" s="280">
        <v>314400</v>
      </c>
      <c r="F739">
        <v>1</v>
      </c>
    </row>
    <row r="740" spans="1:6" x14ac:dyDescent="0.25">
      <c r="A740" s="250">
        <v>8377113341</v>
      </c>
      <c r="B740">
        <v>10002043</v>
      </c>
      <c r="C740" t="s">
        <v>1856</v>
      </c>
      <c r="D740" s="280">
        <v>82500</v>
      </c>
      <c r="E740" s="280">
        <v>330000</v>
      </c>
      <c r="F740">
        <v>2</v>
      </c>
    </row>
    <row r="741" spans="1:6" x14ac:dyDescent="0.25">
      <c r="A741" s="250">
        <v>8396223912</v>
      </c>
      <c r="B741">
        <v>10000732</v>
      </c>
      <c r="C741" t="s">
        <v>1309</v>
      </c>
      <c r="D741" s="280">
        <v>593333.33333333337</v>
      </c>
      <c r="E741" s="280">
        <v>593333.33333333337</v>
      </c>
      <c r="F741">
        <v>6</v>
      </c>
    </row>
    <row r="742" spans="1:6" x14ac:dyDescent="0.25">
      <c r="A742" s="250">
        <v>8395305044</v>
      </c>
      <c r="B742">
        <v>10000906</v>
      </c>
      <c r="C742" t="s">
        <v>2269</v>
      </c>
      <c r="D742" s="280">
        <v>660000</v>
      </c>
      <c r="E742" s="280">
        <v>660000</v>
      </c>
      <c r="F742">
        <v>6</v>
      </c>
    </row>
    <row r="743" spans="1:6" x14ac:dyDescent="0.25">
      <c r="A743" s="250">
        <v>8377274515</v>
      </c>
      <c r="B743">
        <v>10000734</v>
      </c>
      <c r="C743" t="s">
        <v>1310</v>
      </c>
      <c r="D743" s="280">
        <v>649333.33333333337</v>
      </c>
      <c r="E743" s="280">
        <v>649333.33333333337</v>
      </c>
      <c r="F743">
        <v>6</v>
      </c>
    </row>
    <row r="744" spans="1:6" x14ac:dyDescent="0.25">
      <c r="A744" s="250">
        <v>8357370659</v>
      </c>
      <c r="B744">
        <v>10000735</v>
      </c>
      <c r="C744" t="s">
        <v>2182</v>
      </c>
      <c r="D744" s="280">
        <v>289683.33333333331</v>
      </c>
      <c r="E744" s="280">
        <v>289683.33333333331</v>
      </c>
      <c r="F744">
        <v>6</v>
      </c>
    </row>
    <row r="745" spans="1:6" x14ac:dyDescent="0.25">
      <c r="A745" s="250">
        <v>8382142222</v>
      </c>
      <c r="B745">
        <v>10000248</v>
      </c>
      <c r="C745" t="s">
        <v>1052</v>
      </c>
      <c r="D745" s="280">
        <v>957233.33333333337</v>
      </c>
      <c r="E745" s="280">
        <v>957233.33333333337</v>
      </c>
      <c r="F745">
        <v>6</v>
      </c>
    </row>
    <row r="746" spans="1:6" x14ac:dyDescent="0.25">
      <c r="A746" s="250">
        <v>8481082155</v>
      </c>
      <c r="B746">
        <v>10002041</v>
      </c>
      <c r="C746" t="s">
        <v>1854</v>
      </c>
      <c r="D746" s="280">
        <v>200000</v>
      </c>
      <c r="E746" s="280">
        <v>400000</v>
      </c>
      <c r="F746">
        <v>2</v>
      </c>
    </row>
    <row r="747" spans="1:6" x14ac:dyDescent="0.25">
      <c r="A747" s="250">
        <v>8406762934</v>
      </c>
      <c r="B747">
        <v>10001549</v>
      </c>
      <c r="C747" t="s">
        <v>1561</v>
      </c>
      <c r="D747" s="280">
        <v>294300</v>
      </c>
      <c r="E747" s="280">
        <v>294300</v>
      </c>
      <c r="F747">
        <v>5</v>
      </c>
    </row>
    <row r="748" spans="1:6" x14ac:dyDescent="0.25">
      <c r="A748" s="250">
        <v>8477530106</v>
      </c>
      <c r="B748">
        <v>10001684</v>
      </c>
      <c r="C748" t="s">
        <v>1612</v>
      </c>
      <c r="D748" s="280">
        <v>494800</v>
      </c>
      <c r="E748" s="280">
        <v>494800</v>
      </c>
      <c r="F748">
        <v>6</v>
      </c>
    </row>
    <row r="749" spans="1:6" x14ac:dyDescent="0.25">
      <c r="A749" s="250">
        <v>8412333799</v>
      </c>
      <c r="B749">
        <v>10000739</v>
      </c>
      <c r="C749" t="s">
        <v>2339</v>
      </c>
      <c r="D749" s="280">
        <v>385000</v>
      </c>
      <c r="E749" s="280">
        <v>385000</v>
      </c>
      <c r="F749">
        <v>6</v>
      </c>
    </row>
    <row r="750" spans="1:6" x14ac:dyDescent="0.25">
      <c r="A750" s="250">
        <v>8414102573</v>
      </c>
      <c r="B750">
        <v>10000250</v>
      </c>
      <c r="C750" t="s">
        <v>1053</v>
      </c>
      <c r="D750" s="280">
        <v>322050</v>
      </c>
      <c r="E750" s="280">
        <v>322050</v>
      </c>
      <c r="F750">
        <v>6</v>
      </c>
    </row>
    <row r="751" spans="1:6" x14ac:dyDescent="0.25">
      <c r="A751" s="250">
        <v>8411173119</v>
      </c>
      <c r="B751">
        <v>10001149</v>
      </c>
      <c r="C751" t="s">
        <v>1456</v>
      </c>
      <c r="D751" s="280">
        <v>410933.33333333331</v>
      </c>
      <c r="E751" s="280">
        <v>410933.33333333331</v>
      </c>
      <c r="F751">
        <v>6</v>
      </c>
    </row>
    <row r="752" spans="1:6" x14ac:dyDescent="0.25">
      <c r="A752" s="250">
        <v>8380810767</v>
      </c>
      <c r="B752">
        <v>10000741</v>
      </c>
      <c r="C752" t="s">
        <v>1313</v>
      </c>
      <c r="D752" s="280">
        <v>306266.66666666669</v>
      </c>
      <c r="E752" s="280">
        <v>306266.66666666669</v>
      </c>
      <c r="F752">
        <v>6</v>
      </c>
    </row>
    <row r="753" spans="1:6" x14ac:dyDescent="0.25">
      <c r="A753" s="250">
        <v>8389022850</v>
      </c>
      <c r="B753">
        <v>10000742</v>
      </c>
      <c r="C753" t="s">
        <v>1314</v>
      </c>
      <c r="D753" s="280">
        <v>330000</v>
      </c>
      <c r="E753" s="280">
        <v>330000</v>
      </c>
      <c r="F753">
        <v>6</v>
      </c>
    </row>
    <row r="754" spans="1:6" x14ac:dyDescent="0.25">
      <c r="A754" s="250">
        <v>8403093829</v>
      </c>
      <c r="B754">
        <v>10000743</v>
      </c>
      <c r="C754" t="s">
        <v>1315</v>
      </c>
      <c r="D754" s="280">
        <v>638000</v>
      </c>
      <c r="E754" s="280">
        <v>638000</v>
      </c>
      <c r="F754">
        <v>6</v>
      </c>
    </row>
    <row r="755" spans="1:6" x14ac:dyDescent="0.25">
      <c r="A755" s="250">
        <v>8412310314</v>
      </c>
      <c r="B755">
        <v>10001998</v>
      </c>
      <c r="C755" t="s">
        <v>1810</v>
      </c>
      <c r="D755" s="280">
        <v>450000</v>
      </c>
      <c r="E755" s="280">
        <v>450000</v>
      </c>
      <c r="F755">
        <v>5</v>
      </c>
    </row>
    <row r="756" spans="1:6" x14ac:dyDescent="0.25">
      <c r="A756" s="250">
        <v>8424702352</v>
      </c>
      <c r="B756">
        <v>10000361</v>
      </c>
      <c r="C756" t="s">
        <v>2380</v>
      </c>
      <c r="D756" s="280">
        <v>304933.33333333331</v>
      </c>
      <c r="E756" s="280">
        <v>304933.33333333331</v>
      </c>
      <c r="F756">
        <v>6</v>
      </c>
    </row>
    <row r="757" spans="1:6" x14ac:dyDescent="0.25">
      <c r="A757" s="250">
        <v>8393080924</v>
      </c>
      <c r="B757">
        <v>10000744</v>
      </c>
      <c r="C757" t="s">
        <v>1316</v>
      </c>
      <c r="D757" s="280">
        <v>295266.66666666669</v>
      </c>
      <c r="E757" s="280">
        <v>295266.66666666669</v>
      </c>
      <c r="F757">
        <v>6</v>
      </c>
    </row>
    <row r="758" spans="1:6" x14ac:dyDescent="0.25">
      <c r="A758" s="250">
        <v>8435565130</v>
      </c>
      <c r="B758">
        <v>10001297</v>
      </c>
      <c r="C758" t="s">
        <v>2411</v>
      </c>
      <c r="D758" s="280">
        <v>244000</v>
      </c>
      <c r="E758" s="280">
        <v>244000</v>
      </c>
      <c r="F758">
        <v>6</v>
      </c>
    </row>
    <row r="759" spans="1:6" x14ac:dyDescent="0.25">
      <c r="A759" s="250">
        <v>8378913287</v>
      </c>
      <c r="B759">
        <v>10001666</v>
      </c>
      <c r="C759" t="s">
        <v>1606</v>
      </c>
      <c r="D759" s="280">
        <v>712500</v>
      </c>
      <c r="E759" s="280">
        <v>712500</v>
      </c>
      <c r="F759">
        <v>6</v>
      </c>
    </row>
    <row r="760" spans="1:6" x14ac:dyDescent="0.25">
      <c r="A760" s="250">
        <v>8399231932</v>
      </c>
      <c r="B760">
        <v>10000747</v>
      </c>
      <c r="C760" t="s">
        <v>2286</v>
      </c>
      <c r="D760" s="280">
        <v>429000</v>
      </c>
      <c r="E760" s="280">
        <v>429000</v>
      </c>
      <c r="F760">
        <v>6</v>
      </c>
    </row>
    <row r="761" spans="1:6" x14ac:dyDescent="0.25">
      <c r="A761" s="250">
        <v>8338001759</v>
      </c>
      <c r="B761">
        <v>10000253</v>
      </c>
      <c r="C761" t="s">
        <v>2137</v>
      </c>
      <c r="D761" s="280">
        <v>719166.66666666663</v>
      </c>
      <c r="E761" s="280">
        <v>719166.66666666663</v>
      </c>
      <c r="F761">
        <v>6</v>
      </c>
    </row>
    <row r="762" spans="1:6" x14ac:dyDescent="0.25">
      <c r="A762" s="250">
        <v>8447622487</v>
      </c>
      <c r="B762">
        <v>10001951</v>
      </c>
      <c r="C762" t="s">
        <v>1780</v>
      </c>
      <c r="D762" s="280">
        <v>231000</v>
      </c>
      <c r="E762" s="280">
        <v>308000</v>
      </c>
      <c r="F762">
        <v>6</v>
      </c>
    </row>
    <row r="763" spans="1:6" x14ac:dyDescent="0.25">
      <c r="A763" s="250">
        <v>8334263570</v>
      </c>
      <c r="B763">
        <v>10001704</v>
      </c>
      <c r="C763" t="s">
        <v>2130</v>
      </c>
      <c r="D763" s="280">
        <v>242000</v>
      </c>
      <c r="E763" s="280">
        <v>242000</v>
      </c>
      <c r="F763">
        <v>6</v>
      </c>
    </row>
    <row r="764" spans="1:6" x14ac:dyDescent="0.25">
      <c r="A764" s="250">
        <v>8431123648</v>
      </c>
      <c r="B764">
        <v>10001262</v>
      </c>
      <c r="C764" t="s">
        <v>2396</v>
      </c>
      <c r="D764" s="280">
        <v>462000</v>
      </c>
      <c r="E764" s="280">
        <v>462000</v>
      </c>
      <c r="F764">
        <v>6</v>
      </c>
    </row>
    <row r="765" spans="1:6" x14ac:dyDescent="0.25">
      <c r="A765" s="250">
        <v>8354212394</v>
      </c>
      <c r="B765">
        <v>10001711</v>
      </c>
      <c r="C765" t="s">
        <v>2172</v>
      </c>
      <c r="D765" s="280">
        <v>318200</v>
      </c>
      <c r="E765" s="280">
        <v>318200</v>
      </c>
      <c r="F765">
        <v>2</v>
      </c>
    </row>
    <row r="766" spans="1:6" x14ac:dyDescent="0.25">
      <c r="A766" s="250">
        <v>8415590679</v>
      </c>
      <c r="B766">
        <v>10000750</v>
      </c>
      <c r="C766" t="s">
        <v>1317</v>
      </c>
      <c r="D766" s="280">
        <v>251933.33333333334</v>
      </c>
      <c r="E766" s="280">
        <v>251933.33333333334</v>
      </c>
      <c r="F766">
        <v>6</v>
      </c>
    </row>
    <row r="767" spans="1:6" x14ac:dyDescent="0.25">
      <c r="A767" s="250">
        <v>8393854040</v>
      </c>
      <c r="B767">
        <v>10000751</v>
      </c>
      <c r="C767" t="s">
        <v>1318</v>
      </c>
      <c r="D767" s="280">
        <v>422966.66666666669</v>
      </c>
      <c r="E767" s="280">
        <v>422966.66666666669</v>
      </c>
      <c r="F767">
        <v>6</v>
      </c>
    </row>
    <row r="768" spans="1:6" x14ac:dyDescent="0.25">
      <c r="A768" s="250">
        <v>8353562642</v>
      </c>
      <c r="B768">
        <v>10000258</v>
      </c>
      <c r="C768" t="s">
        <v>2169</v>
      </c>
      <c r="D768" s="280">
        <v>773166.66666666663</v>
      </c>
      <c r="E768" s="280">
        <v>773166.66666666663</v>
      </c>
      <c r="F768">
        <v>6</v>
      </c>
    </row>
    <row r="769" spans="1:6" x14ac:dyDescent="0.25">
      <c r="A769" s="250">
        <v>8363721875</v>
      </c>
      <c r="B769">
        <v>10000752</v>
      </c>
      <c r="C769" t="s">
        <v>1319</v>
      </c>
      <c r="D769" s="280">
        <v>1430000</v>
      </c>
      <c r="E769" s="280">
        <v>1430000</v>
      </c>
      <c r="F769">
        <v>6</v>
      </c>
    </row>
    <row r="770" spans="1:6" x14ac:dyDescent="0.25">
      <c r="A770" s="250">
        <v>8455691255</v>
      </c>
      <c r="B770">
        <v>10001764</v>
      </c>
      <c r="C770" t="s">
        <v>2490</v>
      </c>
      <c r="D770" s="280">
        <v>215600</v>
      </c>
      <c r="E770" s="280">
        <v>431200</v>
      </c>
      <c r="F770">
        <v>6</v>
      </c>
    </row>
    <row r="771" spans="1:6" x14ac:dyDescent="0.25">
      <c r="A771" s="250">
        <v>8331450604</v>
      </c>
      <c r="B771">
        <v>10001192</v>
      </c>
      <c r="C771" t="s">
        <v>1471</v>
      </c>
      <c r="D771" s="280">
        <v>215900</v>
      </c>
      <c r="E771" s="280">
        <v>287866.66666666669</v>
      </c>
      <c r="F771">
        <v>6</v>
      </c>
    </row>
    <row r="772" spans="1:6" x14ac:dyDescent="0.25">
      <c r="A772" s="250">
        <v>8419020923</v>
      </c>
      <c r="B772">
        <v>10000052</v>
      </c>
      <c r="C772" t="s">
        <v>909</v>
      </c>
      <c r="D772" s="280">
        <v>426900</v>
      </c>
      <c r="E772" s="280">
        <v>426900</v>
      </c>
      <c r="F772">
        <v>6</v>
      </c>
    </row>
    <row r="773" spans="1:6" x14ac:dyDescent="0.25">
      <c r="A773" s="250">
        <v>8411262855</v>
      </c>
      <c r="B773">
        <v>10000262</v>
      </c>
      <c r="C773" t="s">
        <v>1057</v>
      </c>
      <c r="D773" s="280">
        <v>533733.33333333337</v>
      </c>
      <c r="E773" s="280">
        <v>533733.33333333337</v>
      </c>
      <c r="F773">
        <v>6</v>
      </c>
    </row>
    <row r="774" spans="1:6" x14ac:dyDescent="0.25">
      <c r="A774" s="250">
        <v>8447501310</v>
      </c>
      <c r="B774">
        <v>10000885</v>
      </c>
      <c r="C774" t="s">
        <v>2467</v>
      </c>
      <c r="D774" s="280">
        <v>304933.33333333331</v>
      </c>
      <c r="E774" s="280">
        <v>304933.33333333331</v>
      </c>
      <c r="F774">
        <v>6</v>
      </c>
    </row>
    <row r="775" spans="1:6" x14ac:dyDescent="0.25">
      <c r="A775" s="250">
        <v>8373452354</v>
      </c>
      <c r="B775">
        <v>10000756</v>
      </c>
      <c r="C775" t="s">
        <v>1320</v>
      </c>
      <c r="D775" s="280">
        <v>342333.33333333331</v>
      </c>
      <c r="E775" s="280">
        <v>342333.33333333331</v>
      </c>
      <c r="F775">
        <v>6</v>
      </c>
    </row>
    <row r="776" spans="1:6" x14ac:dyDescent="0.25">
      <c r="A776" s="250">
        <v>8427040342</v>
      </c>
      <c r="B776">
        <v>10000757</v>
      </c>
      <c r="C776" t="s">
        <v>2387</v>
      </c>
      <c r="D776" s="280">
        <v>825000</v>
      </c>
      <c r="E776" s="280">
        <v>825000</v>
      </c>
      <c r="F776">
        <v>6</v>
      </c>
    </row>
    <row r="777" spans="1:6" x14ac:dyDescent="0.25">
      <c r="A777" s="250">
        <v>8409040328</v>
      </c>
      <c r="B777">
        <v>10000264</v>
      </c>
      <c r="C777" t="s">
        <v>2323</v>
      </c>
      <c r="D777" s="280">
        <v>577533.33333333337</v>
      </c>
      <c r="E777" s="280">
        <v>577533.33333333337</v>
      </c>
      <c r="F777">
        <v>6</v>
      </c>
    </row>
    <row r="778" spans="1:6" x14ac:dyDescent="0.25">
      <c r="A778" s="250">
        <v>8391050157</v>
      </c>
      <c r="B778">
        <v>10001572</v>
      </c>
      <c r="C778" t="s">
        <v>1567</v>
      </c>
      <c r="D778" s="280">
        <v>471266.66666666669</v>
      </c>
      <c r="E778" s="280">
        <v>471266.66666666669</v>
      </c>
      <c r="F778">
        <v>6</v>
      </c>
    </row>
    <row r="779" spans="1:6" x14ac:dyDescent="0.25">
      <c r="A779" s="250">
        <v>8377045079</v>
      </c>
      <c r="B779">
        <v>10000381</v>
      </c>
      <c r="C779" t="s">
        <v>2228</v>
      </c>
      <c r="D779" s="280">
        <v>305300</v>
      </c>
      <c r="E779" s="280">
        <v>305300</v>
      </c>
      <c r="F779">
        <v>2</v>
      </c>
    </row>
    <row r="780" spans="1:6" x14ac:dyDescent="0.25">
      <c r="A780" s="250">
        <v>8354942813</v>
      </c>
      <c r="B780">
        <v>10000266</v>
      </c>
      <c r="C780" t="s">
        <v>2173</v>
      </c>
      <c r="D780" s="280">
        <v>981166.66666666663</v>
      </c>
      <c r="E780" s="280">
        <v>981166.66666666663</v>
      </c>
      <c r="F780">
        <v>6</v>
      </c>
    </row>
    <row r="781" spans="1:6" x14ac:dyDescent="0.25">
      <c r="A781" s="250">
        <v>8421160273</v>
      </c>
      <c r="B781">
        <v>10000758</v>
      </c>
      <c r="C781" t="s">
        <v>1322</v>
      </c>
      <c r="D781" s="280">
        <v>319466.66666666669</v>
      </c>
      <c r="E781" s="280">
        <v>319466.66666666669</v>
      </c>
      <c r="F781">
        <v>6</v>
      </c>
    </row>
    <row r="782" spans="1:6" x14ac:dyDescent="0.25">
      <c r="A782" s="250">
        <v>8431501502</v>
      </c>
      <c r="B782">
        <v>10001940</v>
      </c>
      <c r="C782" t="s">
        <v>1775</v>
      </c>
      <c r="D782" s="280">
        <v>341000</v>
      </c>
      <c r="E782" s="280">
        <v>341000</v>
      </c>
      <c r="F782">
        <v>6</v>
      </c>
    </row>
    <row r="783" spans="1:6" x14ac:dyDescent="0.25">
      <c r="A783" s="250">
        <v>8332495547</v>
      </c>
      <c r="B783">
        <v>10001997</v>
      </c>
      <c r="C783" t="s">
        <v>1809</v>
      </c>
      <c r="D783" s="280">
        <v>620960</v>
      </c>
      <c r="E783" s="280">
        <v>620960</v>
      </c>
      <c r="F783">
        <v>5</v>
      </c>
    </row>
    <row r="784" spans="1:6" x14ac:dyDescent="0.25">
      <c r="A784" s="250">
        <v>8440181078</v>
      </c>
      <c r="B784">
        <v>10001171</v>
      </c>
      <c r="C784" t="s">
        <v>1464</v>
      </c>
      <c r="D784" s="280">
        <v>343033.33333333331</v>
      </c>
      <c r="E784" s="280">
        <v>343033.33333333331</v>
      </c>
      <c r="F784">
        <v>6</v>
      </c>
    </row>
    <row r="785" spans="1:6" x14ac:dyDescent="0.25">
      <c r="A785" s="250">
        <v>8456510645</v>
      </c>
      <c r="B785">
        <v>10001897</v>
      </c>
      <c r="C785" t="s">
        <v>2494</v>
      </c>
      <c r="D785" s="280">
        <v>350000</v>
      </c>
      <c r="E785" s="280">
        <v>350000</v>
      </c>
      <c r="F785">
        <v>6</v>
      </c>
    </row>
    <row r="786" spans="1:6" x14ac:dyDescent="0.25">
      <c r="A786" s="250">
        <v>8330572722</v>
      </c>
      <c r="B786">
        <v>10001916</v>
      </c>
      <c r="C786" t="s">
        <v>2123</v>
      </c>
      <c r="D786" s="280">
        <v>205733.33333333334</v>
      </c>
      <c r="E786" s="280">
        <v>411466.66666666669</v>
      </c>
      <c r="F786">
        <v>6</v>
      </c>
    </row>
    <row r="787" spans="1:6" x14ac:dyDescent="0.25">
      <c r="A787" s="250">
        <v>8428810354</v>
      </c>
      <c r="B787">
        <v>10000978</v>
      </c>
      <c r="C787" t="s">
        <v>2391</v>
      </c>
      <c r="D787" s="280">
        <v>645866.66666666663</v>
      </c>
      <c r="E787" s="280">
        <v>645866.66666666663</v>
      </c>
      <c r="F787">
        <v>6</v>
      </c>
    </row>
    <row r="788" spans="1:6" x14ac:dyDescent="0.25">
      <c r="A788" s="250">
        <v>8365902559</v>
      </c>
      <c r="B788">
        <v>10001753</v>
      </c>
      <c r="C788" t="s">
        <v>2205</v>
      </c>
      <c r="D788" s="280">
        <v>240933.33333333334</v>
      </c>
      <c r="E788" s="280">
        <v>240933.33333333334</v>
      </c>
      <c r="F788">
        <v>6</v>
      </c>
    </row>
    <row r="789" spans="1:6" x14ac:dyDescent="0.25">
      <c r="A789" s="250">
        <v>8362422726</v>
      </c>
      <c r="B789">
        <v>10001721</v>
      </c>
      <c r="C789" t="s">
        <v>2195</v>
      </c>
      <c r="D789" s="280">
        <v>364733.33333333331</v>
      </c>
      <c r="E789" s="280">
        <v>364733.33333333331</v>
      </c>
      <c r="F789">
        <v>6</v>
      </c>
    </row>
    <row r="790" spans="1:6" x14ac:dyDescent="0.25">
      <c r="A790" s="250">
        <v>8409473887</v>
      </c>
      <c r="B790">
        <v>10000761</v>
      </c>
      <c r="C790" t="s">
        <v>1323</v>
      </c>
      <c r="D790" s="280">
        <v>342533.33333333331</v>
      </c>
      <c r="E790" s="280">
        <v>342533.33333333331</v>
      </c>
      <c r="F790">
        <v>6</v>
      </c>
    </row>
    <row r="791" spans="1:6" x14ac:dyDescent="0.25">
      <c r="A791" s="250">
        <v>8405900829</v>
      </c>
      <c r="B791">
        <v>10001979</v>
      </c>
      <c r="C791" t="s">
        <v>1796</v>
      </c>
      <c r="D791" s="280">
        <v>275000</v>
      </c>
      <c r="E791" s="280">
        <v>550000</v>
      </c>
      <c r="F791">
        <v>6</v>
      </c>
    </row>
    <row r="792" spans="1:6" x14ac:dyDescent="0.25">
      <c r="A792" s="250">
        <v>8338512761</v>
      </c>
      <c r="B792">
        <v>10000762</v>
      </c>
      <c r="C792" t="s">
        <v>2140</v>
      </c>
      <c r="D792" s="280">
        <v>291833.33333333331</v>
      </c>
      <c r="E792" s="280">
        <v>291833.33333333331</v>
      </c>
      <c r="F792">
        <v>6</v>
      </c>
    </row>
    <row r="793" spans="1:6" x14ac:dyDescent="0.25">
      <c r="A793" s="250">
        <v>8354930351</v>
      </c>
      <c r="B793">
        <v>10001838</v>
      </c>
      <c r="C793" t="s">
        <v>1324</v>
      </c>
      <c r="D793" s="280">
        <v>339266.66666666669</v>
      </c>
      <c r="E793" s="280">
        <v>339266.66666666669</v>
      </c>
      <c r="F793">
        <v>6</v>
      </c>
    </row>
    <row r="794" spans="1:6" x14ac:dyDescent="0.25">
      <c r="A794" s="250">
        <v>8417903070</v>
      </c>
      <c r="B794">
        <v>10001740</v>
      </c>
      <c r="C794" t="s">
        <v>2355</v>
      </c>
      <c r="D794" s="280">
        <v>279833.33333333331</v>
      </c>
      <c r="E794" s="280">
        <v>279833.33333333331</v>
      </c>
      <c r="F794">
        <v>6</v>
      </c>
    </row>
    <row r="795" spans="1:6" x14ac:dyDescent="0.25">
      <c r="A795" s="250">
        <v>8415171048</v>
      </c>
      <c r="B795">
        <v>10001177</v>
      </c>
      <c r="C795" t="s">
        <v>1466</v>
      </c>
      <c r="D795" s="280">
        <v>246666.66666666666</v>
      </c>
      <c r="E795" s="280">
        <v>493333.33333333331</v>
      </c>
      <c r="F795">
        <v>6</v>
      </c>
    </row>
    <row r="796" spans="1:6" x14ac:dyDescent="0.25">
      <c r="A796" s="250">
        <v>8377233223</v>
      </c>
      <c r="B796">
        <v>10002031</v>
      </c>
      <c r="C796" t="s">
        <v>1843</v>
      </c>
      <c r="D796" s="280">
        <v>450000</v>
      </c>
      <c r="E796" s="280">
        <v>450000</v>
      </c>
      <c r="F796">
        <v>2</v>
      </c>
    </row>
    <row r="797" spans="1:6" x14ac:dyDescent="0.25">
      <c r="A797" s="250">
        <v>8349921730</v>
      </c>
      <c r="B797">
        <v>10000276</v>
      </c>
      <c r="C797" t="s">
        <v>2159</v>
      </c>
      <c r="D797" s="280">
        <v>757321.33333333337</v>
      </c>
      <c r="E797" s="280">
        <v>757321.33333333337</v>
      </c>
      <c r="F797">
        <v>6</v>
      </c>
    </row>
    <row r="798" spans="1:6" x14ac:dyDescent="0.25">
      <c r="A798" s="250">
        <v>8437130026</v>
      </c>
      <c r="B798">
        <v>10001482</v>
      </c>
      <c r="C798" t="s">
        <v>1546</v>
      </c>
      <c r="D798" s="280">
        <v>240933.33333333334</v>
      </c>
      <c r="E798" s="280">
        <v>240933.33333333334</v>
      </c>
      <c r="F798">
        <v>6</v>
      </c>
    </row>
    <row r="799" spans="1:6" x14ac:dyDescent="0.25">
      <c r="A799" s="250">
        <v>8447632261</v>
      </c>
      <c r="B799">
        <v>10001832</v>
      </c>
      <c r="C799" t="s">
        <v>2470</v>
      </c>
      <c r="D799" s="280">
        <v>120433.33333333333</v>
      </c>
      <c r="E799" s="280">
        <v>240866.66666666666</v>
      </c>
      <c r="F799">
        <v>6</v>
      </c>
    </row>
    <row r="800" spans="1:6" x14ac:dyDescent="0.25">
      <c r="A800" s="250">
        <v>8458270471</v>
      </c>
      <c r="B800">
        <v>10001384</v>
      </c>
      <c r="C800" t="s">
        <v>2507</v>
      </c>
      <c r="D800" s="280">
        <v>352000</v>
      </c>
      <c r="E800" s="280">
        <v>352000</v>
      </c>
      <c r="F800">
        <v>6</v>
      </c>
    </row>
    <row r="801" spans="1:6" x14ac:dyDescent="0.25">
      <c r="A801" s="250">
        <v>8417004319</v>
      </c>
      <c r="B801">
        <v>10000766</v>
      </c>
      <c r="C801" t="s">
        <v>1326</v>
      </c>
      <c r="D801" s="280">
        <v>335533.33333333331</v>
      </c>
      <c r="E801" s="280">
        <v>335533.33333333331</v>
      </c>
      <c r="F801">
        <v>6</v>
      </c>
    </row>
    <row r="802" spans="1:6" x14ac:dyDescent="0.25">
      <c r="A802" s="250">
        <v>8441030480</v>
      </c>
      <c r="B802">
        <v>10000280</v>
      </c>
      <c r="C802" t="s">
        <v>2432</v>
      </c>
      <c r="D802" s="280">
        <v>558900</v>
      </c>
      <c r="E802" s="280">
        <v>558900</v>
      </c>
      <c r="F802">
        <v>6</v>
      </c>
    </row>
    <row r="803" spans="1:6" x14ac:dyDescent="0.25">
      <c r="A803" s="250">
        <v>8388693077</v>
      </c>
      <c r="B803">
        <v>10001278</v>
      </c>
      <c r="C803" t="s">
        <v>1486</v>
      </c>
      <c r="D803" s="280">
        <v>221800</v>
      </c>
      <c r="E803" s="280">
        <v>221800</v>
      </c>
      <c r="F803">
        <v>4</v>
      </c>
    </row>
    <row r="804" spans="1:6" x14ac:dyDescent="0.25">
      <c r="A804" s="250">
        <v>8415041640</v>
      </c>
      <c r="B804">
        <v>10000767</v>
      </c>
      <c r="C804" t="s">
        <v>1327</v>
      </c>
      <c r="D804" s="280">
        <v>390366.66666666669</v>
      </c>
      <c r="E804" s="280">
        <v>390366.66666666669</v>
      </c>
      <c r="F804">
        <v>6</v>
      </c>
    </row>
    <row r="805" spans="1:6" x14ac:dyDescent="0.25">
      <c r="A805" s="250">
        <v>8355040880</v>
      </c>
      <c r="B805">
        <v>10000768</v>
      </c>
      <c r="C805" t="s">
        <v>2175</v>
      </c>
      <c r="D805" s="280">
        <v>336133.33333333331</v>
      </c>
      <c r="E805" s="280">
        <v>336133.33333333331</v>
      </c>
      <c r="F805">
        <v>6</v>
      </c>
    </row>
    <row r="806" spans="1:6" x14ac:dyDescent="0.25">
      <c r="A806" s="250">
        <v>8397073647</v>
      </c>
      <c r="B806">
        <v>10002037</v>
      </c>
      <c r="C806" t="s">
        <v>1850</v>
      </c>
      <c r="D806" s="280">
        <v>340000</v>
      </c>
      <c r="E806" s="280">
        <v>340000</v>
      </c>
      <c r="F806">
        <v>2</v>
      </c>
    </row>
    <row r="807" spans="1:6" x14ac:dyDescent="0.25">
      <c r="A807" s="250">
        <v>8441923213</v>
      </c>
      <c r="B807">
        <v>10001895</v>
      </c>
      <c r="C807" t="s">
        <v>1752</v>
      </c>
      <c r="D807" s="280">
        <v>418000</v>
      </c>
      <c r="E807" s="280">
        <v>418000</v>
      </c>
      <c r="F807">
        <v>6</v>
      </c>
    </row>
    <row r="808" spans="1:6" x14ac:dyDescent="0.25">
      <c r="A808" s="250">
        <v>8426662528</v>
      </c>
      <c r="B808">
        <v>10001915</v>
      </c>
      <c r="C808" t="s">
        <v>1762</v>
      </c>
      <c r="D808" s="280">
        <v>220000</v>
      </c>
      <c r="E808" s="280">
        <v>440000</v>
      </c>
      <c r="F808">
        <v>6</v>
      </c>
    </row>
    <row r="809" spans="1:6" x14ac:dyDescent="0.25">
      <c r="A809" s="250">
        <v>8340833502</v>
      </c>
      <c r="B809">
        <v>10000382</v>
      </c>
      <c r="C809" t="s">
        <v>1129</v>
      </c>
      <c r="D809" s="280">
        <v>341566.66666666669</v>
      </c>
      <c r="E809" s="280">
        <v>341566.66666666669</v>
      </c>
      <c r="F809">
        <v>6</v>
      </c>
    </row>
    <row r="810" spans="1:6" x14ac:dyDescent="0.25">
      <c r="A810" s="250">
        <v>8474010640</v>
      </c>
      <c r="B810">
        <v>10001755</v>
      </c>
      <c r="C810" t="s">
        <v>2549</v>
      </c>
      <c r="D810" s="280">
        <v>268666.66666666669</v>
      </c>
      <c r="E810" s="280">
        <v>268666.66666666669</v>
      </c>
      <c r="F810">
        <v>6</v>
      </c>
    </row>
    <row r="811" spans="1:6" x14ac:dyDescent="0.25">
      <c r="A811" s="250">
        <v>8457043838</v>
      </c>
      <c r="B811">
        <v>10001974</v>
      </c>
      <c r="C811" t="s">
        <v>1791</v>
      </c>
      <c r="D811" s="280">
        <v>440000</v>
      </c>
      <c r="E811" s="280">
        <v>440000</v>
      </c>
      <c r="F811">
        <v>6</v>
      </c>
    </row>
    <row r="812" spans="1:6" x14ac:dyDescent="0.25">
      <c r="A812" s="250">
        <v>8352963473</v>
      </c>
      <c r="B812">
        <v>10000971</v>
      </c>
      <c r="C812" t="s">
        <v>2167</v>
      </c>
      <c r="D812" s="280">
        <v>202400</v>
      </c>
      <c r="E812" s="280">
        <v>404800</v>
      </c>
      <c r="F812">
        <v>2</v>
      </c>
    </row>
    <row r="813" spans="1:6" x14ac:dyDescent="0.25">
      <c r="A813" s="250">
        <v>8411521834</v>
      </c>
      <c r="B813">
        <v>10001739</v>
      </c>
      <c r="C813" t="s">
        <v>2335</v>
      </c>
      <c r="D813" s="280">
        <v>320633.33333333331</v>
      </c>
      <c r="E813" s="280">
        <v>320633.33333333331</v>
      </c>
      <c r="F813">
        <v>6</v>
      </c>
    </row>
    <row r="814" spans="1:6" x14ac:dyDescent="0.25">
      <c r="A814" s="250">
        <v>8366333868</v>
      </c>
      <c r="B814">
        <v>10001539</v>
      </c>
      <c r="C814" t="s">
        <v>1555</v>
      </c>
      <c r="D814" s="280">
        <v>275000</v>
      </c>
      <c r="E814" s="280">
        <v>550000</v>
      </c>
      <c r="F814">
        <v>6</v>
      </c>
    </row>
    <row r="815" spans="1:6" x14ac:dyDescent="0.25">
      <c r="A815" s="250">
        <v>8412822315</v>
      </c>
      <c r="B815">
        <v>10000383</v>
      </c>
      <c r="C815" t="s">
        <v>1130</v>
      </c>
      <c r="D815" s="280">
        <v>476300</v>
      </c>
      <c r="E815" s="280">
        <v>476300</v>
      </c>
      <c r="F815">
        <v>6</v>
      </c>
    </row>
    <row r="816" spans="1:6" x14ac:dyDescent="0.25">
      <c r="A816" s="250">
        <v>8371831331</v>
      </c>
      <c r="B816">
        <v>10000384</v>
      </c>
      <c r="C816" t="s">
        <v>2215</v>
      </c>
      <c r="D816" s="280">
        <v>363983.33333333331</v>
      </c>
      <c r="E816" s="280">
        <v>363983.33333333331</v>
      </c>
      <c r="F816">
        <v>6</v>
      </c>
    </row>
    <row r="817" spans="1:6" x14ac:dyDescent="0.25">
      <c r="A817" s="250">
        <v>8446302802</v>
      </c>
      <c r="B817">
        <v>10001447</v>
      </c>
      <c r="C817" t="s">
        <v>2458</v>
      </c>
      <c r="D817" s="280">
        <v>407000</v>
      </c>
      <c r="E817" s="280">
        <v>407000</v>
      </c>
      <c r="F817">
        <v>6</v>
      </c>
    </row>
    <row r="818" spans="1:6" x14ac:dyDescent="0.25">
      <c r="A818" s="250">
        <v>8464910525</v>
      </c>
      <c r="B818">
        <v>10001518</v>
      </c>
      <c r="C818" t="s">
        <v>2528</v>
      </c>
      <c r="D818" s="280">
        <v>328933.33333333331</v>
      </c>
      <c r="E818" s="280">
        <v>328933.33333333331</v>
      </c>
      <c r="F818">
        <v>6</v>
      </c>
    </row>
    <row r="819" spans="1:6" x14ac:dyDescent="0.25">
      <c r="A819" s="250">
        <v>8435411451</v>
      </c>
      <c r="B819">
        <v>10000775</v>
      </c>
      <c r="C819" t="s">
        <v>2410</v>
      </c>
      <c r="D819" s="280">
        <v>616000</v>
      </c>
      <c r="E819" s="280">
        <v>616000</v>
      </c>
      <c r="F819">
        <v>6</v>
      </c>
    </row>
    <row r="820" spans="1:6" x14ac:dyDescent="0.25">
      <c r="A820" s="250">
        <v>8392221095</v>
      </c>
      <c r="B820">
        <v>10001685</v>
      </c>
      <c r="C820" t="s">
        <v>2262</v>
      </c>
      <c r="D820" s="280">
        <v>361733.33333333331</v>
      </c>
      <c r="E820" s="280">
        <v>361733.33333333331</v>
      </c>
      <c r="F820">
        <v>6</v>
      </c>
    </row>
    <row r="821" spans="1:6" x14ac:dyDescent="0.25">
      <c r="A821" s="250">
        <v>8370971679</v>
      </c>
      <c r="B821">
        <v>10001097</v>
      </c>
      <c r="C821" t="s">
        <v>1438</v>
      </c>
      <c r="D821" s="280">
        <v>308833.33333333331</v>
      </c>
      <c r="E821" s="280">
        <v>308833.33333333331</v>
      </c>
      <c r="F821">
        <v>6</v>
      </c>
    </row>
    <row r="822" spans="1:6" x14ac:dyDescent="0.25">
      <c r="A822" s="250">
        <v>8450030404</v>
      </c>
      <c r="B822">
        <v>10001982</v>
      </c>
      <c r="C822" t="s">
        <v>2474</v>
      </c>
      <c r="D822" s="280">
        <v>336000</v>
      </c>
      <c r="E822" s="280">
        <v>336000</v>
      </c>
      <c r="F822">
        <v>5</v>
      </c>
    </row>
    <row r="823" spans="1:6" x14ac:dyDescent="0.25">
      <c r="A823" s="250">
        <v>8418862165</v>
      </c>
      <c r="B823">
        <v>10000778</v>
      </c>
      <c r="C823" t="s">
        <v>1330</v>
      </c>
      <c r="D823" s="280">
        <v>935000</v>
      </c>
      <c r="E823" s="280">
        <v>935000</v>
      </c>
      <c r="F823">
        <v>6</v>
      </c>
    </row>
    <row r="824" spans="1:6" x14ac:dyDescent="0.25">
      <c r="A824" s="250">
        <v>8437320062</v>
      </c>
      <c r="B824">
        <v>10001463</v>
      </c>
      <c r="C824" t="s">
        <v>198</v>
      </c>
      <c r="D824" s="280">
        <v>394253.33333333331</v>
      </c>
      <c r="E824" s="280">
        <v>394253.33333333331</v>
      </c>
      <c r="F824">
        <v>6</v>
      </c>
    </row>
    <row r="825" spans="1:6" x14ac:dyDescent="0.25">
      <c r="A825" s="250">
        <v>8473392310</v>
      </c>
      <c r="B825">
        <v>10001280</v>
      </c>
      <c r="C825" t="s">
        <v>2547</v>
      </c>
      <c r="D825" s="280">
        <v>330000</v>
      </c>
      <c r="E825" s="280">
        <v>330000</v>
      </c>
      <c r="F825">
        <v>6</v>
      </c>
    </row>
    <row r="826" spans="1:6" x14ac:dyDescent="0.25">
      <c r="A826" s="250">
        <v>8375633437</v>
      </c>
      <c r="B826">
        <v>10000781</v>
      </c>
      <c r="C826" t="s">
        <v>1331</v>
      </c>
      <c r="D826" s="280">
        <v>344266.66666666669</v>
      </c>
      <c r="E826" s="280">
        <v>344266.66666666669</v>
      </c>
      <c r="F826">
        <v>6</v>
      </c>
    </row>
    <row r="827" spans="1:6" x14ac:dyDescent="0.25">
      <c r="A827" s="250">
        <v>8402301541</v>
      </c>
      <c r="B827">
        <v>10000385</v>
      </c>
      <c r="C827" t="s">
        <v>2296</v>
      </c>
      <c r="D827" s="280">
        <v>267633.33333333331</v>
      </c>
      <c r="E827" s="280">
        <v>267633.33333333331</v>
      </c>
      <c r="F827">
        <v>6</v>
      </c>
    </row>
    <row r="828" spans="1:6" x14ac:dyDescent="0.25">
      <c r="A828" s="250">
        <v>8481051845</v>
      </c>
      <c r="B828">
        <v>10002056</v>
      </c>
      <c r="C828" t="s">
        <v>1865</v>
      </c>
      <c r="D828" s="280">
        <v>270000</v>
      </c>
      <c r="E828" s="280">
        <v>270000</v>
      </c>
      <c r="F828">
        <v>1</v>
      </c>
    </row>
    <row r="829" spans="1:6" x14ac:dyDescent="0.25">
      <c r="A829" s="250">
        <v>8347162905</v>
      </c>
      <c r="B829">
        <v>10001708</v>
      </c>
      <c r="C829" t="s">
        <v>2150</v>
      </c>
      <c r="D829" s="280">
        <v>401533.33333333331</v>
      </c>
      <c r="E829" s="280">
        <v>401533.33333333331</v>
      </c>
      <c r="F829">
        <v>6</v>
      </c>
    </row>
    <row r="830" spans="1:6" x14ac:dyDescent="0.25">
      <c r="A830" s="250">
        <v>8396416036</v>
      </c>
      <c r="B830">
        <v>10000784</v>
      </c>
      <c r="C830" t="s">
        <v>2274</v>
      </c>
      <c r="D830" s="280">
        <v>317260</v>
      </c>
      <c r="E830" s="280">
        <v>317260</v>
      </c>
      <c r="F830">
        <v>6</v>
      </c>
    </row>
    <row r="831" spans="1:6" x14ac:dyDescent="0.25">
      <c r="A831" s="250">
        <v>8392843355</v>
      </c>
      <c r="B831">
        <v>10000917</v>
      </c>
      <c r="C831" t="s">
        <v>1375</v>
      </c>
      <c r="D831" s="280">
        <v>341000</v>
      </c>
      <c r="E831" s="280">
        <v>341000</v>
      </c>
      <c r="F831">
        <v>6</v>
      </c>
    </row>
    <row r="832" spans="1:6" x14ac:dyDescent="0.25">
      <c r="A832" s="250">
        <v>8388380893</v>
      </c>
      <c r="B832">
        <v>10001394</v>
      </c>
      <c r="C832" t="s">
        <v>1514</v>
      </c>
      <c r="D832" s="280">
        <v>196233.33333333334</v>
      </c>
      <c r="E832" s="280">
        <v>392466.66666666669</v>
      </c>
      <c r="F832">
        <v>6</v>
      </c>
    </row>
    <row r="833" spans="1:6" x14ac:dyDescent="0.25">
      <c r="A833" s="250">
        <v>8421461990</v>
      </c>
      <c r="B833">
        <v>10000788</v>
      </c>
      <c r="C833" t="s">
        <v>1334</v>
      </c>
      <c r="D833" s="280">
        <v>295266.66666666669</v>
      </c>
      <c r="E833" s="280">
        <v>295266.66666666669</v>
      </c>
      <c r="F833">
        <v>6</v>
      </c>
    </row>
    <row r="834" spans="1:6" x14ac:dyDescent="0.25">
      <c r="A834" s="250">
        <v>8431303115</v>
      </c>
      <c r="B834">
        <v>10001054</v>
      </c>
      <c r="C834" t="s">
        <v>1425</v>
      </c>
      <c r="D834" s="280">
        <v>182900</v>
      </c>
      <c r="E834" s="280">
        <v>243866.66666666666</v>
      </c>
      <c r="F834">
        <v>6</v>
      </c>
    </row>
    <row r="835" spans="1:6" x14ac:dyDescent="0.25">
      <c r="A835" s="250">
        <v>8400143507</v>
      </c>
      <c r="B835">
        <v>10001976</v>
      </c>
      <c r="C835" t="s">
        <v>1793</v>
      </c>
      <c r="D835" s="280">
        <v>302400</v>
      </c>
      <c r="E835" s="280">
        <v>604800</v>
      </c>
      <c r="F835">
        <v>5</v>
      </c>
    </row>
    <row r="836" spans="1:6" x14ac:dyDescent="0.25">
      <c r="A836" s="250">
        <v>8443042931</v>
      </c>
      <c r="B836">
        <v>10002025</v>
      </c>
      <c r="C836" t="s">
        <v>1837</v>
      </c>
      <c r="D836" s="280">
        <v>82500</v>
      </c>
      <c r="E836" s="280">
        <v>330000</v>
      </c>
      <c r="F836">
        <v>2</v>
      </c>
    </row>
    <row r="837" spans="1:6" x14ac:dyDescent="0.25">
      <c r="A837" s="250">
        <v>8430941800</v>
      </c>
      <c r="B837">
        <v>10000500</v>
      </c>
      <c r="C837" t="s">
        <v>209</v>
      </c>
      <c r="D837" s="280">
        <v>1210000</v>
      </c>
      <c r="E837" s="280">
        <v>1210000</v>
      </c>
      <c r="F837">
        <v>6</v>
      </c>
    </row>
    <row r="838" spans="1:6" x14ac:dyDescent="0.25">
      <c r="A838" s="250">
        <v>8425033721</v>
      </c>
      <c r="B838">
        <v>10001762</v>
      </c>
      <c r="C838" t="s">
        <v>1697</v>
      </c>
      <c r="D838" s="280">
        <v>286000</v>
      </c>
      <c r="E838" s="280">
        <v>286000</v>
      </c>
      <c r="F838">
        <v>6</v>
      </c>
    </row>
    <row r="839" spans="1:6" x14ac:dyDescent="0.25">
      <c r="A839" s="250">
        <v>8456011665</v>
      </c>
      <c r="B839">
        <v>10001983</v>
      </c>
      <c r="C839" t="s">
        <v>2491</v>
      </c>
      <c r="D839" s="280">
        <v>347200</v>
      </c>
      <c r="E839" s="280">
        <v>694400</v>
      </c>
      <c r="F839">
        <v>5</v>
      </c>
    </row>
    <row r="840" spans="1:6" x14ac:dyDescent="0.25">
      <c r="A840" s="250">
        <v>8361864555</v>
      </c>
      <c r="B840">
        <v>10001639</v>
      </c>
      <c r="C840" t="s">
        <v>1591</v>
      </c>
      <c r="D840" s="280">
        <v>504100</v>
      </c>
      <c r="E840" s="280">
        <v>504100</v>
      </c>
      <c r="F840">
        <v>6</v>
      </c>
    </row>
    <row r="841" spans="1:6" x14ac:dyDescent="0.25">
      <c r="A841" s="250">
        <v>8420351687</v>
      </c>
      <c r="B841">
        <v>10001742</v>
      </c>
      <c r="C841" t="s">
        <v>2365</v>
      </c>
      <c r="D841" s="280">
        <v>240933.33333333334</v>
      </c>
      <c r="E841" s="280">
        <v>240933.33333333334</v>
      </c>
      <c r="F841">
        <v>6</v>
      </c>
    </row>
    <row r="842" spans="1:6" x14ac:dyDescent="0.25">
      <c r="A842" s="250">
        <v>8397324542</v>
      </c>
      <c r="B842">
        <v>10000797</v>
      </c>
      <c r="C842" t="s">
        <v>2280</v>
      </c>
      <c r="D842" s="280">
        <v>956000</v>
      </c>
      <c r="E842" s="280">
        <v>956000</v>
      </c>
      <c r="F842">
        <v>6</v>
      </c>
    </row>
    <row r="843" spans="1:6" x14ac:dyDescent="0.25">
      <c r="A843" s="250">
        <v>8406992026</v>
      </c>
      <c r="B843">
        <v>10001736</v>
      </c>
      <c r="C843" t="s">
        <v>2280</v>
      </c>
      <c r="D843" s="280">
        <v>240933.33333333334</v>
      </c>
      <c r="E843" s="280">
        <v>240933.33333333334</v>
      </c>
      <c r="F843">
        <v>6</v>
      </c>
    </row>
    <row r="844" spans="1:6" x14ac:dyDescent="0.25">
      <c r="A844" s="250">
        <v>8408180045</v>
      </c>
      <c r="B844">
        <v>10000798</v>
      </c>
      <c r="C844" t="s">
        <v>2319</v>
      </c>
      <c r="D844" s="280">
        <v>125966.66666666667</v>
      </c>
      <c r="E844" s="280">
        <v>251933.33333333334</v>
      </c>
      <c r="F844">
        <v>6</v>
      </c>
    </row>
    <row r="845" spans="1:6" x14ac:dyDescent="0.25">
      <c r="A845" s="250">
        <v>8446400413</v>
      </c>
      <c r="B845">
        <v>10001754</v>
      </c>
      <c r="C845" t="s">
        <v>2461</v>
      </c>
      <c r="D845" s="280">
        <v>273966.66666666669</v>
      </c>
      <c r="E845" s="280">
        <v>273966.66666666669</v>
      </c>
      <c r="F845">
        <v>6</v>
      </c>
    </row>
    <row r="846" spans="1:6" x14ac:dyDescent="0.25">
      <c r="A846" s="250">
        <v>8374203714</v>
      </c>
      <c r="B846">
        <v>10000801</v>
      </c>
      <c r="C846" t="s">
        <v>1337</v>
      </c>
      <c r="D846" s="280">
        <v>383266.66666666669</v>
      </c>
      <c r="E846" s="280">
        <v>383266.66666666669</v>
      </c>
      <c r="F846">
        <v>6</v>
      </c>
    </row>
    <row r="847" spans="1:6" x14ac:dyDescent="0.25">
      <c r="A847" s="250">
        <v>8452851529</v>
      </c>
      <c r="B847">
        <v>10001823</v>
      </c>
      <c r="C847" t="s">
        <v>2483</v>
      </c>
      <c r="D847" s="280">
        <v>327800</v>
      </c>
      <c r="E847" s="280">
        <v>327800</v>
      </c>
      <c r="F847">
        <v>6</v>
      </c>
    </row>
    <row r="848" spans="1:6" x14ac:dyDescent="0.25">
      <c r="A848" s="250">
        <v>8460291359</v>
      </c>
      <c r="B848">
        <v>10001090</v>
      </c>
      <c r="C848" t="s">
        <v>2514</v>
      </c>
      <c r="D848" s="280">
        <v>354166.66666666669</v>
      </c>
      <c r="E848" s="280">
        <v>354166.66666666669</v>
      </c>
      <c r="F848">
        <v>6</v>
      </c>
    </row>
    <row r="849" spans="1:6" x14ac:dyDescent="0.25">
      <c r="A849" s="250">
        <v>8426450946</v>
      </c>
      <c r="B849">
        <v>10000802</v>
      </c>
      <c r="C849" t="s">
        <v>2385</v>
      </c>
      <c r="D849" s="280">
        <v>379533.33333333331</v>
      </c>
      <c r="E849" s="280">
        <v>379533.33333333331</v>
      </c>
      <c r="F849">
        <v>6</v>
      </c>
    </row>
    <row r="850" spans="1:6" x14ac:dyDescent="0.25">
      <c r="A850" s="250">
        <v>8379480910</v>
      </c>
      <c r="B850">
        <v>10000803</v>
      </c>
      <c r="C850" t="s">
        <v>247</v>
      </c>
      <c r="D850" s="280">
        <v>605000</v>
      </c>
      <c r="E850" s="280">
        <v>605000</v>
      </c>
      <c r="F850">
        <v>6</v>
      </c>
    </row>
    <row r="851" spans="1:6" x14ac:dyDescent="0.25">
      <c r="A851" s="250">
        <v>8406113413</v>
      </c>
      <c r="B851">
        <v>10001735</v>
      </c>
      <c r="C851" t="s">
        <v>1665</v>
      </c>
      <c r="D851" s="280">
        <v>401533.33333333331</v>
      </c>
      <c r="E851" s="280">
        <v>401533.33333333331</v>
      </c>
      <c r="F851">
        <v>6</v>
      </c>
    </row>
    <row r="852" spans="1:6" x14ac:dyDescent="0.25">
      <c r="A852" s="250">
        <v>8461583191</v>
      </c>
      <c r="B852">
        <v>10001966</v>
      </c>
      <c r="C852" t="s">
        <v>2521</v>
      </c>
      <c r="D852" s="280">
        <v>316866.66666666669</v>
      </c>
      <c r="E852" s="280">
        <v>316866.66666666669</v>
      </c>
      <c r="F852">
        <v>6</v>
      </c>
    </row>
    <row r="853" spans="1:6" x14ac:dyDescent="0.25">
      <c r="A853" s="250">
        <v>8408962612</v>
      </c>
      <c r="B853">
        <v>10001432</v>
      </c>
      <c r="C853" t="s">
        <v>1526</v>
      </c>
      <c r="D853" s="280">
        <v>383266.66666666669</v>
      </c>
      <c r="E853" s="280">
        <v>383266.66666666669</v>
      </c>
      <c r="F853">
        <v>6</v>
      </c>
    </row>
    <row r="854" spans="1:6" x14ac:dyDescent="0.25">
      <c r="A854" s="250">
        <v>8479521163</v>
      </c>
      <c r="B854">
        <v>10001977</v>
      </c>
      <c r="C854" t="s">
        <v>1794</v>
      </c>
      <c r="D854" s="280">
        <v>313600</v>
      </c>
      <c r="E854" s="280">
        <v>313600</v>
      </c>
      <c r="F854">
        <v>5</v>
      </c>
    </row>
    <row r="855" spans="1:6" x14ac:dyDescent="0.25">
      <c r="A855" s="250">
        <v>8401873142</v>
      </c>
      <c r="B855">
        <v>10000806</v>
      </c>
      <c r="C855" t="s">
        <v>1339</v>
      </c>
      <c r="D855" s="280">
        <v>333733.33333333331</v>
      </c>
      <c r="E855" s="280">
        <v>333733.33333333331</v>
      </c>
      <c r="F855">
        <v>6</v>
      </c>
    </row>
    <row r="856" spans="1:6" x14ac:dyDescent="0.25">
      <c r="A856" s="250">
        <v>8371850115</v>
      </c>
      <c r="B856">
        <v>10001981</v>
      </c>
      <c r="C856" t="s">
        <v>1798</v>
      </c>
      <c r="D856" s="280">
        <v>458000</v>
      </c>
      <c r="E856" s="280">
        <v>458000</v>
      </c>
      <c r="F856">
        <v>5</v>
      </c>
    </row>
    <row r="857" spans="1:6" x14ac:dyDescent="0.25">
      <c r="A857" s="250">
        <v>8445893076</v>
      </c>
      <c r="B857">
        <v>10001971</v>
      </c>
      <c r="C857" t="s">
        <v>2453</v>
      </c>
      <c r="D857" s="280">
        <v>330000</v>
      </c>
      <c r="E857" s="280">
        <v>330000</v>
      </c>
      <c r="F857">
        <v>6</v>
      </c>
    </row>
    <row r="858" spans="1:6" x14ac:dyDescent="0.25">
      <c r="A858" s="250">
        <v>8477940371</v>
      </c>
      <c r="B858">
        <v>10001947</v>
      </c>
      <c r="C858" t="s">
        <v>2554</v>
      </c>
      <c r="D858" s="280">
        <v>200000</v>
      </c>
      <c r="E858" s="280">
        <v>266666.66666666669</v>
      </c>
      <c r="F858">
        <v>1</v>
      </c>
    </row>
    <row r="859" spans="1:6" x14ac:dyDescent="0.25">
      <c r="A859" s="250">
        <v>8459943798</v>
      </c>
      <c r="B859">
        <v>10002052</v>
      </c>
      <c r="C859" t="s">
        <v>1863</v>
      </c>
      <c r="D859" s="280">
        <v>150000</v>
      </c>
      <c r="E859" s="280">
        <v>300000</v>
      </c>
      <c r="F859">
        <v>1</v>
      </c>
    </row>
    <row r="860" spans="1:6" x14ac:dyDescent="0.25">
      <c r="A860" s="250">
        <v>8388803441</v>
      </c>
      <c r="B860">
        <v>10001316</v>
      </c>
      <c r="C860" t="s">
        <v>1496</v>
      </c>
      <c r="D860" s="280">
        <v>383266.66666666669</v>
      </c>
      <c r="E860" s="280">
        <v>383266.66666666669</v>
      </c>
      <c r="F860">
        <v>6</v>
      </c>
    </row>
    <row r="861" spans="1:6" x14ac:dyDescent="0.25">
      <c r="A861" s="250">
        <v>8420632767</v>
      </c>
      <c r="B861">
        <v>10001139</v>
      </c>
      <c r="C861" t="s">
        <v>1452</v>
      </c>
      <c r="D861" s="280">
        <v>550000</v>
      </c>
      <c r="E861" s="280">
        <v>550000</v>
      </c>
      <c r="F861">
        <v>6</v>
      </c>
    </row>
    <row r="862" spans="1:6" x14ac:dyDescent="0.25">
      <c r="A862" s="250">
        <v>8378243737</v>
      </c>
      <c r="B862">
        <v>10002044</v>
      </c>
      <c r="C862" t="s">
        <v>1857</v>
      </c>
      <c r="D862" s="280">
        <v>1200000</v>
      </c>
      <c r="E862" s="280">
        <v>1200000</v>
      </c>
      <c r="F862">
        <v>2</v>
      </c>
    </row>
    <row r="863" spans="1:6" x14ac:dyDescent="0.25">
      <c r="A863" s="250">
        <v>8410933446</v>
      </c>
      <c r="B863">
        <v>10000313</v>
      </c>
      <c r="C863" t="s">
        <v>2331</v>
      </c>
      <c r="D863" s="280">
        <v>499666.66666666669</v>
      </c>
      <c r="E863" s="280">
        <v>499666.66666666669</v>
      </c>
      <c r="F863">
        <v>6</v>
      </c>
    </row>
    <row r="864" spans="1:6" x14ac:dyDescent="0.25">
      <c r="A864" s="250">
        <v>8357793207</v>
      </c>
      <c r="B864">
        <v>10000811</v>
      </c>
      <c r="C864" t="s">
        <v>1340</v>
      </c>
      <c r="D864" s="280">
        <v>618265.33333333337</v>
      </c>
      <c r="E864" s="280">
        <v>618265.33333333337</v>
      </c>
      <c r="F864">
        <v>6</v>
      </c>
    </row>
    <row r="865" spans="1:6" x14ac:dyDescent="0.25">
      <c r="A865" s="250">
        <v>8414381804</v>
      </c>
      <c r="B865">
        <v>10000813</v>
      </c>
      <c r="C865" t="s">
        <v>1341</v>
      </c>
      <c r="D865" s="280">
        <v>664118.33333333337</v>
      </c>
      <c r="E865" s="280">
        <v>664118.33333333337</v>
      </c>
      <c r="F865">
        <v>6</v>
      </c>
    </row>
    <row r="866" spans="1:6" x14ac:dyDescent="0.25">
      <c r="A866" s="250">
        <v>8364533339</v>
      </c>
      <c r="B866">
        <v>10001544</v>
      </c>
      <c r="C866" t="s">
        <v>2203</v>
      </c>
      <c r="D866" s="280">
        <v>762020.66666666663</v>
      </c>
      <c r="E866" s="280">
        <v>762020.66666666663</v>
      </c>
      <c r="F866">
        <v>6</v>
      </c>
    </row>
    <row r="867" spans="1:6" x14ac:dyDescent="0.25">
      <c r="A867" s="250">
        <v>8474940427</v>
      </c>
      <c r="B867">
        <v>10001877</v>
      </c>
      <c r="C867" t="s">
        <v>1743</v>
      </c>
      <c r="D867" s="280">
        <v>319000</v>
      </c>
      <c r="E867" s="280">
        <v>319000</v>
      </c>
      <c r="F867">
        <v>6</v>
      </c>
    </row>
    <row r="868" spans="1:6" x14ac:dyDescent="0.25">
      <c r="A868" s="250">
        <v>8419842826</v>
      </c>
      <c r="B868">
        <v>10000814</v>
      </c>
      <c r="C868" t="s">
        <v>2364</v>
      </c>
      <c r="D868" s="280">
        <v>240933.33333333334</v>
      </c>
      <c r="E868" s="280">
        <v>240933.33333333334</v>
      </c>
      <c r="F868">
        <v>6</v>
      </c>
    </row>
    <row r="869" spans="1:6" x14ac:dyDescent="0.25">
      <c r="A869" s="250">
        <v>8450390338</v>
      </c>
      <c r="B869">
        <v>10001094</v>
      </c>
      <c r="C869" t="s">
        <v>2476</v>
      </c>
      <c r="D869" s="280">
        <v>440000</v>
      </c>
      <c r="E869" s="280">
        <v>440000</v>
      </c>
      <c r="F869">
        <v>6</v>
      </c>
    </row>
    <row r="870" spans="1:6" x14ac:dyDescent="0.25">
      <c r="A870" s="250">
        <v>8443273798</v>
      </c>
      <c r="B870">
        <v>10001859</v>
      </c>
      <c r="C870" t="s">
        <v>1740</v>
      </c>
      <c r="D870" s="280">
        <v>252333.33333333334</v>
      </c>
      <c r="E870" s="280">
        <v>252333.33333333334</v>
      </c>
      <c r="F870">
        <v>6</v>
      </c>
    </row>
    <row r="871" spans="1:6" x14ac:dyDescent="0.25">
      <c r="A871" s="250">
        <v>8442761829</v>
      </c>
      <c r="B871">
        <v>10001746</v>
      </c>
      <c r="C871" t="s">
        <v>2439</v>
      </c>
      <c r="D871" s="280">
        <v>264000</v>
      </c>
      <c r="E871" s="280">
        <v>264000</v>
      </c>
      <c r="F871">
        <v>6</v>
      </c>
    </row>
    <row r="872" spans="1:6" x14ac:dyDescent="0.25">
      <c r="A872" s="250">
        <v>8474180449</v>
      </c>
      <c r="B872">
        <v>10001574</v>
      </c>
      <c r="C872" t="s">
        <v>1569</v>
      </c>
      <c r="D872" s="280">
        <v>155000</v>
      </c>
      <c r="E872" s="280">
        <v>310000</v>
      </c>
      <c r="F872">
        <v>3</v>
      </c>
    </row>
    <row r="873" spans="1:6" x14ac:dyDescent="0.25">
      <c r="A873" s="250">
        <v>8393701074</v>
      </c>
      <c r="B873">
        <v>10000819</v>
      </c>
      <c r="C873" t="s">
        <v>1343</v>
      </c>
      <c r="D873" s="280">
        <v>449000</v>
      </c>
      <c r="E873" s="280">
        <v>449000</v>
      </c>
      <c r="F873">
        <v>6</v>
      </c>
    </row>
    <row r="874" spans="1:6" x14ac:dyDescent="0.25">
      <c r="A874" s="250">
        <v>8401243130</v>
      </c>
      <c r="B874">
        <v>10001634</v>
      </c>
      <c r="C874" t="s">
        <v>1588</v>
      </c>
      <c r="D874" s="280">
        <v>660000</v>
      </c>
      <c r="E874" s="280">
        <v>660000</v>
      </c>
      <c r="F874">
        <v>6</v>
      </c>
    </row>
    <row r="875" spans="1:6" x14ac:dyDescent="0.25">
      <c r="A875" s="250">
        <v>8400535464</v>
      </c>
      <c r="B875">
        <v>10000820</v>
      </c>
      <c r="C875" t="s">
        <v>1344</v>
      </c>
      <c r="D875" s="280">
        <v>594000</v>
      </c>
      <c r="E875" s="280">
        <v>594000</v>
      </c>
      <c r="F875">
        <v>6</v>
      </c>
    </row>
    <row r="876" spans="1:6" x14ac:dyDescent="0.25">
      <c r="A876" s="250">
        <v>8362824085</v>
      </c>
      <c r="B876">
        <v>10001073</v>
      </c>
      <c r="C876" t="s">
        <v>2197</v>
      </c>
      <c r="D876" s="280">
        <v>350000</v>
      </c>
      <c r="E876" s="280">
        <v>350000</v>
      </c>
      <c r="F876">
        <v>2</v>
      </c>
    </row>
    <row r="877" spans="1:6" x14ac:dyDescent="0.25">
      <c r="A877" s="250">
        <v>8386094052</v>
      </c>
      <c r="B877">
        <v>10000830</v>
      </c>
      <c r="C877" t="s">
        <v>1345</v>
      </c>
      <c r="D877" s="280">
        <v>234433.33333333334</v>
      </c>
      <c r="E877" s="280">
        <v>312577.77777777781</v>
      </c>
      <c r="F877">
        <v>6</v>
      </c>
    </row>
    <row r="878" spans="1:6" x14ac:dyDescent="0.25">
      <c r="A878" s="250">
        <v>8390694719</v>
      </c>
      <c r="B878">
        <v>10001323</v>
      </c>
      <c r="C878" t="s">
        <v>1498</v>
      </c>
      <c r="D878" s="280">
        <v>224675</v>
      </c>
      <c r="E878" s="280">
        <v>323258.33333333331</v>
      </c>
      <c r="F878">
        <v>6</v>
      </c>
    </row>
    <row r="879" spans="1:6" x14ac:dyDescent="0.25">
      <c r="A879" s="250">
        <v>8379402995</v>
      </c>
      <c r="B879">
        <v>10000944</v>
      </c>
      <c r="C879" t="s">
        <v>1384</v>
      </c>
      <c r="D879" s="280">
        <v>438600</v>
      </c>
      <c r="E879" s="280">
        <v>438600</v>
      </c>
      <c r="F879">
        <v>6</v>
      </c>
    </row>
    <row r="880" spans="1:6" x14ac:dyDescent="0.25">
      <c r="A880" s="250">
        <v>8422492644</v>
      </c>
      <c r="B880">
        <v>10000831</v>
      </c>
      <c r="C880" t="s">
        <v>1346</v>
      </c>
      <c r="D880" s="280">
        <v>453333.33333333331</v>
      </c>
      <c r="E880" s="280">
        <v>453333.33333333331</v>
      </c>
      <c r="F880">
        <v>6</v>
      </c>
    </row>
    <row r="881" spans="1:6" x14ac:dyDescent="0.25">
      <c r="A881" s="250">
        <v>8311924805</v>
      </c>
      <c r="B881">
        <v>10000193</v>
      </c>
      <c r="C881" t="s">
        <v>1017</v>
      </c>
      <c r="D881" s="280">
        <v>628133.33333333337</v>
      </c>
      <c r="E881" s="280">
        <v>628133.33333333337</v>
      </c>
      <c r="F881">
        <v>6</v>
      </c>
    </row>
    <row r="882" spans="1:6" x14ac:dyDescent="0.25">
      <c r="A882" s="250">
        <v>8416513058</v>
      </c>
      <c r="B882">
        <v>10000832</v>
      </c>
      <c r="C882" t="s">
        <v>1347</v>
      </c>
      <c r="D882" s="280">
        <v>480000</v>
      </c>
      <c r="E882" s="280">
        <v>480000</v>
      </c>
      <c r="F882">
        <v>6</v>
      </c>
    </row>
    <row r="883" spans="1:6" x14ac:dyDescent="0.25">
      <c r="A883" s="250">
        <v>8380550846</v>
      </c>
      <c r="B883">
        <v>10000833</v>
      </c>
      <c r="C883" t="s">
        <v>1348</v>
      </c>
      <c r="D883" s="280">
        <v>345866.66666666669</v>
      </c>
      <c r="E883" s="280">
        <v>345866.66666666669</v>
      </c>
      <c r="F883">
        <v>6</v>
      </c>
    </row>
    <row r="884" spans="1:6" x14ac:dyDescent="0.25">
      <c r="A884" s="250">
        <v>8435150860</v>
      </c>
      <c r="B884">
        <v>10001811</v>
      </c>
      <c r="C884" t="s">
        <v>2409</v>
      </c>
      <c r="D884" s="280">
        <v>508800</v>
      </c>
      <c r="E884" s="280">
        <v>508800</v>
      </c>
      <c r="F884">
        <v>4</v>
      </c>
    </row>
    <row r="885" spans="1:6" x14ac:dyDescent="0.25">
      <c r="A885" s="250">
        <v>8457891952</v>
      </c>
      <c r="B885">
        <v>10001679</v>
      </c>
      <c r="C885" t="s">
        <v>2506</v>
      </c>
      <c r="D885" s="280">
        <v>288800</v>
      </c>
      <c r="E885" s="280">
        <v>385066.66666666669</v>
      </c>
      <c r="F885">
        <v>6</v>
      </c>
    </row>
    <row r="886" spans="1:6" x14ac:dyDescent="0.25">
      <c r="A886" s="250">
        <v>8373774033</v>
      </c>
      <c r="B886">
        <v>10001727</v>
      </c>
      <c r="C886" t="s">
        <v>2219</v>
      </c>
      <c r="D886" s="280">
        <v>277433.33333333331</v>
      </c>
      <c r="E886" s="280">
        <v>277433.33333333331</v>
      </c>
      <c r="F886">
        <v>6</v>
      </c>
    </row>
    <row r="887" spans="1:6" x14ac:dyDescent="0.25">
      <c r="A887" s="250">
        <v>8461520602</v>
      </c>
      <c r="B887">
        <v>10001256</v>
      </c>
      <c r="C887" t="s">
        <v>2520</v>
      </c>
      <c r="D887" s="280">
        <v>470000</v>
      </c>
      <c r="E887" s="280">
        <v>470000</v>
      </c>
      <c r="F887">
        <v>6</v>
      </c>
    </row>
    <row r="888" spans="1:6" x14ac:dyDescent="0.25">
      <c r="A888" s="250">
        <v>8361092331</v>
      </c>
      <c r="B888">
        <v>10001490</v>
      </c>
      <c r="C888" t="s">
        <v>1548</v>
      </c>
      <c r="D888" s="280">
        <v>233300</v>
      </c>
      <c r="E888" s="280">
        <v>311066.66666666669</v>
      </c>
      <c r="F888">
        <v>6</v>
      </c>
    </row>
    <row r="889" spans="1:6" x14ac:dyDescent="0.25">
      <c r="A889" s="250">
        <v>8375352837</v>
      </c>
      <c r="B889">
        <v>10002033</v>
      </c>
      <c r="C889" t="s">
        <v>1846</v>
      </c>
      <c r="D889" s="280">
        <v>82500</v>
      </c>
      <c r="E889" s="280">
        <v>330000</v>
      </c>
      <c r="F889">
        <v>2</v>
      </c>
    </row>
    <row r="890" spans="1:6" x14ac:dyDescent="0.25">
      <c r="A890" s="250">
        <v>8453660115</v>
      </c>
      <c r="B890">
        <v>10002026</v>
      </c>
      <c r="C890" t="s">
        <v>1838</v>
      </c>
      <c r="D890" s="280">
        <v>82500</v>
      </c>
      <c r="E890" s="280">
        <v>330000</v>
      </c>
      <c r="F890">
        <v>2</v>
      </c>
    </row>
    <row r="891" spans="1:6" x14ac:dyDescent="0.25">
      <c r="A891" s="250">
        <v>8397945369</v>
      </c>
      <c r="B891">
        <v>10000840</v>
      </c>
      <c r="C891" t="s">
        <v>2282</v>
      </c>
      <c r="D891" s="280">
        <v>314033.33333333331</v>
      </c>
      <c r="E891" s="280">
        <v>314033.33333333331</v>
      </c>
      <c r="F891">
        <v>6</v>
      </c>
    </row>
    <row r="892" spans="1:6" x14ac:dyDescent="0.25">
      <c r="A892" s="250">
        <v>8409494051</v>
      </c>
      <c r="B892">
        <v>10000901</v>
      </c>
      <c r="C892" t="s">
        <v>1369</v>
      </c>
      <c r="D892" s="280">
        <v>815183.33333333337</v>
      </c>
      <c r="E892" s="280">
        <v>815183.33333333337</v>
      </c>
      <c r="F892">
        <v>6</v>
      </c>
    </row>
    <row r="893" spans="1:6" x14ac:dyDescent="0.25">
      <c r="A893" s="250">
        <v>8469240358</v>
      </c>
      <c r="B893">
        <v>10001586</v>
      </c>
      <c r="C893" t="s">
        <v>1575</v>
      </c>
      <c r="D893" s="280">
        <v>317266.66666666669</v>
      </c>
      <c r="E893" s="280">
        <v>317266.66666666669</v>
      </c>
      <c r="F893">
        <v>6</v>
      </c>
    </row>
    <row r="894" spans="1:6" x14ac:dyDescent="0.25">
      <c r="A894" s="250">
        <v>8458760452</v>
      </c>
      <c r="B894">
        <v>10000999</v>
      </c>
      <c r="C894" t="s">
        <v>1403</v>
      </c>
      <c r="D894" s="280">
        <v>330000</v>
      </c>
      <c r="E894" s="280">
        <v>330000</v>
      </c>
      <c r="F894">
        <v>6</v>
      </c>
    </row>
    <row r="895" spans="1:6" x14ac:dyDescent="0.25">
      <c r="A895" s="250">
        <v>8420503533</v>
      </c>
      <c r="B895">
        <v>10000843</v>
      </c>
      <c r="C895" t="s">
        <v>2366</v>
      </c>
      <c r="D895" s="280">
        <v>287233.33333333331</v>
      </c>
      <c r="E895" s="280">
        <v>287233.33333333331</v>
      </c>
      <c r="F895">
        <v>6</v>
      </c>
    </row>
    <row r="896" spans="1:6" x14ac:dyDescent="0.25">
      <c r="A896" s="250">
        <v>8396360162</v>
      </c>
      <c r="B896">
        <v>10001136</v>
      </c>
      <c r="C896" t="s">
        <v>2273</v>
      </c>
      <c r="D896" s="280">
        <v>330000</v>
      </c>
      <c r="E896" s="280">
        <v>330000</v>
      </c>
      <c r="F896">
        <v>6</v>
      </c>
    </row>
    <row r="897" spans="1:6" x14ac:dyDescent="0.25">
      <c r="A897" s="250">
        <v>8452000928</v>
      </c>
      <c r="B897">
        <v>10000972</v>
      </c>
      <c r="C897" t="s">
        <v>1395</v>
      </c>
      <c r="D897" s="280">
        <v>550000</v>
      </c>
      <c r="E897" s="280">
        <v>550000</v>
      </c>
      <c r="F897">
        <v>6</v>
      </c>
    </row>
    <row r="898" spans="1:6" x14ac:dyDescent="0.25">
      <c r="A898" s="250">
        <v>8424091655</v>
      </c>
      <c r="B898">
        <v>10001018</v>
      </c>
      <c r="C898" t="s">
        <v>1409</v>
      </c>
      <c r="D898" s="280">
        <v>328266.66666666669</v>
      </c>
      <c r="E898" s="280">
        <v>328266.66666666669</v>
      </c>
      <c r="F898">
        <v>6</v>
      </c>
    </row>
    <row r="899" spans="1:6" x14ac:dyDescent="0.25">
      <c r="A899" s="250">
        <v>8375101591</v>
      </c>
      <c r="B899">
        <v>10000845</v>
      </c>
      <c r="C899" t="s">
        <v>2224</v>
      </c>
      <c r="D899" s="280">
        <v>352000</v>
      </c>
      <c r="E899" s="280">
        <v>352000</v>
      </c>
      <c r="F899">
        <v>6</v>
      </c>
    </row>
    <row r="900" spans="1:6" x14ac:dyDescent="0.25">
      <c r="A900" s="250">
        <v>8434440679</v>
      </c>
      <c r="B900">
        <v>10000846</v>
      </c>
      <c r="C900" t="s">
        <v>1352</v>
      </c>
      <c r="D900" s="280">
        <v>240933.33333333334</v>
      </c>
      <c r="E900" s="280">
        <v>240933.33333333334</v>
      </c>
      <c r="F900">
        <v>6</v>
      </c>
    </row>
    <row r="901" spans="1:6" x14ac:dyDescent="0.25">
      <c r="A901" s="250">
        <v>8332374189</v>
      </c>
      <c r="B901">
        <v>10001894</v>
      </c>
      <c r="C901" t="s">
        <v>2127</v>
      </c>
      <c r="D901" s="280">
        <v>476333.33333333331</v>
      </c>
      <c r="E901" s="280">
        <v>476333.33333333331</v>
      </c>
      <c r="F901">
        <v>6</v>
      </c>
    </row>
    <row r="902" spans="1:6" x14ac:dyDescent="0.25">
      <c r="A902" s="250">
        <v>8413841763</v>
      </c>
      <c r="B902">
        <v>10000847</v>
      </c>
      <c r="C902" t="s">
        <v>2341</v>
      </c>
      <c r="D902" s="280">
        <v>353183.33333333331</v>
      </c>
      <c r="E902" s="280">
        <v>353183.33333333331</v>
      </c>
      <c r="F902">
        <v>6</v>
      </c>
    </row>
    <row r="903" spans="1:6" x14ac:dyDescent="0.25">
      <c r="A903" s="250">
        <v>8469970453</v>
      </c>
      <c r="B903">
        <v>10001311</v>
      </c>
      <c r="C903" t="s">
        <v>221</v>
      </c>
      <c r="D903" s="280">
        <v>330000</v>
      </c>
      <c r="E903" s="280">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2023-05-16T07:59:04Z</dcterms:modified>
</cp:coreProperties>
</file>