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felhasználó\Desktop\"/>
    </mc:Choice>
  </mc:AlternateContent>
  <xr:revisionPtr revIDLastSave="0" documentId="13_ncr:1_{D56A2855-9A7D-4514-9451-A9FF0EE1230E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Terv-tény" sheetId="2" r:id="rId1"/>
    <sheet name="Bérköltség" sheetId="11" r:id="rId2"/>
    <sheet name="Dologi_felhalm." sheetId="13" r:id="rId3"/>
    <sheet name="hónapok" sheetId="16" r:id="rId4"/>
    <sheet name="témaszámok" sheetId="17" r:id="rId5"/>
    <sheet name="Munka1" sheetId="18" r:id="rId6"/>
    <sheet name="Havi béradatok" sheetId="19" r:id="rId7"/>
  </sheets>
  <externalReferences>
    <externalReference r:id="rId8"/>
  </externalReferences>
  <definedNames>
    <definedName name="_xlnm._FilterDatabase" localSheetId="1" hidden="1">Bérköltség!$B$6:$AR$413</definedName>
    <definedName name="_xlnm._FilterDatabase" localSheetId="2" hidden="1">Dologi_felhalm.!$A$41:$M$58</definedName>
    <definedName name="_xlnm._FilterDatabase" localSheetId="0" hidden="1">'Terv-tény'!$A$3:$H$22</definedName>
    <definedName name="Z_B3053EE5_F487_4331_B4B6_28A1F2EF1617_.wvu.Cols" localSheetId="1" hidden="1">Bérköltség!$F:$F,Bérköltség!#REF!,Bérköltség!$P:$Q,Bérköltség!$T:$T,Bérköltség!$W:$W</definedName>
    <definedName name="Z_B3053EE5_F487_4331_B4B6_28A1F2EF1617_.wvu.FilterData" localSheetId="1" hidden="1">Bérköltség!$B$6:$AR$413</definedName>
    <definedName name="Z_B3053EE5_F487_4331_B4B6_28A1F2EF1617_.wvu.FilterData" localSheetId="2" hidden="1">Dologi_felhalm.!$A$41:$M$42</definedName>
    <definedName name="Z_B3053EE5_F487_4331_B4B6_28A1F2EF1617_.wvu.FilterData" localSheetId="0" hidden="1">'Terv-tény'!$A$3:$G$12</definedName>
    <definedName name="Z_B3053EE5_F487_4331_B4B6_28A1F2EF1617_.wvu.Rows" localSheetId="1" hidden="1">Bérköltség!$417:$452</definedName>
    <definedName name="Z_B3053EE5_F487_4331_B4B6_28A1F2EF1617_.wvu.Rows" localSheetId="2" hidden="1">Dologi_felhalm.!$1:$39</definedName>
  </definedNames>
  <calcPr calcId="191029"/>
  <customWorkbookViews>
    <customWorkbookView name="1" guid="{B3053EE5-F487-4331-B4B6-28A1F2EF1617}" maximized="1" xWindow="-8" yWindow="-8" windowWidth="1936" windowHeight="1056" activeSheetId="1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B306" i="11" l="1"/>
  <c r="AA306" i="11"/>
  <c r="AB272" i="11"/>
  <c r="AA272" i="11"/>
  <c r="AB92" i="11"/>
  <c r="AA92" i="11"/>
  <c r="AB41" i="11"/>
  <c r="AA41" i="11"/>
  <c r="Q250" i="11"/>
  <c r="P170" i="11"/>
  <c r="P169" i="11"/>
  <c r="AB401" i="11" l="1"/>
  <c r="AA401" i="11"/>
  <c r="R401" i="11"/>
  <c r="Q401" i="11"/>
  <c r="O401" i="11"/>
  <c r="L401" i="11"/>
  <c r="AC401" i="11" s="1"/>
  <c r="K383" i="11"/>
  <c r="L383" i="11" s="1"/>
  <c r="K382" i="11"/>
  <c r="Y383" i="11"/>
  <c r="O383" i="11"/>
  <c r="P365" i="11"/>
  <c r="Q365" i="11" s="1"/>
  <c r="P364" i="11"/>
  <c r="K365" i="11"/>
  <c r="K364" i="11"/>
  <c r="Y365" i="11"/>
  <c r="O365" i="11"/>
  <c r="K348" i="11"/>
  <c r="P348" i="11" s="1"/>
  <c r="R348" i="11" s="1"/>
  <c r="K347" i="11"/>
  <c r="Y348" i="11"/>
  <c r="O348" i="11"/>
  <c r="K330" i="11"/>
  <c r="P330" i="11" s="1"/>
  <c r="K329" i="11"/>
  <c r="Y330" i="11"/>
  <c r="O330" i="11"/>
  <c r="K321" i="11"/>
  <c r="P321" i="11" s="1"/>
  <c r="R321" i="11" s="1"/>
  <c r="K320" i="11"/>
  <c r="Y321" i="11"/>
  <c r="AC321" i="11" s="1"/>
  <c r="O321" i="11"/>
  <c r="K303" i="11"/>
  <c r="P303" i="11" s="1"/>
  <c r="Q303" i="11" s="1"/>
  <c r="K302" i="11"/>
  <c r="AA303" i="11"/>
  <c r="O303" i="11"/>
  <c r="K287" i="11"/>
  <c r="L287" i="11" s="1"/>
  <c r="K286" i="11"/>
  <c r="Y287" i="11"/>
  <c r="O287" i="11"/>
  <c r="K269" i="11"/>
  <c r="L269" i="11" s="1"/>
  <c r="K268" i="11"/>
  <c r="Y269" i="11"/>
  <c r="O269" i="11"/>
  <c r="L252" i="11"/>
  <c r="L251" i="11"/>
  <c r="K252" i="11"/>
  <c r="P252" i="11" s="1"/>
  <c r="R252" i="11" s="1"/>
  <c r="K251" i="11"/>
  <c r="P251" i="11" s="1"/>
  <c r="Y252" i="11"/>
  <c r="O252" i="11"/>
  <c r="K234" i="11"/>
  <c r="L234" i="11" s="1"/>
  <c r="K233" i="11"/>
  <c r="Y234" i="11"/>
  <c r="O234" i="11"/>
  <c r="K218" i="11"/>
  <c r="P218" i="11" s="1"/>
  <c r="Q218" i="11" s="1"/>
  <c r="K217" i="11"/>
  <c r="Y218" i="11"/>
  <c r="O218" i="11"/>
  <c r="K201" i="11"/>
  <c r="L201" i="11" s="1"/>
  <c r="K200" i="11"/>
  <c r="Y201" i="11"/>
  <c r="O201" i="11"/>
  <c r="K183" i="11"/>
  <c r="P183" i="11" s="1"/>
  <c r="K182" i="11"/>
  <c r="Y183" i="11"/>
  <c r="O183" i="11"/>
  <c r="K170" i="11"/>
  <c r="L170" i="11" s="1"/>
  <c r="K169" i="11"/>
  <c r="Y170" i="11"/>
  <c r="Q170" i="11"/>
  <c r="O170" i="11"/>
  <c r="K152" i="11"/>
  <c r="K153" i="11"/>
  <c r="L153" i="11" s="1"/>
  <c r="Y153" i="11"/>
  <c r="O153" i="11"/>
  <c r="K142" i="11"/>
  <c r="L142" i="11" s="1"/>
  <c r="K141" i="11"/>
  <c r="Y142" i="11"/>
  <c r="O142" i="11"/>
  <c r="K121" i="11"/>
  <c r="L121" i="11" s="1"/>
  <c r="K120" i="11"/>
  <c r="Y121" i="11"/>
  <c r="O121" i="11"/>
  <c r="K100" i="11"/>
  <c r="L100" i="11" s="1"/>
  <c r="K99" i="11"/>
  <c r="Y100" i="11"/>
  <c r="O100" i="11"/>
  <c r="K89" i="11"/>
  <c r="P89" i="11" s="1"/>
  <c r="R89" i="11" s="1"/>
  <c r="K88" i="11"/>
  <c r="AA89" i="11"/>
  <c r="O89" i="11"/>
  <c r="K71" i="11"/>
  <c r="P71" i="11" s="1"/>
  <c r="R71" i="11" s="1"/>
  <c r="K70" i="11"/>
  <c r="Y71" i="11"/>
  <c r="O71" i="11"/>
  <c r="K55" i="11"/>
  <c r="L55" i="11" s="1"/>
  <c r="K54" i="11"/>
  <c r="Y55" i="11"/>
  <c r="O55" i="11"/>
  <c r="K38" i="11"/>
  <c r="P38" i="11" s="1"/>
  <c r="R38" i="11" s="1"/>
  <c r="K37" i="11"/>
  <c r="AA38" i="11"/>
  <c r="O38" i="11"/>
  <c r="K18" i="11"/>
  <c r="L18" i="11" s="1"/>
  <c r="K17" i="11"/>
  <c r="Y18" i="11"/>
  <c r="O18" i="11"/>
  <c r="Y11" i="11"/>
  <c r="AB11" i="11" s="1"/>
  <c r="P11" i="11"/>
  <c r="R11" i="11" s="1"/>
  <c r="O11" i="11"/>
  <c r="L11" i="11"/>
  <c r="AB252" i="11" l="1"/>
  <c r="AB89" i="11"/>
  <c r="R365" i="11"/>
  <c r="L303" i="11"/>
  <c r="AC303" i="11" s="1"/>
  <c r="P383" i="11"/>
  <c r="R383" i="11" s="1"/>
  <c r="AB303" i="11"/>
  <c r="AC383" i="11"/>
  <c r="AA383" i="11"/>
  <c r="AB383" i="11"/>
  <c r="L365" i="11"/>
  <c r="AC365" i="11" s="1"/>
  <c r="AA365" i="11"/>
  <c r="AB365" i="11"/>
  <c r="L348" i="11"/>
  <c r="AC348" i="11" s="1"/>
  <c r="Q348" i="11"/>
  <c r="AA348" i="11"/>
  <c r="AB348" i="11"/>
  <c r="Q330" i="11"/>
  <c r="R330" i="11"/>
  <c r="L330" i="11"/>
  <c r="AC330" i="11" s="1"/>
  <c r="AA330" i="11"/>
  <c r="AB330" i="11"/>
  <c r="AA321" i="11"/>
  <c r="AB321" i="11"/>
  <c r="R303" i="11"/>
  <c r="P287" i="11"/>
  <c r="Q287" i="11" s="1"/>
  <c r="AC287" i="11"/>
  <c r="AA287" i="11"/>
  <c r="AB287" i="11"/>
  <c r="P269" i="11"/>
  <c r="Q269" i="11" s="1"/>
  <c r="AC269" i="11"/>
  <c r="AA269" i="11"/>
  <c r="AB269" i="11"/>
  <c r="AC252" i="11"/>
  <c r="AA252" i="11"/>
  <c r="AB38" i="11"/>
  <c r="P234" i="11"/>
  <c r="R234" i="11" s="1"/>
  <c r="AC234" i="11"/>
  <c r="AA234" i="11"/>
  <c r="AB234" i="11"/>
  <c r="P201" i="11"/>
  <c r="R201" i="11" s="1"/>
  <c r="L218" i="11"/>
  <c r="AC218" i="11" s="1"/>
  <c r="R218" i="11"/>
  <c r="AA218" i="11"/>
  <c r="AB218" i="11"/>
  <c r="AC201" i="11"/>
  <c r="AA201" i="11"/>
  <c r="AB201" i="11"/>
  <c r="Q183" i="11"/>
  <c r="R183" i="11"/>
  <c r="L183" i="11"/>
  <c r="AC183" i="11" s="1"/>
  <c r="AA183" i="11"/>
  <c r="AB183" i="11"/>
  <c r="R170" i="11"/>
  <c r="AC170" i="11"/>
  <c r="AA170" i="11"/>
  <c r="AB170" i="11"/>
  <c r="AC153" i="11"/>
  <c r="P153" i="11"/>
  <c r="Q153" i="11" s="1"/>
  <c r="AA153" i="11"/>
  <c r="AB153" i="11"/>
  <c r="AC142" i="11"/>
  <c r="P142" i="11"/>
  <c r="R142" i="11" s="1"/>
  <c r="AA142" i="11"/>
  <c r="AB142" i="11"/>
  <c r="AC121" i="11"/>
  <c r="P121" i="11"/>
  <c r="R121" i="11" s="1"/>
  <c r="AA121" i="11"/>
  <c r="AB121" i="11"/>
  <c r="AC100" i="11"/>
  <c r="P100" i="11"/>
  <c r="R100" i="11" s="1"/>
  <c r="AA100" i="11"/>
  <c r="AB100" i="11"/>
  <c r="L89" i="11"/>
  <c r="AC89" i="11" s="1"/>
  <c r="Q89" i="11"/>
  <c r="L71" i="11"/>
  <c r="AC71" i="11" s="1"/>
  <c r="Q71" i="11"/>
  <c r="AA71" i="11"/>
  <c r="AB71" i="11"/>
  <c r="P18" i="11"/>
  <c r="R18" i="11" s="1"/>
  <c r="P55" i="11"/>
  <c r="R55" i="11" s="1"/>
  <c r="AC55" i="11"/>
  <c r="AA55" i="11"/>
  <c r="AB55" i="11"/>
  <c r="L38" i="11"/>
  <c r="AC38" i="11" s="1"/>
  <c r="Q38" i="11"/>
  <c r="AC18" i="11"/>
  <c r="AA18" i="11"/>
  <c r="AB18" i="11"/>
  <c r="Q11" i="11"/>
  <c r="AC11" i="11"/>
  <c r="AA11" i="11"/>
  <c r="Q383" i="11" l="1"/>
  <c r="R287" i="11"/>
  <c r="Q201" i="11"/>
  <c r="R269" i="11"/>
  <c r="Q234" i="11"/>
  <c r="R153" i="11"/>
  <c r="Q142" i="11"/>
  <c r="Q121" i="11"/>
  <c r="Q100" i="11"/>
  <c r="Q18" i="11"/>
  <c r="Q55" i="11"/>
  <c r="Y110" i="11" l="1"/>
  <c r="P110" i="11"/>
  <c r="R110" i="11" s="1"/>
  <c r="O110" i="11"/>
  <c r="L110" i="11"/>
  <c r="Y109" i="11"/>
  <c r="P109" i="11"/>
  <c r="R109" i="11" s="1"/>
  <c r="O109" i="11"/>
  <c r="L109" i="11"/>
  <c r="Y108" i="11"/>
  <c r="P108" i="11"/>
  <c r="R108" i="11" s="1"/>
  <c r="O108" i="11"/>
  <c r="L108" i="11"/>
  <c r="Y107" i="11"/>
  <c r="P107" i="11"/>
  <c r="R107" i="11" s="1"/>
  <c r="O107" i="11"/>
  <c r="L107" i="11"/>
  <c r="Y106" i="11"/>
  <c r="P106" i="11"/>
  <c r="R106" i="11" s="1"/>
  <c r="O106" i="11"/>
  <c r="L106" i="11"/>
  <c r="Y105" i="11"/>
  <c r="P105" i="11"/>
  <c r="Q105" i="11" s="1"/>
  <c r="O105" i="11"/>
  <c r="L105" i="11"/>
  <c r="Y353" i="11"/>
  <c r="P353" i="11"/>
  <c r="R353" i="11" s="1"/>
  <c r="O353" i="11"/>
  <c r="L353" i="11"/>
  <c r="Y352" i="11"/>
  <c r="P352" i="11"/>
  <c r="R352" i="11" s="1"/>
  <c r="O352" i="11"/>
  <c r="L352" i="11"/>
  <c r="L128" i="11"/>
  <c r="L129" i="11"/>
  <c r="L130" i="11"/>
  <c r="O130" i="11"/>
  <c r="O129" i="11"/>
  <c r="P129" i="11"/>
  <c r="R129" i="11" s="1"/>
  <c r="P130" i="11"/>
  <c r="R130" i="11" s="1"/>
  <c r="O128" i="11"/>
  <c r="P128" i="11"/>
  <c r="R128" i="11" s="1"/>
  <c r="Y293" i="11"/>
  <c r="Y292" i="11"/>
  <c r="Y291" i="11"/>
  <c r="L291" i="11"/>
  <c r="L292" i="11"/>
  <c r="L293" i="11"/>
  <c r="O293" i="11"/>
  <c r="P293" i="11"/>
  <c r="R293" i="11" s="1"/>
  <c r="O292" i="11"/>
  <c r="P292" i="11"/>
  <c r="R292" i="11" s="1"/>
  <c r="O291" i="11"/>
  <c r="P291" i="11"/>
  <c r="R291" i="11" s="1"/>
  <c r="Y389" i="11"/>
  <c r="P389" i="11"/>
  <c r="R389" i="11" s="1"/>
  <c r="O389" i="11"/>
  <c r="L389" i="11"/>
  <c r="Y388" i="11"/>
  <c r="P388" i="11"/>
  <c r="R388" i="11" s="1"/>
  <c r="O388" i="11"/>
  <c r="L388" i="11"/>
  <c r="Y387" i="11"/>
  <c r="P387" i="11"/>
  <c r="R387" i="11" s="1"/>
  <c r="O387" i="11"/>
  <c r="L387" i="11"/>
  <c r="AB305" i="11"/>
  <c r="AA305" i="11"/>
  <c r="AB91" i="11"/>
  <c r="AA91" i="11"/>
  <c r="AB40" i="11"/>
  <c r="AA40" i="11"/>
  <c r="Y24" i="11"/>
  <c r="Y23" i="11"/>
  <c r="Y22" i="11"/>
  <c r="Y21" i="11"/>
  <c r="L21" i="11"/>
  <c r="L22" i="11"/>
  <c r="L23" i="11"/>
  <c r="L24" i="11"/>
  <c r="L25" i="11"/>
  <c r="P21" i="11"/>
  <c r="Q21" i="11" s="1"/>
  <c r="P22" i="11"/>
  <c r="Q22" i="11" s="1"/>
  <c r="P23" i="11"/>
  <c r="Q23" i="11" s="1"/>
  <c r="P24" i="11"/>
  <c r="R24" i="11" s="1"/>
  <c r="O21" i="11"/>
  <c r="O22" i="11"/>
  <c r="O23" i="11"/>
  <c r="O24" i="11"/>
  <c r="O25" i="11"/>
  <c r="AB304" i="11"/>
  <c r="AA304" i="11"/>
  <c r="AB90" i="11"/>
  <c r="AA90" i="11"/>
  <c r="AB39" i="11"/>
  <c r="AA39" i="11"/>
  <c r="P156" i="11"/>
  <c r="Y126" i="11"/>
  <c r="Y125" i="11"/>
  <c r="Y124" i="11"/>
  <c r="P124" i="11"/>
  <c r="Q124" i="11" s="1"/>
  <c r="P125" i="11"/>
  <c r="R125" i="11" s="1"/>
  <c r="P126" i="11"/>
  <c r="R126" i="11" s="1"/>
  <c r="L124" i="11"/>
  <c r="L125" i="11"/>
  <c r="L126" i="11"/>
  <c r="O124" i="11"/>
  <c r="O125" i="11"/>
  <c r="O126" i="11"/>
  <c r="Y336" i="11"/>
  <c r="Y335" i="11"/>
  <c r="Y334" i="11"/>
  <c r="Y333" i="11"/>
  <c r="O334" i="11"/>
  <c r="O335" i="11"/>
  <c r="O336" i="11"/>
  <c r="O333" i="11"/>
  <c r="K336" i="11"/>
  <c r="P336" i="11" s="1"/>
  <c r="R336" i="11" s="1"/>
  <c r="K335" i="11"/>
  <c r="P335" i="11" s="1"/>
  <c r="R335" i="11" s="1"/>
  <c r="K334" i="11"/>
  <c r="P334" i="11" s="1"/>
  <c r="R334" i="11" s="1"/>
  <c r="K333" i="11"/>
  <c r="P333" i="11" s="1"/>
  <c r="L272" i="11"/>
  <c r="AC272" i="11" s="1"/>
  <c r="L273" i="11"/>
  <c r="L274" i="11"/>
  <c r="L275" i="11"/>
  <c r="P272" i="11"/>
  <c r="Q272" i="11" s="1"/>
  <c r="P273" i="11"/>
  <c r="Q273" i="11" s="1"/>
  <c r="P274" i="11"/>
  <c r="Q274" i="11" s="1"/>
  <c r="P275" i="11"/>
  <c r="Q275" i="11" s="1"/>
  <c r="O272" i="11"/>
  <c r="O273" i="11"/>
  <c r="O274" i="11"/>
  <c r="O275" i="11"/>
  <c r="Y207" i="11"/>
  <c r="Y206" i="11"/>
  <c r="Y205" i="11"/>
  <c r="Y204" i="11"/>
  <c r="L204" i="11"/>
  <c r="L205" i="11"/>
  <c r="L206" i="11"/>
  <c r="L207" i="11"/>
  <c r="P204" i="11"/>
  <c r="Q204" i="11" s="1"/>
  <c r="P205" i="11"/>
  <c r="Q205" i="11" s="1"/>
  <c r="P206" i="11"/>
  <c r="Q206" i="11" s="1"/>
  <c r="P207" i="11"/>
  <c r="Q207" i="11" s="1"/>
  <c r="P208" i="11"/>
  <c r="O204" i="11"/>
  <c r="O205" i="11"/>
  <c r="O206" i="11"/>
  <c r="O207" i="11"/>
  <c r="O8" i="11"/>
  <c r="O9" i="11"/>
  <c r="O10" i="11"/>
  <c r="O12" i="11"/>
  <c r="O13" i="11"/>
  <c r="O14" i="11"/>
  <c r="O15" i="11"/>
  <c r="O16" i="11"/>
  <c r="O17" i="11"/>
  <c r="O19" i="11"/>
  <c r="O20" i="11"/>
  <c r="O26" i="11"/>
  <c r="O27" i="11"/>
  <c r="O28" i="11"/>
  <c r="O29" i="11"/>
  <c r="O30" i="11"/>
  <c r="O31" i="11"/>
  <c r="O32" i="11"/>
  <c r="O33" i="11"/>
  <c r="O34" i="11"/>
  <c r="O35" i="11"/>
  <c r="O36" i="11"/>
  <c r="O37" i="11"/>
  <c r="O39" i="11"/>
  <c r="O40" i="11"/>
  <c r="O41" i="11"/>
  <c r="O42" i="11"/>
  <c r="O43" i="11"/>
  <c r="O44" i="11"/>
  <c r="O45" i="11"/>
  <c r="O46" i="11"/>
  <c r="O47" i="11"/>
  <c r="O48" i="11"/>
  <c r="O49" i="11"/>
  <c r="O50" i="11"/>
  <c r="O51" i="11"/>
  <c r="O52" i="11"/>
  <c r="O53" i="11"/>
  <c r="O54" i="11"/>
  <c r="O56" i="11"/>
  <c r="O57" i="11"/>
  <c r="O58" i="11"/>
  <c r="O59" i="11"/>
  <c r="O60" i="11"/>
  <c r="O61" i="11"/>
  <c r="O62" i="11"/>
  <c r="O63" i="11"/>
  <c r="O64" i="11"/>
  <c r="O65" i="11"/>
  <c r="O66" i="11"/>
  <c r="O67" i="11"/>
  <c r="O68" i="11"/>
  <c r="O69" i="11"/>
  <c r="O70" i="11"/>
  <c r="O72" i="11"/>
  <c r="O73" i="11"/>
  <c r="O74" i="11"/>
  <c r="O75" i="11"/>
  <c r="O76" i="11"/>
  <c r="O77" i="11"/>
  <c r="O78" i="11"/>
  <c r="O79" i="11"/>
  <c r="O80" i="11"/>
  <c r="O81" i="11"/>
  <c r="O82" i="11"/>
  <c r="O83" i="11"/>
  <c r="O84" i="11"/>
  <c r="O85" i="11"/>
  <c r="O86" i="11"/>
  <c r="O87" i="11"/>
  <c r="O88" i="11"/>
  <c r="O90" i="11"/>
  <c r="O91" i="11"/>
  <c r="O92" i="11"/>
  <c r="O93" i="11"/>
  <c r="O94" i="11"/>
  <c r="O95" i="11"/>
  <c r="O96" i="11"/>
  <c r="O97" i="11"/>
  <c r="O98" i="11"/>
  <c r="O99" i="11"/>
  <c r="O101" i="11"/>
  <c r="O102" i="11"/>
  <c r="O103" i="11"/>
  <c r="O104" i="11"/>
  <c r="O111" i="11"/>
  <c r="O112" i="11"/>
  <c r="O113" i="11"/>
  <c r="O114" i="11"/>
  <c r="O115" i="11"/>
  <c r="O116" i="11"/>
  <c r="O117" i="11"/>
  <c r="O118" i="11"/>
  <c r="O119" i="11"/>
  <c r="O120" i="11"/>
  <c r="O122" i="11"/>
  <c r="O123" i="11"/>
  <c r="O127" i="11"/>
  <c r="O131" i="11"/>
  <c r="O132" i="11"/>
  <c r="O133" i="11"/>
  <c r="O134" i="11"/>
  <c r="O135" i="11"/>
  <c r="O136" i="11"/>
  <c r="O137" i="11"/>
  <c r="O138" i="11"/>
  <c r="O139" i="11"/>
  <c r="O140" i="11"/>
  <c r="O141" i="11"/>
  <c r="O143" i="11"/>
  <c r="O144" i="11"/>
  <c r="O145" i="11"/>
  <c r="O146" i="11"/>
  <c r="O147" i="11"/>
  <c r="O148" i="11"/>
  <c r="O149" i="11"/>
  <c r="O150" i="11"/>
  <c r="O151" i="11"/>
  <c r="O152" i="11"/>
  <c r="O154" i="11"/>
  <c r="O155" i="11"/>
  <c r="O156" i="11"/>
  <c r="O157" i="11"/>
  <c r="O158" i="11"/>
  <c r="O159" i="11"/>
  <c r="O160" i="11"/>
  <c r="O161" i="11"/>
  <c r="O162" i="11"/>
  <c r="O163" i="11"/>
  <c r="O164" i="11"/>
  <c r="O165" i="11"/>
  <c r="O166" i="11"/>
  <c r="O167" i="11"/>
  <c r="O168" i="11"/>
  <c r="O169" i="11"/>
  <c r="O171" i="11"/>
  <c r="O172" i="11"/>
  <c r="O173" i="11"/>
  <c r="O174" i="11"/>
  <c r="O175" i="11"/>
  <c r="O176" i="11"/>
  <c r="O177" i="11"/>
  <c r="O178" i="11"/>
  <c r="O179" i="11"/>
  <c r="O180" i="11"/>
  <c r="O181" i="11"/>
  <c r="O182" i="11"/>
  <c r="O184" i="11"/>
  <c r="O185" i="11"/>
  <c r="O186" i="11"/>
  <c r="O187" i="11"/>
  <c r="O188" i="11"/>
  <c r="O189" i="11"/>
  <c r="O190" i="11"/>
  <c r="O191" i="11"/>
  <c r="O192" i="11"/>
  <c r="O193" i="11"/>
  <c r="O194" i="11"/>
  <c r="O195" i="11"/>
  <c r="O196" i="11"/>
  <c r="O197" i="11"/>
  <c r="O198" i="11"/>
  <c r="O199" i="11"/>
  <c r="O200" i="11"/>
  <c r="O202" i="11"/>
  <c r="O203" i="11"/>
  <c r="O208" i="11"/>
  <c r="O209" i="11"/>
  <c r="O210" i="11"/>
  <c r="O211" i="11"/>
  <c r="O212" i="11"/>
  <c r="O213" i="11"/>
  <c r="O214" i="11"/>
  <c r="O215" i="11"/>
  <c r="O216" i="11"/>
  <c r="O217" i="11"/>
  <c r="O219" i="11"/>
  <c r="O220" i="11"/>
  <c r="O221" i="11"/>
  <c r="O222" i="11"/>
  <c r="O223" i="11"/>
  <c r="O224" i="11"/>
  <c r="O225" i="11"/>
  <c r="O226" i="11"/>
  <c r="O227" i="11"/>
  <c r="O228" i="11"/>
  <c r="O229" i="11"/>
  <c r="O230" i="11"/>
  <c r="O231" i="11"/>
  <c r="O232" i="11"/>
  <c r="O233" i="11"/>
  <c r="O235" i="11"/>
  <c r="O236" i="11"/>
  <c r="O237" i="11"/>
  <c r="O238" i="11"/>
  <c r="O239" i="11"/>
  <c r="O240" i="11"/>
  <c r="O241" i="11"/>
  <c r="O242" i="11"/>
  <c r="O243" i="11"/>
  <c r="O244" i="11"/>
  <c r="O245" i="11"/>
  <c r="O246" i="11"/>
  <c r="O247" i="11"/>
  <c r="O248" i="11"/>
  <c r="O249" i="11"/>
  <c r="O250" i="11"/>
  <c r="O251" i="11"/>
  <c r="O253" i="11"/>
  <c r="O254" i="11"/>
  <c r="O255" i="11"/>
  <c r="O256" i="11"/>
  <c r="O257" i="11"/>
  <c r="O258" i="11"/>
  <c r="O259" i="11"/>
  <c r="O260" i="11"/>
  <c r="O261" i="11"/>
  <c r="O262" i="11"/>
  <c r="O263" i="11"/>
  <c r="O264" i="11"/>
  <c r="O265" i="11"/>
  <c r="O266" i="11"/>
  <c r="O267" i="11"/>
  <c r="O268" i="11"/>
  <c r="O270" i="11"/>
  <c r="O271" i="11"/>
  <c r="O276" i="11"/>
  <c r="O277" i="11"/>
  <c r="O278" i="11"/>
  <c r="O279" i="11"/>
  <c r="O280" i="11"/>
  <c r="O281" i="11"/>
  <c r="O282" i="11"/>
  <c r="O283" i="11"/>
  <c r="O284" i="11"/>
  <c r="O285" i="11"/>
  <c r="O286" i="11"/>
  <c r="O288" i="11"/>
  <c r="O289" i="11"/>
  <c r="O290" i="11"/>
  <c r="O294" i="11"/>
  <c r="O295" i="11"/>
  <c r="O296" i="11"/>
  <c r="O297" i="11"/>
  <c r="O298" i="11"/>
  <c r="O299" i="11"/>
  <c r="O300" i="11"/>
  <c r="O301" i="11"/>
  <c r="O302" i="11"/>
  <c r="O304" i="11"/>
  <c r="O305" i="11"/>
  <c r="O306" i="11"/>
  <c r="O307" i="11"/>
  <c r="O308" i="11"/>
  <c r="O309" i="11"/>
  <c r="O310" i="11"/>
  <c r="O311" i="11"/>
  <c r="O312" i="11"/>
  <c r="O313" i="11"/>
  <c r="O314" i="11"/>
  <c r="O315" i="11"/>
  <c r="O316" i="11"/>
  <c r="O317" i="11"/>
  <c r="O318" i="11"/>
  <c r="O319" i="11"/>
  <c r="O320" i="11"/>
  <c r="O322" i="11"/>
  <c r="O323" i="11"/>
  <c r="O324" i="11"/>
  <c r="O325" i="11"/>
  <c r="O326" i="11"/>
  <c r="O327" i="11"/>
  <c r="O328" i="11"/>
  <c r="O329" i="11"/>
  <c r="O331" i="11"/>
  <c r="O332" i="11"/>
  <c r="O337" i="11"/>
  <c r="O338" i="11"/>
  <c r="O339" i="11"/>
  <c r="O340" i="11"/>
  <c r="O341" i="11"/>
  <c r="O342" i="11"/>
  <c r="O343" i="11"/>
  <c r="O344" i="11"/>
  <c r="O345" i="11"/>
  <c r="O346" i="11"/>
  <c r="O347" i="11"/>
  <c r="O349" i="11"/>
  <c r="O350" i="11"/>
  <c r="O351" i="11"/>
  <c r="O354" i="11"/>
  <c r="O355" i="11"/>
  <c r="O356" i="11"/>
  <c r="O357" i="11"/>
  <c r="O358" i="11"/>
  <c r="O359" i="11"/>
  <c r="O360" i="11"/>
  <c r="O361" i="11"/>
  <c r="O362" i="11"/>
  <c r="O363" i="11"/>
  <c r="O364" i="11"/>
  <c r="O366" i="11"/>
  <c r="O367" i="11"/>
  <c r="O368" i="11"/>
  <c r="O369" i="11"/>
  <c r="O370" i="11"/>
  <c r="O371" i="11"/>
  <c r="O372" i="11"/>
  <c r="O373" i="11"/>
  <c r="O374" i="11"/>
  <c r="O375" i="11"/>
  <c r="O376" i="11"/>
  <c r="O377" i="11"/>
  <c r="O378" i="11"/>
  <c r="O379" i="11"/>
  <c r="O380" i="11"/>
  <c r="O381" i="11"/>
  <c r="O382" i="11"/>
  <c r="O384" i="11"/>
  <c r="O385" i="11"/>
  <c r="O386" i="11"/>
  <c r="O390" i="11"/>
  <c r="O391" i="11"/>
  <c r="O392" i="11"/>
  <c r="O393" i="11"/>
  <c r="O394" i="11"/>
  <c r="O395" i="11"/>
  <c r="O396" i="11"/>
  <c r="O397" i="11"/>
  <c r="O398" i="11"/>
  <c r="O399" i="11"/>
  <c r="O400" i="11"/>
  <c r="O7" i="11"/>
  <c r="L41" i="11"/>
  <c r="AC41" i="11" s="1"/>
  <c r="L42" i="11"/>
  <c r="L43" i="11"/>
  <c r="L44" i="11"/>
  <c r="P41" i="11"/>
  <c r="Q41" i="11" s="1"/>
  <c r="P42" i="11"/>
  <c r="Q42" i="11" s="1"/>
  <c r="P43" i="11"/>
  <c r="Q43" i="11" s="1"/>
  <c r="P44" i="11"/>
  <c r="Q44" i="11" s="1"/>
  <c r="AB302" i="11"/>
  <c r="AB88" i="11"/>
  <c r="AB37" i="11"/>
  <c r="AC4" i="11"/>
  <c r="AB4" i="11"/>
  <c r="AA37" i="11"/>
  <c r="AB400" i="11"/>
  <c r="AA400" i="11"/>
  <c r="AA302" i="11"/>
  <c r="AA88" i="11"/>
  <c r="AC204" i="11" l="1"/>
  <c r="AB204" i="11"/>
  <c r="AA204" i="11"/>
  <c r="AB333" i="11"/>
  <c r="AA333" i="11"/>
  <c r="AB124" i="11"/>
  <c r="AA124" i="11"/>
  <c r="AC124" i="11"/>
  <c r="AB21" i="11"/>
  <c r="AA21" i="11"/>
  <c r="AC21" i="11"/>
  <c r="Q107" i="11"/>
  <c r="Q109" i="11"/>
  <c r="Q106" i="11"/>
  <c r="Q108" i="11"/>
  <c r="Q110" i="11"/>
  <c r="R105" i="11"/>
  <c r="Q353" i="11"/>
  <c r="Q352" i="11"/>
  <c r="Q130" i="11"/>
  <c r="Q129" i="11"/>
  <c r="Q128" i="11"/>
  <c r="Q293" i="11"/>
  <c r="Q292" i="11"/>
  <c r="Q291" i="11"/>
  <c r="Q388" i="11"/>
  <c r="Q387" i="11"/>
  <c r="Q389" i="11"/>
  <c r="R22" i="11"/>
  <c r="R21" i="11"/>
  <c r="Q24" i="11"/>
  <c r="R23" i="11"/>
  <c r="R124" i="11"/>
  <c r="Q126" i="11"/>
  <c r="Q125" i="11"/>
  <c r="L333" i="11"/>
  <c r="AC333" i="11" s="1"/>
  <c r="L336" i="11"/>
  <c r="L335" i="11"/>
  <c r="L334" i="11"/>
  <c r="Q333" i="11"/>
  <c r="R333" i="11"/>
  <c r="Q336" i="11"/>
  <c r="Q335" i="11"/>
  <c r="Q334" i="11"/>
  <c r="R275" i="11"/>
  <c r="R274" i="11"/>
  <c r="R273" i="11"/>
  <c r="R272" i="11"/>
  <c r="R207" i="11"/>
  <c r="R206" i="11"/>
  <c r="R205" i="11"/>
  <c r="R204" i="11"/>
  <c r="R44" i="11"/>
  <c r="R43" i="11"/>
  <c r="R42" i="11"/>
  <c r="R41" i="11"/>
  <c r="L172" i="11"/>
  <c r="AA4" i="11"/>
  <c r="L366" i="11" l="1"/>
  <c r="L367" i="11"/>
  <c r="L368" i="11"/>
  <c r="L369" i="11"/>
  <c r="L370" i="11"/>
  <c r="L371" i="11"/>
  <c r="K332" i="11"/>
  <c r="K331" i="11"/>
  <c r="L176" i="11" l="1"/>
  <c r="L171" i="11"/>
  <c r="L173" i="11"/>
  <c r="L174" i="11"/>
  <c r="L175" i="11"/>
  <c r="Y171" i="11"/>
  <c r="Y172" i="11"/>
  <c r="Y173" i="11"/>
  <c r="Y174" i="11"/>
  <c r="Y175" i="11"/>
  <c r="Y176" i="11"/>
  <c r="R171" i="11"/>
  <c r="R172" i="11"/>
  <c r="R173" i="11"/>
  <c r="R174" i="11"/>
  <c r="R175" i="11"/>
  <c r="R176" i="11"/>
  <c r="Q171" i="11"/>
  <c r="Q172" i="11"/>
  <c r="Q173" i="11"/>
  <c r="Q174" i="11"/>
  <c r="Q175" i="11"/>
  <c r="Q176" i="11"/>
  <c r="Y8" i="11"/>
  <c r="Y9" i="11"/>
  <c r="Y10" i="11"/>
  <c r="Y12" i="11"/>
  <c r="Y13" i="11"/>
  <c r="Y14" i="11"/>
  <c r="Y15" i="11"/>
  <c r="Y16" i="11"/>
  <c r="Y17" i="11"/>
  <c r="Y19" i="11"/>
  <c r="Y20" i="11"/>
  <c r="Y45" i="11"/>
  <c r="Y46" i="11"/>
  <c r="Y47" i="11"/>
  <c r="Y48" i="11"/>
  <c r="Y49" i="11"/>
  <c r="Y50" i="11"/>
  <c r="Y51" i="11"/>
  <c r="Y52" i="11"/>
  <c r="Y53" i="11"/>
  <c r="Y54" i="11"/>
  <c r="Y56" i="11"/>
  <c r="Y57" i="11"/>
  <c r="Y58" i="11"/>
  <c r="Y59" i="11"/>
  <c r="Y60" i="11"/>
  <c r="Y61" i="11"/>
  <c r="Y62" i="11"/>
  <c r="Y63" i="11"/>
  <c r="Y64" i="11"/>
  <c r="Y65" i="11"/>
  <c r="Y66" i="11"/>
  <c r="Y67" i="11"/>
  <c r="Y68" i="11"/>
  <c r="Y69" i="11"/>
  <c r="Y70" i="11"/>
  <c r="Y72" i="11"/>
  <c r="Y73" i="11"/>
  <c r="Y74" i="11"/>
  <c r="Y75" i="11"/>
  <c r="Y76" i="11"/>
  <c r="Y77" i="11"/>
  <c r="Y96" i="11"/>
  <c r="Y97" i="11"/>
  <c r="Y98" i="11"/>
  <c r="Y99" i="11"/>
  <c r="Y101" i="11"/>
  <c r="Y102" i="11"/>
  <c r="Y103" i="11"/>
  <c r="Y104" i="11"/>
  <c r="Y111" i="11"/>
  <c r="Y112" i="11"/>
  <c r="Y113" i="11"/>
  <c r="Y114" i="11"/>
  <c r="Y115" i="11"/>
  <c r="Y116" i="11"/>
  <c r="Y117" i="11"/>
  <c r="Y118" i="11"/>
  <c r="Y119" i="11"/>
  <c r="Y120" i="11"/>
  <c r="Y122" i="11"/>
  <c r="Y123" i="11"/>
  <c r="Y127" i="11"/>
  <c r="Y131" i="11"/>
  <c r="Y132" i="11"/>
  <c r="Y133" i="11"/>
  <c r="Y134" i="11"/>
  <c r="Y135" i="11"/>
  <c r="Y136" i="11"/>
  <c r="Y137" i="11"/>
  <c r="Y138" i="11"/>
  <c r="Y139" i="11"/>
  <c r="Y140" i="11"/>
  <c r="Y141" i="11"/>
  <c r="Y143" i="11"/>
  <c r="Y144" i="11"/>
  <c r="Y145" i="11"/>
  <c r="Y146" i="11"/>
  <c r="Y147" i="11"/>
  <c r="Y148" i="11"/>
  <c r="Y149" i="11"/>
  <c r="Y150" i="11"/>
  <c r="Y151" i="11"/>
  <c r="Y152" i="11"/>
  <c r="Y154" i="11"/>
  <c r="Y155" i="11"/>
  <c r="Y156" i="11"/>
  <c r="Y157" i="11"/>
  <c r="Y158" i="11"/>
  <c r="Y159" i="11"/>
  <c r="Y160" i="11"/>
  <c r="Y161" i="11"/>
  <c r="Y162" i="11"/>
  <c r="Y163" i="11"/>
  <c r="Y164" i="11"/>
  <c r="Y165" i="11"/>
  <c r="Y166" i="11"/>
  <c r="Y167" i="11"/>
  <c r="Y168" i="11"/>
  <c r="Y169" i="11"/>
  <c r="Y177" i="11"/>
  <c r="Y178" i="11"/>
  <c r="Y179" i="11"/>
  <c r="Y180" i="11"/>
  <c r="Y181" i="11"/>
  <c r="Y182" i="11"/>
  <c r="Y184" i="11"/>
  <c r="Y185" i="11"/>
  <c r="Y186" i="11"/>
  <c r="Y187" i="11"/>
  <c r="Y188" i="11"/>
  <c r="Y189" i="11"/>
  <c r="Y190" i="11"/>
  <c r="Y191" i="11"/>
  <c r="Y192" i="11"/>
  <c r="Y193" i="11"/>
  <c r="Y194" i="11"/>
  <c r="Y195" i="11"/>
  <c r="Y196" i="11"/>
  <c r="Y197" i="11"/>
  <c r="Y198" i="11"/>
  <c r="Y199" i="11"/>
  <c r="Y200" i="11"/>
  <c r="Y202" i="11"/>
  <c r="Y203" i="11"/>
  <c r="Y208" i="11"/>
  <c r="Y209" i="11"/>
  <c r="Y210" i="11"/>
  <c r="Y211" i="11"/>
  <c r="Y212" i="11"/>
  <c r="Y213" i="11"/>
  <c r="Y214" i="11"/>
  <c r="Y215" i="11"/>
  <c r="Y216" i="11"/>
  <c r="Y217" i="11"/>
  <c r="Y219" i="11"/>
  <c r="Y220" i="11"/>
  <c r="Y221" i="11"/>
  <c r="Y222" i="11"/>
  <c r="Y223" i="11"/>
  <c r="Y224" i="11"/>
  <c r="Y225" i="11"/>
  <c r="Y226" i="11"/>
  <c r="Y227" i="11"/>
  <c r="Y228" i="11"/>
  <c r="Y229" i="11"/>
  <c r="Y230" i="11"/>
  <c r="Y231" i="11"/>
  <c r="Y232" i="11"/>
  <c r="Y233" i="11"/>
  <c r="Y235" i="11"/>
  <c r="Y236" i="11"/>
  <c r="Y237" i="11"/>
  <c r="Y238" i="11"/>
  <c r="Y239" i="11"/>
  <c r="Y240" i="11"/>
  <c r="Y241" i="11"/>
  <c r="Y242" i="11"/>
  <c r="Y243" i="11"/>
  <c r="Y244" i="11"/>
  <c r="Y245" i="11"/>
  <c r="Y246" i="11"/>
  <c r="Y247" i="11"/>
  <c r="Y248" i="11"/>
  <c r="Y249" i="11"/>
  <c r="Y250" i="11"/>
  <c r="Y251" i="11"/>
  <c r="Y253" i="11"/>
  <c r="Y254" i="11"/>
  <c r="Y255" i="11"/>
  <c r="Y256" i="11"/>
  <c r="Y257" i="11"/>
  <c r="Y258" i="11"/>
  <c r="Y259" i="11"/>
  <c r="Y260" i="11"/>
  <c r="Y261" i="11"/>
  <c r="Y262" i="11"/>
  <c r="Y263" i="11"/>
  <c r="Y264" i="11"/>
  <c r="Y265" i="11"/>
  <c r="Y266" i="11"/>
  <c r="Y267" i="11"/>
  <c r="Y268" i="11"/>
  <c r="Y270" i="11"/>
  <c r="Y271" i="11"/>
  <c r="Y276" i="11"/>
  <c r="Y277" i="11"/>
  <c r="Y278" i="11"/>
  <c r="Y279" i="11"/>
  <c r="Y280" i="11"/>
  <c r="Y281" i="11"/>
  <c r="Y282" i="11"/>
  <c r="Y283" i="11"/>
  <c r="Y284" i="11"/>
  <c r="Y285" i="11"/>
  <c r="Y286" i="11"/>
  <c r="Y288" i="11"/>
  <c r="Y289" i="11"/>
  <c r="Y290" i="11"/>
  <c r="Y310" i="11"/>
  <c r="Y311" i="11"/>
  <c r="Y312" i="11"/>
  <c r="Y313" i="11"/>
  <c r="Y314" i="11"/>
  <c r="Y315" i="11"/>
  <c r="Y316" i="11"/>
  <c r="Y317" i="11"/>
  <c r="Y318" i="11"/>
  <c r="Y319" i="11"/>
  <c r="Y320" i="11"/>
  <c r="Y322" i="11"/>
  <c r="Y323" i="11"/>
  <c r="Y324" i="11"/>
  <c r="Y325" i="11"/>
  <c r="Y326" i="11"/>
  <c r="Y327" i="11"/>
  <c r="Y328" i="11"/>
  <c r="Y329" i="11"/>
  <c r="Y331" i="11"/>
  <c r="Y332" i="11"/>
  <c r="Y337" i="11"/>
  <c r="Y338" i="11"/>
  <c r="Y339" i="11"/>
  <c r="Y340" i="11"/>
  <c r="Y341" i="11"/>
  <c r="Y342" i="11"/>
  <c r="Y343" i="11"/>
  <c r="Y344" i="11"/>
  <c r="Y345" i="11"/>
  <c r="Y346" i="11"/>
  <c r="Y347" i="11"/>
  <c r="Y349" i="11"/>
  <c r="Y350" i="11"/>
  <c r="Y351" i="11"/>
  <c r="Y354" i="11"/>
  <c r="Y355" i="11"/>
  <c r="Y356" i="11"/>
  <c r="Y357" i="11"/>
  <c r="Y358" i="11"/>
  <c r="Y359" i="11"/>
  <c r="Y360" i="11"/>
  <c r="Y361" i="11"/>
  <c r="Y362" i="11"/>
  <c r="Y363" i="11"/>
  <c r="Y364" i="11"/>
  <c r="Y366" i="11"/>
  <c r="Y367" i="11"/>
  <c r="Y368" i="11"/>
  <c r="Y369" i="11"/>
  <c r="Y370" i="11"/>
  <c r="Y371" i="11"/>
  <c r="Y372" i="11"/>
  <c r="Y373" i="11"/>
  <c r="Y374" i="11"/>
  <c r="Y375" i="11"/>
  <c r="Y376" i="11"/>
  <c r="Y377" i="11"/>
  <c r="Y378" i="11"/>
  <c r="Y379" i="11"/>
  <c r="Y380" i="11"/>
  <c r="Y381" i="11"/>
  <c r="Y382" i="11"/>
  <c r="Y384" i="11"/>
  <c r="Y385" i="11"/>
  <c r="Y386" i="11"/>
  <c r="Y7" i="11"/>
  <c r="AB58" i="11" l="1"/>
  <c r="AA58" i="11"/>
  <c r="AA103" i="11"/>
  <c r="AB103" i="11"/>
  <c r="AB351" i="11"/>
  <c r="AA351" i="11"/>
  <c r="AA237" i="11"/>
  <c r="AB237" i="11"/>
  <c r="AA173" i="11"/>
  <c r="AC173" i="11"/>
  <c r="AB173" i="11"/>
  <c r="AB290" i="11"/>
  <c r="AA290" i="11"/>
  <c r="AC368" i="11"/>
  <c r="AB368" i="11"/>
  <c r="AA368" i="11"/>
  <c r="AB221" i="11"/>
  <c r="AA221" i="11"/>
  <c r="AB156" i="11"/>
  <c r="AA156" i="11"/>
  <c r="AB74" i="11"/>
  <c r="AA74" i="11"/>
  <c r="AB186" i="11"/>
  <c r="AA186" i="11"/>
  <c r="AB386" i="11"/>
  <c r="AA386" i="11"/>
  <c r="AA255" i="11"/>
  <c r="AB255" i="11"/>
  <c r="AB185" i="11"/>
  <c r="AA185" i="11"/>
  <c r="AB102" i="11"/>
  <c r="AA102" i="11"/>
  <c r="AB57" i="11"/>
  <c r="AA57" i="11"/>
  <c r="AB20" i="11"/>
  <c r="AA20" i="11"/>
  <c r="AB236" i="11"/>
  <c r="AA236" i="11"/>
  <c r="AC172" i="11"/>
  <c r="AB172" i="11"/>
  <c r="AA172" i="11"/>
  <c r="AC254" i="11"/>
  <c r="AA254" i="11"/>
  <c r="AB254" i="11"/>
  <c r="AC367" i="11"/>
  <c r="AB367" i="11"/>
  <c r="AA367" i="11"/>
  <c r="AB220" i="11"/>
  <c r="AA220" i="11"/>
  <c r="AB203" i="11"/>
  <c r="AA203" i="11"/>
  <c r="AB350" i="11"/>
  <c r="AA350" i="11"/>
  <c r="AB332" i="11"/>
  <c r="AA332" i="11"/>
  <c r="AB323" i="11"/>
  <c r="AA323" i="11"/>
  <c r="AB289" i="11"/>
  <c r="AA289" i="11"/>
  <c r="AB271" i="11"/>
  <c r="AA271" i="11"/>
  <c r="AB385" i="11"/>
  <c r="AA385" i="11"/>
  <c r="AA155" i="11"/>
  <c r="AB155" i="11"/>
  <c r="AB123" i="11"/>
  <c r="AA123" i="11"/>
  <c r="AB73" i="11"/>
  <c r="AA73" i="11"/>
  <c r="AB101" i="11"/>
  <c r="AA101" i="11"/>
  <c r="AB56" i="11"/>
  <c r="AA56" i="11"/>
  <c r="AB19" i="11"/>
  <c r="AA19" i="11"/>
  <c r="AC171" i="11"/>
  <c r="AB171" i="11"/>
  <c r="AA171" i="11"/>
  <c r="AB154" i="11"/>
  <c r="AA154" i="11"/>
  <c r="AB122" i="11"/>
  <c r="AA122" i="11"/>
  <c r="AB72" i="11"/>
  <c r="AA72" i="11"/>
  <c r="AB253" i="11"/>
  <c r="AA253" i="11"/>
  <c r="AB184" i="11"/>
  <c r="AA184" i="11"/>
  <c r="AC366" i="11"/>
  <c r="AB366" i="11"/>
  <c r="AA366" i="11"/>
  <c r="AB349" i="11"/>
  <c r="AA349" i="11"/>
  <c r="AB331" i="11"/>
  <c r="AA331" i="11"/>
  <c r="AC322" i="11"/>
  <c r="AB322" i="11"/>
  <c r="AA322" i="11"/>
  <c r="AB235" i="11"/>
  <c r="AA235" i="11"/>
  <c r="AB288" i="11"/>
  <c r="AA288" i="11"/>
  <c r="AA270" i="11"/>
  <c r="AB270" i="11"/>
  <c r="AB219" i="11"/>
  <c r="AA219" i="11"/>
  <c r="AB202" i="11"/>
  <c r="AA202" i="11"/>
  <c r="AB384" i="11"/>
  <c r="AA384" i="11"/>
  <c r="AB364" i="11"/>
  <c r="AB320" i="11"/>
  <c r="AB382" i="11"/>
  <c r="AB152" i="11"/>
  <c r="AB120" i="11"/>
  <c r="AB70" i="11"/>
  <c r="AB251" i="11"/>
  <c r="AB286" i="11"/>
  <c r="AB182" i="11"/>
  <c r="AB99" i="11"/>
  <c r="AB54" i="11"/>
  <c r="AB17" i="11"/>
  <c r="AB233" i="11"/>
  <c r="AB347" i="11"/>
  <c r="AB169" i="11"/>
  <c r="AB268" i="11"/>
  <c r="AB217" i="11"/>
  <c r="AB200" i="11"/>
  <c r="AB10" i="11"/>
  <c r="AB141" i="11"/>
  <c r="AA120" i="11"/>
  <c r="AA70" i="11"/>
  <c r="AA251" i="11"/>
  <c r="AA99" i="11"/>
  <c r="AA54" i="11"/>
  <c r="AA17" i="11"/>
  <c r="AA152" i="11"/>
  <c r="AA182" i="11"/>
  <c r="AA347" i="11"/>
  <c r="AA320" i="11"/>
  <c r="AA169" i="11"/>
  <c r="AA268" i="11"/>
  <c r="AA217" i="11"/>
  <c r="AA200" i="11"/>
  <c r="AA10" i="11"/>
  <c r="AA364" i="11"/>
  <c r="AA329" i="11"/>
  <c r="AA233" i="11"/>
  <c r="AA286" i="11"/>
  <c r="AA382" i="11"/>
  <c r="AA141" i="11"/>
  <c r="L122" i="11"/>
  <c r="AC122" i="11" s="1"/>
  <c r="L123" i="11"/>
  <c r="AC123" i="11" s="1"/>
  <c r="P122" i="11"/>
  <c r="R122" i="11" s="1"/>
  <c r="P123" i="11"/>
  <c r="R123" i="11" s="1"/>
  <c r="L384" i="11"/>
  <c r="AC384" i="11" s="1"/>
  <c r="L385" i="11"/>
  <c r="AC385" i="11" s="1"/>
  <c r="L386" i="11"/>
  <c r="AC386" i="11" s="1"/>
  <c r="P386" i="11"/>
  <c r="R386" i="11" s="1"/>
  <c r="P385" i="11"/>
  <c r="R385" i="11" s="1"/>
  <c r="P384" i="11"/>
  <c r="R384" i="11" s="1"/>
  <c r="L332" i="11"/>
  <c r="AC332" i="11" s="1"/>
  <c r="P331" i="11"/>
  <c r="L91" i="11"/>
  <c r="AC91" i="11" s="1"/>
  <c r="L92" i="11"/>
  <c r="AC92" i="11" s="1"/>
  <c r="L93" i="11"/>
  <c r="L94" i="11"/>
  <c r="L95" i="11"/>
  <c r="P91" i="11"/>
  <c r="Q91" i="11" s="1"/>
  <c r="P92" i="11"/>
  <c r="Q92" i="11" s="1"/>
  <c r="P93" i="11"/>
  <c r="R93" i="11" s="1"/>
  <c r="P94" i="11"/>
  <c r="Q94" i="11" s="1"/>
  <c r="P95" i="11"/>
  <c r="Q95" i="11" s="1"/>
  <c r="P350" i="11"/>
  <c r="R350" i="11" s="1"/>
  <c r="P351" i="11"/>
  <c r="Q351" i="11" s="1"/>
  <c r="L350" i="11"/>
  <c r="AC350" i="11" s="1"/>
  <c r="L351" i="11"/>
  <c r="AC351" i="11" s="1"/>
  <c r="L270" i="11"/>
  <c r="AC270" i="11" s="1"/>
  <c r="L271" i="11"/>
  <c r="AC271" i="11" s="1"/>
  <c r="P271" i="11"/>
  <c r="R271" i="11" s="1"/>
  <c r="P270" i="11"/>
  <c r="R270" i="11" s="1"/>
  <c r="L288" i="11"/>
  <c r="AC288" i="11" s="1"/>
  <c r="L289" i="11"/>
  <c r="AC289" i="11" s="1"/>
  <c r="L290" i="11"/>
  <c r="AC290" i="11" s="1"/>
  <c r="P288" i="11"/>
  <c r="Q288" i="11" s="1"/>
  <c r="P289" i="11"/>
  <c r="R289" i="11" s="1"/>
  <c r="P290" i="11"/>
  <c r="Q290" i="11" s="1"/>
  <c r="R366" i="11"/>
  <c r="R367" i="11"/>
  <c r="R368" i="11"/>
  <c r="R369" i="11"/>
  <c r="R370" i="11"/>
  <c r="R371" i="11"/>
  <c r="Q366" i="11"/>
  <c r="Q367" i="11"/>
  <c r="Q368" i="11"/>
  <c r="Q369" i="11"/>
  <c r="Q370" i="11"/>
  <c r="Q371" i="11"/>
  <c r="L323" i="11"/>
  <c r="AC323" i="11" s="1"/>
  <c r="P322" i="11"/>
  <c r="R322" i="11" s="1"/>
  <c r="P323" i="11"/>
  <c r="R323" i="11" s="1"/>
  <c r="Q254" i="11"/>
  <c r="Q255" i="11"/>
  <c r="L256" i="11"/>
  <c r="Q256" i="11" s="1"/>
  <c r="L257" i="11"/>
  <c r="Q257" i="11" s="1"/>
  <c r="L258" i="11"/>
  <c r="Q258" i="11" s="1"/>
  <c r="P253" i="11"/>
  <c r="R253" i="11" s="1"/>
  <c r="P254" i="11"/>
  <c r="R254" i="11" s="1"/>
  <c r="P255" i="11"/>
  <c r="R255" i="11" s="1"/>
  <c r="P256" i="11"/>
  <c r="R256" i="11" s="1"/>
  <c r="P257" i="11"/>
  <c r="R257" i="11" s="1"/>
  <c r="P258" i="11"/>
  <c r="R258" i="11" s="1"/>
  <c r="L219" i="11"/>
  <c r="AC219" i="11" s="1"/>
  <c r="L220" i="11"/>
  <c r="AC220" i="11" s="1"/>
  <c r="L221" i="11"/>
  <c r="AC221" i="11" s="1"/>
  <c r="L222" i="11"/>
  <c r="L223" i="11"/>
  <c r="L224" i="11"/>
  <c r="P219" i="11"/>
  <c r="Q219" i="11" s="1"/>
  <c r="P220" i="11"/>
  <c r="Q220" i="11" s="1"/>
  <c r="P221" i="11"/>
  <c r="Q221" i="11" s="1"/>
  <c r="P222" i="11"/>
  <c r="Q222" i="11" s="1"/>
  <c r="P223" i="11"/>
  <c r="Q223" i="11" s="1"/>
  <c r="P224" i="11"/>
  <c r="Q224" i="11" s="1"/>
  <c r="P56" i="11"/>
  <c r="Q56" i="11" s="1"/>
  <c r="P57" i="11"/>
  <c r="R57" i="11" s="1"/>
  <c r="P58" i="11"/>
  <c r="Q58" i="11" s="1"/>
  <c r="P59" i="11"/>
  <c r="Q59" i="11" s="1"/>
  <c r="P60" i="11"/>
  <c r="R60" i="11" s="1"/>
  <c r="P61" i="11"/>
  <c r="R61" i="11" s="1"/>
  <c r="L56" i="11"/>
  <c r="AC56" i="11" s="1"/>
  <c r="L57" i="11"/>
  <c r="AC57" i="11" s="1"/>
  <c r="L58" i="11"/>
  <c r="AC58" i="11" s="1"/>
  <c r="L59" i="11"/>
  <c r="L60" i="11"/>
  <c r="L61" i="11"/>
  <c r="P304" i="11"/>
  <c r="Q304" i="11" s="1"/>
  <c r="P305" i="11"/>
  <c r="R305" i="11" s="1"/>
  <c r="P306" i="11"/>
  <c r="R306" i="11" s="1"/>
  <c r="P307" i="11"/>
  <c r="R307" i="11" s="1"/>
  <c r="P308" i="11"/>
  <c r="R308" i="11" s="1"/>
  <c r="P309" i="11"/>
  <c r="R309" i="11" s="1"/>
  <c r="L304" i="11"/>
  <c r="AC304" i="11" s="1"/>
  <c r="L305" i="11"/>
  <c r="AC305" i="11" s="1"/>
  <c r="L306" i="11"/>
  <c r="AC306" i="11" s="1"/>
  <c r="L307" i="11"/>
  <c r="L308" i="11"/>
  <c r="L309" i="11"/>
  <c r="P235" i="11"/>
  <c r="Q235" i="11" s="1"/>
  <c r="P236" i="11"/>
  <c r="R236" i="11" s="1"/>
  <c r="P237" i="11"/>
  <c r="Q237" i="11" s="1"/>
  <c r="P238" i="11"/>
  <c r="Q238" i="11" s="1"/>
  <c r="P239" i="11"/>
  <c r="R239" i="11" s="1"/>
  <c r="P240" i="11"/>
  <c r="R240" i="11" s="1"/>
  <c r="L235" i="11"/>
  <c r="AC235" i="11" s="1"/>
  <c r="L236" i="11"/>
  <c r="AC236" i="11" s="1"/>
  <c r="L237" i="11"/>
  <c r="AC237" i="11" s="1"/>
  <c r="L238" i="11"/>
  <c r="L239" i="11"/>
  <c r="L240" i="11"/>
  <c r="P184" i="11"/>
  <c r="R184" i="11" s="1"/>
  <c r="P185" i="11"/>
  <c r="Q185" i="11" s="1"/>
  <c r="P186" i="11"/>
  <c r="Q186" i="11" s="1"/>
  <c r="P187" i="11"/>
  <c r="Q187" i="11" s="1"/>
  <c r="P188" i="11"/>
  <c r="Q188" i="11" s="1"/>
  <c r="P189" i="11"/>
  <c r="Q189" i="11" s="1"/>
  <c r="L184" i="11"/>
  <c r="AC184" i="11" s="1"/>
  <c r="L185" i="11"/>
  <c r="AC185" i="11" s="1"/>
  <c r="L186" i="11"/>
  <c r="AC186" i="11" s="1"/>
  <c r="L187" i="11"/>
  <c r="L188" i="11"/>
  <c r="L189" i="11"/>
  <c r="P154" i="11"/>
  <c r="R154" i="11" s="1"/>
  <c r="P155" i="11"/>
  <c r="Q155" i="11" s="1"/>
  <c r="Q156" i="11"/>
  <c r="P157" i="11"/>
  <c r="Q157" i="11" s="1"/>
  <c r="P158" i="11"/>
  <c r="R158" i="11" s="1"/>
  <c r="P159" i="11"/>
  <c r="R159" i="11" s="1"/>
  <c r="L154" i="11"/>
  <c r="AC154" i="11" s="1"/>
  <c r="L155" i="11"/>
  <c r="AC155" i="11" s="1"/>
  <c r="L156" i="11"/>
  <c r="AC156" i="11" s="1"/>
  <c r="L157" i="11"/>
  <c r="L158" i="11"/>
  <c r="L159" i="11"/>
  <c r="P72" i="11"/>
  <c r="Q72" i="11" s="1"/>
  <c r="P73" i="11"/>
  <c r="Q73" i="11" s="1"/>
  <c r="P74" i="11"/>
  <c r="R74" i="11" s="1"/>
  <c r="P75" i="11"/>
  <c r="R75" i="11" s="1"/>
  <c r="P76" i="11"/>
  <c r="Q76" i="11" s="1"/>
  <c r="P77" i="11"/>
  <c r="Q77" i="11" s="1"/>
  <c r="L72" i="11"/>
  <c r="AC72" i="11" s="1"/>
  <c r="L73" i="11"/>
  <c r="AC73" i="11" s="1"/>
  <c r="L74" i="11"/>
  <c r="AC74" i="11" s="1"/>
  <c r="L75" i="11"/>
  <c r="L76" i="11"/>
  <c r="L77" i="11"/>
  <c r="F10" i="2"/>
  <c r="P349" i="11"/>
  <c r="R349" i="11" s="1"/>
  <c r="L349" i="11"/>
  <c r="AC349" i="11" s="1"/>
  <c r="P90" i="11"/>
  <c r="R90" i="11" s="1"/>
  <c r="L90" i="11"/>
  <c r="AC90" i="11" s="1"/>
  <c r="L104" i="11"/>
  <c r="L98" i="11"/>
  <c r="L99" i="11"/>
  <c r="AC99" i="11" s="1"/>
  <c r="L101" i="11"/>
  <c r="AC101" i="11" s="1"/>
  <c r="L102" i="11"/>
  <c r="AC102" i="11" s="1"/>
  <c r="L103" i="11"/>
  <c r="AC103" i="11" s="1"/>
  <c r="P99" i="11"/>
  <c r="Q99" i="11" s="1"/>
  <c r="P101" i="11"/>
  <c r="Q101" i="11" s="1"/>
  <c r="P102" i="11"/>
  <c r="Q102" i="11" s="1"/>
  <c r="P103" i="11"/>
  <c r="Q103" i="11" s="1"/>
  <c r="P104" i="11"/>
  <c r="Q104" i="11" s="1"/>
  <c r="P98" i="11"/>
  <c r="Q98" i="11" s="1"/>
  <c r="AC255" i="11" l="1"/>
  <c r="Q253" i="11"/>
  <c r="AC253" i="11"/>
  <c r="Q123" i="11"/>
  <c r="Q122" i="11"/>
  <c r="Q386" i="11"/>
  <c r="Q385" i="11"/>
  <c r="Q384" i="11"/>
  <c r="P332" i="11"/>
  <c r="R332" i="11" s="1"/>
  <c r="L331" i="11"/>
  <c r="AC331" i="11" s="1"/>
  <c r="R95" i="11"/>
  <c r="R331" i="11"/>
  <c r="Q331" i="11"/>
  <c r="R94" i="11"/>
  <c r="R92" i="11"/>
  <c r="R91" i="11"/>
  <c r="Q93" i="11"/>
  <c r="R351" i="11"/>
  <c r="Q350" i="11"/>
  <c r="Q271" i="11"/>
  <c r="Q270" i="11"/>
  <c r="Q289" i="11"/>
  <c r="R290" i="11"/>
  <c r="R288" i="11"/>
  <c r="Q323" i="11"/>
  <c r="R224" i="11"/>
  <c r="R223" i="11"/>
  <c r="R221" i="11"/>
  <c r="R222" i="11"/>
  <c r="R220" i="11"/>
  <c r="R219" i="11"/>
  <c r="R59" i="11"/>
  <c r="R58" i="11"/>
  <c r="R56" i="11"/>
  <c r="Q61" i="11"/>
  <c r="Q60" i="11"/>
  <c r="Q57" i="11"/>
  <c r="Q308" i="11"/>
  <c r="Q307" i="11"/>
  <c r="Q309" i="11"/>
  <c r="Q306" i="11"/>
  <c r="Q305" i="11"/>
  <c r="R304" i="11"/>
  <c r="R238" i="11"/>
  <c r="R237" i="11"/>
  <c r="R235" i="11"/>
  <c r="Q240" i="11"/>
  <c r="Q236" i="11"/>
  <c r="Q239" i="11"/>
  <c r="R189" i="11"/>
  <c r="R188" i="11"/>
  <c r="R187" i="11"/>
  <c r="R186" i="11"/>
  <c r="R185" i="11"/>
  <c r="Q184" i="11"/>
  <c r="Q159" i="11"/>
  <c r="Q158" i="11"/>
  <c r="R156" i="11"/>
  <c r="R157" i="11"/>
  <c r="Q154" i="11"/>
  <c r="R155" i="11"/>
  <c r="R72" i="11"/>
  <c r="R77" i="11"/>
  <c r="R76" i="11"/>
  <c r="Q75" i="11"/>
  <c r="Q74" i="11"/>
  <c r="R73" i="11"/>
  <c r="Q349" i="11"/>
  <c r="Q90" i="11"/>
  <c r="R101" i="11"/>
  <c r="R99" i="11"/>
  <c r="R98" i="11"/>
  <c r="R104" i="11"/>
  <c r="R103" i="11"/>
  <c r="R102" i="11"/>
  <c r="L14" i="11"/>
  <c r="L15" i="11"/>
  <c r="L16" i="11"/>
  <c r="L17" i="11"/>
  <c r="AC17" i="11" s="1"/>
  <c r="L19" i="11"/>
  <c r="AC19" i="11" s="1"/>
  <c r="L20" i="11"/>
  <c r="AC20" i="11" s="1"/>
  <c r="P14" i="11"/>
  <c r="Q14" i="11" s="1"/>
  <c r="P15" i="11"/>
  <c r="Q15" i="11" s="1"/>
  <c r="P16" i="11"/>
  <c r="Q16" i="11" s="1"/>
  <c r="P17" i="11"/>
  <c r="Q17" i="11" s="1"/>
  <c r="P19" i="11"/>
  <c r="R19" i="11" s="1"/>
  <c r="P20" i="11"/>
  <c r="Q20" i="11" s="1"/>
  <c r="Q247" i="11"/>
  <c r="Q248" i="11"/>
  <c r="Q249" i="11"/>
  <c r="Q246" i="11"/>
  <c r="Q245" i="11"/>
  <c r="AC251" i="11" l="1"/>
  <c r="Q332" i="11"/>
  <c r="R15" i="11"/>
  <c r="Q19" i="11"/>
  <c r="R14" i="11"/>
  <c r="R20" i="11"/>
  <c r="R17" i="11"/>
  <c r="R16" i="11"/>
  <c r="L96" i="11"/>
  <c r="L97" i="11"/>
  <c r="P97" i="11"/>
  <c r="R97" i="11" s="1"/>
  <c r="P96" i="11"/>
  <c r="R96" i="11" s="1"/>
  <c r="L379" i="11"/>
  <c r="L380" i="11"/>
  <c r="L381" i="11"/>
  <c r="L382" i="11"/>
  <c r="AC382" i="11" s="1"/>
  <c r="P379" i="11"/>
  <c r="Q379" i="11" s="1"/>
  <c r="P380" i="11"/>
  <c r="R380" i="11" s="1"/>
  <c r="P381" i="11"/>
  <c r="Q381" i="11" s="1"/>
  <c r="P382" i="11"/>
  <c r="Q382" i="11" s="1"/>
  <c r="P390" i="11"/>
  <c r="R390" i="11" s="1"/>
  <c r="L85" i="11"/>
  <c r="L86" i="11"/>
  <c r="L87" i="11"/>
  <c r="L88" i="11"/>
  <c r="AC88" i="11" s="1"/>
  <c r="P86" i="11"/>
  <c r="R86" i="11" s="1"/>
  <c r="P87" i="11"/>
  <c r="R87" i="11" s="1"/>
  <c r="P88" i="11"/>
  <c r="R88" i="11" s="1"/>
  <c r="P85" i="11"/>
  <c r="R85" i="11" s="1"/>
  <c r="L344" i="11"/>
  <c r="L345" i="11"/>
  <c r="L346" i="11"/>
  <c r="L347" i="11"/>
  <c r="AC347" i="11" s="1"/>
  <c r="P344" i="11"/>
  <c r="Q344" i="11" s="1"/>
  <c r="P345" i="11"/>
  <c r="Q345" i="11" s="1"/>
  <c r="P346" i="11"/>
  <c r="Q346" i="11" s="1"/>
  <c r="P347" i="11"/>
  <c r="Q347" i="11" s="1"/>
  <c r="L117" i="11"/>
  <c r="L118" i="11"/>
  <c r="L119" i="11"/>
  <c r="L120" i="11"/>
  <c r="AC120" i="11" s="1"/>
  <c r="P117" i="11"/>
  <c r="Q117" i="11" s="1"/>
  <c r="P118" i="11"/>
  <c r="Q118" i="11" s="1"/>
  <c r="P119" i="11"/>
  <c r="Q119" i="11" s="1"/>
  <c r="P120" i="11"/>
  <c r="Q120" i="11" s="1"/>
  <c r="L7" i="11"/>
  <c r="L8" i="11"/>
  <c r="L9" i="11"/>
  <c r="L10" i="11"/>
  <c r="AC10" i="11" s="1"/>
  <c r="P7" i="11"/>
  <c r="P8" i="11"/>
  <c r="R8" i="11" s="1"/>
  <c r="P9" i="11"/>
  <c r="Q9" i="11" s="1"/>
  <c r="P10" i="11"/>
  <c r="R10" i="11" s="1"/>
  <c r="L283" i="11"/>
  <c r="L284" i="11"/>
  <c r="L285" i="11"/>
  <c r="L286" i="11"/>
  <c r="AC286" i="11" s="1"/>
  <c r="P283" i="11"/>
  <c r="Q283" i="11" s="1"/>
  <c r="P284" i="11"/>
  <c r="Q284" i="11" s="1"/>
  <c r="P285" i="11"/>
  <c r="Q285" i="11" s="1"/>
  <c r="P286" i="11"/>
  <c r="R286" i="11" s="1"/>
  <c r="L265" i="11"/>
  <c r="L266" i="11"/>
  <c r="L267" i="11"/>
  <c r="L268" i="11"/>
  <c r="AC268" i="11" s="1"/>
  <c r="P265" i="11"/>
  <c r="Q265" i="11" s="1"/>
  <c r="P266" i="11"/>
  <c r="Q266" i="11" s="1"/>
  <c r="P267" i="11"/>
  <c r="R267" i="11" s="1"/>
  <c r="P268" i="11"/>
  <c r="R268" i="11" s="1"/>
  <c r="R7" i="11" l="1"/>
  <c r="Q390" i="11"/>
  <c r="Q97" i="11"/>
  <c r="Q96" i="11"/>
  <c r="R381" i="11"/>
  <c r="Q380" i="11"/>
  <c r="R379" i="11"/>
  <c r="R382" i="11"/>
  <c r="R120" i="11"/>
  <c r="Q88" i="11"/>
  <c r="Q87" i="11"/>
  <c r="Q85" i="11"/>
  <c r="Q86" i="11"/>
  <c r="R344" i="11"/>
  <c r="R347" i="11"/>
  <c r="R345" i="11"/>
  <c r="R346" i="11"/>
  <c r="R119" i="11"/>
  <c r="R118" i="11"/>
  <c r="R117" i="11"/>
  <c r="Q8" i="11"/>
  <c r="Q10" i="11"/>
  <c r="Q7" i="11"/>
  <c r="R9" i="11"/>
  <c r="R285" i="11"/>
  <c r="R284" i="11"/>
  <c r="Q286" i="11"/>
  <c r="R283" i="11"/>
  <c r="R266" i="11"/>
  <c r="Q268" i="11"/>
  <c r="Q267" i="11"/>
  <c r="R265" i="11"/>
  <c r="L217" i="11"/>
  <c r="AC217" i="11" s="1"/>
  <c r="L216" i="11"/>
  <c r="L215" i="11"/>
  <c r="L214" i="11"/>
  <c r="P214" i="11"/>
  <c r="Q214" i="11" s="1"/>
  <c r="P215" i="11"/>
  <c r="R215" i="11" s="1"/>
  <c r="P216" i="11"/>
  <c r="Q216" i="11" s="1"/>
  <c r="P217" i="11"/>
  <c r="R217" i="11" s="1"/>
  <c r="L197" i="11"/>
  <c r="L198" i="11"/>
  <c r="L199" i="11"/>
  <c r="L200" i="11"/>
  <c r="AC200" i="11" s="1"/>
  <c r="L202" i="11"/>
  <c r="AC202" i="11" s="1"/>
  <c r="L203" i="11"/>
  <c r="AC203" i="11" s="1"/>
  <c r="P197" i="11"/>
  <c r="Q197" i="11" s="1"/>
  <c r="P198" i="11"/>
  <c r="Q198" i="11" s="1"/>
  <c r="P199" i="11"/>
  <c r="Q199" i="11" s="1"/>
  <c r="P200" i="11"/>
  <c r="Q200" i="11" s="1"/>
  <c r="P202" i="11"/>
  <c r="Q202" i="11" s="1"/>
  <c r="P203" i="11"/>
  <c r="Q203" i="11" s="1"/>
  <c r="P34" i="11"/>
  <c r="Q34" i="11" s="1"/>
  <c r="P35" i="11"/>
  <c r="Q35" i="11" s="1"/>
  <c r="P36" i="11"/>
  <c r="R36" i="11" s="1"/>
  <c r="P37" i="11"/>
  <c r="Q37" i="11" s="1"/>
  <c r="P39" i="11"/>
  <c r="Q39" i="11" s="1"/>
  <c r="P40" i="11"/>
  <c r="R40" i="11" s="1"/>
  <c r="L34" i="11"/>
  <c r="L35" i="11"/>
  <c r="L36" i="11"/>
  <c r="L37" i="11"/>
  <c r="AC37" i="11" s="1"/>
  <c r="L39" i="11"/>
  <c r="AC39" i="11" s="1"/>
  <c r="L40" i="11"/>
  <c r="AC40" i="11" s="1"/>
  <c r="Q215" i="11" l="1"/>
  <c r="R214" i="11"/>
  <c r="Q217" i="11"/>
  <c r="R216" i="11"/>
  <c r="R199" i="11"/>
  <c r="R203" i="11"/>
  <c r="R198" i="11"/>
  <c r="R200" i="11"/>
  <c r="R202" i="11"/>
  <c r="R197" i="11"/>
  <c r="R39" i="11"/>
  <c r="R35" i="11"/>
  <c r="R37" i="11"/>
  <c r="Q40" i="11"/>
  <c r="Q36" i="11"/>
  <c r="R34" i="11"/>
  <c r="R360" i="11"/>
  <c r="R361" i="11"/>
  <c r="R362" i="11"/>
  <c r="R363" i="11"/>
  <c r="R364" i="11"/>
  <c r="Q359" i="11"/>
  <c r="Q360" i="11"/>
  <c r="Q361" i="11"/>
  <c r="Q362" i="11"/>
  <c r="Q363" i="11"/>
  <c r="Q364" i="11"/>
  <c r="L359" i="11"/>
  <c r="L360" i="11"/>
  <c r="L361" i="11"/>
  <c r="L362" i="11"/>
  <c r="L363" i="11"/>
  <c r="L364" i="11"/>
  <c r="AC364" i="11" s="1"/>
  <c r="P12" i="11"/>
  <c r="P13" i="11"/>
  <c r="R13" i="11" s="1"/>
  <c r="L12" i="11"/>
  <c r="L13" i="11"/>
  <c r="P177" i="11"/>
  <c r="Q177" i="11" s="1"/>
  <c r="P178" i="11"/>
  <c r="Q178" i="11" s="1"/>
  <c r="P179" i="11"/>
  <c r="Q179" i="11" s="1"/>
  <c r="P180" i="11"/>
  <c r="R180" i="11" s="1"/>
  <c r="P181" i="11"/>
  <c r="Q181" i="11" s="1"/>
  <c r="P182" i="11"/>
  <c r="R182" i="11" s="1"/>
  <c r="L177" i="11"/>
  <c r="L178" i="11"/>
  <c r="L179" i="11"/>
  <c r="L180" i="11"/>
  <c r="L181" i="11"/>
  <c r="L182" i="11"/>
  <c r="AC182" i="11" s="1"/>
  <c r="Q164" i="11"/>
  <c r="R164" i="11"/>
  <c r="Q165" i="11"/>
  <c r="R165" i="11"/>
  <c r="Q166" i="11"/>
  <c r="R166" i="11"/>
  <c r="Q167" i="11"/>
  <c r="R167" i="11"/>
  <c r="Q168" i="11"/>
  <c r="R168" i="11"/>
  <c r="Q169" i="11"/>
  <c r="R169" i="11"/>
  <c r="L164" i="11"/>
  <c r="L165" i="11"/>
  <c r="L166" i="11"/>
  <c r="L167" i="11"/>
  <c r="L168" i="11"/>
  <c r="L169" i="11"/>
  <c r="AC169" i="11" s="1"/>
  <c r="Q12" i="11" l="1"/>
  <c r="R12" i="11"/>
  <c r="Q13" i="11"/>
  <c r="Q182" i="11"/>
  <c r="R179" i="11"/>
  <c r="Q180" i="11"/>
  <c r="R178" i="11"/>
  <c r="R177" i="11"/>
  <c r="R181" i="11"/>
  <c r="AB329" i="11"/>
  <c r="K328" i="11"/>
  <c r="L328" i="11" s="1"/>
  <c r="K327" i="11"/>
  <c r="P327" i="11" s="1"/>
  <c r="R327" i="11" s="1"/>
  <c r="K326" i="11"/>
  <c r="P326" i="11" s="1"/>
  <c r="R326" i="11" s="1"/>
  <c r="K325" i="11"/>
  <c r="P325" i="11" s="1"/>
  <c r="Q325" i="11" s="1"/>
  <c r="K324" i="11"/>
  <c r="P324" i="11" s="1"/>
  <c r="Q324" i="11" s="1"/>
  <c r="L329" i="11" l="1"/>
  <c r="AC329" i="11" s="1"/>
  <c r="L327" i="11"/>
  <c r="L326" i="11"/>
  <c r="L325" i="11"/>
  <c r="L324" i="11"/>
  <c r="P329" i="11"/>
  <c r="R329" i="11" s="1"/>
  <c r="P328" i="11"/>
  <c r="Q328" i="11" s="1"/>
  <c r="Q327" i="11"/>
  <c r="Q326" i="11"/>
  <c r="R325" i="11"/>
  <c r="R324" i="11"/>
  <c r="R359" i="11"/>
  <c r="P141" i="11"/>
  <c r="Q141" i="11" s="1"/>
  <c r="P136" i="11"/>
  <c r="Q136" i="11" s="1"/>
  <c r="P137" i="11"/>
  <c r="Q137" i="11" s="1"/>
  <c r="P138" i="11"/>
  <c r="Q138" i="11" s="1"/>
  <c r="P139" i="11"/>
  <c r="Q139" i="11" s="1"/>
  <c r="P140" i="11"/>
  <c r="Q140" i="11" s="1"/>
  <c r="L136" i="11"/>
  <c r="L137" i="11"/>
  <c r="L138" i="11"/>
  <c r="L139" i="11"/>
  <c r="L140" i="11"/>
  <c r="L141" i="11"/>
  <c r="AC141" i="11" s="1"/>
  <c r="P195" i="11"/>
  <c r="Q195" i="11" s="1"/>
  <c r="P196" i="11"/>
  <c r="Q196" i="11" s="1"/>
  <c r="L195" i="11"/>
  <c r="L196" i="11"/>
  <c r="L341" i="11"/>
  <c r="L342" i="11"/>
  <c r="L343" i="11"/>
  <c r="P343" i="11"/>
  <c r="R343" i="11" s="1"/>
  <c r="P342" i="11"/>
  <c r="R342" i="11" s="1"/>
  <c r="P377" i="11"/>
  <c r="R377" i="11" s="1"/>
  <c r="P378" i="11"/>
  <c r="R378" i="11" s="1"/>
  <c r="L378" i="11"/>
  <c r="L377" i="11"/>
  <c r="P83" i="11"/>
  <c r="Q83" i="11" s="1"/>
  <c r="P84" i="11"/>
  <c r="R84" i="11" s="1"/>
  <c r="L84" i="11"/>
  <c r="L83" i="11"/>
  <c r="P282" i="11"/>
  <c r="R282" i="11" s="1"/>
  <c r="L282" i="11"/>
  <c r="P261" i="11"/>
  <c r="Q261" i="11" s="1"/>
  <c r="P262" i="11"/>
  <c r="Q262" i="11" s="1"/>
  <c r="P263" i="11"/>
  <c r="Q263" i="11" s="1"/>
  <c r="P264" i="11"/>
  <c r="Q264" i="11" s="1"/>
  <c r="L261" i="11"/>
  <c r="L262" i="11"/>
  <c r="L263" i="11"/>
  <c r="L264" i="11"/>
  <c r="P279" i="11"/>
  <c r="Q279" i="11" s="1"/>
  <c r="P280" i="11"/>
  <c r="Q280" i="11" s="1"/>
  <c r="P281" i="11"/>
  <c r="R281" i="11" s="1"/>
  <c r="L279" i="11"/>
  <c r="L280" i="11"/>
  <c r="L281" i="11"/>
  <c r="P225" i="11"/>
  <c r="Q225" i="11" s="1"/>
  <c r="P226" i="11"/>
  <c r="Q226" i="11" s="1"/>
  <c r="P227" i="11"/>
  <c r="Q227" i="11" s="1"/>
  <c r="P228" i="11"/>
  <c r="R228" i="11" s="1"/>
  <c r="P229" i="11"/>
  <c r="Q229" i="11" s="1"/>
  <c r="P230" i="11"/>
  <c r="Q230" i="11" s="1"/>
  <c r="P231" i="11"/>
  <c r="Q231" i="11" s="1"/>
  <c r="P232" i="11"/>
  <c r="R232" i="11" s="1"/>
  <c r="P233" i="11"/>
  <c r="Q233" i="11" s="1"/>
  <c r="L225" i="11"/>
  <c r="L226" i="11"/>
  <c r="L227" i="11"/>
  <c r="L228" i="11"/>
  <c r="L229" i="11"/>
  <c r="L230" i="11"/>
  <c r="L231" i="11"/>
  <c r="L232" i="11"/>
  <c r="L233" i="11"/>
  <c r="AC233" i="11" s="1"/>
  <c r="L294" i="11"/>
  <c r="L295" i="11"/>
  <c r="L296" i="11"/>
  <c r="L297" i="11"/>
  <c r="L298" i="11"/>
  <c r="L299" i="11"/>
  <c r="L300" i="11"/>
  <c r="L301" i="11"/>
  <c r="L302" i="11"/>
  <c r="AC302" i="11" s="1"/>
  <c r="P294" i="11"/>
  <c r="Q294" i="11" s="1"/>
  <c r="P295" i="11"/>
  <c r="Q295" i="11" s="1"/>
  <c r="P296" i="11"/>
  <c r="Q296" i="11" s="1"/>
  <c r="P297" i="11"/>
  <c r="R297" i="11" s="1"/>
  <c r="P298" i="11"/>
  <c r="Q298" i="11" s="1"/>
  <c r="P299" i="11"/>
  <c r="Q299" i="11" s="1"/>
  <c r="P300" i="11"/>
  <c r="R300" i="11" s="1"/>
  <c r="P301" i="11"/>
  <c r="R301" i="11" s="1"/>
  <c r="P302" i="11"/>
  <c r="Q302" i="11" s="1"/>
  <c r="P70" i="11"/>
  <c r="R70" i="11" s="1"/>
  <c r="P62" i="11"/>
  <c r="R62" i="11" s="1"/>
  <c r="P63" i="11"/>
  <c r="R63" i="11" s="1"/>
  <c r="P64" i="11"/>
  <c r="Q64" i="11" s="1"/>
  <c r="P65" i="11"/>
  <c r="R65" i="11" s="1"/>
  <c r="P66" i="11"/>
  <c r="R66" i="11" s="1"/>
  <c r="P67" i="11"/>
  <c r="Q67" i="11" s="1"/>
  <c r="P68" i="11"/>
  <c r="R68" i="11" s="1"/>
  <c r="P69" i="11"/>
  <c r="R69" i="11" s="1"/>
  <c r="L62" i="11"/>
  <c r="L63" i="11"/>
  <c r="L64" i="11"/>
  <c r="L65" i="11"/>
  <c r="L66" i="11"/>
  <c r="L67" i="11"/>
  <c r="L68" i="11"/>
  <c r="L69" i="11"/>
  <c r="L70" i="11"/>
  <c r="AC70" i="11" s="1"/>
  <c r="P111" i="11"/>
  <c r="Q111" i="11" s="1"/>
  <c r="P112" i="11"/>
  <c r="Q112" i="11" s="1"/>
  <c r="P113" i="11"/>
  <c r="Q113" i="11" s="1"/>
  <c r="P114" i="11"/>
  <c r="R114" i="11" s="1"/>
  <c r="P115" i="11"/>
  <c r="R115" i="11" s="1"/>
  <c r="P116" i="11"/>
  <c r="Q116" i="11" s="1"/>
  <c r="L111" i="11"/>
  <c r="L112" i="11"/>
  <c r="L113" i="11"/>
  <c r="L114" i="11"/>
  <c r="L115" i="11"/>
  <c r="L116" i="11"/>
  <c r="R160" i="11"/>
  <c r="Q161" i="11"/>
  <c r="Q162" i="11"/>
  <c r="R163" i="11"/>
  <c r="L163" i="11"/>
  <c r="L160" i="11"/>
  <c r="L161" i="11"/>
  <c r="L162" i="11"/>
  <c r="P191" i="11"/>
  <c r="Q191" i="11" s="1"/>
  <c r="P192" i="11"/>
  <c r="Q192" i="11" s="1"/>
  <c r="P193" i="11"/>
  <c r="R193" i="11" s="1"/>
  <c r="P194" i="11"/>
  <c r="R194" i="11" s="1"/>
  <c r="L191" i="11"/>
  <c r="L192" i="11"/>
  <c r="L193" i="11"/>
  <c r="L194" i="11"/>
  <c r="P209" i="11"/>
  <c r="Q209" i="11" s="1"/>
  <c r="P210" i="11"/>
  <c r="Q210" i="11" s="1"/>
  <c r="P211" i="11"/>
  <c r="Q211" i="11" s="1"/>
  <c r="P212" i="11"/>
  <c r="Q212" i="11" s="1"/>
  <c r="P213" i="11"/>
  <c r="R213" i="11" s="1"/>
  <c r="R208" i="11"/>
  <c r="L208" i="11"/>
  <c r="L209" i="11"/>
  <c r="L210" i="11"/>
  <c r="L211" i="11"/>
  <c r="L212" i="11"/>
  <c r="L213" i="11"/>
  <c r="P260" i="11"/>
  <c r="R260" i="11" s="1"/>
  <c r="P259" i="11"/>
  <c r="R259" i="11" s="1"/>
  <c r="L259" i="11"/>
  <c r="L260" i="11"/>
  <c r="P144" i="11"/>
  <c r="R144" i="11" s="1"/>
  <c r="P145" i="11"/>
  <c r="R145" i="11" s="1"/>
  <c r="P146" i="11"/>
  <c r="R146" i="11" s="1"/>
  <c r="P147" i="11"/>
  <c r="Q147" i="11" s="1"/>
  <c r="P148" i="11"/>
  <c r="Q148" i="11" s="1"/>
  <c r="P149" i="11"/>
  <c r="R149" i="11" s="1"/>
  <c r="P150" i="11"/>
  <c r="Q150" i="11" s="1"/>
  <c r="P151" i="11"/>
  <c r="R151" i="11" s="1"/>
  <c r="P152" i="11"/>
  <c r="R152" i="11" s="1"/>
  <c r="L143" i="11"/>
  <c r="L144" i="11"/>
  <c r="L145" i="11"/>
  <c r="L146" i="11"/>
  <c r="L147" i="11"/>
  <c r="L148" i="11"/>
  <c r="L149" i="11"/>
  <c r="L150" i="11"/>
  <c r="L151" i="11"/>
  <c r="L152" i="11"/>
  <c r="AC152" i="11" s="1"/>
  <c r="P143" i="11"/>
  <c r="Q143" i="11" s="1"/>
  <c r="P46" i="11"/>
  <c r="Q46" i="11" s="1"/>
  <c r="P47" i="11"/>
  <c r="Q47" i="11" s="1"/>
  <c r="P48" i="11"/>
  <c r="Q48" i="11" s="1"/>
  <c r="P49" i="11"/>
  <c r="P50" i="11"/>
  <c r="R50" i="11" s="1"/>
  <c r="P51" i="11"/>
  <c r="P52" i="11"/>
  <c r="R52" i="11" s="1"/>
  <c r="P53" i="11"/>
  <c r="R53" i="11" s="1"/>
  <c r="P54" i="11"/>
  <c r="R54" i="11" s="1"/>
  <c r="L45" i="11"/>
  <c r="L46" i="11"/>
  <c r="L47" i="11"/>
  <c r="L48" i="11"/>
  <c r="L49" i="11"/>
  <c r="L50" i="11"/>
  <c r="L51" i="11"/>
  <c r="L52" i="11"/>
  <c r="L53" i="11"/>
  <c r="L54" i="11"/>
  <c r="AC54" i="11" s="1"/>
  <c r="P45" i="11"/>
  <c r="R45" i="11" s="1"/>
  <c r="P28" i="11"/>
  <c r="P29" i="11"/>
  <c r="R29" i="11" s="1"/>
  <c r="P30" i="11"/>
  <c r="P31" i="11"/>
  <c r="R31" i="11" s="1"/>
  <c r="P32" i="11"/>
  <c r="P33" i="11"/>
  <c r="R33" i="11" s="1"/>
  <c r="L28" i="11"/>
  <c r="L29" i="11"/>
  <c r="L30" i="11"/>
  <c r="L31" i="11"/>
  <c r="L32" i="11"/>
  <c r="L33" i="11"/>
  <c r="P25" i="11"/>
  <c r="P26" i="11"/>
  <c r="Q26" i="11" s="1"/>
  <c r="P27" i="11"/>
  <c r="R27" i="11" s="1"/>
  <c r="L26" i="11"/>
  <c r="L27" i="11"/>
  <c r="Q51" i="11" l="1"/>
  <c r="R49" i="11"/>
  <c r="R32" i="11"/>
  <c r="Q25" i="11"/>
  <c r="R28" i="11"/>
  <c r="R30" i="11"/>
  <c r="Q329" i="11"/>
  <c r="R328" i="11"/>
  <c r="R140" i="11"/>
  <c r="R138" i="11"/>
  <c r="R136" i="11"/>
  <c r="R141" i="11"/>
  <c r="R139" i="11"/>
  <c r="R137" i="11"/>
  <c r="R196" i="11"/>
  <c r="R195" i="11"/>
  <c r="Q343" i="11"/>
  <c r="Q342" i="11"/>
  <c r="Q378" i="11"/>
  <c r="Q377" i="11"/>
  <c r="R83" i="11"/>
  <c r="Q84" i="11"/>
  <c r="Q282" i="11"/>
  <c r="R263" i="11"/>
  <c r="R262" i="11"/>
  <c r="R261" i="11"/>
  <c r="R264" i="11"/>
  <c r="R280" i="11"/>
  <c r="R279" i="11"/>
  <c r="Q281" i="11"/>
  <c r="R233" i="11"/>
  <c r="Q232" i="11"/>
  <c r="R229" i="11"/>
  <c r="R230" i="11"/>
  <c r="Q228" i="11"/>
  <c r="R226" i="11"/>
  <c r="R225" i="11"/>
  <c r="R231" i="11"/>
  <c r="R227" i="11"/>
  <c r="Q300" i="11"/>
  <c r="R302" i="11"/>
  <c r="Q297" i="11"/>
  <c r="R294" i="11"/>
  <c r="R296" i="11"/>
  <c r="Q301" i="11"/>
  <c r="R298" i="11"/>
  <c r="R299" i="11"/>
  <c r="R295" i="11"/>
  <c r="Q63" i="11"/>
  <c r="Q68" i="11"/>
  <c r="Q66" i="11"/>
  <c r="Q62" i="11"/>
  <c r="Q69" i="11"/>
  <c r="Q65" i="11"/>
  <c r="R64" i="11"/>
  <c r="R67" i="11"/>
  <c r="Q70" i="11"/>
  <c r="Q115" i="11"/>
  <c r="Q114" i="11"/>
  <c r="R111" i="11"/>
  <c r="R113" i="11"/>
  <c r="R116" i="11"/>
  <c r="R112" i="11"/>
  <c r="Q163" i="11"/>
  <c r="Q160" i="11"/>
  <c r="R161" i="11"/>
  <c r="R162" i="11"/>
  <c r="Q194" i="11"/>
  <c r="Q193" i="11"/>
  <c r="R191" i="11"/>
  <c r="R192" i="11"/>
  <c r="Q213" i="11"/>
  <c r="Q208" i="11"/>
  <c r="R212" i="11"/>
  <c r="R211" i="11"/>
  <c r="R210" i="11"/>
  <c r="R209" i="11"/>
  <c r="Q260" i="11"/>
  <c r="Q259" i="11"/>
  <c r="Q149" i="11"/>
  <c r="R150" i="11"/>
  <c r="Q151" i="11"/>
  <c r="Q145" i="11"/>
  <c r="Q144" i="11"/>
  <c r="R143" i="11"/>
  <c r="R148" i="11"/>
  <c r="Q152" i="11"/>
  <c r="R147" i="11"/>
  <c r="Q146" i="11"/>
  <c r="Q49" i="11"/>
  <c r="Q45" i="11"/>
  <c r="R47" i="11"/>
  <c r="Q54" i="11"/>
  <c r="Q53" i="11"/>
  <c r="R51" i="11"/>
  <c r="Q50" i="11"/>
  <c r="R48" i="11"/>
  <c r="Q52" i="11"/>
  <c r="R46" i="11"/>
  <c r="Q28" i="11"/>
  <c r="Q31" i="11"/>
  <c r="Q29" i="11"/>
  <c r="Q30" i="11"/>
  <c r="Q33" i="11"/>
  <c r="Q32" i="11"/>
  <c r="Q27" i="11"/>
  <c r="R25" i="11"/>
  <c r="R26" i="11"/>
  <c r="Q354" i="11"/>
  <c r="P355" i="11"/>
  <c r="Q355" i="11" s="1"/>
  <c r="P356" i="11"/>
  <c r="R356" i="11" s="1"/>
  <c r="P357" i="11"/>
  <c r="Q357" i="11" s="1"/>
  <c r="P358" i="11"/>
  <c r="Q358" i="11" s="1"/>
  <c r="L354" i="11"/>
  <c r="L355" i="11"/>
  <c r="L356" i="11"/>
  <c r="L357" i="11"/>
  <c r="L358" i="11"/>
  <c r="P131" i="11"/>
  <c r="Q131" i="11" s="1"/>
  <c r="P132" i="11"/>
  <c r="Q132" i="11" s="1"/>
  <c r="P133" i="11"/>
  <c r="R133" i="11" s="1"/>
  <c r="P134" i="11"/>
  <c r="Q134" i="11" s="1"/>
  <c r="P135" i="11"/>
  <c r="Q135" i="11" s="1"/>
  <c r="L131" i="11"/>
  <c r="L132" i="11"/>
  <c r="L133" i="11"/>
  <c r="L134" i="11"/>
  <c r="L135" i="11"/>
  <c r="P127" i="11"/>
  <c r="L127" i="11"/>
  <c r="P78" i="11"/>
  <c r="P79" i="11"/>
  <c r="R79" i="11" s="1"/>
  <c r="P80" i="11"/>
  <c r="Q80" i="11" s="1"/>
  <c r="P81" i="11"/>
  <c r="R81" i="11" s="1"/>
  <c r="P82" i="11"/>
  <c r="Q82" i="11" s="1"/>
  <c r="L78" i="11"/>
  <c r="L79" i="11"/>
  <c r="L80" i="11"/>
  <c r="L81" i="11"/>
  <c r="L82" i="11"/>
  <c r="P376" i="11"/>
  <c r="Q376" i="11" s="1"/>
  <c r="P372" i="11"/>
  <c r="Q372" i="11" s="1"/>
  <c r="P373" i="11"/>
  <c r="Q373" i="11" s="1"/>
  <c r="P374" i="11"/>
  <c r="R374" i="11" s="1"/>
  <c r="P375" i="11"/>
  <c r="Q375" i="11" s="1"/>
  <c r="L372" i="11"/>
  <c r="L373" i="11"/>
  <c r="L374" i="11"/>
  <c r="L375" i="11"/>
  <c r="L376" i="11"/>
  <c r="P338" i="11"/>
  <c r="R338" i="11" s="1"/>
  <c r="P339" i="11"/>
  <c r="Q339" i="11" s="1"/>
  <c r="P340" i="11"/>
  <c r="Q340" i="11" s="1"/>
  <c r="P341" i="11"/>
  <c r="Q341" i="11" s="1"/>
  <c r="L338" i="11"/>
  <c r="L339" i="11"/>
  <c r="L340" i="11"/>
  <c r="L337" i="11"/>
  <c r="P337" i="11"/>
  <c r="Q337" i="11" s="1"/>
  <c r="P276" i="11"/>
  <c r="Q276" i="11" s="1"/>
  <c r="P277" i="11"/>
  <c r="Q277" i="11" s="1"/>
  <c r="P278" i="11"/>
  <c r="R278" i="11" s="1"/>
  <c r="L276" i="11"/>
  <c r="L277" i="11"/>
  <c r="L278" i="11"/>
  <c r="L190" i="11"/>
  <c r="P190" i="11"/>
  <c r="Q190" i="11" s="1"/>
  <c r="Q127" i="11" l="1"/>
  <c r="Q78" i="11"/>
  <c r="Q79" i="11"/>
  <c r="Q356" i="11"/>
  <c r="R357" i="11"/>
  <c r="R358" i="11"/>
  <c r="R354" i="11"/>
  <c r="R355" i="11"/>
  <c r="Q133" i="11"/>
  <c r="R134" i="11"/>
  <c r="R135" i="11"/>
  <c r="R131" i="11"/>
  <c r="R132" i="11"/>
  <c r="R82" i="11"/>
  <c r="R78" i="11"/>
  <c r="R127" i="11"/>
  <c r="R339" i="11"/>
  <c r="R80" i="11"/>
  <c r="R375" i="11"/>
  <c r="Q81" i="11"/>
  <c r="Q338" i="11"/>
  <c r="Q374" i="11"/>
  <c r="R376" i="11"/>
  <c r="R372" i="11"/>
  <c r="R373" i="11"/>
  <c r="R340" i="11"/>
  <c r="Q278" i="11"/>
  <c r="R337" i="11"/>
  <c r="R341" i="11"/>
  <c r="R276" i="11"/>
  <c r="R277" i="11"/>
  <c r="R190" i="11"/>
  <c r="P397" i="11"/>
  <c r="Q397" i="11" s="1"/>
  <c r="P398" i="11"/>
  <c r="Q398" i="11" s="1"/>
  <c r="Q399" i="11"/>
  <c r="L397" i="11"/>
  <c r="L398" i="11"/>
  <c r="L399" i="11"/>
  <c r="L400" i="11"/>
  <c r="AC400" i="11" s="1"/>
  <c r="L402" i="11"/>
  <c r="L403" i="11"/>
  <c r="L404" i="11"/>
  <c r="L405" i="11"/>
  <c r="AC320" i="11"/>
  <c r="Q400" i="11" l="1"/>
  <c r="N4" i="2"/>
  <c r="R403" i="11"/>
  <c r="R406" i="11"/>
  <c r="R398" i="11"/>
  <c r="R405" i="11"/>
  <c r="R397" i="11"/>
  <c r="R400" i="11"/>
  <c r="R404" i="11"/>
  <c r="R399" i="11"/>
  <c r="R402" i="11"/>
  <c r="P250" i="11"/>
  <c r="P242" i="11"/>
  <c r="P243" i="11"/>
  <c r="P244" i="11"/>
  <c r="P245" i="11"/>
  <c r="P246" i="11"/>
  <c r="P247" i="11"/>
  <c r="P248" i="11"/>
  <c r="P249" i="11"/>
  <c r="P310" i="11"/>
  <c r="Q310" i="11" s="1"/>
  <c r="P311" i="11"/>
  <c r="P312" i="11"/>
  <c r="P313" i="11"/>
  <c r="P314" i="11"/>
  <c r="P315" i="11"/>
  <c r="P316" i="11"/>
  <c r="P317" i="11"/>
  <c r="P318" i="11"/>
  <c r="P319" i="11"/>
  <c r="P320" i="11"/>
  <c r="D4" i="2"/>
  <c r="P391" i="11"/>
  <c r="Q391" i="11" s="1"/>
  <c r="P392" i="11"/>
  <c r="Q392" i="11" s="1"/>
  <c r="P393" i="11"/>
  <c r="Q393" i="11" s="1"/>
  <c r="P394" i="11"/>
  <c r="Q394" i="11" s="1"/>
  <c r="P395" i="11"/>
  <c r="P396" i="11"/>
  <c r="Q408" i="11"/>
  <c r="P241" i="11"/>
  <c r="L310" i="11"/>
  <c r="L390" i="11"/>
  <c r="L391" i="11"/>
  <c r="L392" i="11"/>
  <c r="L393" i="11"/>
  <c r="L394" i="11"/>
  <c r="L395" i="11"/>
  <c r="L396" i="11"/>
  <c r="L241" i="11"/>
  <c r="F5" i="2" l="1"/>
  <c r="D5" i="2"/>
  <c r="P414" i="11"/>
  <c r="Q395" i="11"/>
  <c r="F4" i="2"/>
  <c r="F8" i="2"/>
  <c r="Q241" i="11"/>
  <c r="L4" i="2" s="1"/>
  <c r="D7" i="2"/>
  <c r="Q396" i="11"/>
  <c r="R396" i="11"/>
  <c r="R392" i="11"/>
  <c r="R315" i="11"/>
  <c r="R245" i="11"/>
  <c r="R395" i="11"/>
  <c r="R391" i="11"/>
  <c r="R318" i="11"/>
  <c r="R314" i="11"/>
  <c r="R310" i="11"/>
  <c r="R248" i="11"/>
  <c r="R244" i="11"/>
  <c r="R319" i="11"/>
  <c r="R311" i="11"/>
  <c r="R249" i="11"/>
  <c r="R394" i="11"/>
  <c r="R317" i="11"/>
  <c r="R313" i="11"/>
  <c r="R251" i="11"/>
  <c r="R247" i="11"/>
  <c r="R243" i="11"/>
  <c r="R393" i="11"/>
  <c r="R320" i="11"/>
  <c r="R316" i="11"/>
  <c r="R312" i="11"/>
  <c r="R250" i="11"/>
  <c r="R246" i="11"/>
  <c r="R242" i="11"/>
  <c r="R241" i="11"/>
  <c r="F7" i="2" l="1"/>
  <c r="D8" i="2"/>
  <c r="Q414" i="11"/>
  <c r="F6" i="2"/>
  <c r="E5" i="2"/>
  <c r="G5" i="2" l="1"/>
  <c r="C9" i="2"/>
  <c r="C6" i="2"/>
  <c r="C11" i="2" l="1"/>
  <c r="D10" i="2"/>
  <c r="E10" i="2" l="1"/>
  <c r="G10" i="2" s="1"/>
  <c r="D11" i="2"/>
  <c r="F11" i="2"/>
  <c r="K5" i="2"/>
  <c r="E11" i="2" l="1"/>
  <c r="G11" i="2"/>
  <c r="L407" i="11" l="1"/>
  <c r="L410" i="11"/>
  <c r="D6" i="2" l="1"/>
  <c r="E4" i="2"/>
  <c r="G4" i="2" s="1"/>
  <c r="R407" i="11"/>
  <c r="E8" i="2" l="1"/>
  <c r="L5" i="2"/>
  <c r="D9" i="2" l="1"/>
  <c r="G8" i="2"/>
  <c r="F9" i="2"/>
  <c r="M4" i="2"/>
  <c r="M5" i="2" s="1"/>
  <c r="E7" i="2"/>
  <c r="E9" i="2" s="1"/>
  <c r="N5" i="2"/>
  <c r="C12" i="2"/>
  <c r="O4" i="2" l="1"/>
  <c r="O5" i="2" s="1"/>
  <c r="G7" i="2"/>
  <c r="G9" i="2" s="1"/>
  <c r="E6" i="2"/>
  <c r="G6" i="2" l="1"/>
  <c r="G62" i="13" l="1"/>
  <c r="F12" i="2" l="1"/>
  <c r="D12" i="2" l="1"/>
  <c r="E12" i="2"/>
  <c r="G12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Zaránd Alina</author>
  </authors>
  <commentList>
    <comment ref="K63" authorId="0" shapeId="0" xr:uid="{679FCAB9-945B-43F3-AE1B-72111CAB61B2}">
      <text>
        <r>
          <rPr>
            <b/>
            <sz val="9"/>
            <color indexed="81"/>
            <rFont val="Tahoma"/>
            <family val="2"/>
            <charset val="238"/>
          </rPr>
          <t>Zaránd Alina:</t>
        </r>
        <r>
          <rPr>
            <sz val="9"/>
            <color indexed="81"/>
            <rFont val="Tahoma"/>
            <family val="2"/>
            <charset val="238"/>
          </rPr>
          <t xml:space="preserve">
Betegszabadság: 2022.05.19.-2022.05.24.
2022.05.25.-2022.05.27.</t>
        </r>
      </text>
    </comment>
    <comment ref="K66" authorId="0" shapeId="0" xr:uid="{8B10D0BD-0C6D-410D-BAE3-F9B4E0570028}">
      <text>
        <r>
          <rPr>
            <b/>
            <sz val="9"/>
            <color indexed="81"/>
            <rFont val="Tahoma"/>
            <family val="2"/>
            <charset val="238"/>
          </rPr>
          <t>Zaránd Alina:</t>
        </r>
        <r>
          <rPr>
            <sz val="9"/>
            <color indexed="81"/>
            <rFont val="Tahoma"/>
            <family val="2"/>
            <charset val="238"/>
          </rPr>
          <t xml:space="preserve">
Nem fizetett egész napos táv. 7 nap</t>
        </r>
      </text>
    </comment>
    <comment ref="K67" authorId="0" shapeId="0" xr:uid="{69B15CA1-0E5F-4D73-AF2D-20C62D0BBAD6}">
      <text>
        <r>
          <rPr>
            <b/>
            <sz val="9"/>
            <color indexed="81"/>
            <rFont val="Tahoma"/>
            <family val="2"/>
            <charset val="238"/>
          </rPr>
          <t>Zaránd Alina:</t>
        </r>
        <r>
          <rPr>
            <sz val="9"/>
            <color indexed="81"/>
            <rFont val="Tahoma"/>
            <family val="2"/>
            <charset val="238"/>
          </rPr>
          <t xml:space="preserve">
Betegség: 2022.09.01-2022.09.05.
2022.09.06-2022.09.09.</t>
        </r>
      </text>
    </comment>
    <comment ref="K147" authorId="0" shapeId="0" xr:uid="{B339F422-86C9-45D6-A187-6A6B390A469E}">
      <text>
        <r>
          <rPr>
            <b/>
            <sz val="9"/>
            <color indexed="81"/>
            <rFont val="Tahoma"/>
            <family val="2"/>
            <charset val="238"/>
          </rPr>
          <t>Zaránd Alina:</t>
        </r>
        <r>
          <rPr>
            <sz val="9"/>
            <color indexed="81"/>
            <rFont val="Tahoma"/>
            <family val="2"/>
            <charset val="238"/>
          </rPr>
          <t xml:space="preserve">
Nem fiz. Táv.: 4 nap</t>
        </r>
      </text>
    </comment>
    <comment ref="K148" authorId="0" shapeId="0" xr:uid="{3DFF83A9-8D79-4DA3-9A1B-681F9E642954}">
      <text>
        <r>
          <rPr>
            <b/>
            <sz val="9"/>
            <color indexed="81"/>
            <rFont val="Tahoma"/>
            <family val="2"/>
            <charset val="238"/>
          </rPr>
          <t>Zaránd Alina:</t>
        </r>
        <r>
          <rPr>
            <sz val="9"/>
            <color indexed="81"/>
            <rFont val="Tahoma"/>
            <family val="2"/>
            <charset val="238"/>
          </rPr>
          <t xml:space="preserve">
Betegség: 2022.08.01-2022.08.03.</t>
        </r>
      </text>
    </comment>
    <comment ref="K151" authorId="0" shapeId="0" xr:uid="{1577377D-C161-4871-812B-6AA9DA066B3E}">
      <text>
        <r>
          <rPr>
            <b/>
            <sz val="9"/>
            <color indexed="81"/>
            <rFont val="Tahoma"/>
            <family val="2"/>
            <charset val="238"/>
          </rPr>
          <t>Zaránd Alina:</t>
        </r>
        <r>
          <rPr>
            <sz val="9"/>
            <color indexed="81"/>
            <rFont val="Tahoma"/>
            <family val="2"/>
            <charset val="238"/>
          </rPr>
          <t xml:space="preserve">
Betegség: 2022.11.10-2022.11.15
2022.11.02-022.11.09</t>
        </r>
      </text>
    </comment>
    <comment ref="K156" authorId="0" shapeId="0" xr:uid="{EE1745D9-A9EC-45F3-ADD8-8C11EA5F555B}">
      <text>
        <r>
          <rPr>
            <b/>
            <sz val="9"/>
            <color indexed="81"/>
            <rFont val="Tahoma"/>
            <family val="2"/>
            <charset val="238"/>
          </rPr>
          <t>Zaránd Alina:</t>
        </r>
        <r>
          <rPr>
            <sz val="9"/>
            <color indexed="81"/>
            <rFont val="Tahoma"/>
            <family val="2"/>
            <charset val="238"/>
          </rPr>
          <t xml:space="preserve">
Betegség</t>
        </r>
      </text>
    </comment>
    <comment ref="K220" authorId="0" shapeId="0" xr:uid="{1ABF26E7-095F-4EBD-8011-D4025EB9764F}">
      <text>
        <r>
          <rPr>
            <b/>
            <sz val="9"/>
            <color indexed="81"/>
            <rFont val="Tahoma"/>
            <family val="2"/>
            <charset val="238"/>
          </rPr>
          <t>Zaránd Alina:</t>
        </r>
        <r>
          <rPr>
            <sz val="9"/>
            <color indexed="81"/>
            <rFont val="Tahoma"/>
            <family val="2"/>
            <charset val="238"/>
          </rPr>
          <t xml:space="preserve">
Betegszabadság: 2023.02.20-2023.02.24
</t>
        </r>
      </text>
    </comment>
    <comment ref="K242" authorId="0" shapeId="0" xr:uid="{9752A61D-BADC-4793-A6B9-C43C58B0152A}">
      <text>
        <r>
          <rPr>
            <b/>
            <sz val="9"/>
            <color indexed="81"/>
            <rFont val="Tahoma"/>
            <family val="2"/>
            <charset val="238"/>
          </rPr>
          <t>Zaránd Alina:</t>
        </r>
        <r>
          <rPr>
            <sz val="9"/>
            <color indexed="81"/>
            <rFont val="Tahoma"/>
            <family val="2"/>
            <charset val="238"/>
          </rPr>
          <t xml:space="preserve">
Betegség: 2022.03.02.-2022.03.07.</t>
        </r>
      </text>
    </comment>
    <comment ref="K244" authorId="0" shapeId="0" xr:uid="{B7F3EA3C-5E0A-4AE4-8DD4-0EBBC40D5AC7}">
      <text>
        <r>
          <rPr>
            <b/>
            <sz val="9"/>
            <color indexed="81"/>
            <rFont val="Tahoma"/>
            <family val="2"/>
            <charset val="238"/>
          </rPr>
          <t>Zaránd Alina:</t>
        </r>
        <r>
          <rPr>
            <sz val="9"/>
            <color indexed="81"/>
            <rFont val="Tahoma"/>
            <family val="2"/>
            <charset val="238"/>
          </rPr>
          <t xml:space="preserve">
Betegszabadság: 2022.05.02.-2022.05.03.</t>
        </r>
      </text>
    </comment>
    <comment ref="K294" authorId="0" shapeId="0" xr:uid="{392DB53D-34ED-427D-8202-B92203CF3642}">
      <text>
        <r>
          <rPr>
            <b/>
            <sz val="9"/>
            <color indexed="81"/>
            <rFont val="Tahoma"/>
            <family val="2"/>
            <charset val="238"/>
          </rPr>
          <t>Zaránd Alina:</t>
        </r>
        <r>
          <rPr>
            <sz val="9"/>
            <color indexed="81"/>
            <rFont val="Tahoma"/>
            <family val="2"/>
            <charset val="238"/>
          </rPr>
          <t xml:space="preserve">
Betegszabadság: 2022.04.19.-2022.04.22.</t>
        </r>
      </text>
    </comment>
    <comment ref="K301" authorId="0" shapeId="0" xr:uid="{4AE8C12D-C9F7-40DA-BDB5-562062690726}">
      <text>
        <r>
          <rPr>
            <b/>
            <sz val="9"/>
            <color indexed="81"/>
            <rFont val="Tahoma"/>
            <family val="2"/>
            <charset val="238"/>
          </rPr>
          <t>Zaránd Alina:</t>
        </r>
        <r>
          <rPr>
            <sz val="9"/>
            <color indexed="81"/>
            <rFont val="Tahoma"/>
            <family val="2"/>
            <charset val="238"/>
          </rPr>
          <t xml:space="preserve">
Nem fizetett egész napos távollét 8 nap</t>
        </r>
      </text>
    </comment>
    <comment ref="K324" authorId="0" shapeId="0" xr:uid="{7A8EADB7-C816-47CE-81B4-0B229A3FD1E9}">
      <text>
        <r>
          <rPr>
            <b/>
            <sz val="9"/>
            <color indexed="81"/>
            <rFont val="Tahoma"/>
            <family val="2"/>
            <charset val="238"/>
          </rPr>
          <t>Zaránd Alina:</t>
        </r>
        <r>
          <rPr>
            <sz val="9"/>
            <color indexed="81"/>
            <rFont val="Tahoma"/>
            <family val="2"/>
            <charset val="238"/>
          </rPr>
          <t xml:space="preserve">
BÉRKORLÁT: 900 000 Ft</t>
        </r>
      </text>
    </comment>
    <comment ref="K396" authorId="0" shapeId="0" xr:uid="{3AC22C67-D675-4D57-B0DD-66D25D2C0A07}">
      <text>
        <r>
          <rPr>
            <b/>
            <sz val="9"/>
            <color indexed="81"/>
            <rFont val="Tahoma"/>
            <family val="2"/>
            <charset val="238"/>
          </rPr>
          <t>Zaránd Alina:</t>
        </r>
        <r>
          <rPr>
            <sz val="9"/>
            <color indexed="81"/>
            <rFont val="Tahoma"/>
            <family val="2"/>
            <charset val="238"/>
          </rPr>
          <t xml:space="preserve">
Nem fiz. Táv. 3 nap</t>
        </r>
      </text>
    </comment>
    <comment ref="K397" authorId="0" shapeId="0" xr:uid="{22A6A054-C938-4559-9D63-203B407A6BE4}">
      <text>
        <r>
          <rPr>
            <b/>
            <sz val="9"/>
            <color indexed="81"/>
            <rFont val="Tahoma"/>
            <family val="2"/>
            <charset val="238"/>
          </rPr>
          <t>Zaránd Alina:</t>
        </r>
        <r>
          <rPr>
            <sz val="9"/>
            <color indexed="81"/>
            <rFont val="Tahoma"/>
            <family val="2"/>
            <charset val="238"/>
          </rPr>
          <t xml:space="preserve">
Betegség: 2022.09.01-2022.09.25.
Nem fiz. Távlét.: 2022.09.26-2022.09.30.</t>
        </r>
      </text>
    </comment>
  </commentList>
</comments>
</file>

<file path=xl/sharedStrings.xml><?xml version="1.0" encoding="utf-8"?>
<sst xmlns="http://schemas.openxmlformats.org/spreadsheetml/2006/main" count="3930" uniqueCount="300">
  <si>
    <t>Fennmaradó 
egyenleg</t>
  </si>
  <si>
    <t>résztvevő</t>
  </si>
  <si>
    <t>bér arány</t>
  </si>
  <si>
    <t>ÖSSZESEN</t>
  </si>
  <si>
    <t>időszak</t>
  </si>
  <si>
    <t>Összeg</t>
  </si>
  <si>
    <t>Szállító</t>
  </si>
  <si>
    <t>Megnevezés</t>
  </si>
  <si>
    <t>Témaszám</t>
  </si>
  <si>
    <t>Költség típus</t>
  </si>
  <si>
    <t xml:space="preserve">Szakmai megvalósításban </t>
  </si>
  <si>
    <t>Tény</t>
  </si>
  <si>
    <t>Köt. váll.</t>
  </si>
  <si>
    <t xml:space="preserve">Köt. váll. </t>
  </si>
  <si>
    <t>Köt. vállal terhelt egyenleg</t>
  </si>
  <si>
    <t>Megjegyzés</t>
  </si>
  <si>
    <t>Tény/Köt. váll.</t>
  </si>
  <si>
    <t>Kifizetési kérelem</t>
  </si>
  <si>
    <t>Felhasználás</t>
  </si>
  <si>
    <t>Pénzügyi</t>
  </si>
  <si>
    <t>SZ</t>
  </si>
  <si>
    <t>PM</t>
  </si>
  <si>
    <t>Bér</t>
  </si>
  <si>
    <t>Megbízási</t>
  </si>
  <si>
    <t>Többlet</t>
  </si>
  <si>
    <t>költségsor</t>
  </si>
  <si>
    <t>Bérköltség összesen</t>
  </si>
  <si>
    <t>Járulék összesen</t>
  </si>
  <si>
    <t>Sorszám/SAP</t>
  </si>
  <si>
    <t>Munkaköri</t>
  </si>
  <si>
    <t>2020.01</t>
  </si>
  <si>
    <t>2020.02</t>
  </si>
  <si>
    <t>2020.03</t>
  </si>
  <si>
    <t>2020.04</t>
  </si>
  <si>
    <t>2020.05</t>
  </si>
  <si>
    <t>2020.06</t>
  </si>
  <si>
    <t>Mindösszesen</t>
  </si>
  <si>
    <t xml:space="preserve">Bér </t>
  </si>
  <si>
    <t>megbízás</t>
  </si>
  <si>
    <t>többlet</t>
  </si>
  <si>
    <t>bruttó bér</t>
  </si>
  <si>
    <t xml:space="preserve"> (komp. nélkül)</t>
  </si>
  <si>
    <t xml:space="preserve">munkában  </t>
  </si>
  <si>
    <t>töltött</t>
  </si>
  <si>
    <t>óra</t>
  </si>
  <si>
    <t>elszámolt</t>
  </si>
  <si>
    <t>járulék</t>
  </si>
  <si>
    <t>projekten</t>
  </si>
  <si>
    <t>NR</t>
  </si>
  <si>
    <t>dátuma</t>
  </si>
  <si>
    <t>közreműködő munkatársak (Név)</t>
  </si>
  <si>
    <t>(Hónap)</t>
  </si>
  <si>
    <t>központ (terhelés)</t>
  </si>
  <si>
    <t>központ (számfejtés)</t>
  </si>
  <si>
    <t>okmány</t>
  </si>
  <si>
    <t>MEGBÍZÁSOK</t>
  </si>
  <si>
    <t>Megrendelés/ szerződés száma</t>
  </si>
  <si>
    <t>SZERVEZETI EGYSÉGEK SZERINT</t>
  </si>
  <si>
    <t>2020.07</t>
  </si>
  <si>
    <t>2020.08</t>
  </si>
  <si>
    <t>2020.09</t>
  </si>
  <si>
    <t>2020.10</t>
  </si>
  <si>
    <t>2020.11</t>
  </si>
  <si>
    <t>leírás</t>
  </si>
  <si>
    <t>nyilvántartás</t>
  </si>
  <si>
    <t>mértéke</t>
  </si>
  <si>
    <t>Munkaidő</t>
  </si>
  <si>
    <t>bruttó járuléka</t>
  </si>
  <si>
    <t>C017200106</t>
  </si>
  <si>
    <t>E017200105</t>
  </si>
  <si>
    <t>M217200107</t>
  </si>
  <si>
    <t>2020.12</t>
  </si>
  <si>
    <t>2021.01</t>
  </si>
  <si>
    <t>2021.02</t>
  </si>
  <si>
    <t>2021.03</t>
  </si>
  <si>
    <t>2021.04</t>
  </si>
  <si>
    <t>2021.05</t>
  </si>
  <si>
    <t>2021.06</t>
  </si>
  <si>
    <t>2021.07</t>
  </si>
  <si>
    <t>2021.08</t>
  </si>
  <si>
    <t>2021.09</t>
  </si>
  <si>
    <t>2021.10</t>
  </si>
  <si>
    <t>2021.11</t>
  </si>
  <si>
    <t>2021.12</t>
  </si>
  <si>
    <t>2022.01</t>
  </si>
  <si>
    <t>2022.02</t>
  </si>
  <si>
    <t>2022.03</t>
  </si>
  <si>
    <t>2022.04</t>
  </si>
  <si>
    <t>2022.05</t>
  </si>
  <si>
    <t>2022.06</t>
  </si>
  <si>
    <t>2022.07</t>
  </si>
  <si>
    <t>2022.08</t>
  </si>
  <si>
    <t>2022.09</t>
  </si>
  <si>
    <t>2022.10</t>
  </si>
  <si>
    <t>2022.11</t>
  </si>
  <si>
    <t>2022.12</t>
  </si>
  <si>
    <t>Kifizetés hónapja</t>
  </si>
  <si>
    <t>Tevékenység neve</t>
  </si>
  <si>
    <t>Keret</t>
  </si>
  <si>
    <t>óra arány</t>
  </si>
  <si>
    <t>különbsége</t>
  </si>
  <si>
    <t>Alap dokumentum</t>
  </si>
  <si>
    <t>neve</t>
  </si>
  <si>
    <t>Tevékenység - Költségelem</t>
  </si>
  <si>
    <t>Fejlesztő - Alkalmazott kutatás</t>
  </si>
  <si>
    <t>Technikus - Alkalmazott kutatás</t>
  </si>
  <si>
    <t>Fejlesztő - Kísérleti fejlesztés</t>
  </si>
  <si>
    <t>Technikus - Kísérleti fejlesztés</t>
  </si>
  <si>
    <t>Projektmenedzsment - Koordináció</t>
  </si>
  <si>
    <t>KÖLTSÉGEK</t>
  </si>
  <si>
    <t>Szervezeti egység</t>
  </si>
  <si>
    <t>Szoc. Ho.</t>
  </si>
  <si>
    <t>adó</t>
  </si>
  <si>
    <t>Leosztás: lásd megjegyzés</t>
  </si>
  <si>
    <t>Igénybevett szolgáltatások</t>
  </si>
  <si>
    <t>Számla kelte</t>
  </si>
  <si>
    <t>Számla teljesítés</t>
  </si>
  <si>
    <t>2023.01</t>
  </si>
  <si>
    <t>2023.02</t>
  </si>
  <si>
    <t>2023.03</t>
  </si>
  <si>
    <t>2023.04</t>
  </si>
  <si>
    <t>2023.05</t>
  </si>
  <si>
    <t>2023.06</t>
  </si>
  <si>
    <t>2023.07</t>
  </si>
  <si>
    <t>2023.08</t>
  </si>
  <si>
    <t>13. Műszaki berendezések, gépek, járművek</t>
  </si>
  <si>
    <t>54. Bérköltség - Kutató-fejlesztő munkatárs</t>
  </si>
  <si>
    <t>54. Bérköltség - technikus segédszemélyzet</t>
  </si>
  <si>
    <t>56. Bérjárulék - Kutató-fejlesztő munkatárs</t>
  </si>
  <si>
    <t>56. Bérjárulék - technikus segédszemélyzet</t>
  </si>
  <si>
    <t>Egyéb paraméter</t>
  </si>
  <si>
    <t>Támogatást igénylő</t>
  </si>
  <si>
    <t>Költség kategória</t>
  </si>
  <si>
    <t>Költség elem</t>
  </si>
  <si>
    <t>Finanszírozási mód</t>
  </si>
  <si>
    <t>Állami támogatás kategória</t>
  </si>
  <si>
    <t>Beszerzés jellege</t>
  </si>
  <si>
    <t>Elszámolási mód</t>
  </si>
  <si>
    <t>Mérföldkő hozzárendelése</t>
  </si>
  <si>
    <t>Nettó egységár</t>
  </si>
  <si>
    <t>Nettó egységárra jutó ÁFA</t>
  </si>
  <si>
    <t>Bruttó egységár</t>
  </si>
  <si>
    <t>Mennyiség</t>
  </si>
  <si>
    <t>Nettó érték</t>
  </si>
  <si>
    <t>ÁFA érték</t>
  </si>
  <si>
    <t>Teljes költség</t>
  </si>
  <si>
    <t>Elszámolható költség</t>
  </si>
  <si>
    <t>Nem elszámolható költség</t>
  </si>
  <si>
    <t>Támogatási százalék</t>
  </si>
  <si>
    <t>Támogatási összeg</t>
  </si>
  <si>
    <t>Összes kifizethető költség (Ft) - Utófinanszírozott</t>
  </si>
  <si>
    <t>Összes kifizethető költség (Ft) - Szállítói finanszírozású</t>
  </si>
  <si>
    <t>Részletezés</t>
  </si>
  <si>
    <t>Megvalósítási helyszín</t>
  </si>
  <si>
    <t>Átjárhatóság</t>
  </si>
  <si>
    <t>Szakágazat</t>
  </si>
  <si>
    <t>PANNON EGYETEM</t>
  </si>
  <si>
    <t>Kísérleti fejlesztés – Felhalmozási költség</t>
  </si>
  <si>
    <t xml:space="preserve">Számítástechnikai eszközök </t>
  </si>
  <si>
    <t>Utófinanszírozás</t>
  </si>
  <si>
    <t>Nem állami támogatás</t>
  </si>
  <si>
    <t>Beszerzés</t>
  </si>
  <si>
    <t>Valós költség</t>
  </si>
  <si>
    <t xml:space="preserve">Az adatelemzés elvégzéséhez szükséges számítógépes infrastruktúra: 4 db laptop és 2 db asztali számítógép beszerzése. A beszerzést a projekt első mérföldkövéig tervezzük azaz 2022.06.30.   
4 db notebook:  HP EliteBook 800 G6,  1x USB 3.1 Type-C™ (tápellátás, DisplayPort™), 2x USB 3.0, 1 USB 2.0 (saját tápellátású csatlakozó), 1 HDMI 1.4b, 1 RJ-45, 1 kombinált fejhallgató-/mikrofoncsatlakozó: 4* 869 930 Ft =   3 479 720 Ft       
2 db asztali számítógép:     Dell OptiPlex 3070 SFF, mikrofonosfejhallgató-csatlakozó, 4x USB 2.0 ports, 4x USB 3.1, HDMI 1.4, DisplayPort 1.2, 1 Gigabit ethernet: 442 891 Ft * 2 = 885 782 Ft 
2 db monitor:   Dell 22 Monitor E2216H - 54.6cm(21.5&amp;quot;)	2* 48 300 Ft= 96 600 Ft 
                                                                                                    </t>
  </si>
  <si>
    <t>Kísérleti fejlesztés – Működési költség</t>
  </si>
  <si>
    <t>54. Bérköltség</t>
  </si>
  <si>
    <t xml:space="preserve">Kutató munkatárs bérköltsége </t>
  </si>
  <si>
    <t>Saját teljesítés</t>
  </si>
  <si>
    <t>A Pannon Egyetem részéről kísérleti fejlesztésben összesen 6 fő kutató vesz részt 2,5 FTE értékkel. Feladatuk a magyarországi (elsősorban Duna-menti) hőforrások feltérképezése és hasznosíthatóságuk vizsgálata.</t>
  </si>
  <si>
    <t xml:space="preserve">Technikus kollégák bérköltsége </t>
  </si>
  <si>
    <t>A Pannon Egyetem részéről a alkalmazott kutatásban 2 fő K+F segédszemélyzet vesz részt összesen 0,3 FTE értékkel. Feladatuk a hőtároló anyagok kutatásához a megfelelő beállítások és mérések elvégzése.</t>
  </si>
  <si>
    <t>56. Bérjárulék</t>
  </si>
  <si>
    <t xml:space="preserve">Kutató munkatárs bérjáruléka </t>
  </si>
  <si>
    <t xml:space="preserve">A Pannon Egyetem részéről kísérleti fejlesztésben összesen 6 fő kutató vesz részt 2,5 FTE értékkel. Feladatuk a magyarországi (elsősorban Duna-menti) hőforrások feltérképezése és hasznosíthatóságuk vizsgálatát végző kollégák járulékköltsége. </t>
  </si>
  <si>
    <t xml:space="preserve">Technikus kollégák járulékköltsége </t>
  </si>
  <si>
    <t xml:space="preserve">A Pannon Egyetem részéről a alkalmazott kutatásban 2 fő K+F segédszemélyzet vesz részt összesen 0,3 FTE értékkel. Feladatuk a hőtároló anyagok kutatásához a megfelelő beállítások és mérések elvégzését végző kollégák járulékköltsége. </t>
  </si>
  <si>
    <t>Pannon Egyetem Nagykanizsa Körforgásos Gazdaság Egyetemi Központ</t>
  </si>
  <si>
    <t>K037200189</t>
  </si>
  <si>
    <t>Patkósné Böle Renáta</t>
  </si>
  <si>
    <t>Segédszemélyzet</t>
  </si>
  <si>
    <t>Elszámolás sorszáma</t>
  </si>
  <si>
    <t>Szalai Gréta</t>
  </si>
  <si>
    <t>Zsiborácsné Szabó Szimonetta Éva</t>
  </si>
  <si>
    <t>Kutató-Fejlesztő</t>
  </si>
  <si>
    <t>Németh Kornél</t>
  </si>
  <si>
    <t>Pintér Gábor</t>
  </si>
  <si>
    <t>Vincze András</t>
  </si>
  <si>
    <t>Zsiborács Henrik</t>
  </si>
  <si>
    <t>Hegedűsné Baranyai Nóra</t>
  </si>
  <si>
    <t>Kis-Simon Tünde</t>
  </si>
  <si>
    <t>Kondor Dóra</t>
  </si>
  <si>
    <t>Zadravecz Renáta</t>
  </si>
  <si>
    <t xml:space="preserve">Csányi Szilvia </t>
  </si>
  <si>
    <t>Dobozi Eszter</t>
  </si>
  <si>
    <t>Fehér Balázs</t>
  </si>
  <si>
    <t>Lukács Éva</t>
  </si>
  <si>
    <t>Péter Erzsébet</t>
  </si>
  <si>
    <t>Orlainé Tauer Andrea</t>
  </si>
  <si>
    <t>Mészáros Zsolt</t>
  </si>
  <si>
    <t>Kaszás Nikoletta</t>
  </si>
  <si>
    <t>Hajba-Horváth Eszter</t>
  </si>
  <si>
    <t>Sárainé Rauch Renáta</t>
  </si>
  <si>
    <t>Páhi László</t>
  </si>
  <si>
    <t>K031110000</t>
  </si>
  <si>
    <t>K031100000</t>
  </si>
  <si>
    <t>K011110000</t>
  </si>
  <si>
    <t>K041100000</t>
  </si>
  <si>
    <t>2021-2.1.2-HŐ-2021-00004
Kutató-fejlesztő munkatárs
esetében 1 700 000 Ft
Technikus-segédszemélyzet 900 000 Ft
Projektmenedzser 1 000 000 Ft</t>
  </si>
  <si>
    <t>Kutató-fejlesztő 1 700 000 Ft
Technikus-segédszemélyzet 900 000 Ft
Projekmenedzser 1 000 000 Ft</t>
  </si>
  <si>
    <t>K041110000</t>
  </si>
  <si>
    <t>Záró elszámolás benyújtásának határideje: 2025.03.01</t>
  </si>
  <si>
    <t>C201110000</t>
  </si>
  <si>
    <t>N011120000</t>
  </si>
  <si>
    <t>C201100000</t>
  </si>
  <si>
    <t>Torma Roland</t>
  </si>
  <si>
    <t>Molnár Miklós</t>
  </si>
  <si>
    <t>Bokrossy-Csiba Mária</t>
  </si>
  <si>
    <t>Első mérföldkő: 2022.06.30</t>
  </si>
  <si>
    <t>Harmadik mérföldkő: 2023.06.30</t>
  </si>
  <si>
    <t>Negyedik mérföldkő: 2023.12.31</t>
  </si>
  <si>
    <t>Ötödik mérföldkő: 2024.06.30</t>
  </si>
  <si>
    <t>Elszámolás</t>
  </si>
  <si>
    <t>Záró mérföldkő: 2024.12.31</t>
  </si>
  <si>
    <t>Bertók Martin</t>
  </si>
  <si>
    <t>Jakab Miklós</t>
  </si>
  <si>
    <t>2023.09</t>
  </si>
  <si>
    <t>2023.10</t>
  </si>
  <si>
    <t>2023.11</t>
  </si>
  <si>
    <t>2023.12</t>
  </si>
  <si>
    <t>2024.01</t>
  </si>
  <si>
    <t>2024.02</t>
  </si>
  <si>
    <t>2024.03</t>
  </si>
  <si>
    <t>2024.04</t>
  </si>
  <si>
    <t>2024.05</t>
  </si>
  <si>
    <t>2024.06</t>
  </si>
  <si>
    <t>2024.07</t>
  </si>
  <si>
    <t>2024.08</t>
  </si>
  <si>
    <t>2024.09</t>
  </si>
  <si>
    <t>2024.10</t>
  </si>
  <si>
    <t>2024.11</t>
  </si>
  <si>
    <t>2024.12</t>
  </si>
  <si>
    <t>Dell Latitude, Dell Optoplex, SzgRH22_MON2_DE Dell monitor</t>
  </si>
  <si>
    <t>Areus Zrt.</t>
  </si>
  <si>
    <t>KKB/SZGRH/2022/55.K03
20220919257</t>
  </si>
  <si>
    <t>K011100000</t>
  </si>
  <si>
    <t>C231100000</t>
  </si>
  <si>
    <t>5100010327/2022</t>
  </si>
  <si>
    <t>0643/2022</t>
  </si>
  <si>
    <t>Megszűnt a munkaviszony 2022.10.14.</t>
  </si>
  <si>
    <t>Adószám</t>
  </si>
  <si>
    <t>Járulék</t>
  </si>
  <si>
    <t>eltérés</t>
  </si>
  <si>
    <t>Név</t>
  </si>
  <si>
    <t>Adóazonosító</t>
  </si>
  <si>
    <t>Számfejtés</t>
  </si>
  <si>
    <t>8421732463</t>
  </si>
  <si>
    <t>8372793190</t>
  </si>
  <si>
    <t>8444651087</t>
  </si>
  <si>
    <t>8405671307</t>
  </si>
  <si>
    <t>8415163150</t>
  </si>
  <si>
    <t>8410460823</t>
  </si>
  <si>
    <t>8438731872</t>
  </si>
  <si>
    <t>8399050482</t>
  </si>
  <si>
    <t>8381490405</t>
  </si>
  <si>
    <t>8370633390</t>
  </si>
  <si>
    <t>8338131113</t>
  </si>
  <si>
    <t>8396223912</t>
  </si>
  <si>
    <t>8397324542</t>
  </si>
  <si>
    <t>8409494051</t>
  </si>
  <si>
    <t>8419653322</t>
  </si>
  <si>
    <t>8462721202</t>
  </si>
  <si>
    <t>8426043291</t>
  </si>
  <si>
    <t>Dobozi Eszter Judit</t>
  </si>
  <si>
    <t>8399572616</t>
  </si>
  <si>
    <t>8448150856</t>
  </si>
  <si>
    <t>8354163245</t>
  </si>
  <si>
    <t>8396372314</t>
  </si>
  <si>
    <t>x</t>
  </si>
  <si>
    <t xml:space="preserve"> </t>
  </si>
  <si>
    <t>Előleg beérkezése:</t>
  </si>
  <si>
    <t>2022.12.20-tól</t>
  </si>
  <si>
    <t>2022.12.19-ig</t>
  </si>
  <si>
    <t>Második mérföldkő: 2022.12.19</t>
  </si>
  <si>
    <t>K013000022</t>
  </si>
  <si>
    <t>Hegedűsné Dr. Baranyai Nóra</t>
  </si>
  <si>
    <t>Dr. Németh Kornél</t>
  </si>
  <si>
    <t>Dr. Péter Erzsébet</t>
  </si>
  <si>
    <t>Dr. Pintér Gábor</t>
  </si>
  <si>
    <t>Dr. Kaszás Nikoletta</t>
  </si>
  <si>
    <t>Dr. Vincze András</t>
  </si>
  <si>
    <t>Sárainé Dr. Rauch Renáta</t>
  </si>
  <si>
    <t>Dr. Zsiborács Henrik</t>
  </si>
  <si>
    <t>Dr. Hajba-Horváth Eszter</t>
  </si>
  <si>
    <t>Dr. Fehér Balázs</t>
  </si>
  <si>
    <t>Kihagyás</t>
  </si>
  <si>
    <t xml:space="preserve">Számfejtés   </t>
  </si>
  <si>
    <t xml:space="preserve">   Hónap</t>
  </si>
  <si>
    <t>bér</t>
  </si>
  <si>
    <t>név</t>
  </si>
  <si>
    <t>terhelés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</si>
</sst>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-* #,##0.00\ &quot;Ft&quot;_-;\-* #,##0.00\ &quot;Ft&quot;_-;_-* &quot;-&quot;??\ &quot;Ft&quot;_-;_-@_-"/>
    <numFmt numFmtId="164" formatCode="_-* #,##0.00\ _F_t_-;\-* #,##0.00\ _F_t_-;_-* &quot;-&quot;??\ _F_t_-;_-@_-"/>
    <numFmt numFmtId="165" formatCode="_-* #,##0\ _F_t_-;\-* #,##0\ _F_t_-;_-* &quot;-&quot;??\ _F_t_-;_-@_-"/>
    <numFmt numFmtId="166" formatCode="#,##0\ &quot;Ft&quot;"/>
    <numFmt numFmtId="167" formatCode="#,##0_ ;[Red]\-#,##0\ "/>
    <numFmt numFmtId="168" formatCode="0.0%"/>
    <numFmt numFmtId="169" formatCode="_-* #,##0_-;\-* #,##0_-;_-* &quot;-&quot;??_-;_-@_-"/>
  </numFmts>
  <fonts count="54" x14ac:knownFonts="1">
    <font>
      <sz val="11"/>
      <color theme="1"/>
      <name val="Calibri"/>
      <family val="2"/>
      <charset val="238"/>
      <scheme val="minor"/>
    </font>
    <font>
      <sz val="11"/>
      <color indexed="8"/>
      <name val="Calibri"/>
      <family val="2"/>
      <charset val="238"/>
    </font>
    <font>
      <b/>
      <sz val="10"/>
      <name val="Times New Roman"/>
      <family val="1"/>
      <charset val="238"/>
    </font>
    <font>
      <sz val="10"/>
      <name val="Times New Roman"/>
      <family val="1"/>
      <charset val="238"/>
    </font>
    <font>
      <b/>
      <sz val="11"/>
      <color indexed="8"/>
      <name val="Calibri"/>
      <family val="2"/>
      <charset val="238"/>
    </font>
    <font>
      <sz val="10"/>
      <color indexed="8"/>
      <name val="Times New Roman"/>
      <family val="1"/>
      <charset val="238"/>
    </font>
    <font>
      <sz val="8"/>
      <name val="Calibri"/>
      <family val="2"/>
      <charset val="238"/>
    </font>
    <font>
      <sz val="11"/>
      <color indexed="8"/>
      <name val="Calibri"/>
      <family val="2"/>
      <charset val="238"/>
    </font>
    <font>
      <sz val="11"/>
      <name val="Calibri"/>
      <family val="2"/>
      <charset val="238"/>
    </font>
    <font>
      <b/>
      <sz val="14"/>
      <name val="Times New Roman"/>
      <family val="1"/>
      <charset val="238"/>
    </font>
    <font>
      <b/>
      <sz val="11"/>
      <name val="Times New Roman"/>
      <family val="1"/>
      <charset val="238"/>
    </font>
    <font>
      <sz val="11"/>
      <color theme="1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0"/>
      <name val="Arial"/>
      <family val="2"/>
      <charset val="238"/>
    </font>
    <font>
      <sz val="10"/>
      <name val="Arial"/>
      <family val="2"/>
      <charset val="238"/>
    </font>
    <font>
      <sz val="11"/>
      <color indexed="9"/>
      <name val="Calibri"/>
      <family val="2"/>
      <charset val="238"/>
    </font>
    <font>
      <sz val="11"/>
      <color indexed="62"/>
      <name val="Calibri"/>
      <family val="2"/>
      <charset val="238"/>
    </font>
    <font>
      <b/>
      <sz val="18"/>
      <color indexed="56"/>
      <name val="Cambria"/>
      <family val="2"/>
      <charset val="238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b/>
      <sz val="11"/>
      <color indexed="9"/>
      <name val="Calibri"/>
      <family val="2"/>
      <charset val="238"/>
    </font>
    <font>
      <sz val="11"/>
      <color indexed="10"/>
      <name val="Calibri"/>
      <family val="2"/>
      <charset val="238"/>
    </font>
    <font>
      <sz val="11"/>
      <color indexed="52"/>
      <name val="Calibri"/>
      <family val="2"/>
      <charset val="238"/>
    </font>
    <font>
      <sz val="11"/>
      <color indexed="17"/>
      <name val="Calibri"/>
      <family val="2"/>
      <charset val="238"/>
    </font>
    <font>
      <b/>
      <sz val="11"/>
      <color indexed="63"/>
      <name val="Calibri"/>
      <family val="2"/>
      <charset val="238"/>
    </font>
    <font>
      <i/>
      <sz val="11"/>
      <color indexed="23"/>
      <name val="Calibri"/>
      <family val="2"/>
      <charset val="238"/>
    </font>
    <font>
      <sz val="11"/>
      <color indexed="20"/>
      <name val="Calibri"/>
      <family val="2"/>
      <charset val="238"/>
    </font>
    <font>
      <sz val="11"/>
      <color indexed="60"/>
      <name val="Calibri"/>
      <family val="2"/>
      <charset val="238"/>
    </font>
    <font>
      <b/>
      <sz val="11"/>
      <color indexed="52"/>
      <name val="Calibri"/>
      <family val="2"/>
      <charset val="238"/>
    </font>
    <font>
      <sz val="11"/>
      <color rgb="FF000000"/>
      <name val="Calibri"/>
      <family val="2"/>
      <charset val="238"/>
    </font>
    <font>
      <u/>
      <sz val="10"/>
      <color theme="10"/>
      <name val="Arial"/>
      <family val="2"/>
      <charset val="238"/>
    </font>
    <font>
      <u/>
      <sz val="10"/>
      <color theme="11"/>
      <name val="Arial"/>
      <family val="2"/>
      <charset val="238"/>
    </font>
    <font>
      <sz val="12"/>
      <color theme="0"/>
      <name val="Calibri"/>
      <family val="2"/>
      <scheme val="minor"/>
    </font>
    <font>
      <b/>
      <sz val="11"/>
      <name val="Calibri"/>
      <family val="2"/>
      <charset val="238"/>
    </font>
    <font>
      <b/>
      <sz val="11"/>
      <color theme="1"/>
      <name val="Calibri"/>
      <family val="2"/>
      <charset val="238"/>
      <scheme val="minor"/>
    </font>
    <font>
      <b/>
      <u/>
      <sz val="11"/>
      <color theme="1"/>
      <name val="Calibri"/>
      <family val="2"/>
      <charset val="238"/>
      <scheme val="minor"/>
    </font>
    <font>
      <sz val="10"/>
      <name val="Times New Roman"/>
      <family val="1"/>
      <charset val="238"/>
    </font>
    <font>
      <sz val="11"/>
      <name val="Times New Roman"/>
      <family val="1"/>
      <charset val="238"/>
    </font>
    <font>
      <sz val="11"/>
      <color rgb="FF000000"/>
      <name val="Calibri"/>
      <family val="2"/>
      <charset val="238"/>
    </font>
    <font>
      <sz val="9"/>
      <color theme="1"/>
      <name val="Calibri"/>
      <family val="2"/>
      <charset val="238"/>
      <scheme val="minor"/>
    </font>
    <font>
      <sz val="14"/>
      <name val="Times New Roman"/>
      <family val="1"/>
      <charset val="238"/>
    </font>
    <font>
      <b/>
      <sz val="9"/>
      <color rgb="FFFF0000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sz val="10"/>
      <color rgb="FFFF0000"/>
      <name val="Times New Roman"/>
      <family val="1"/>
      <charset val="238"/>
    </font>
    <font>
      <b/>
      <sz val="11"/>
      <color rgb="FFFF0000"/>
      <name val="Calibri"/>
      <family val="2"/>
      <charset val="238"/>
      <scheme val="minor"/>
    </font>
    <font>
      <b/>
      <sz val="11"/>
      <color rgb="FF000000"/>
      <name val="Calibri"/>
      <family val="2"/>
      <charset val="238"/>
    </font>
    <font>
      <sz val="9"/>
      <color indexed="81"/>
      <name val="Tahoma"/>
      <family val="2"/>
      <charset val="238"/>
    </font>
    <font>
      <b/>
      <sz val="9"/>
      <color indexed="81"/>
      <name val="Tahoma"/>
      <family val="2"/>
      <charset val="238"/>
    </font>
    <font>
      <sz val="8"/>
      <name val="Calibri"/>
      <family val="2"/>
      <charset val="238"/>
      <scheme val="minor"/>
    </font>
    <font>
      <sz val="11"/>
      <color rgb="FFFF0000"/>
      <name val="Times New Roman"/>
      <family val="1"/>
      <charset val="238"/>
    </font>
    <font>
      <b/>
      <sz val="10"/>
      <color rgb="FF000000"/>
      <name val="Calibri"/>
      <family val="2"/>
      <charset val="238"/>
    </font>
    <font>
      <b/>
      <sz val="11"/>
      <color theme="1"/>
      <name val="Calibri"/>
      <family val="2"/>
      <scheme val="minor"/>
    </font>
  </fonts>
  <fills count="45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  <fill>
      <patternFill patternType="solid">
        <fgColor theme="5"/>
      </patternFill>
    </fill>
    <fill>
      <patternFill patternType="solid">
        <fgColor theme="7" tint="0.59999389629810485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A1C8FB"/>
        <bgColor rgb="FF000000"/>
      </patternFill>
    </fill>
    <fill>
      <patternFill patternType="solid">
        <fgColor rgb="FFE6EDF7"/>
        <bgColor rgb="FF000000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59999389629810485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Up="1">
      <left style="thin">
        <color indexed="64"/>
      </left>
      <right/>
      <top/>
      <bottom style="thin">
        <color indexed="64"/>
      </bottom>
      <diagonal style="thin">
        <color indexed="64"/>
      </diagonal>
    </border>
    <border diagonalUp="1">
      <left/>
      <right/>
      <top/>
      <bottom style="thin">
        <color indexed="64"/>
      </bottom>
      <diagonal style="thin">
        <color indexed="64"/>
      </diagonal>
    </border>
    <border diagonalUp="1">
      <left/>
      <right style="thin">
        <color indexed="64"/>
      </right>
      <top/>
      <bottom style="thin">
        <color indexed="64"/>
      </bottom>
      <diagonal style="thin">
        <color indexed="64"/>
      </diagonal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</borders>
  <cellStyleXfs count="146">
    <xf numFmtId="0" fontId="0" fillId="0" borderId="0"/>
    <xf numFmtId="0" fontId="12" fillId="3" borderId="13" applyNumberFormat="0" applyAlignment="0" applyProtection="0"/>
    <xf numFmtId="164" fontId="7" fillId="0" borderId="0" applyFont="0" applyFill="0" applyBorder="0" applyAlignment="0" applyProtection="0"/>
    <xf numFmtId="0" fontId="14" fillId="0" borderId="0"/>
    <xf numFmtId="0" fontId="15" fillId="0" borderId="0"/>
    <xf numFmtId="44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5" fillId="0" borderId="0"/>
    <xf numFmtId="0" fontId="15" fillId="0" borderId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6" fillId="17" borderId="0" applyNumberFormat="0" applyBorder="0" applyAlignment="0" applyProtection="0"/>
    <xf numFmtId="0" fontId="16" fillId="14" borderId="0" applyNumberFormat="0" applyBorder="0" applyAlignment="0" applyProtection="0"/>
    <xf numFmtId="0" fontId="16" fillId="15" borderId="0" applyNumberFormat="0" applyBorder="0" applyAlignment="0" applyProtection="0"/>
    <xf numFmtId="0" fontId="16" fillId="18" borderId="0" applyNumberFormat="0" applyBorder="0" applyAlignment="0" applyProtection="0"/>
    <xf numFmtId="0" fontId="16" fillId="19" borderId="0" applyNumberFormat="0" applyBorder="0" applyAlignment="0" applyProtection="0"/>
    <xf numFmtId="0" fontId="16" fillId="20" borderId="0" applyNumberFormat="0" applyBorder="0" applyAlignment="0" applyProtection="0"/>
    <xf numFmtId="0" fontId="17" fillId="12" borderId="14" applyNumberFormat="0" applyAlignment="0" applyProtection="0"/>
    <xf numFmtId="0" fontId="18" fillId="0" borderId="0" applyNumberFormat="0" applyFill="0" applyBorder="0" applyAlignment="0" applyProtection="0"/>
    <xf numFmtId="0" fontId="19" fillId="0" borderId="15" applyNumberFormat="0" applyFill="0" applyAlignment="0" applyProtection="0"/>
    <xf numFmtId="0" fontId="20" fillId="0" borderId="16" applyNumberFormat="0" applyFill="0" applyAlignment="0" applyProtection="0"/>
    <xf numFmtId="0" fontId="21" fillId="0" borderId="17" applyNumberFormat="0" applyFill="0" applyAlignment="0" applyProtection="0"/>
    <xf numFmtId="0" fontId="21" fillId="0" borderId="0" applyNumberFormat="0" applyFill="0" applyBorder="0" applyAlignment="0" applyProtection="0"/>
    <xf numFmtId="0" fontId="22" fillId="21" borderId="18" applyNumberFormat="0" applyAlignment="0" applyProtection="0"/>
    <xf numFmtId="0" fontId="23" fillId="0" borderId="0" applyNumberFormat="0" applyFill="0" applyBorder="0" applyAlignment="0" applyProtection="0"/>
    <xf numFmtId="0" fontId="24" fillId="0" borderId="19" applyNumberFormat="0" applyFill="0" applyAlignment="0" applyProtection="0"/>
    <xf numFmtId="0" fontId="1" fillId="22" borderId="20" applyNumberFormat="0" applyFont="0" applyAlignment="0" applyProtection="0"/>
    <xf numFmtId="0" fontId="16" fillId="23" borderId="0" applyNumberFormat="0" applyBorder="0" applyAlignment="0" applyProtection="0"/>
    <xf numFmtId="0" fontId="16" fillId="24" borderId="0" applyNumberFormat="0" applyBorder="0" applyAlignment="0" applyProtection="0"/>
    <xf numFmtId="0" fontId="16" fillId="25" borderId="0" applyNumberFormat="0" applyBorder="0" applyAlignment="0" applyProtection="0"/>
    <xf numFmtId="0" fontId="16" fillId="18" borderId="0" applyNumberFormat="0" applyBorder="0" applyAlignment="0" applyProtection="0"/>
    <xf numFmtId="0" fontId="16" fillId="19" borderId="0" applyNumberFormat="0" applyBorder="0" applyAlignment="0" applyProtection="0"/>
    <xf numFmtId="0" fontId="16" fillId="26" borderId="0" applyNumberFormat="0" applyBorder="0" applyAlignment="0" applyProtection="0"/>
    <xf numFmtId="0" fontId="25" fillId="9" borderId="0" applyNumberFormat="0" applyBorder="0" applyAlignment="0" applyProtection="0"/>
    <xf numFmtId="0" fontId="26" fillId="27" borderId="21" applyNumberFormat="0" applyAlignment="0" applyProtection="0"/>
    <xf numFmtId="0" fontId="27" fillId="0" borderId="0" applyNumberFormat="0" applyFill="0" applyBorder="0" applyAlignment="0" applyProtection="0"/>
    <xf numFmtId="0" fontId="4" fillId="0" borderId="22" applyNumberFormat="0" applyFill="0" applyAlignment="0" applyProtection="0"/>
    <xf numFmtId="0" fontId="28" fillId="8" borderId="0" applyNumberFormat="0" applyBorder="0" applyAlignment="0" applyProtection="0"/>
    <xf numFmtId="0" fontId="29" fillId="28" borderId="0" applyNumberFormat="0" applyBorder="0" applyAlignment="0" applyProtection="0"/>
    <xf numFmtId="0" fontId="30" fillId="27" borderId="14" applyNumberFormat="0" applyAlignment="0" applyProtection="0"/>
    <xf numFmtId="44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1" fillId="0" borderId="0"/>
    <xf numFmtId="0" fontId="11" fillId="6" borderId="0" applyNumberFormat="0" applyBorder="0" applyAlignment="0" applyProtection="0"/>
    <xf numFmtId="0" fontId="11" fillId="0" borderId="0"/>
    <xf numFmtId="0" fontId="31" fillId="0" borderId="0"/>
    <xf numFmtId="0" fontId="17" fillId="12" borderId="14" applyNumberFormat="0" applyAlignment="0" applyProtection="0"/>
    <xf numFmtId="0" fontId="1" fillId="22" borderId="20" applyNumberFormat="0" applyFont="0" applyAlignment="0" applyProtection="0"/>
    <xf numFmtId="0" fontId="26" fillId="27" borderId="21" applyNumberFormat="0" applyAlignment="0" applyProtection="0"/>
    <xf numFmtId="0" fontId="4" fillId="0" borderId="22" applyNumberFormat="0" applyFill="0" applyAlignment="0" applyProtection="0"/>
    <xf numFmtId="0" fontId="30" fillId="27" borderId="14" applyNumberFormat="0" applyAlignment="0" applyProtection="0"/>
    <xf numFmtId="0" fontId="11" fillId="6" borderId="0" applyNumberFormat="0" applyBorder="0" applyAlignment="0" applyProtection="0"/>
    <xf numFmtId="0" fontId="11" fillId="0" borderId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5" borderId="0" applyNumberFormat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26" fillId="27" borderId="21" applyNumberFormat="0" applyAlignment="0" applyProtection="0"/>
    <xf numFmtId="0" fontId="1" fillId="22" borderId="20" applyNumberFormat="0" applyFont="0" applyAlignment="0" applyProtection="0"/>
    <xf numFmtId="0" fontId="4" fillId="0" borderId="22" applyNumberFormat="0" applyFill="0" applyAlignment="0" applyProtection="0"/>
    <xf numFmtId="0" fontId="26" fillId="27" borderId="21" applyNumberFormat="0" applyAlignment="0" applyProtection="0"/>
    <xf numFmtId="0" fontId="30" fillId="27" borderId="14" applyNumberFormat="0" applyAlignment="0" applyProtection="0"/>
    <xf numFmtId="0" fontId="4" fillId="0" borderId="22" applyNumberFormat="0" applyFill="0" applyAlignment="0" applyProtection="0"/>
    <xf numFmtId="0" fontId="26" fillId="27" borderId="21" applyNumberFormat="0" applyAlignment="0" applyProtection="0"/>
    <xf numFmtId="0" fontId="1" fillId="22" borderId="20" applyNumberFormat="0" applyFont="0" applyAlignment="0" applyProtection="0"/>
    <xf numFmtId="0" fontId="17" fillId="12" borderId="14" applyNumberFormat="0" applyAlignment="0" applyProtection="0"/>
    <xf numFmtId="0" fontId="1" fillId="22" borderId="20" applyNumberFormat="0" applyFont="0" applyAlignment="0" applyProtection="0"/>
    <xf numFmtId="0" fontId="1" fillId="22" borderId="20" applyNumberFormat="0" applyFont="0" applyAlignment="0" applyProtection="0"/>
    <xf numFmtId="0" fontId="17" fillId="12" borderId="14" applyNumberFormat="0" applyAlignment="0" applyProtection="0"/>
    <xf numFmtId="0" fontId="26" fillId="27" borderId="21" applyNumberFormat="0" applyAlignment="0" applyProtection="0"/>
    <xf numFmtId="0" fontId="4" fillId="0" borderId="22" applyNumberFormat="0" applyFill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17" fillId="12" borderId="14" applyNumberFormat="0" applyAlignment="0" applyProtection="0"/>
    <xf numFmtId="0" fontId="11" fillId="0" borderId="0"/>
    <xf numFmtId="0" fontId="11" fillId="6" borderId="0" applyNumberFormat="0" applyBorder="0" applyAlignment="0" applyProtection="0"/>
    <xf numFmtId="0" fontId="11" fillId="0" borderId="0"/>
    <xf numFmtId="0" fontId="11" fillId="6" borderId="0" applyNumberFormat="0" applyBorder="0" applyAlignment="0" applyProtection="0"/>
    <xf numFmtId="0" fontId="11" fillId="0" borderId="0"/>
    <xf numFmtId="0" fontId="26" fillId="27" borderId="21" applyNumberFormat="0" applyAlignment="0" applyProtection="0"/>
    <xf numFmtId="0" fontId="1" fillId="22" borderId="20" applyNumberFormat="0" applyFont="0" applyAlignment="0" applyProtection="0"/>
    <xf numFmtId="0" fontId="17" fillId="12" borderId="14" applyNumberFormat="0" applyAlignment="0" applyProtection="0"/>
    <xf numFmtId="0" fontId="30" fillId="27" borderId="14" applyNumberFormat="0" applyAlignment="0" applyProtection="0"/>
    <xf numFmtId="0" fontId="30" fillId="27" borderId="14" applyNumberFormat="0" applyAlignment="0" applyProtection="0"/>
    <xf numFmtId="0" fontId="4" fillId="0" borderId="22" applyNumberFormat="0" applyFill="0" applyAlignment="0" applyProtection="0"/>
    <xf numFmtId="0" fontId="17" fillId="12" borderId="14" applyNumberFormat="0" applyAlignment="0" applyProtection="0"/>
    <xf numFmtId="0" fontId="30" fillId="27" borderId="14" applyNumberFormat="0" applyAlignment="0" applyProtection="0"/>
    <xf numFmtId="0" fontId="4" fillId="0" borderId="22" applyNumberFormat="0" applyFill="0" applyAlignment="0" applyProtection="0"/>
    <xf numFmtId="0" fontId="4" fillId="0" borderId="22" applyNumberFormat="0" applyFill="0" applyAlignment="0" applyProtection="0"/>
    <xf numFmtId="0" fontId="26" fillId="27" borderId="21" applyNumberFormat="0" applyAlignment="0" applyProtection="0"/>
    <xf numFmtId="0" fontId="1" fillId="22" borderId="20" applyNumberFormat="0" applyFont="0" applyAlignment="0" applyProtection="0"/>
    <xf numFmtId="0" fontId="17" fillId="12" borderId="14" applyNumberFormat="0" applyAlignment="0" applyProtection="0"/>
    <xf numFmtId="0" fontId="30" fillId="27" borderId="14" applyNumberFormat="0" applyAlignment="0" applyProtection="0"/>
    <xf numFmtId="0" fontId="4" fillId="0" borderId="22" applyNumberFormat="0" applyFill="0" applyAlignment="0" applyProtection="0"/>
    <xf numFmtId="0" fontId="26" fillId="27" borderId="21" applyNumberFormat="0" applyAlignment="0" applyProtection="0"/>
    <xf numFmtId="0" fontId="1" fillId="22" borderId="20" applyNumberFormat="0" applyFont="0" applyAlignment="0" applyProtection="0"/>
    <xf numFmtId="0" fontId="17" fillId="12" borderId="14" applyNumberFormat="0" applyAlignment="0" applyProtection="0"/>
    <xf numFmtId="9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31" fillId="0" borderId="0"/>
    <xf numFmtId="164" fontId="11" fillId="0" borderId="0" applyFont="0" applyFill="0" applyBorder="0" applyAlignment="0" applyProtection="0"/>
    <xf numFmtId="164" fontId="31" fillId="0" borderId="0" applyFont="0" applyFill="0" applyBorder="0" applyAlignment="0" applyProtection="0"/>
    <xf numFmtId="0" fontId="38" fillId="0" borderId="0"/>
    <xf numFmtId="164" fontId="3" fillId="0" borderId="0" applyFont="0" applyFill="0" applyBorder="0" applyAlignment="0" applyProtection="0"/>
    <xf numFmtId="0" fontId="40" fillId="0" borderId="0"/>
  </cellStyleXfs>
  <cellXfs count="199">
    <xf numFmtId="0" fontId="0" fillId="0" borderId="0" xfId="0"/>
    <xf numFmtId="3" fontId="2" fillId="0" borderId="1" xfId="0" applyNumberFormat="1" applyFont="1" applyBorder="1" applyAlignment="1">
      <alignment horizontal="left" vertical="center" wrapText="1"/>
    </xf>
    <xf numFmtId="3" fontId="2" fillId="0" borderId="1" xfId="0" applyNumberFormat="1" applyFont="1" applyBorder="1" applyAlignment="1">
      <alignment horizontal="center" vertical="center" wrapText="1"/>
    </xf>
    <xf numFmtId="3" fontId="0" fillId="0" borderId="0" xfId="0" applyNumberFormat="1"/>
    <xf numFmtId="0" fontId="3" fillId="4" borderId="1" xfId="0" applyFont="1" applyFill="1" applyBorder="1" applyAlignment="1">
      <alignment horizontal="left"/>
    </xf>
    <xf numFmtId="49" fontId="0" fillId="0" borderId="0" xfId="0" applyNumberFormat="1"/>
    <xf numFmtId="3" fontId="13" fillId="0" borderId="1" xfId="1" applyNumberFormat="1" applyFont="1" applyFill="1" applyBorder="1" applyAlignment="1" applyProtection="1">
      <alignment wrapText="1"/>
      <protection locked="0"/>
    </xf>
    <xf numFmtId="0" fontId="13" fillId="0" borderId="1" xfId="0" applyFont="1" applyBorder="1"/>
    <xf numFmtId="3" fontId="3" fillId="2" borderId="6" xfId="0" applyNumberFormat="1" applyFont="1" applyFill="1" applyBorder="1" applyAlignment="1">
      <alignment horizontal="center" vertical="center" wrapText="1"/>
    </xf>
    <xf numFmtId="3" fontId="3" fillId="2" borderId="7" xfId="0" applyNumberFormat="1" applyFont="1" applyFill="1" applyBorder="1" applyAlignment="1">
      <alignment horizontal="center" vertical="center" wrapText="1"/>
    </xf>
    <xf numFmtId="3" fontId="3" fillId="2" borderId="5" xfId="0" applyNumberFormat="1" applyFont="1" applyFill="1" applyBorder="1" applyAlignment="1">
      <alignment horizontal="center" vertical="center"/>
    </xf>
    <xf numFmtId="3" fontId="3" fillId="2" borderId="6" xfId="0" applyNumberFormat="1" applyFont="1" applyFill="1" applyBorder="1" applyAlignment="1">
      <alignment horizontal="center" vertical="center"/>
    </xf>
    <xf numFmtId="3" fontId="3" fillId="2" borderId="7" xfId="0" applyNumberFormat="1" applyFont="1" applyFill="1" applyBorder="1" applyAlignment="1">
      <alignment horizontal="center" vertical="center"/>
    </xf>
    <xf numFmtId="0" fontId="10" fillId="0" borderId="1" xfId="0" applyFont="1" applyBorder="1"/>
    <xf numFmtId="166" fontId="35" fillId="0" borderId="1" xfId="0" applyNumberFormat="1" applyFont="1" applyBorder="1" applyAlignment="1">
      <alignment wrapText="1"/>
    </xf>
    <xf numFmtId="0" fontId="13" fillId="0" borderId="0" xfId="0" applyFont="1"/>
    <xf numFmtId="165" fontId="0" fillId="0" borderId="0" xfId="2" applyNumberFormat="1" applyFont="1" applyFill="1"/>
    <xf numFmtId="165" fontId="36" fillId="0" borderId="0" xfId="2" applyNumberFormat="1" applyFont="1" applyFill="1"/>
    <xf numFmtId="0" fontId="0" fillId="30" borderId="0" xfId="0" applyFill="1"/>
    <xf numFmtId="49" fontId="0" fillId="30" borderId="0" xfId="0" applyNumberFormat="1" applyFill="1"/>
    <xf numFmtId="0" fontId="36" fillId="30" borderId="0" xfId="0" applyFont="1" applyFill="1" applyAlignment="1">
      <alignment horizontal="center"/>
    </xf>
    <xf numFmtId="0" fontId="13" fillId="30" borderId="0" xfId="0" applyFont="1" applyFill="1"/>
    <xf numFmtId="166" fontId="35" fillId="30" borderId="0" xfId="0" applyNumberFormat="1" applyFont="1" applyFill="1" applyAlignment="1">
      <alignment wrapText="1"/>
    </xf>
    <xf numFmtId="166" fontId="0" fillId="30" borderId="0" xfId="0" applyNumberFormat="1" applyFill="1"/>
    <xf numFmtId="165" fontId="0" fillId="30" borderId="0" xfId="2" applyNumberFormat="1" applyFont="1" applyFill="1"/>
    <xf numFmtId="0" fontId="36" fillId="0" borderId="0" xfId="0" applyFont="1" applyAlignment="1">
      <alignment horizontal="center" vertical="center"/>
    </xf>
    <xf numFmtId="0" fontId="36" fillId="0" borderId="10" xfId="0" applyFont="1" applyBorder="1" applyAlignment="1">
      <alignment horizontal="center" vertical="center" wrapText="1"/>
    </xf>
    <xf numFmtId="0" fontId="0" fillId="30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3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49" fontId="0" fillId="0" borderId="0" xfId="0" applyNumberFormat="1" applyAlignment="1">
      <alignment horizontal="center" vertical="center" wrapText="1"/>
    </xf>
    <xf numFmtId="165" fontId="0" fillId="0" borderId="0" xfId="2" applyNumberFormat="1" applyFont="1" applyFill="1" applyBorder="1" applyAlignment="1">
      <alignment vertical="center" wrapText="1"/>
    </xf>
    <xf numFmtId="0" fontId="0" fillId="0" borderId="0" xfId="0" applyAlignment="1">
      <alignment vertical="center"/>
    </xf>
    <xf numFmtId="0" fontId="0" fillId="0" borderId="3" xfId="0" applyBorder="1" applyAlignment="1">
      <alignment vertical="center" wrapText="1"/>
    </xf>
    <xf numFmtId="0" fontId="39" fillId="0" borderId="1" xfId="0" applyFont="1" applyBorder="1"/>
    <xf numFmtId="0" fontId="9" fillId="0" borderId="0" xfId="0" applyFont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25" xfId="0" applyBorder="1" applyAlignment="1">
      <alignment vertical="center" wrapText="1"/>
    </xf>
    <xf numFmtId="49" fontId="0" fillId="0" borderId="25" xfId="0" applyNumberFormat="1" applyBorder="1" applyAlignment="1">
      <alignment horizontal="center" vertical="center" wrapText="1"/>
    </xf>
    <xf numFmtId="165" fontId="0" fillId="0" borderId="25" xfId="2" applyNumberFormat="1" applyFont="1" applyFill="1" applyBorder="1" applyAlignment="1">
      <alignment vertical="center" wrapText="1"/>
    </xf>
    <xf numFmtId="0" fontId="0" fillId="0" borderId="25" xfId="0" applyBorder="1" applyAlignment="1">
      <alignment horizontal="center" vertical="center" wrapText="1"/>
    </xf>
    <xf numFmtId="0" fontId="0" fillId="0" borderId="26" xfId="0" applyBorder="1" applyAlignment="1">
      <alignment vertical="center"/>
    </xf>
    <xf numFmtId="10" fontId="8" fillId="0" borderId="1" xfId="0" applyNumberFormat="1" applyFont="1" applyBorder="1" applyAlignment="1">
      <alignment horizontal="center" wrapText="1"/>
    </xf>
    <xf numFmtId="0" fontId="0" fillId="0" borderId="9" xfId="0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49" fontId="0" fillId="0" borderId="2" xfId="0" applyNumberFormat="1" applyBorder="1" applyAlignment="1">
      <alignment horizontal="center" vertical="center" wrapText="1"/>
    </xf>
    <xf numFmtId="165" fontId="0" fillId="0" borderId="2" xfId="2" applyNumberFormat="1" applyFont="1" applyFill="1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vertical="center"/>
    </xf>
    <xf numFmtId="14" fontId="0" fillId="0" borderId="0" xfId="0" applyNumberFormat="1" applyAlignment="1">
      <alignment horizontal="center" vertical="center" wrapText="1"/>
    </xf>
    <xf numFmtId="3" fontId="3" fillId="2" borderId="10" xfId="0" applyNumberFormat="1" applyFont="1" applyFill="1" applyBorder="1" applyAlignment="1">
      <alignment horizontal="center" vertical="center" wrapText="1"/>
    </xf>
    <xf numFmtId="3" fontId="3" fillId="2" borderId="8" xfId="0" applyNumberFormat="1" applyFont="1" applyFill="1" applyBorder="1" applyAlignment="1">
      <alignment horizontal="center" vertical="center" wrapText="1"/>
    </xf>
    <xf numFmtId="3" fontId="3" fillId="2" borderId="9" xfId="0" applyNumberFormat="1" applyFont="1" applyFill="1" applyBorder="1" applyAlignment="1">
      <alignment horizontal="center" vertical="center" wrapText="1"/>
    </xf>
    <xf numFmtId="167" fontId="13" fillId="0" borderId="0" xfId="0" applyNumberFormat="1" applyFont="1"/>
    <xf numFmtId="167" fontId="13" fillId="4" borderId="1" xfId="0" applyNumberFormat="1" applyFont="1" applyFill="1" applyBorder="1"/>
    <xf numFmtId="167" fontId="13" fillId="0" borderId="1" xfId="0" applyNumberFormat="1" applyFont="1" applyBorder="1"/>
    <xf numFmtId="3" fontId="8" fillId="0" borderId="1" xfId="0" applyNumberFormat="1" applyFont="1" applyBorder="1" applyAlignment="1">
      <alignment wrapText="1"/>
    </xf>
    <xf numFmtId="3" fontId="0" fillId="30" borderId="0" xfId="0" applyNumberFormat="1" applyFill="1"/>
    <xf numFmtId="3" fontId="39" fillId="0" borderId="1" xfId="1" applyNumberFormat="1" applyFont="1" applyFill="1" applyBorder="1" applyAlignment="1" applyProtection="1">
      <alignment horizontal="center" wrapText="1"/>
      <protection locked="0"/>
    </xf>
    <xf numFmtId="3" fontId="3" fillId="0" borderId="1" xfId="0" applyNumberFormat="1" applyFont="1" applyBorder="1" applyAlignment="1">
      <alignment horizontal="left"/>
    </xf>
    <xf numFmtId="0" fontId="13" fillId="0" borderId="1" xfId="0" applyFont="1" applyBorder="1" applyAlignment="1">
      <alignment horizontal="center"/>
    </xf>
    <xf numFmtId="3" fontId="3" fillId="2" borderId="5" xfId="0" applyNumberFormat="1" applyFont="1" applyFill="1" applyBorder="1" applyAlignment="1">
      <alignment horizontal="center" vertical="center" wrapText="1"/>
    </xf>
    <xf numFmtId="0" fontId="39" fillId="0" borderId="23" xfId="0" applyFont="1" applyBorder="1"/>
    <xf numFmtId="3" fontId="39" fillId="0" borderId="23" xfId="1" applyNumberFormat="1" applyFont="1" applyFill="1" applyBorder="1" applyAlignment="1" applyProtection="1">
      <alignment horizontal="center" wrapText="1"/>
      <protection locked="0"/>
    </xf>
    <xf numFmtId="3" fontId="39" fillId="0" borderId="23" xfId="1" applyNumberFormat="1" applyFont="1" applyFill="1" applyBorder="1" applyAlignment="1" applyProtection="1">
      <alignment wrapText="1"/>
      <protection locked="0"/>
    </xf>
    <xf numFmtId="3" fontId="43" fillId="0" borderId="0" xfId="0" applyNumberFormat="1" applyFont="1"/>
    <xf numFmtId="0" fontId="8" fillId="0" borderId="1" xfId="0" applyFont="1" applyBorder="1" applyAlignment="1">
      <alignment horizontal="center" wrapText="1"/>
    </xf>
    <xf numFmtId="9" fontId="8" fillId="0" borderId="1" xfId="0" applyNumberFormat="1" applyFont="1" applyBorder="1" applyAlignment="1">
      <alignment horizontal="center" wrapText="1"/>
    </xf>
    <xf numFmtId="49" fontId="0" fillId="0" borderId="0" xfId="0" applyNumberFormat="1" applyAlignment="1">
      <alignment horizontal="center"/>
    </xf>
    <xf numFmtId="49" fontId="0" fillId="30" borderId="0" xfId="0" applyNumberFormat="1" applyFill="1" applyAlignment="1">
      <alignment horizontal="center"/>
    </xf>
    <xf numFmtId="3" fontId="3" fillId="2" borderId="5" xfId="0" applyNumberFormat="1" applyFont="1" applyFill="1" applyBorder="1" applyAlignment="1">
      <alignment vertical="center" wrapText="1"/>
    </xf>
    <xf numFmtId="3" fontId="13" fillId="0" borderId="1" xfId="1" applyNumberFormat="1" applyFont="1" applyFill="1" applyBorder="1" applyAlignment="1" applyProtection="1">
      <alignment horizontal="center" wrapText="1"/>
      <protection locked="0"/>
    </xf>
    <xf numFmtId="49" fontId="0" fillId="30" borderId="0" xfId="4" applyNumberFormat="1" applyFont="1" applyFill="1" applyAlignment="1">
      <alignment horizontal="center"/>
    </xf>
    <xf numFmtId="3" fontId="39" fillId="0" borderId="1" xfId="0" applyNumberFormat="1" applyFont="1" applyBorder="1" applyAlignment="1">
      <alignment horizontal="left"/>
    </xf>
    <xf numFmtId="3" fontId="13" fillId="0" borderId="1" xfId="0" applyNumberFormat="1" applyFont="1" applyBorder="1" applyAlignment="1">
      <alignment wrapText="1"/>
    </xf>
    <xf numFmtId="0" fontId="13" fillId="0" borderId="1" xfId="0" applyFont="1" applyBorder="1" applyAlignment="1">
      <alignment horizontal="center" wrapText="1"/>
    </xf>
    <xf numFmtId="166" fontId="44" fillId="0" borderId="1" xfId="0" applyNumberFormat="1" applyFont="1" applyBorder="1" applyAlignment="1">
      <alignment wrapText="1"/>
    </xf>
    <xf numFmtId="10" fontId="13" fillId="0" borderId="1" xfId="0" applyNumberFormat="1" applyFont="1" applyBorder="1" applyAlignment="1">
      <alignment horizontal="center" wrapText="1"/>
    </xf>
    <xf numFmtId="3" fontId="13" fillId="0" borderId="23" xfId="2" applyNumberFormat="1" applyFont="1" applyFill="1" applyBorder="1" applyAlignment="1">
      <alignment wrapText="1"/>
    </xf>
    <xf numFmtId="0" fontId="13" fillId="0" borderId="23" xfId="0" applyFont="1" applyBorder="1" applyAlignment="1">
      <alignment horizontal="center" wrapText="1"/>
    </xf>
    <xf numFmtId="166" fontId="44" fillId="0" borderId="23" xfId="0" applyNumberFormat="1" applyFont="1" applyBorder="1" applyAlignment="1">
      <alignment wrapText="1"/>
    </xf>
    <xf numFmtId="10" fontId="13" fillId="0" borderId="23" xfId="0" applyNumberFormat="1" applyFont="1" applyBorder="1" applyAlignment="1">
      <alignment horizontal="center" wrapText="1"/>
    </xf>
    <xf numFmtId="14" fontId="13" fillId="0" borderId="1" xfId="0" applyNumberFormat="1" applyFont="1" applyBorder="1" applyAlignment="1">
      <alignment horizontal="center"/>
    </xf>
    <xf numFmtId="0" fontId="13" fillId="0" borderId="0" xfId="0" applyFont="1" applyAlignment="1">
      <alignment horizontal="center"/>
    </xf>
    <xf numFmtId="0" fontId="13" fillId="30" borderId="0" xfId="0" applyFont="1" applyFill="1" applyAlignment="1">
      <alignment horizontal="center"/>
    </xf>
    <xf numFmtId="0" fontId="39" fillId="33" borderId="1" xfId="0" applyFont="1" applyFill="1" applyBorder="1"/>
    <xf numFmtId="3" fontId="39" fillId="33" borderId="1" xfId="1" applyNumberFormat="1" applyFont="1" applyFill="1" applyBorder="1" applyAlignment="1" applyProtection="1">
      <alignment horizontal="center" wrapText="1"/>
      <protection locked="0"/>
    </xf>
    <xf numFmtId="3" fontId="3" fillId="33" borderId="1" xfId="0" applyNumberFormat="1" applyFont="1" applyFill="1" applyBorder="1" applyAlignment="1">
      <alignment horizontal="left"/>
    </xf>
    <xf numFmtId="3" fontId="39" fillId="33" borderId="1" xfId="0" applyNumberFormat="1" applyFont="1" applyFill="1" applyBorder="1" applyAlignment="1">
      <alignment horizontal="left"/>
    </xf>
    <xf numFmtId="3" fontId="13" fillId="33" borderId="1" xfId="0" applyNumberFormat="1" applyFont="1" applyFill="1" applyBorder="1" applyAlignment="1">
      <alignment wrapText="1"/>
    </xf>
    <xf numFmtId="0" fontId="13" fillId="33" borderId="1" xfId="0" applyFont="1" applyFill="1" applyBorder="1" applyAlignment="1">
      <alignment horizontal="center" wrapText="1"/>
    </xf>
    <xf numFmtId="0" fontId="13" fillId="33" borderId="1" xfId="0" applyFont="1" applyFill="1" applyBorder="1" applyAlignment="1">
      <alignment horizontal="center"/>
    </xf>
    <xf numFmtId="10" fontId="13" fillId="33" borderId="1" xfId="0" applyNumberFormat="1" applyFont="1" applyFill="1" applyBorder="1" applyAlignment="1">
      <alignment horizontal="center" wrapText="1"/>
    </xf>
    <xf numFmtId="3" fontId="3" fillId="4" borderId="1" xfId="0" applyNumberFormat="1" applyFont="1" applyFill="1" applyBorder="1" applyAlignment="1">
      <alignment vertical="center" wrapText="1"/>
    </xf>
    <xf numFmtId="167" fontId="2" fillId="0" borderId="1" xfId="0" applyNumberFormat="1" applyFont="1" applyBorder="1" applyAlignment="1">
      <alignment horizontal="center" vertical="center" wrapText="1"/>
    </xf>
    <xf numFmtId="0" fontId="45" fillId="0" borderId="0" xfId="0" applyFont="1" applyAlignment="1">
      <alignment horizontal="left" vertical="center"/>
    </xf>
    <xf numFmtId="0" fontId="36" fillId="0" borderId="11" xfId="0" applyFont="1" applyBorder="1" applyAlignment="1">
      <alignment horizontal="center" vertical="center"/>
    </xf>
    <xf numFmtId="0" fontId="36" fillId="0" borderId="11" xfId="0" applyFont="1" applyBorder="1" applyAlignment="1">
      <alignment horizontal="center" vertical="center" wrapText="1"/>
    </xf>
    <xf numFmtId="165" fontId="36" fillId="0" borderId="11" xfId="2" applyNumberFormat="1" applyFont="1" applyFill="1" applyBorder="1" applyAlignment="1">
      <alignment horizontal="center" vertical="center"/>
    </xf>
    <xf numFmtId="0" fontId="36" fillId="0" borderId="12" xfId="0" applyFont="1" applyBorder="1" applyAlignment="1">
      <alignment horizontal="center" vertical="center"/>
    </xf>
    <xf numFmtId="0" fontId="36" fillId="35" borderId="0" xfId="0" applyFont="1" applyFill="1"/>
    <xf numFmtId="0" fontId="0" fillId="35" borderId="0" xfId="0" applyFill="1"/>
    <xf numFmtId="0" fontId="0" fillId="35" borderId="0" xfId="0" applyFill="1" applyAlignment="1">
      <alignment horizontal="center"/>
    </xf>
    <xf numFmtId="167" fontId="13" fillId="35" borderId="0" xfId="0" applyNumberFormat="1" applyFont="1" applyFill="1"/>
    <xf numFmtId="0" fontId="41" fillId="30" borderId="0" xfId="0" applyFont="1" applyFill="1"/>
    <xf numFmtId="165" fontId="0" fillId="0" borderId="0" xfId="0" applyNumberFormat="1" applyAlignment="1">
      <alignment horizontal="center" vertical="center"/>
    </xf>
    <xf numFmtId="165" fontId="0" fillId="0" borderId="0" xfId="0" applyNumberFormat="1"/>
    <xf numFmtId="17" fontId="0" fillId="30" borderId="0" xfId="0" quotePrefix="1" applyNumberFormat="1" applyFill="1" applyAlignment="1">
      <alignment horizontal="center"/>
    </xf>
    <xf numFmtId="0" fontId="0" fillId="30" borderId="0" xfId="0" quotePrefix="1" applyFill="1" applyAlignment="1">
      <alignment horizontal="center"/>
    </xf>
    <xf numFmtId="168" fontId="13" fillId="0" borderId="7" xfId="0" applyNumberFormat="1" applyFont="1" applyBorder="1" applyAlignment="1">
      <alignment horizontal="center"/>
    </xf>
    <xf numFmtId="3" fontId="46" fillId="0" borderId="0" xfId="0" applyNumberFormat="1" applyFont="1" applyAlignment="1">
      <alignment horizontal="center"/>
    </xf>
    <xf numFmtId="10" fontId="0" fillId="0" borderId="0" xfId="0" applyNumberFormat="1" applyAlignment="1">
      <alignment horizontal="center"/>
    </xf>
    <xf numFmtId="10" fontId="0" fillId="30" borderId="0" xfId="0" applyNumberFormat="1" applyFill="1" applyAlignment="1">
      <alignment horizontal="center"/>
    </xf>
    <xf numFmtId="2" fontId="13" fillId="0" borderId="1" xfId="0" applyNumberFormat="1" applyFont="1" applyBorder="1" applyAlignment="1">
      <alignment horizontal="center" wrapText="1"/>
    </xf>
    <xf numFmtId="2" fontId="13" fillId="33" borderId="1" xfId="0" applyNumberFormat="1" applyFont="1" applyFill="1" applyBorder="1" applyAlignment="1">
      <alignment horizontal="center" wrapText="1"/>
    </xf>
    <xf numFmtId="2" fontId="13" fillId="0" borderId="23" xfId="138" applyNumberFormat="1" applyFont="1" applyFill="1" applyBorder="1" applyAlignment="1">
      <alignment horizontal="center" wrapText="1"/>
    </xf>
    <xf numFmtId="0" fontId="5" fillId="36" borderId="12" xfId="0" applyFont="1" applyFill="1" applyBorder="1" applyAlignment="1">
      <alignment horizontal="center" vertical="center" wrapText="1"/>
    </xf>
    <xf numFmtId="0" fontId="5" fillId="36" borderId="3" xfId="0" applyFont="1" applyFill="1" applyBorder="1" applyAlignment="1">
      <alignment horizontal="center" vertical="center" wrapText="1"/>
    </xf>
    <xf numFmtId="0" fontId="5" fillId="36" borderId="4" xfId="0" applyFont="1" applyFill="1" applyBorder="1" applyAlignment="1">
      <alignment horizontal="center" vertical="center" wrapText="1"/>
    </xf>
    <xf numFmtId="0" fontId="3" fillId="36" borderId="12" xfId="0" applyFont="1" applyFill="1" applyBorder="1" applyAlignment="1">
      <alignment horizontal="center" vertical="center" wrapText="1"/>
    </xf>
    <xf numFmtId="0" fontId="3" fillId="36" borderId="3" xfId="0" applyFont="1" applyFill="1" applyBorder="1" applyAlignment="1">
      <alignment horizontal="center" vertical="center" wrapText="1"/>
    </xf>
    <xf numFmtId="0" fontId="3" fillId="36" borderId="4" xfId="0" applyFont="1" applyFill="1" applyBorder="1" applyAlignment="1">
      <alignment horizontal="center" vertical="center" wrapText="1"/>
    </xf>
    <xf numFmtId="0" fontId="5" fillId="29" borderId="5" xfId="0" applyFont="1" applyFill="1" applyBorder="1" applyAlignment="1">
      <alignment vertical="center" wrapText="1"/>
    </xf>
    <xf numFmtId="3" fontId="5" fillId="29" borderId="5" xfId="0" applyNumberFormat="1" applyFont="1" applyFill="1" applyBorder="1" applyAlignment="1">
      <alignment horizontal="center" vertical="center"/>
    </xf>
    <xf numFmtId="3" fontId="3" fillId="29" borderId="5" xfId="0" applyNumberFormat="1" applyFont="1" applyFill="1" applyBorder="1" applyAlignment="1">
      <alignment horizontal="center" vertical="center"/>
    </xf>
    <xf numFmtId="3" fontId="3" fillId="29" borderId="5" xfId="0" applyNumberFormat="1" applyFont="1" applyFill="1" applyBorder="1" applyAlignment="1">
      <alignment vertical="center"/>
    </xf>
    <xf numFmtId="0" fontId="5" fillId="38" borderId="5" xfId="0" applyFont="1" applyFill="1" applyBorder="1" applyAlignment="1">
      <alignment horizontal="center" vertical="center" wrapText="1"/>
    </xf>
    <xf numFmtId="0" fontId="5" fillId="29" borderId="6" xfId="0" applyFont="1" applyFill="1" applyBorder="1" applyAlignment="1">
      <alignment horizontal="center" vertical="center" wrapText="1"/>
    </xf>
    <xf numFmtId="3" fontId="5" fillId="29" borderId="6" xfId="0" applyNumberFormat="1" applyFont="1" applyFill="1" applyBorder="1" applyAlignment="1">
      <alignment horizontal="center" vertical="center" wrapText="1"/>
    </xf>
    <xf numFmtId="3" fontId="3" fillId="29" borderId="6" xfId="0" applyNumberFormat="1" applyFont="1" applyFill="1" applyBorder="1" applyAlignment="1">
      <alignment horizontal="center" vertical="center" wrapText="1"/>
    </xf>
    <xf numFmtId="49" fontId="3" fillId="29" borderId="6" xfId="0" applyNumberFormat="1" applyFont="1" applyFill="1" applyBorder="1" applyAlignment="1">
      <alignment horizontal="center" vertical="center"/>
    </xf>
    <xf numFmtId="3" fontId="3" fillId="29" borderId="6" xfId="0" applyNumberFormat="1" applyFont="1" applyFill="1" applyBorder="1" applyAlignment="1">
      <alignment horizontal="center" vertical="center"/>
    </xf>
    <xf numFmtId="0" fontId="5" fillId="38" borderId="6" xfId="0" applyFont="1" applyFill="1" applyBorder="1" applyAlignment="1">
      <alignment horizontal="center" vertical="center" wrapText="1"/>
    </xf>
    <xf numFmtId="0" fontId="5" fillId="29" borderId="7" xfId="0" applyFont="1" applyFill="1" applyBorder="1" applyAlignment="1">
      <alignment horizontal="center" vertical="center" wrapText="1"/>
    </xf>
    <xf numFmtId="3" fontId="5" fillId="29" borderId="7" xfId="0" applyNumberFormat="1" applyFont="1" applyFill="1" applyBorder="1" applyAlignment="1">
      <alignment horizontal="center" vertical="center" wrapText="1"/>
    </xf>
    <xf numFmtId="3" fontId="3" fillId="29" borderId="7" xfId="0" applyNumberFormat="1" applyFont="1" applyFill="1" applyBorder="1" applyAlignment="1">
      <alignment horizontal="center" vertical="center" wrapText="1"/>
    </xf>
    <xf numFmtId="49" fontId="3" fillId="29" borderId="7" xfId="0" applyNumberFormat="1" applyFont="1" applyFill="1" applyBorder="1" applyAlignment="1">
      <alignment horizontal="center" vertical="center"/>
    </xf>
    <xf numFmtId="3" fontId="3" fillId="29" borderId="7" xfId="0" applyNumberFormat="1" applyFont="1" applyFill="1" applyBorder="1" applyAlignment="1">
      <alignment horizontal="center" vertical="center"/>
    </xf>
    <xf numFmtId="0" fontId="5" fillId="38" borderId="7" xfId="0" applyFont="1" applyFill="1" applyBorder="1" applyAlignment="1">
      <alignment horizontal="center" vertical="center" wrapText="1"/>
    </xf>
    <xf numFmtId="0" fontId="41" fillId="0" borderId="1" xfId="0" applyFont="1" applyBorder="1"/>
    <xf numFmtId="0" fontId="0" fillId="0" borderId="1" xfId="0" applyBorder="1"/>
    <xf numFmtId="3" fontId="13" fillId="34" borderId="1" xfId="0" applyNumberFormat="1" applyFont="1" applyFill="1" applyBorder="1"/>
    <xf numFmtId="0" fontId="0" fillId="31" borderId="1" xfId="0" applyFill="1" applyBorder="1"/>
    <xf numFmtId="3" fontId="13" fillId="31" borderId="1" xfId="0" applyNumberFormat="1" applyFont="1" applyFill="1" applyBorder="1"/>
    <xf numFmtId="3" fontId="0" fillId="31" borderId="1" xfId="0" applyNumberFormat="1" applyFill="1" applyBorder="1"/>
    <xf numFmtId="0" fontId="0" fillId="31" borderId="1" xfId="0" applyFill="1" applyBorder="1" applyAlignment="1">
      <alignment wrapText="1"/>
    </xf>
    <xf numFmtId="0" fontId="3" fillId="4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3" fontId="36" fillId="32" borderId="1" xfId="0" applyNumberFormat="1" applyFont="1" applyFill="1" applyBorder="1" applyAlignment="1">
      <alignment vertical="center"/>
    </xf>
    <xf numFmtId="0" fontId="36" fillId="35" borderId="0" xfId="0" applyFont="1" applyFill="1" applyAlignment="1">
      <alignment horizontal="left"/>
    </xf>
    <xf numFmtId="3" fontId="36" fillId="32" borderId="1" xfId="0" applyNumberFormat="1" applyFont="1" applyFill="1" applyBorder="1" applyAlignment="1">
      <alignment horizontal="center"/>
    </xf>
    <xf numFmtId="3" fontId="36" fillId="32" borderId="1" xfId="0" applyNumberFormat="1" applyFont="1" applyFill="1" applyBorder="1" applyAlignment="1">
      <alignment horizontal="right"/>
    </xf>
    <xf numFmtId="3" fontId="5" fillId="37" borderId="5" xfId="0" applyNumberFormat="1" applyFont="1" applyFill="1" applyBorder="1" applyAlignment="1">
      <alignment horizontal="center" vertical="center"/>
    </xf>
    <xf numFmtId="3" fontId="5" fillId="37" borderId="6" xfId="0" applyNumberFormat="1" applyFont="1" applyFill="1" applyBorder="1" applyAlignment="1">
      <alignment horizontal="center" vertical="center" wrapText="1"/>
    </xf>
    <xf numFmtId="3" fontId="5" fillId="37" borderId="7" xfId="0" applyNumberFormat="1" applyFont="1" applyFill="1" applyBorder="1" applyAlignment="1">
      <alignment horizontal="center" vertical="center" wrapText="1"/>
    </xf>
    <xf numFmtId="10" fontId="13" fillId="0" borderId="1" xfId="138" applyNumberFormat="1" applyFont="1" applyFill="1" applyBorder="1" applyAlignment="1">
      <alignment horizontal="center" wrapText="1"/>
    </xf>
    <xf numFmtId="3" fontId="3" fillId="2" borderId="5" xfId="0" applyNumberFormat="1" applyFont="1" applyFill="1" applyBorder="1" applyAlignment="1">
      <alignment horizontal="left" vertical="center" wrapText="1"/>
    </xf>
    <xf numFmtId="0" fontId="36" fillId="0" borderId="0" xfId="0" applyFont="1" applyAlignment="1">
      <alignment horizontal="left" vertical="center"/>
    </xf>
    <xf numFmtId="3" fontId="36" fillId="0" borderId="0" xfId="0" applyNumberFormat="1" applyFont="1" applyAlignment="1">
      <alignment horizontal="center"/>
    </xf>
    <xf numFmtId="3" fontId="36" fillId="0" borderId="0" xfId="0" applyNumberFormat="1" applyFont="1" applyAlignment="1">
      <alignment horizontal="right"/>
    </xf>
    <xf numFmtId="14" fontId="0" fillId="0" borderId="0" xfId="0" applyNumberFormat="1"/>
    <xf numFmtId="14" fontId="0" fillId="0" borderId="0" xfId="0" quotePrefix="1" applyNumberFormat="1"/>
    <xf numFmtId="14" fontId="0" fillId="0" borderId="0" xfId="0" applyNumberFormat="1" applyAlignment="1">
      <alignment horizontal="center"/>
    </xf>
    <xf numFmtId="165" fontId="0" fillId="0" borderId="0" xfId="2" applyNumberFormat="1" applyFont="1" applyAlignment="1">
      <alignment horizontal="center"/>
    </xf>
    <xf numFmtId="0" fontId="47" fillId="39" borderId="29" xfId="0" applyFont="1" applyFill="1" applyBorder="1" applyAlignment="1">
      <alignment horizontal="center"/>
    </xf>
    <xf numFmtId="0" fontId="0" fillId="40" borderId="29" xfId="0" applyFill="1" applyBorder="1"/>
    <xf numFmtId="3" fontId="0" fillId="40" borderId="29" xfId="0" applyNumberFormat="1" applyFill="1" applyBorder="1"/>
    <xf numFmtId="0" fontId="0" fillId="0" borderId="29" xfId="0" applyBorder="1"/>
    <xf numFmtId="3" fontId="0" fillId="0" borderId="29" xfId="0" applyNumberFormat="1" applyBorder="1"/>
    <xf numFmtId="0" fontId="39" fillId="41" borderId="1" xfId="0" applyFont="1" applyFill="1" applyBorder="1"/>
    <xf numFmtId="3" fontId="39" fillId="0" borderId="1" xfId="1" quotePrefix="1" applyNumberFormat="1" applyFont="1" applyFill="1" applyBorder="1" applyAlignment="1" applyProtection="1">
      <alignment horizontal="center" wrapText="1"/>
      <protection locked="0"/>
    </xf>
    <xf numFmtId="3" fontId="13" fillId="4" borderId="1" xfId="0" applyNumberFormat="1" applyFont="1" applyFill="1" applyBorder="1" applyAlignment="1">
      <alignment wrapText="1"/>
    </xf>
    <xf numFmtId="17" fontId="0" fillId="0" borderId="0" xfId="0" quotePrefix="1" applyNumberFormat="1"/>
    <xf numFmtId="3" fontId="13" fillId="42" borderId="1" xfId="1" applyNumberFormat="1" applyFont="1" applyFill="1" applyBorder="1" applyAlignment="1" applyProtection="1">
      <alignment wrapText="1"/>
      <protection locked="0"/>
    </xf>
    <xf numFmtId="0" fontId="36" fillId="4" borderId="0" xfId="0" applyFont="1" applyFill="1" applyAlignment="1">
      <alignment horizontal="left" vertical="center"/>
    </xf>
    <xf numFmtId="3" fontId="51" fillId="0" borderId="1" xfId="1" applyNumberFormat="1" applyFont="1" applyFill="1" applyBorder="1" applyAlignment="1" applyProtection="1">
      <alignment horizontal="center" wrapText="1"/>
      <protection locked="0"/>
    </xf>
    <xf numFmtId="166" fontId="44" fillId="4" borderId="1" xfId="0" applyNumberFormat="1" applyFont="1" applyFill="1" applyBorder="1" applyAlignment="1">
      <alignment wrapText="1"/>
    </xf>
    <xf numFmtId="0" fontId="36" fillId="43" borderId="0" xfId="0" applyFont="1" applyFill="1" applyAlignment="1">
      <alignment horizontal="center" vertical="center"/>
    </xf>
    <xf numFmtId="0" fontId="52" fillId="43" borderId="0" xfId="0" applyFont="1" applyFill="1" applyAlignment="1">
      <alignment horizontal="center" vertical="center" wrapText="1"/>
    </xf>
    <xf numFmtId="0" fontId="36" fillId="44" borderId="0" xfId="0" applyFont="1" applyFill="1" applyAlignment="1">
      <alignment horizontal="center"/>
    </xf>
    <xf numFmtId="0" fontId="53" fillId="0" borderId="0" xfId="0" applyFont="1" applyAlignment="1">
      <alignment horizontal="left"/>
    </xf>
    <xf numFmtId="0" fontId="0" fillId="0" borderId="0" xfId="0" applyAlignment="1">
      <alignment horizontal="left"/>
    </xf>
    <xf numFmtId="169" fontId="0" fillId="0" borderId="0" xfId="0" applyNumberFormat="1"/>
    <xf numFmtId="0" fontId="53" fillId="0" borderId="31" xfId="0" applyFont="1" applyBorder="1"/>
    <xf numFmtId="0" fontId="53" fillId="0" borderId="0" xfId="0" applyFont="1"/>
    <xf numFmtId="0" fontId="13" fillId="0" borderId="0" xfId="0" applyFont="1" applyAlignment="1">
      <alignment horizontal="left"/>
    </xf>
    <xf numFmtId="168" fontId="13" fillId="0" borderId="1" xfId="138" applyNumberFormat="1" applyFont="1" applyBorder="1" applyAlignment="1">
      <alignment horizontal="center" wrapText="1"/>
    </xf>
    <xf numFmtId="10" fontId="13" fillId="0" borderId="1" xfId="138" applyNumberFormat="1" applyFont="1" applyBorder="1" applyAlignment="1">
      <alignment horizontal="center" wrapText="1"/>
    </xf>
    <xf numFmtId="0" fontId="53" fillId="0" borderId="31" xfId="0" applyFont="1" applyBorder="1" applyAlignment="1">
      <alignment horizontal="left"/>
    </xf>
    <xf numFmtId="0" fontId="36" fillId="32" borderId="27" xfId="0" applyFont="1" applyFill="1" applyBorder="1" applyAlignment="1">
      <alignment horizontal="left" vertical="center"/>
    </xf>
    <xf numFmtId="0" fontId="36" fillId="32" borderId="28" xfId="0" applyFont="1" applyFill="1" applyBorder="1" applyAlignment="1">
      <alignment horizontal="left" vertical="center"/>
    </xf>
    <xf numFmtId="0" fontId="36" fillId="32" borderId="1" xfId="0" applyFont="1" applyFill="1" applyBorder="1" applyAlignment="1">
      <alignment horizontal="left" vertical="center"/>
    </xf>
    <xf numFmtId="0" fontId="42" fillId="0" borderId="2" xfId="0" applyFont="1" applyBorder="1" applyAlignment="1">
      <alignment horizontal="center" vertical="center" wrapText="1"/>
    </xf>
    <xf numFmtId="0" fontId="37" fillId="30" borderId="0" xfId="0" applyFont="1" applyFill="1" applyAlignment="1">
      <alignment horizontal="center"/>
    </xf>
    <xf numFmtId="0" fontId="42" fillId="0" borderId="30" xfId="0" applyFont="1" applyBorder="1" applyAlignment="1">
      <alignment horizontal="left" vertical="center" wrapText="1"/>
    </xf>
  </cellXfs>
  <cellStyles count="146">
    <cellStyle name="20% - 1. jelölőszín 2" xfId="9" xr:uid="{00000000-0005-0000-0000-000000000000}"/>
    <cellStyle name="20% - 2. jelölőszín 2" xfId="10" xr:uid="{00000000-0005-0000-0000-000001000000}"/>
    <cellStyle name="20% - 3. jelölőszín 2" xfId="11" xr:uid="{00000000-0005-0000-0000-000002000000}"/>
    <cellStyle name="20% - 4. jelölőszín 2" xfId="12" xr:uid="{00000000-0005-0000-0000-000003000000}"/>
    <cellStyle name="20% - 5. jelölőszín 2" xfId="13" xr:uid="{00000000-0005-0000-0000-000004000000}"/>
    <cellStyle name="20% - 6. jelölőszín 2" xfId="14" xr:uid="{00000000-0005-0000-0000-000005000000}"/>
    <cellStyle name="40% - 1. jelölőszín 2" xfId="15" xr:uid="{00000000-0005-0000-0000-000006000000}"/>
    <cellStyle name="40% - 2. jelölőszín 2" xfId="16" xr:uid="{00000000-0005-0000-0000-000007000000}"/>
    <cellStyle name="40% - 3. jelölőszín 2" xfId="17" xr:uid="{00000000-0005-0000-0000-000008000000}"/>
    <cellStyle name="40% - 4. jelölőszín 2" xfId="18" xr:uid="{00000000-0005-0000-0000-000009000000}"/>
    <cellStyle name="40% - 4. jelölőszín 3" xfId="53" xr:uid="{00000000-0005-0000-0000-00000A000000}"/>
    <cellStyle name="40% - 4. jelölőszín 3 2" xfId="116" xr:uid="{00000000-0005-0000-0000-00000B000000}"/>
    <cellStyle name="40% - 4. jelölőszín 4" xfId="61" xr:uid="{00000000-0005-0000-0000-00000C000000}"/>
    <cellStyle name="40% - 4. jelölőszín 4 2" xfId="118" xr:uid="{00000000-0005-0000-0000-00000D000000}"/>
    <cellStyle name="40% - 5. jelölőszín 2" xfId="19" xr:uid="{00000000-0005-0000-0000-00000E000000}"/>
    <cellStyle name="40% - 6. jelölőszín 2" xfId="20" xr:uid="{00000000-0005-0000-0000-00000F000000}"/>
    <cellStyle name="60% - 1. jelölőszín 2" xfId="21" xr:uid="{00000000-0005-0000-0000-000010000000}"/>
    <cellStyle name="60% - 2. jelölőszín 2" xfId="22" xr:uid="{00000000-0005-0000-0000-000011000000}"/>
    <cellStyle name="60% - 3. jelölőszín 2" xfId="23" xr:uid="{00000000-0005-0000-0000-000012000000}"/>
    <cellStyle name="60% - 4. jelölőszín 2" xfId="24" xr:uid="{00000000-0005-0000-0000-000013000000}"/>
    <cellStyle name="60% - 5. jelölőszín 2" xfId="25" xr:uid="{00000000-0005-0000-0000-000014000000}"/>
    <cellStyle name="60% - 6. jelölőszín 2" xfId="26" xr:uid="{00000000-0005-0000-0000-000015000000}"/>
    <cellStyle name="Bevitel" xfId="1" builtinId="20"/>
    <cellStyle name="Bevitel 2" xfId="27" xr:uid="{00000000-0005-0000-0000-000017000000}"/>
    <cellStyle name="Bevitel 2 2" xfId="56" xr:uid="{00000000-0005-0000-0000-000018000000}"/>
    <cellStyle name="Bevitel 2 2 2" xfId="106" xr:uid="{00000000-0005-0000-0000-000019000000}"/>
    <cellStyle name="Bevitel 2 2 3" xfId="109" xr:uid="{00000000-0005-0000-0000-00001A000000}"/>
    <cellStyle name="Bevitel 2 2 4" xfId="132" xr:uid="{00000000-0005-0000-0000-00001B000000}"/>
    <cellStyle name="Bevitel 2 2 5" xfId="137" xr:uid="{00000000-0005-0000-0000-00001C000000}"/>
    <cellStyle name="Bevitel 2 3" xfId="114" xr:uid="{00000000-0005-0000-0000-00001D000000}"/>
    <cellStyle name="Bevitel 2 4" xfId="126" xr:uid="{00000000-0005-0000-0000-00001E000000}"/>
    <cellStyle name="Bevitel 2 5" xfId="122" xr:uid="{00000000-0005-0000-0000-00001F000000}"/>
    <cellStyle name="Cím 2" xfId="28" xr:uid="{00000000-0005-0000-0000-000020000000}"/>
    <cellStyle name="Címsor 1 2" xfId="29" xr:uid="{00000000-0005-0000-0000-000021000000}"/>
    <cellStyle name="Címsor 2 2" xfId="30" xr:uid="{00000000-0005-0000-0000-000022000000}"/>
    <cellStyle name="Címsor 3 2" xfId="31" xr:uid="{00000000-0005-0000-0000-000023000000}"/>
    <cellStyle name="Címsor 4 2" xfId="32" xr:uid="{00000000-0005-0000-0000-000024000000}"/>
    <cellStyle name="Ellenőrzőcella 2" xfId="33" xr:uid="{00000000-0005-0000-0000-000025000000}"/>
    <cellStyle name="Ezres" xfId="2" builtinId="3"/>
    <cellStyle name="Ezres 2" xfId="139" xr:uid="{00000000-0005-0000-0000-000027000000}"/>
    <cellStyle name="Ezres 2 2" xfId="141" xr:uid="{00000000-0005-0000-0000-000028000000}"/>
    <cellStyle name="Ezres 3" xfId="142" xr:uid="{00000000-0005-0000-0000-000029000000}"/>
    <cellStyle name="Ezres 4" xfId="144" xr:uid="{00000000-0005-0000-0000-00002A000000}"/>
    <cellStyle name="Figyelmeztetés 2" xfId="34" xr:uid="{00000000-0005-0000-0000-00002B000000}"/>
    <cellStyle name="Hivatkozás 10" xfId="80" xr:uid="{00000000-0005-0000-0000-00002C000000}"/>
    <cellStyle name="Hivatkozás 11" xfId="82" xr:uid="{00000000-0005-0000-0000-00002D000000}"/>
    <cellStyle name="Hivatkozás 12" xfId="84" xr:uid="{00000000-0005-0000-0000-00002E000000}"/>
    <cellStyle name="Hivatkozás 13" xfId="86" xr:uid="{00000000-0005-0000-0000-00002F000000}"/>
    <cellStyle name="Hivatkozás 14" xfId="88" xr:uid="{00000000-0005-0000-0000-000030000000}"/>
    <cellStyle name="Hivatkozás 15" xfId="90" xr:uid="{00000000-0005-0000-0000-000031000000}"/>
    <cellStyle name="Hivatkozás 16" xfId="92" xr:uid="{00000000-0005-0000-0000-000032000000}"/>
    <cellStyle name="Hivatkozás 17" xfId="94" xr:uid="{00000000-0005-0000-0000-000033000000}"/>
    <cellStyle name="Hivatkozás 18" xfId="96" xr:uid="{00000000-0005-0000-0000-000034000000}"/>
    <cellStyle name="Hivatkozás 2" xfId="63" xr:uid="{00000000-0005-0000-0000-000035000000}"/>
    <cellStyle name="Hivatkozás 3" xfId="65" xr:uid="{00000000-0005-0000-0000-000036000000}"/>
    <cellStyle name="Hivatkozás 4" xfId="68" xr:uid="{00000000-0005-0000-0000-000037000000}"/>
    <cellStyle name="Hivatkozás 5" xfId="70" xr:uid="{00000000-0005-0000-0000-000038000000}"/>
    <cellStyle name="Hivatkozás 6" xfId="72" xr:uid="{00000000-0005-0000-0000-000039000000}"/>
    <cellStyle name="Hivatkozás 7" xfId="74" xr:uid="{00000000-0005-0000-0000-00003A000000}"/>
    <cellStyle name="Hivatkozás 8" xfId="76" xr:uid="{00000000-0005-0000-0000-00003B000000}"/>
    <cellStyle name="Hivatkozás 9" xfId="78" xr:uid="{00000000-0005-0000-0000-00003C000000}"/>
    <cellStyle name="Hivatkozott cella 2" xfId="35" xr:uid="{00000000-0005-0000-0000-00003D000000}"/>
    <cellStyle name="Jegyzet 2" xfId="36" xr:uid="{00000000-0005-0000-0000-00003E000000}"/>
    <cellStyle name="Jegyzet 2 2" xfId="57" xr:uid="{00000000-0005-0000-0000-00003F000000}"/>
    <cellStyle name="Jegyzet 2 2 2" xfId="105" xr:uid="{00000000-0005-0000-0000-000040000000}"/>
    <cellStyle name="Jegyzet 2 2 3" xfId="121" xr:uid="{00000000-0005-0000-0000-000041000000}"/>
    <cellStyle name="Jegyzet 2 2 4" xfId="131" xr:uid="{00000000-0005-0000-0000-000042000000}"/>
    <cellStyle name="Jegyzet 2 2 5" xfId="136" xr:uid="{00000000-0005-0000-0000-000043000000}"/>
    <cellStyle name="Jegyzet 2 3" xfId="108" xr:uid="{00000000-0005-0000-0000-000044000000}"/>
    <cellStyle name="Jegyzet 2 4" xfId="107" xr:uid="{00000000-0005-0000-0000-000045000000}"/>
    <cellStyle name="Jegyzet 2 5" xfId="99" xr:uid="{00000000-0005-0000-0000-000046000000}"/>
    <cellStyle name="Jelölőszín (1) 2" xfId="37" xr:uid="{00000000-0005-0000-0000-000047000000}"/>
    <cellStyle name="Jelölőszín (2) 2" xfId="38" xr:uid="{00000000-0005-0000-0000-000048000000}"/>
    <cellStyle name="Jelölőszín (2) 3" xfId="67" xr:uid="{00000000-0005-0000-0000-000049000000}"/>
    <cellStyle name="Jelölőszín (3) 2" xfId="39" xr:uid="{00000000-0005-0000-0000-00004A000000}"/>
    <cellStyle name="Jelölőszín (4) 2" xfId="40" xr:uid="{00000000-0005-0000-0000-00004B000000}"/>
    <cellStyle name="Jelölőszín (5) 2" xfId="41" xr:uid="{00000000-0005-0000-0000-00004C000000}"/>
    <cellStyle name="Jelölőszín (6) 2" xfId="42" xr:uid="{00000000-0005-0000-0000-00004D000000}"/>
    <cellStyle name="Jó 2" xfId="43" xr:uid="{00000000-0005-0000-0000-00004E000000}"/>
    <cellStyle name="Kimenet 2" xfId="44" xr:uid="{00000000-0005-0000-0000-00004F000000}"/>
    <cellStyle name="Kimenet 2 2" xfId="58" xr:uid="{00000000-0005-0000-0000-000050000000}"/>
    <cellStyle name="Kimenet 2 2 2" xfId="104" xr:uid="{00000000-0005-0000-0000-000051000000}"/>
    <cellStyle name="Kimenet 2 2 3" xfId="110" xr:uid="{00000000-0005-0000-0000-000052000000}"/>
    <cellStyle name="Kimenet 2 2 4" xfId="130" xr:uid="{00000000-0005-0000-0000-000053000000}"/>
    <cellStyle name="Kimenet 2 2 5" xfId="135" xr:uid="{00000000-0005-0000-0000-000054000000}"/>
    <cellStyle name="Kimenet 2 3" xfId="120" xr:uid="{00000000-0005-0000-0000-000055000000}"/>
    <cellStyle name="Kimenet 2 4" xfId="101" xr:uid="{00000000-0005-0000-0000-000056000000}"/>
    <cellStyle name="Kimenet 2 5" xfId="98" xr:uid="{00000000-0005-0000-0000-000057000000}"/>
    <cellStyle name="Látott hivatkozás 10" xfId="81" xr:uid="{00000000-0005-0000-0000-000058000000}"/>
    <cellStyle name="Látott hivatkozás 11" xfId="83" xr:uid="{00000000-0005-0000-0000-000059000000}"/>
    <cellStyle name="Látott hivatkozás 12" xfId="85" xr:uid="{00000000-0005-0000-0000-00005A000000}"/>
    <cellStyle name="Látott hivatkozás 13" xfId="87" xr:uid="{00000000-0005-0000-0000-00005B000000}"/>
    <cellStyle name="Látott hivatkozás 14" xfId="89" xr:uid="{00000000-0005-0000-0000-00005C000000}"/>
    <cellStyle name="Látott hivatkozás 15" xfId="91" xr:uid="{00000000-0005-0000-0000-00005D000000}"/>
    <cellStyle name="Látott hivatkozás 16" xfId="93" xr:uid="{00000000-0005-0000-0000-00005E000000}"/>
    <cellStyle name="Látott hivatkozás 17" xfId="95" xr:uid="{00000000-0005-0000-0000-00005F000000}"/>
    <cellStyle name="Látott hivatkozás 18" xfId="97" xr:uid="{00000000-0005-0000-0000-000060000000}"/>
    <cellStyle name="Látott hivatkozás 2" xfId="64" xr:uid="{00000000-0005-0000-0000-000061000000}"/>
    <cellStyle name="Látott hivatkozás 3" xfId="66" xr:uid="{00000000-0005-0000-0000-000062000000}"/>
    <cellStyle name="Látott hivatkozás 4" xfId="69" xr:uid="{00000000-0005-0000-0000-000063000000}"/>
    <cellStyle name="Látott hivatkozás 5" xfId="71" xr:uid="{00000000-0005-0000-0000-000064000000}"/>
    <cellStyle name="Látott hivatkozás 6" xfId="73" xr:uid="{00000000-0005-0000-0000-000065000000}"/>
    <cellStyle name="Látott hivatkozás 7" xfId="75" xr:uid="{00000000-0005-0000-0000-000066000000}"/>
    <cellStyle name="Látott hivatkozás 8" xfId="77" xr:uid="{00000000-0005-0000-0000-000067000000}"/>
    <cellStyle name="Látott hivatkozás 9" xfId="79" xr:uid="{00000000-0005-0000-0000-000068000000}"/>
    <cellStyle name="Magyarázó szöveg 2" xfId="45" xr:uid="{00000000-0005-0000-0000-000069000000}"/>
    <cellStyle name="Normál" xfId="0" builtinId="0"/>
    <cellStyle name="Normál 2" xfId="4" xr:uid="{00000000-0005-0000-0000-00006B000000}"/>
    <cellStyle name="Normál 2 2" xfId="8" xr:uid="{00000000-0005-0000-0000-00006C000000}"/>
    <cellStyle name="Normál 3" xfId="52" xr:uid="{00000000-0005-0000-0000-00006D000000}"/>
    <cellStyle name="Normál 3 2" xfId="54" xr:uid="{00000000-0005-0000-0000-00006E000000}"/>
    <cellStyle name="Normál 3 2 2" xfId="117" xr:uid="{00000000-0005-0000-0000-00006F000000}"/>
    <cellStyle name="Normál 3 3" xfId="62" xr:uid="{00000000-0005-0000-0000-000070000000}"/>
    <cellStyle name="Normál 3 3 2" xfId="119" xr:uid="{00000000-0005-0000-0000-000071000000}"/>
    <cellStyle name="Normál 3 4" xfId="115" xr:uid="{00000000-0005-0000-0000-000072000000}"/>
    <cellStyle name="Normál 4" xfId="7" xr:uid="{00000000-0005-0000-0000-000073000000}"/>
    <cellStyle name="Normál 5" xfId="3" xr:uid="{00000000-0005-0000-0000-000074000000}"/>
    <cellStyle name="Normál 6" xfId="140" xr:uid="{00000000-0005-0000-0000-000075000000}"/>
    <cellStyle name="Normál 7" xfId="143" xr:uid="{00000000-0005-0000-0000-000076000000}"/>
    <cellStyle name="Normál 8" xfId="145" xr:uid="{00000000-0005-0000-0000-000077000000}"/>
    <cellStyle name="Összesen 2" xfId="46" xr:uid="{00000000-0005-0000-0000-000078000000}"/>
    <cellStyle name="Összesen 2 2" xfId="59" xr:uid="{00000000-0005-0000-0000-000079000000}"/>
    <cellStyle name="Összesen 2 2 2" xfId="103" xr:uid="{00000000-0005-0000-0000-00007A000000}"/>
    <cellStyle name="Összesen 2 2 3" xfId="111" xr:uid="{00000000-0005-0000-0000-00007B000000}"/>
    <cellStyle name="Összesen 2 2 4" xfId="129" xr:uid="{00000000-0005-0000-0000-00007C000000}"/>
    <cellStyle name="Összesen 2 2 5" xfId="134" xr:uid="{00000000-0005-0000-0000-00007D000000}"/>
    <cellStyle name="Összesen 2 3" xfId="125" xr:uid="{00000000-0005-0000-0000-00007E000000}"/>
    <cellStyle name="Összesen 2 4" xfId="128" xr:uid="{00000000-0005-0000-0000-00007F000000}"/>
    <cellStyle name="Összesen 2 5" xfId="100" xr:uid="{00000000-0005-0000-0000-000080000000}"/>
    <cellStyle name="Pénznem 2" xfId="50" xr:uid="{00000000-0005-0000-0000-000081000000}"/>
    <cellStyle name="Pénznem 3" xfId="5" xr:uid="{00000000-0005-0000-0000-000082000000}"/>
    <cellStyle name="Rossz 2" xfId="47" xr:uid="{00000000-0005-0000-0000-000083000000}"/>
    <cellStyle name="Semleges 2" xfId="48" xr:uid="{00000000-0005-0000-0000-000084000000}"/>
    <cellStyle name="Számítás 2" xfId="49" xr:uid="{00000000-0005-0000-0000-000085000000}"/>
    <cellStyle name="Számítás 2 2" xfId="60" xr:uid="{00000000-0005-0000-0000-000086000000}"/>
    <cellStyle name="Számítás 2 2 2" xfId="102" xr:uid="{00000000-0005-0000-0000-000087000000}"/>
    <cellStyle name="Számítás 2 2 3" xfId="112" xr:uid="{00000000-0005-0000-0000-000088000000}"/>
    <cellStyle name="Számítás 2 2 4" xfId="123" xr:uid="{00000000-0005-0000-0000-000089000000}"/>
    <cellStyle name="Számítás 2 2 5" xfId="133" xr:uid="{00000000-0005-0000-0000-00008A000000}"/>
    <cellStyle name="Számítás 2 3" xfId="124" xr:uid="{00000000-0005-0000-0000-00008B000000}"/>
    <cellStyle name="Számítás 2 4" xfId="127" xr:uid="{00000000-0005-0000-0000-00008C000000}"/>
    <cellStyle name="Számítás 2 5" xfId="113" xr:uid="{00000000-0005-0000-0000-00008D000000}"/>
    <cellStyle name="Százalék" xfId="138" builtinId="5"/>
    <cellStyle name="Százalék 2" xfId="51" xr:uid="{00000000-0005-0000-0000-00008F000000}"/>
    <cellStyle name="Százalék 3" xfId="6" xr:uid="{00000000-0005-0000-0000-000090000000}"/>
    <cellStyle name="TableStyleLight1" xfId="55" xr:uid="{00000000-0005-0000-0000-00009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felhaszn&#225;l&#243;\Desktop\Akt&#237;v%20&#225;llom&#225;ny%202022.11.30.xlsx" TargetMode="External"/><Relationship Id="rId1" Type="http://schemas.openxmlformats.org/officeDocument/2006/relationships/externalLinkPath" Target="Akt&#237;v%20&#225;llom&#225;ny%202022.11.3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2">
          <cell r="C2" t="str">
            <v>Abonyi János</v>
          </cell>
          <cell r="D2" t="str">
            <v>8392423828</v>
          </cell>
        </row>
        <row r="3">
          <cell r="C3" t="str">
            <v>Agg Zoltán</v>
          </cell>
          <cell r="D3" t="str">
            <v>8329823474</v>
          </cell>
        </row>
        <row r="4">
          <cell r="C4" t="str">
            <v>András Ferenc</v>
          </cell>
          <cell r="D4" t="str">
            <v>8352710532</v>
          </cell>
        </row>
        <row r="5">
          <cell r="C5" t="str">
            <v>Banász Zsuzsanna</v>
          </cell>
          <cell r="D5" t="str">
            <v>8424680057</v>
          </cell>
        </row>
        <row r="6">
          <cell r="C6" t="str">
            <v>Barát János</v>
          </cell>
          <cell r="D6" t="str">
            <v>8390681331</v>
          </cell>
        </row>
        <row r="7">
          <cell r="C7" t="str">
            <v>Bátyi Szilvia</v>
          </cell>
          <cell r="D7" t="str">
            <v>8432804142</v>
          </cell>
        </row>
        <row r="8">
          <cell r="C8" t="str">
            <v>Bélafiné Dr Bakó Katalin</v>
          </cell>
          <cell r="D8" t="str">
            <v>8346442386</v>
          </cell>
        </row>
        <row r="9">
          <cell r="C9" t="str">
            <v>Bertók Ákos Botond</v>
          </cell>
          <cell r="D9" t="str">
            <v>8399633682</v>
          </cell>
        </row>
        <row r="10">
          <cell r="C10" t="str">
            <v>Bezdek Károly</v>
          </cell>
          <cell r="D10" t="str">
            <v>8322883846</v>
          </cell>
        </row>
        <row r="11">
          <cell r="C11" t="str">
            <v>Birkner Zoltán</v>
          </cell>
          <cell r="D11" t="str">
            <v>8382052894</v>
          </cell>
        </row>
        <row r="12">
          <cell r="C12" t="str">
            <v>Bocsi Róbert</v>
          </cell>
          <cell r="D12" t="str">
            <v>8417011455</v>
          </cell>
        </row>
        <row r="13">
          <cell r="C13" t="str">
            <v>Boda Dezső</v>
          </cell>
          <cell r="D13" t="str">
            <v>8368763134</v>
          </cell>
        </row>
        <row r="14">
          <cell r="C14" t="str">
            <v>Bogdány Eszter</v>
          </cell>
          <cell r="D14" t="str">
            <v>8432490555</v>
          </cell>
        </row>
        <row r="15">
          <cell r="C15" t="str">
            <v>Bujtás Csilla</v>
          </cell>
          <cell r="D15" t="str">
            <v>8357612733</v>
          </cell>
        </row>
        <row r="16">
          <cell r="C16" t="str">
            <v>Bús Éva Zsuzsanna</v>
          </cell>
          <cell r="D16" t="str">
            <v>8363523275</v>
          </cell>
        </row>
        <row r="17">
          <cell r="C17" t="str">
            <v>Czeglédi Sándor</v>
          </cell>
          <cell r="D17" t="str">
            <v>8374362774</v>
          </cell>
        </row>
        <row r="18">
          <cell r="C18" t="str">
            <v>Czúni László</v>
          </cell>
          <cell r="D18" t="str">
            <v>8386912812</v>
          </cell>
        </row>
        <row r="19">
          <cell r="C19" t="str">
            <v>Somogyiné Dr. Csepregi Anikó Csilla</v>
          </cell>
          <cell r="D19" t="str">
            <v>8419020923</v>
          </cell>
        </row>
        <row r="20">
          <cell r="C20" t="str">
            <v>Cserháti Gabriella</v>
          </cell>
          <cell r="D20" t="str">
            <v>8413122988</v>
          </cell>
        </row>
        <row r="21">
          <cell r="C21" t="str">
            <v>Csernicskó István</v>
          </cell>
          <cell r="D21" t="str">
            <v>8387294322</v>
          </cell>
        </row>
        <row r="22">
          <cell r="C22" t="str">
            <v>Csizmadia Tibor Gábor</v>
          </cell>
          <cell r="D22" t="str">
            <v>8396640823</v>
          </cell>
        </row>
        <row r="23">
          <cell r="C23" t="str">
            <v>Csizmadiáné Dr Czuppon Viktória</v>
          </cell>
          <cell r="D23" t="str">
            <v>8397652094</v>
          </cell>
        </row>
        <row r="24">
          <cell r="C24" t="str">
            <v>Dávid Ákos</v>
          </cell>
          <cell r="D24" t="str">
            <v>8403740913</v>
          </cell>
        </row>
        <row r="25">
          <cell r="C25" t="str">
            <v>Domokos Endre Gábor</v>
          </cell>
          <cell r="D25" t="str">
            <v>8393082064</v>
          </cell>
        </row>
        <row r="26">
          <cell r="C26" t="str">
            <v>Dósa György</v>
          </cell>
          <cell r="D26" t="str">
            <v>8352592858</v>
          </cell>
        </row>
        <row r="27">
          <cell r="C27" t="str">
            <v>Dulai Tibor</v>
          </cell>
          <cell r="D27" t="str">
            <v>8409231832</v>
          </cell>
        </row>
        <row r="28">
          <cell r="C28" t="str">
            <v>Edvy László</v>
          </cell>
          <cell r="D28" t="str">
            <v>8377123479</v>
          </cell>
        </row>
        <row r="29">
          <cell r="C29" t="str">
            <v>Ernszt Ildikó</v>
          </cell>
          <cell r="D29" t="str">
            <v>8405063064</v>
          </cell>
        </row>
        <row r="30">
          <cell r="C30" t="str">
            <v>Fábián Gyöngyi</v>
          </cell>
          <cell r="D30" t="str">
            <v>8333893694</v>
          </cell>
        </row>
        <row r="31">
          <cell r="C31" t="str">
            <v>Farkas Gergely</v>
          </cell>
          <cell r="D31" t="str">
            <v>8438023282</v>
          </cell>
        </row>
        <row r="32">
          <cell r="C32" t="str">
            <v>Pintér Márta</v>
          </cell>
          <cell r="D32" t="str">
            <v>8346201834</v>
          </cell>
        </row>
        <row r="33">
          <cell r="C33" t="str">
            <v>Fehér Helga</v>
          </cell>
          <cell r="D33" t="str">
            <v>8399753726</v>
          </cell>
        </row>
        <row r="34">
          <cell r="C34" t="str">
            <v>Fehérvölgyi Beáta</v>
          </cell>
          <cell r="D34" t="str">
            <v>8398703792</v>
          </cell>
        </row>
        <row r="35">
          <cell r="C35" t="str">
            <v>Fejes Lászlóné Dr Utasi Anett</v>
          </cell>
          <cell r="D35" t="str">
            <v>8391122948</v>
          </cell>
        </row>
        <row r="36">
          <cell r="C36" t="str">
            <v>Fekete-Berzsenyi Hajnalka</v>
          </cell>
          <cell r="D36" t="str">
            <v>8399783617</v>
          </cell>
        </row>
        <row r="37">
          <cell r="C37" t="str">
            <v>Fodor Attila</v>
          </cell>
          <cell r="D37" t="str">
            <v>8409541254</v>
          </cell>
        </row>
        <row r="38">
          <cell r="C38" t="str">
            <v>Fodor Lajos</v>
          </cell>
          <cell r="D38" t="str">
            <v>8380183029</v>
          </cell>
        </row>
        <row r="39">
          <cell r="C39" t="str">
            <v>Fogarassyné Dr. Vathy Ágnes</v>
          </cell>
          <cell r="D39" t="str">
            <v>8389220210</v>
          </cell>
        </row>
        <row r="40">
          <cell r="C40" t="str">
            <v>Forintos Éva Erzsébet</v>
          </cell>
          <cell r="D40" t="str">
            <v>8361012761</v>
          </cell>
        </row>
        <row r="41">
          <cell r="C41" t="str">
            <v>Földes Csaba János</v>
          </cell>
          <cell r="D41" t="str">
            <v>8333952534</v>
          </cell>
        </row>
        <row r="42">
          <cell r="C42" t="str">
            <v>Gelencsér András</v>
          </cell>
          <cell r="D42" t="str">
            <v>8363972193</v>
          </cell>
        </row>
        <row r="43">
          <cell r="C43" t="str">
            <v>Gerzson Miklós</v>
          </cell>
          <cell r="D43" t="str">
            <v>8340202553</v>
          </cell>
        </row>
        <row r="44">
          <cell r="C44" t="str">
            <v>Göllei Attila</v>
          </cell>
          <cell r="D44" t="str">
            <v>8357833284</v>
          </cell>
        </row>
        <row r="45">
          <cell r="C45" t="str">
            <v>Görbe Péter</v>
          </cell>
          <cell r="D45" t="str">
            <v>8385173412</v>
          </cell>
        </row>
        <row r="46">
          <cell r="C46" t="str">
            <v>Gugolya Zoltán</v>
          </cell>
          <cell r="D46" t="str">
            <v>8358022476</v>
          </cell>
        </row>
        <row r="47">
          <cell r="C47" t="str">
            <v>Gurin Péter</v>
          </cell>
          <cell r="D47" t="str">
            <v>8381280249</v>
          </cell>
        </row>
        <row r="48">
          <cell r="C48" t="str">
            <v>Guttman András</v>
          </cell>
          <cell r="D48" t="str">
            <v>8320030072</v>
          </cell>
        </row>
        <row r="49">
          <cell r="C49" t="str">
            <v>Györe Géza</v>
          </cell>
          <cell r="D49" t="str">
            <v>8330322432</v>
          </cell>
        </row>
        <row r="50">
          <cell r="C50" t="str">
            <v>Gyurácz-Németh Petra</v>
          </cell>
          <cell r="D50" t="str">
            <v>8422122847</v>
          </cell>
        </row>
        <row r="51">
          <cell r="C51" t="str">
            <v>Gyurika István Gábor</v>
          </cell>
          <cell r="D51" t="str">
            <v>8422031841</v>
          </cell>
        </row>
        <row r="52">
          <cell r="C52" t="str">
            <v>Hartung Ferenc</v>
          </cell>
          <cell r="D52" t="str">
            <v>8348530169</v>
          </cell>
        </row>
        <row r="53">
          <cell r="C53" t="str">
            <v>Heckl István</v>
          </cell>
          <cell r="D53" t="str">
            <v>8400900790</v>
          </cell>
        </row>
        <row r="54">
          <cell r="C54" t="str">
            <v>Hegedűs Csaba</v>
          </cell>
          <cell r="D54" t="str">
            <v>8432052701</v>
          </cell>
        </row>
        <row r="55">
          <cell r="C55" t="str">
            <v>Hegedűsné Dr. Baranyai Nóra</v>
          </cell>
          <cell r="D55" t="str">
            <v>8405671307</v>
          </cell>
        </row>
        <row r="56">
          <cell r="C56" t="str">
            <v>Hodai Zoltán</v>
          </cell>
          <cell r="D56" t="str">
            <v>8423011275</v>
          </cell>
        </row>
        <row r="57">
          <cell r="C57" t="str">
            <v>Holczinger Tibor</v>
          </cell>
          <cell r="D57" t="str">
            <v>8388423770</v>
          </cell>
        </row>
        <row r="58">
          <cell r="C58" t="str">
            <v>Hortobágyi Ildikó</v>
          </cell>
          <cell r="D58" t="str">
            <v>8341024020</v>
          </cell>
        </row>
        <row r="59">
          <cell r="C59" t="str">
            <v>Horváth Krisztián</v>
          </cell>
          <cell r="D59" t="str">
            <v>8407181587</v>
          </cell>
        </row>
        <row r="60">
          <cell r="C60" t="str">
            <v>Horváth László</v>
          </cell>
          <cell r="D60" t="str">
            <v>8337772778</v>
          </cell>
        </row>
        <row r="61">
          <cell r="C61" t="str">
            <v>Horváth Ottó</v>
          </cell>
          <cell r="D61" t="str">
            <v>8332743370</v>
          </cell>
        </row>
        <row r="62">
          <cell r="C62" t="str">
            <v>Hubai Katalin Eszter</v>
          </cell>
          <cell r="D62" t="str">
            <v>8432360317</v>
          </cell>
        </row>
        <row r="63">
          <cell r="C63" t="str">
            <v>Jankovics Hajnalka</v>
          </cell>
          <cell r="D63" t="str">
            <v>8392552407</v>
          </cell>
        </row>
        <row r="64">
          <cell r="C64" t="str">
            <v>Jaskó Szilárd</v>
          </cell>
          <cell r="D64" t="str">
            <v>8411063054</v>
          </cell>
        </row>
        <row r="65">
          <cell r="C65" t="str">
            <v>Jensen Jody Patricia</v>
          </cell>
          <cell r="D65" t="str">
            <v>8323705771</v>
          </cell>
        </row>
        <row r="66">
          <cell r="C66" t="str">
            <v>Jessner-Schmid Ulrike</v>
          </cell>
          <cell r="D66" t="str">
            <v>8341254700</v>
          </cell>
        </row>
        <row r="67">
          <cell r="C67" t="str">
            <v>Juhász Zoltán</v>
          </cell>
          <cell r="D67" t="str">
            <v>8359470707</v>
          </cell>
        </row>
        <row r="68">
          <cell r="C68" t="str">
            <v>Juzsakova Tatjána</v>
          </cell>
          <cell r="D68" t="str">
            <v>8403195265</v>
          </cell>
        </row>
        <row r="69">
          <cell r="C69" t="str">
            <v>Kaizer József</v>
          </cell>
          <cell r="D69" t="str">
            <v>8368651034</v>
          </cell>
        </row>
        <row r="70">
          <cell r="C70" t="str">
            <v>Kalmár Zoltán</v>
          </cell>
          <cell r="D70" t="str">
            <v>8365062305</v>
          </cell>
        </row>
        <row r="71">
          <cell r="C71" t="str">
            <v>Katonáné Tömördi Katalin Tünde</v>
          </cell>
          <cell r="D71" t="str">
            <v>8369201563</v>
          </cell>
        </row>
        <row r="72">
          <cell r="C72" t="str">
            <v>Kiss Károly Miklós</v>
          </cell>
          <cell r="D72" t="str">
            <v>8373761691</v>
          </cell>
        </row>
        <row r="73">
          <cell r="C73" t="str">
            <v>Kiss Krisztián Attila</v>
          </cell>
          <cell r="D73" t="str">
            <v>8395304986</v>
          </cell>
        </row>
        <row r="74">
          <cell r="C74" t="str">
            <v>Kocánné Dr Pelczéder Katalin</v>
          </cell>
          <cell r="D74" t="str">
            <v>8401964733</v>
          </cell>
        </row>
        <row r="75">
          <cell r="C75" t="str">
            <v>Koczor-Keul Melinda</v>
          </cell>
          <cell r="D75" t="str">
            <v>8408294245</v>
          </cell>
        </row>
        <row r="76">
          <cell r="C76" t="str">
            <v>Korim Tamás</v>
          </cell>
          <cell r="D76" t="str">
            <v>8349432063</v>
          </cell>
        </row>
        <row r="77">
          <cell r="C77" t="str">
            <v>Kosztyán Zsolt Tibor</v>
          </cell>
          <cell r="D77" t="str">
            <v>8404621748</v>
          </cell>
        </row>
        <row r="78">
          <cell r="C78" t="str">
            <v>Kovács Gábor</v>
          </cell>
          <cell r="D78" t="str">
            <v>8413511798</v>
          </cell>
        </row>
        <row r="79">
          <cell r="C79" t="str">
            <v>Kovács Margit</v>
          </cell>
          <cell r="D79" t="str">
            <v>8400442539</v>
          </cell>
        </row>
        <row r="80">
          <cell r="C80" t="str">
            <v>Kovács Tibor János</v>
          </cell>
          <cell r="D80" t="str">
            <v>8372881383</v>
          </cell>
        </row>
        <row r="81">
          <cell r="C81" t="str">
            <v>Kovács Zoltán</v>
          </cell>
          <cell r="D81" t="str">
            <v>8324893164</v>
          </cell>
        </row>
        <row r="82">
          <cell r="C82" t="str">
            <v>Kovács Zsófia</v>
          </cell>
          <cell r="D82" t="str">
            <v>8417671102</v>
          </cell>
        </row>
        <row r="83">
          <cell r="C83" t="str">
            <v>Kovács Nóra Julianna</v>
          </cell>
          <cell r="D83" t="str">
            <v>8354973050</v>
          </cell>
        </row>
        <row r="84">
          <cell r="C84" t="str">
            <v>Kővári Edit Mária</v>
          </cell>
          <cell r="D84" t="str">
            <v>8393305691</v>
          </cell>
        </row>
        <row r="85">
          <cell r="C85" t="str">
            <v>Krasznai Beáta</v>
          </cell>
          <cell r="D85" t="str">
            <v>8390182424</v>
          </cell>
        </row>
        <row r="86">
          <cell r="C86" t="str">
            <v>Kristóf Tamás</v>
          </cell>
          <cell r="D86" t="str">
            <v>8350662190</v>
          </cell>
        </row>
        <row r="87">
          <cell r="C87" t="str">
            <v>Kristófné Dr Makó Éva Mária</v>
          </cell>
          <cell r="D87" t="str">
            <v>8363851310</v>
          </cell>
        </row>
        <row r="88">
          <cell r="C88" t="str">
            <v>Kubinger-Pillmann Judit</v>
          </cell>
          <cell r="D88" t="str">
            <v>8422512769</v>
          </cell>
        </row>
        <row r="89">
          <cell r="C89" t="str">
            <v>Kurdi Róbert</v>
          </cell>
          <cell r="D89" t="str">
            <v>8395913354</v>
          </cell>
        </row>
        <row r="90">
          <cell r="C90" t="str">
            <v>Ladányi István</v>
          </cell>
          <cell r="D90" t="str">
            <v>8353533073</v>
          </cell>
        </row>
        <row r="91">
          <cell r="C91" t="str">
            <v>Lagzi Gábor Zoltán</v>
          </cell>
          <cell r="D91" t="str">
            <v>8393375789</v>
          </cell>
        </row>
        <row r="92">
          <cell r="C92" t="str">
            <v>Lakk-Bogáth Dóra</v>
          </cell>
          <cell r="D92" t="str">
            <v>8439630735</v>
          </cell>
        </row>
        <row r="93">
          <cell r="C93" t="str">
            <v>Leitold Adrien Ilona</v>
          </cell>
          <cell r="D93" t="str">
            <v>8344203074</v>
          </cell>
        </row>
        <row r="94">
          <cell r="C94" t="str">
            <v>Lendvay György</v>
          </cell>
          <cell r="D94" t="str">
            <v>8324113819</v>
          </cell>
        </row>
        <row r="95">
          <cell r="C95" t="str">
            <v>Liker András</v>
          </cell>
          <cell r="D95" t="str">
            <v>8360760632</v>
          </cell>
        </row>
        <row r="96">
          <cell r="C96" t="str">
            <v>Lőrincz Katalin</v>
          </cell>
          <cell r="D96" t="str">
            <v>8384390509</v>
          </cell>
        </row>
        <row r="97">
          <cell r="C97" t="str">
            <v>Lukács Attila</v>
          </cell>
          <cell r="D97" t="str">
            <v>8414223338</v>
          </cell>
        </row>
        <row r="98">
          <cell r="C98" t="str">
            <v>Madarász Eszter</v>
          </cell>
          <cell r="D98" t="str">
            <v>8402144543</v>
          </cell>
        </row>
        <row r="99">
          <cell r="C99" t="str">
            <v>Magyar Attila</v>
          </cell>
          <cell r="D99" t="str">
            <v>8412140524</v>
          </cell>
        </row>
        <row r="100">
          <cell r="C100" t="str">
            <v>Medvegy Tibor</v>
          </cell>
          <cell r="D100" t="str">
            <v>8433111051</v>
          </cell>
        </row>
        <row r="101">
          <cell r="C101" t="str">
            <v>Mester Sándor</v>
          </cell>
          <cell r="D101" t="str">
            <v>8440682115</v>
          </cell>
        </row>
        <row r="102">
          <cell r="C102" t="str">
            <v>Mihálykó Lajos Csaba</v>
          </cell>
          <cell r="D102" t="str">
            <v>8349842210</v>
          </cell>
        </row>
        <row r="103">
          <cell r="C103" t="str">
            <v>Mihálykóné Dr. Orbán Éva</v>
          </cell>
          <cell r="D103" t="str">
            <v>8356021898</v>
          </cell>
        </row>
        <row r="104">
          <cell r="C104" t="str">
            <v>Miskolczi Norbert</v>
          </cell>
          <cell r="D104" t="str">
            <v>8405472754</v>
          </cell>
        </row>
        <row r="105">
          <cell r="C105" t="str">
            <v>Miszlivetz Ferenc József</v>
          </cell>
          <cell r="D105" t="str">
            <v>8319363632</v>
          </cell>
        </row>
        <row r="106">
          <cell r="C106" t="str">
            <v>Molnár Tamás</v>
          </cell>
          <cell r="D106" t="str">
            <v>8356902746</v>
          </cell>
        </row>
        <row r="107">
          <cell r="C107" t="str">
            <v>Molnárné Dr. Barna Katalin</v>
          </cell>
          <cell r="D107" t="str">
            <v>8407302430</v>
          </cell>
        </row>
        <row r="108">
          <cell r="C108" t="str">
            <v>Nagy András</v>
          </cell>
          <cell r="D108" t="str">
            <v>8326653225</v>
          </cell>
        </row>
        <row r="109">
          <cell r="C109" t="str">
            <v>Tóth-Nagy Georgina</v>
          </cell>
          <cell r="D109" t="str">
            <v>8440712316</v>
          </cell>
        </row>
        <row r="110">
          <cell r="C110" t="str">
            <v>Nagy Lajos</v>
          </cell>
          <cell r="D110" t="str">
            <v>8348782737</v>
          </cell>
        </row>
        <row r="111">
          <cell r="C111" t="str">
            <v>Navracsics Judit</v>
          </cell>
          <cell r="D111" t="str">
            <v>8341813394</v>
          </cell>
        </row>
        <row r="112">
          <cell r="C112" t="str">
            <v>Nemestóthy Béla Nándor</v>
          </cell>
          <cell r="D112" t="str">
            <v>8399760935</v>
          </cell>
        </row>
        <row r="113">
          <cell r="C113" t="str">
            <v>Németh Csaba</v>
          </cell>
          <cell r="D113" t="str">
            <v>8352692267</v>
          </cell>
        </row>
        <row r="114">
          <cell r="C114" t="str">
            <v>Németh Kornél</v>
          </cell>
          <cell r="D114" t="str">
            <v>8415163150</v>
          </cell>
        </row>
        <row r="115">
          <cell r="C115" t="str">
            <v>Németh Sándor</v>
          </cell>
          <cell r="D115" t="str">
            <v>8353332485</v>
          </cell>
        </row>
        <row r="116">
          <cell r="C116" t="str">
            <v>Neumanné Dr. Virág Ildikó</v>
          </cell>
          <cell r="D116" t="str">
            <v>8362763639</v>
          </cell>
        </row>
        <row r="117">
          <cell r="C117" t="str">
            <v>Obermayer Nóra</v>
          </cell>
          <cell r="D117" t="str">
            <v>8403762941</v>
          </cell>
        </row>
        <row r="118">
          <cell r="C118" t="str">
            <v>Ortutay Katalin Ágota</v>
          </cell>
          <cell r="D118" t="str">
            <v>8342323544</v>
          </cell>
        </row>
        <row r="119">
          <cell r="C119" t="str">
            <v>Padisák Judit</v>
          </cell>
          <cell r="D119" t="str">
            <v>8324144846</v>
          </cell>
        </row>
        <row r="120">
          <cell r="C120" t="str">
            <v>Papp Zsófia Márta</v>
          </cell>
          <cell r="D120" t="str">
            <v>8403181604</v>
          </cell>
        </row>
        <row r="121">
          <cell r="C121" t="str">
            <v>Péter Erzsébet</v>
          </cell>
          <cell r="D121" t="str">
            <v>8410460823</v>
          </cell>
        </row>
        <row r="122">
          <cell r="C122" t="str">
            <v>Pintér Gábor</v>
          </cell>
          <cell r="D122" t="str">
            <v>8421732463</v>
          </cell>
        </row>
        <row r="123">
          <cell r="C123" t="str">
            <v>Pituk Mihály</v>
          </cell>
          <cell r="D123" t="str">
            <v>8350062770</v>
          </cell>
        </row>
        <row r="124">
          <cell r="C124" t="str">
            <v>Pósfai Mihály</v>
          </cell>
          <cell r="D124" t="str">
            <v>8351710237</v>
          </cell>
        </row>
        <row r="125">
          <cell r="C125" t="str">
            <v>Pozsgai Tamás</v>
          </cell>
          <cell r="D125" t="str">
            <v>8395470916</v>
          </cell>
        </row>
        <row r="126">
          <cell r="C126" t="str">
            <v>Raffai Csilla</v>
          </cell>
          <cell r="D126" t="str">
            <v>8400144694</v>
          </cell>
        </row>
        <row r="127">
          <cell r="C127" t="str">
            <v>Raffay-Danyi Ágnes Nóra</v>
          </cell>
          <cell r="D127" t="str">
            <v>8395384386</v>
          </cell>
        </row>
        <row r="128">
          <cell r="C128" t="str">
            <v>Pethő Dóra</v>
          </cell>
          <cell r="D128" t="str">
            <v>8424470087</v>
          </cell>
        </row>
        <row r="129">
          <cell r="C129" t="str">
            <v>Rochlitzné Sajben Ágnes Mária</v>
          </cell>
          <cell r="D129" t="str">
            <v>8361703136</v>
          </cell>
        </row>
        <row r="130">
          <cell r="C130" t="str">
            <v>Rosta Imre</v>
          </cell>
          <cell r="D130" t="str">
            <v>8342612481</v>
          </cell>
        </row>
        <row r="131">
          <cell r="C131" t="str">
            <v>Rostási Ágnes</v>
          </cell>
          <cell r="D131" t="str">
            <v>8418752394</v>
          </cell>
        </row>
        <row r="132">
          <cell r="C132" t="str">
            <v>Sasné Dr. Grósz Annamária</v>
          </cell>
          <cell r="D132" t="str">
            <v>8382142222</v>
          </cell>
        </row>
        <row r="133">
          <cell r="C133" t="str">
            <v>Schné Tamás</v>
          </cell>
          <cell r="D133" t="str">
            <v>8414102573</v>
          </cell>
        </row>
        <row r="134">
          <cell r="C134" t="str">
            <v>Selmeczy Géza Balázs</v>
          </cell>
          <cell r="D134" t="str">
            <v>8438311180</v>
          </cell>
        </row>
        <row r="135">
          <cell r="C135" t="str">
            <v>Sikné Dr. Lányi Cecília Ilona</v>
          </cell>
          <cell r="D135" t="str">
            <v>8338001759</v>
          </cell>
        </row>
        <row r="136">
          <cell r="C136" t="str">
            <v>Skodáné Dr. Földes Rita</v>
          </cell>
          <cell r="D136" t="str">
            <v>8353562642</v>
          </cell>
        </row>
        <row r="137">
          <cell r="C137" t="str">
            <v>Somogyi Viola</v>
          </cell>
          <cell r="D137" t="str">
            <v>8410920832</v>
          </cell>
        </row>
        <row r="138">
          <cell r="C138" t="str">
            <v>Somogyvári Lajos Ferenc</v>
          </cell>
          <cell r="D138" t="str">
            <v>8411262855</v>
          </cell>
        </row>
        <row r="139">
          <cell r="C139" t="str">
            <v>Starkné Dr. Werner Ágnes</v>
          </cell>
          <cell r="D139" t="str">
            <v>8354942813</v>
          </cell>
        </row>
        <row r="140">
          <cell r="C140" t="str">
            <v>Stenger-Kovács Csilla</v>
          </cell>
          <cell r="D140" t="str">
            <v>8411312577</v>
          </cell>
        </row>
        <row r="141">
          <cell r="C141" t="str">
            <v>Sulyok Márta Judit</v>
          </cell>
          <cell r="D141" t="str">
            <v>8405474196</v>
          </cell>
        </row>
        <row r="142">
          <cell r="C142" t="str">
            <v>Süle Zoltán</v>
          </cell>
          <cell r="D142" t="str">
            <v>8413880491</v>
          </cell>
        </row>
        <row r="143">
          <cell r="C143" t="str">
            <v>Szabó Andrea</v>
          </cell>
          <cell r="D143" t="str">
            <v>8382493424</v>
          </cell>
        </row>
        <row r="144">
          <cell r="C144" t="str">
            <v>Szabóné Dr Bárdos Erzsébet</v>
          </cell>
          <cell r="D144" t="str">
            <v>8349921730</v>
          </cell>
        </row>
        <row r="145">
          <cell r="C145" t="str">
            <v>Szalai István</v>
          </cell>
          <cell r="D145" t="str">
            <v>8325913762</v>
          </cell>
        </row>
        <row r="146">
          <cell r="C146" t="str">
            <v>Szalkai István</v>
          </cell>
          <cell r="D146" t="str">
            <v>8341372746</v>
          </cell>
        </row>
        <row r="147">
          <cell r="C147" t="str">
            <v>Szávai Dorottya Anna</v>
          </cell>
          <cell r="D147" t="str">
            <v>8371460325</v>
          </cell>
        </row>
        <row r="148">
          <cell r="C148" t="str">
            <v>Szentgyörgyi Szilárd Sándor</v>
          </cell>
          <cell r="D148" t="str">
            <v>8381323010</v>
          </cell>
        </row>
        <row r="149">
          <cell r="C149" t="str">
            <v>Szikszai Szabolcs</v>
          </cell>
          <cell r="D149" t="str">
            <v>8396600406</v>
          </cell>
        </row>
        <row r="150">
          <cell r="C150" t="str">
            <v>Szücs Veronika</v>
          </cell>
          <cell r="D150" t="str">
            <v>8386243686</v>
          </cell>
        </row>
        <row r="151">
          <cell r="C151" t="str">
            <v>Takács-Bárkányi Ágnes</v>
          </cell>
          <cell r="D151" t="str">
            <v>8439201346</v>
          </cell>
        </row>
        <row r="152">
          <cell r="C152" t="str">
            <v>Tarczali Tünde Tímea</v>
          </cell>
          <cell r="D152" t="str">
            <v>8403263651</v>
          </cell>
        </row>
        <row r="153">
          <cell r="C153" t="str">
            <v>Telcs András</v>
          </cell>
          <cell r="D153" t="str">
            <v>8325703113</v>
          </cell>
        </row>
        <row r="154">
          <cell r="C154" t="str">
            <v>Timár Imre</v>
          </cell>
          <cell r="D154" t="str">
            <v>8310853262</v>
          </cell>
        </row>
        <row r="155">
          <cell r="C155" t="str">
            <v>Tóth József Péter</v>
          </cell>
          <cell r="D155" t="str">
            <v>8350671920</v>
          </cell>
        </row>
        <row r="156">
          <cell r="C156" t="str">
            <v>Tóth-Bodrogi Edit</v>
          </cell>
          <cell r="D156" t="str">
            <v>8408031821</v>
          </cell>
        </row>
        <row r="157">
          <cell r="C157" t="str">
            <v>Kaszás Nikoletta</v>
          </cell>
          <cell r="D157" t="str">
            <v>8438731872</v>
          </cell>
        </row>
        <row r="158">
          <cell r="C158" t="str">
            <v>Tuza Zsolt László</v>
          </cell>
          <cell r="D158" t="str">
            <v>8316733579</v>
          </cell>
        </row>
        <row r="159">
          <cell r="C159" t="str">
            <v>Ulbert Zsolt</v>
          </cell>
          <cell r="D159" t="str">
            <v>8364652524</v>
          </cell>
        </row>
        <row r="160">
          <cell r="C160" t="str">
            <v>V Szabó László</v>
          </cell>
          <cell r="D160" t="str">
            <v>8369293506</v>
          </cell>
        </row>
        <row r="161">
          <cell r="C161" t="str">
            <v>Vágvölgyi Veronika</v>
          </cell>
          <cell r="D161" t="str">
            <v>8410933446</v>
          </cell>
        </row>
        <row r="162">
          <cell r="C162" t="str">
            <v>Valicsek Zsolt</v>
          </cell>
          <cell r="D162" t="str">
            <v>8412803434</v>
          </cell>
        </row>
        <row r="163">
          <cell r="C163" t="str">
            <v>Valiskó Mónika</v>
          </cell>
          <cell r="D163" t="str">
            <v>8397553649</v>
          </cell>
        </row>
        <row r="164">
          <cell r="C164" t="str">
            <v>Varga Csilla</v>
          </cell>
          <cell r="D164" t="str">
            <v>8423011763</v>
          </cell>
        </row>
        <row r="165">
          <cell r="C165" t="str">
            <v>Varga Szabolcs</v>
          </cell>
          <cell r="D165" t="str">
            <v>8387271209</v>
          </cell>
        </row>
        <row r="166">
          <cell r="C166" t="str">
            <v>Varga Tamás</v>
          </cell>
          <cell r="D166" t="str">
            <v>8416043760</v>
          </cell>
        </row>
        <row r="167">
          <cell r="C167" t="str">
            <v>Vassányi István</v>
          </cell>
          <cell r="D167" t="str">
            <v>8374654287</v>
          </cell>
        </row>
        <row r="168">
          <cell r="C168" t="str">
            <v>Veres Zoltán</v>
          </cell>
          <cell r="D168" t="str">
            <v>8315302531</v>
          </cell>
        </row>
        <row r="169">
          <cell r="C169" t="str">
            <v>Vigh-Szabó Melinda Erzsébet</v>
          </cell>
          <cell r="D169" t="str">
            <v>8393730538</v>
          </cell>
        </row>
        <row r="170">
          <cell r="C170" t="str">
            <v>Vonderviszt Ferenc</v>
          </cell>
          <cell r="D170" t="str">
            <v>8334552580</v>
          </cell>
        </row>
        <row r="171">
          <cell r="C171" t="str">
            <v>Vörösházi Zsolt</v>
          </cell>
          <cell r="D171" t="str">
            <v>8409140497</v>
          </cell>
        </row>
        <row r="172">
          <cell r="C172" t="str">
            <v>Zsigmond Anikó</v>
          </cell>
          <cell r="D172" t="str">
            <v>8365743329</v>
          </cell>
        </row>
        <row r="173">
          <cell r="C173" t="str">
            <v>Bakonyi Péter</v>
          </cell>
          <cell r="D173" t="str">
            <v>8433500570</v>
          </cell>
        </row>
        <row r="174">
          <cell r="C174" t="str">
            <v>Baumgartner János</v>
          </cell>
          <cell r="D174" t="str">
            <v>8433880187</v>
          </cell>
        </row>
        <row r="175">
          <cell r="C175" t="str">
            <v>Egedy Attila</v>
          </cell>
          <cell r="D175" t="str">
            <v>8439610572</v>
          </cell>
        </row>
        <row r="176">
          <cell r="C176" t="str">
            <v>Galambos Ildikó</v>
          </cell>
          <cell r="D176" t="str">
            <v>8406163348</v>
          </cell>
        </row>
        <row r="177">
          <cell r="C177" t="str">
            <v>Gerencsérné Dr. Berta Renáta</v>
          </cell>
          <cell r="D177" t="str">
            <v>8407900273</v>
          </cell>
        </row>
        <row r="178">
          <cell r="C178" t="str">
            <v>Hajba László</v>
          </cell>
          <cell r="D178" t="str">
            <v>8396661065</v>
          </cell>
        </row>
        <row r="179">
          <cell r="C179" t="str">
            <v>Halász László</v>
          </cell>
          <cell r="D179" t="str">
            <v>8355472470</v>
          </cell>
        </row>
        <row r="180">
          <cell r="C180" t="str">
            <v>Hargitai Dávid Máté</v>
          </cell>
          <cell r="D180" t="str">
            <v>8440643195</v>
          </cell>
        </row>
        <row r="181">
          <cell r="C181" t="str">
            <v>Horváth Barnabás</v>
          </cell>
          <cell r="D181" t="str">
            <v>8410220024</v>
          </cell>
        </row>
        <row r="182">
          <cell r="C182" t="str">
            <v>Kósa István</v>
          </cell>
          <cell r="D182" t="str">
            <v>8348102639</v>
          </cell>
        </row>
        <row r="183">
          <cell r="C183" t="str">
            <v>Lipovits Ágnes</v>
          </cell>
          <cell r="D183" t="str">
            <v>8376711709</v>
          </cell>
        </row>
        <row r="184">
          <cell r="C184" t="str">
            <v>Nagy Roland</v>
          </cell>
          <cell r="D184" t="str">
            <v>8416232512</v>
          </cell>
        </row>
        <row r="185">
          <cell r="C185" t="str">
            <v>Pribojszki-Németh Anikó</v>
          </cell>
          <cell r="D185" t="str">
            <v>8426141927</v>
          </cell>
        </row>
        <row r="186">
          <cell r="C186" t="str">
            <v>Sebestyén Viktor</v>
          </cell>
          <cell r="D186" t="str">
            <v>8442983112</v>
          </cell>
        </row>
        <row r="187">
          <cell r="C187" t="str">
            <v>Seress Gábor László</v>
          </cell>
          <cell r="D187" t="str">
            <v>8424702352</v>
          </cell>
        </row>
        <row r="188">
          <cell r="C188" t="str">
            <v>Tóth Gábor</v>
          </cell>
          <cell r="D188" t="str">
            <v>8426142613</v>
          </cell>
        </row>
        <row r="189">
          <cell r="C189" t="str">
            <v>Beretzky Péter Márk</v>
          </cell>
          <cell r="D189" t="str">
            <v>8376941402</v>
          </cell>
        </row>
        <row r="190">
          <cell r="C190" t="str">
            <v>Dániel Zoltán András</v>
          </cell>
          <cell r="D190" t="str">
            <v>8405303510</v>
          </cell>
        </row>
        <row r="191">
          <cell r="C191" t="str">
            <v>Forró Zsuzsanna</v>
          </cell>
          <cell r="D191" t="str">
            <v>8338103594</v>
          </cell>
        </row>
        <row r="192">
          <cell r="C192" t="str">
            <v>Szentes Balázs</v>
          </cell>
          <cell r="D192" t="str">
            <v>8412822315</v>
          </cell>
        </row>
        <row r="193">
          <cell r="C193" t="str">
            <v>Szentessy Balázs</v>
          </cell>
          <cell r="D193" t="str">
            <v>8371831331</v>
          </cell>
        </row>
        <row r="194">
          <cell r="C194" t="str">
            <v>Szőke Andrea</v>
          </cell>
          <cell r="D194" t="str">
            <v>8402301541</v>
          </cell>
        </row>
        <row r="195">
          <cell r="C195" t="str">
            <v>Vincze András</v>
          </cell>
          <cell r="D195" t="str">
            <v>8372793190</v>
          </cell>
        </row>
        <row r="196">
          <cell r="C196" t="str">
            <v>Adorján Kolos</v>
          </cell>
          <cell r="D196" t="str">
            <v>8415210264</v>
          </cell>
        </row>
        <row r="197">
          <cell r="C197" t="str">
            <v>Antal János</v>
          </cell>
          <cell r="D197" t="str">
            <v>8351102644</v>
          </cell>
        </row>
        <row r="198">
          <cell r="C198" t="str">
            <v>Aporfiné Nagy Andrea</v>
          </cell>
          <cell r="D198" t="str">
            <v>8350062436</v>
          </cell>
        </row>
        <row r="199">
          <cell r="C199" t="str">
            <v>Árkovits Natália</v>
          </cell>
          <cell r="D199" t="str">
            <v>8387944947</v>
          </cell>
        </row>
        <row r="200">
          <cell r="C200" t="str">
            <v>Balla Beáta</v>
          </cell>
          <cell r="D200" t="str">
            <v>8393403200</v>
          </cell>
        </row>
        <row r="201">
          <cell r="C201" t="str">
            <v>Balla Judit</v>
          </cell>
          <cell r="D201" t="str">
            <v>8406592389</v>
          </cell>
        </row>
        <row r="202">
          <cell r="C202" t="str">
            <v>Balogh András</v>
          </cell>
          <cell r="D202" t="str">
            <v>8396515204</v>
          </cell>
        </row>
        <row r="203">
          <cell r="C203" t="str">
            <v>Baloghné Simon Ágnes</v>
          </cell>
          <cell r="D203" t="str">
            <v>8403482019</v>
          </cell>
        </row>
        <row r="204">
          <cell r="C204" t="str">
            <v>Bankóné Ürményi Carmen</v>
          </cell>
          <cell r="D204" t="str">
            <v>8363372080</v>
          </cell>
        </row>
        <row r="205">
          <cell r="C205" t="str">
            <v>Bánkuti Petra</v>
          </cell>
          <cell r="D205" t="str">
            <v>8449900085</v>
          </cell>
        </row>
        <row r="206">
          <cell r="C206" t="str">
            <v>Bartos Andrea</v>
          </cell>
          <cell r="D206" t="str">
            <v>8352431714</v>
          </cell>
        </row>
        <row r="207">
          <cell r="C207" t="str">
            <v>Bede András Lajosné</v>
          </cell>
          <cell r="D207" t="str">
            <v>8370861563</v>
          </cell>
        </row>
        <row r="208">
          <cell r="C208" t="str">
            <v>Benkő Andrea</v>
          </cell>
          <cell r="D208" t="str">
            <v>8375151610</v>
          </cell>
        </row>
        <row r="209">
          <cell r="C209" t="str">
            <v>Benkő Balázs</v>
          </cell>
          <cell r="D209" t="str">
            <v>8371162944</v>
          </cell>
        </row>
        <row r="210">
          <cell r="C210" t="str">
            <v>Rodek Nóra</v>
          </cell>
          <cell r="D210" t="str">
            <v>8405784101</v>
          </cell>
        </row>
        <row r="211">
          <cell r="C211" t="str">
            <v>Bertalan Mónika</v>
          </cell>
          <cell r="D211" t="str">
            <v>8388711881</v>
          </cell>
        </row>
        <row r="212">
          <cell r="C212" t="str">
            <v>Biró Anett</v>
          </cell>
          <cell r="D212" t="str">
            <v>8398384042</v>
          </cell>
        </row>
        <row r="213">
          <cell r="C213" t="str">
            <v>Bíró Ildikó</v>
          </cell>
          <cell r="D213" t="str">
            <v>8415712928</v>
          </cell>
        </row>
        <row r="214">
          <cell r="C214" t="str">
            <v>Bognárné Sabjanics Angéla</v>
          </cell>
          <cell r="D214" t="str">
            <v>8334653166</v>
          </cell>
        </row>
        <row r="215">
          <cell r="C215" t="str">
            <v>Bokrossy-Csiba Mária</v>
          </cell>
          <cell r="D215" t="str">
            <v>8399050482</v>
          </cell>
        </row>
        <row r="216">
          <cell r="C216" t="str">
            <v>Kovács Edit</v>
          </cell>
          <cell r="D216" t="str">
            <v>8374741791</v>
          </cell>
        </row>
        <row r="217">
          <cell r="C217" t="str">
            <v>Borók Jánosné</v>
          </cell>
          <cell r="D217" t="str">
            <v>8375791911</v>
          </cell>
        </row>
        <row r="218">
          <cell r="C218" t="str">
            <v>Bucsky Anikó</v>
          </cell>
          <cell r="D218" t="str">
            <v>8391703703</v>
          </cell>
        </row>
        <row r="219">
          <cell r="C219" t="str">
            <v>Bui Pál</v>
          </cell>
          <cell r="D219" t="str">
            <v>8340680668</v>
          </cell>
        </row>
        <row r="220">
          <cell r="C220" t="str">
            <v>Csabáné Molnár Andrea</v>
          </cell>
          <cell r="D220" t="str">
            <v>8351583782</v>
          </cell>
        </row>
        <row r="221">
          <cell r="C221" t="str">
            <v>Csillag Zsolt</v>
          </cell>
          <cell r="D221" t="str">
            <v>8419450189</v>
          </cell>
        </row>
        <row r="222">
          <cell r="C222" t="str">
            <v>Csizmadia Ferenc</v>
          </cell>
          <cell r="D222" t="str">
            <v>8375073423</v>
          </cell>
        </row>
        <row r="223">
          <cell r="C223" t="str">
            <v>Csomai Zsuzsanna</v>
          </cell>
          <cell r="D223" t="str">
            <v>8437650712</v>
          </cell>
        </row>
        <row r="224">
          <cell r="C224" t="str">
            <v>Csonkáné Pallag Mónika</v>
          </cell>
          <cell r="D224" t="str">
            <v>8369322778</v>
          </cell>
        </row>
        <row r="225">
          <cell r="C225" t="str">
            <v>Dezső Zsuzsanna</v>
          </cell>
          <cell r="D225" t="str">
            <v>8375183237</v>
          </cell>
        </row>
        <row r="226">
          <cell r="C226" t="str">
            <v>Domján Gábor</v>
          </cell>
          <cell r="D226" t="str">
            <v>8427102364</v>
          </cell>
        </row>
        <row r="227">
          <cell r="C227" t="str">
            <v>Farkas Béla</v>
          </cell>
          <cell r="D227" t="str">
            <v>8331781015</v>
          </cell>
        </row>
        <row r="228">
          <cell r="C228" t="str">
            <v>Farkas Ferenc</v>
          </cell>
          <cell r="D228" t="str">
            <v>8425041317</v>
          </cell>
        </row>
        <row r="229">
          <cell r="C229" t="str">
            <v>Farkas István</v>
          </cell>
          <cell r="D229" t="str">
            <v>8332283086</v>
          </cell>
        </row>
        <row r="230">
          <cell r="C230" t="str">
            <v>Farkas Krisztina</v>
          </cell>
          <cell r="D230" t="str">
            <v>8404800294</v>
          </cell>
        </row>
        <row r="231">
          <cell r="C231" t="str">
            <v>Fehérné Varga Tünde</v>
          </cell>
          <cell r="D231" t="str">
            <v>8372712697</v>
          </cell>
        </row>
        <row r="232">
          <cell r="C232" t="str">
            <v>Feilné Kulcsár Eszter</v>
          </cell>
          <cell r="D232" t="str">
            <v>8426023649</v>
          </cell>
        </row>
        <row r="233">
          <cell r="C233" t="str">
            <v>Fekete-Szabó Otília</v>
          </cell>
          <cell r="D233" t="str">
            <v>8404622922</v>
          </cell>
        </row>
        <row r="234">
          <cell r="C234" t="str">
            <v>Felföldi Gábor</v>
          </cell>
          <cell r="D234" t="str">
            <v>8416410135</v>
          </cell>
        </row>
        <row r="235">
          <cell r="C235" t="str">
            <v>Takácsné Ferenczik Brigitta</v>
          </cell>
          <cell r="D235" t="str">
            <v>8430941800</v>
          </cell>
        </row>
        <row r="236">
          <cell r="C236" t="str">
            <v>Fódi Éva</v>
          </cell>
          <cell r="D236" t="str">
            <v>8390261707</v>
          </cell>
        </row>
        <row r="237">
          <cell r="C237" t="str">
            <v>Fojtyikné Dressel Rita</v>
          </cell>
          <cell r="D237" t="str">
            <v>8394864074</v>
          </cell>
        </row>
        <row r="238">
          <cell r="C238" t="str">
            <v>Frits Márton</v>
          </cell>
          <cell r="D238" t="str">
            <v>8438500706</v>
          </cell>
        </row>
        <row r="239">
          <cell r="C239" t="str">
            <v>Fülöp Réka Hajnalka</v>
          </cell>
          <cell r="D239" t="str">
            <v>8374913193</v>
          </cell>
        </row>
        <row r="240">
          <cell r="C240" t="str">
            <v>Gál Balázs</v>
          </cell>
          <cell r="D240" t="str">
            <v>8400004086</v>
          </cell>
        </row>
        <row r="241">
          <cell r="C241" t="str">
            <v>Gelencsér Beáta</v>
          </cell>
          <cell r="D241" t="str">
            <v>8385343660</v>
          </cell>
        </row>
        <row r="242">
          <cell r="C242" t="str">
            <v>Gelencsérné Katonka Ibolya</v>
          </cell>
          <cell r="D242" t="str">
            <v>8335073988</v>
          </cell>
        </row>
        <row r="243">
          <cell r="C243" t="str">
            <v>Golarits Miklós</v>
          </cell>
          <cell r="D243" t="str">
            <v>8351692085</v>
          </cell>
        </row>
        <row r="244">
          <cell r="C244" t="str">
            <v>Göllei Attila Róbertné</v>
          </cell>
          <cell r="D244" t="str">
            <v>8366163326</v>
          </cell>
        </row>
        <row r="245">
          <cell r="C245" t="str">
            <v>Görögné Kővári Krisztina</v>
          </cell>
          <cell r="D245" t="str">
            <v>8411441628</v>
          </cell>
        </row>
        <row r="246">
          <cell r="C246" t="str">
            <v>Holló Krisztina</v>
          </cell>
          <cell r="D246" t="str">
            <v>8392893409</v>
          </cell>
        </row>
        <row r="247">
          <cell r="C247" t="str">
            <v>Hajdú József</v>
          </cell>
          <cell r="D247" t="str">
            <v>8350002298</v>
          </cell>
        </row>
        <row r="248">
          <cell r="C248" t="str">
            <v>Hajdú Tamás</v>
          </cell>
          <cell r="D248" t="str">
            <v>8425662095</v>
          </cell>
        </row>
        <row r="249">
          <cell r="C249" t="str">
            <v>Halmos-Tóth Katalin</v>
          </cell>
          <cell r="D249" t="str">
            <v>8406802103</v>
          </cell>
        </row>
        <row r="250">
          <cell r="C250" t="str">
            <v>Hansági-Haydn Nóra</v>
          </cell>
          <cell r="D250" t="str">
            <v>8418630426</v>
          </cell>
        </row>
        <row r="251">
          <cell r="C251" t="str">
            <v>Haraszti László Zsolt</v>
          </cell>
          <cell r="D251" t="str">
            <v>8411391213</v>
          </cell>
        </row>
        <row r="252">
          <cell r="C252" t="str">
            <v>Hartmann János</v>
          </cell>
          <cell r="D252" t="str">
            <v>8354340740</v>
          </cell>
        </row>
        <row r="253">
          <cell r="C253" t="str">
            <v>Ható Zoltán</v>
          </cell>
          <cell r="D253" t="str">
            <v>8431040599</v>
          </cell>
        </row>
        <row r="254">
          <cell r="C254" t="str">
            <v>Hazafi Judit</v>
          </cell>
          <cell r="D254" t="str">
            <v>8374392681</v>
          </cell>
        </row>
        <row r="255">
          <cell r="C255" t="str">
            <v>Heizler Gábor</v>
          </cell>
          <cell r="D255" t="str">
            <v>8423350061</v>
          </cell>
        </row>
        <row r="256">
          <cell r="C256" t="str">
            <v>Heller Balázs</v>
          </cell>
          <cell r="D256" t="str">
            <v>8419652113</v>
          </cell>
        </row>
        <row r="257">
          <cell r="C257" t="str">
            <v>Henné Tóth Erzsébet</v>
          </cell>
          <cell r="D257" t="str">
            <v>8357052797</v>
          </cell>
        </row>
        <row r="258">
          <cell r="C258" t="str">
            <v>Homoki Imre</v>
          </cell>
          <cell r="D258" t="str">
            <v>8357452329</v>
          </cell>
        </row>
        <row r="259">
          <cell r="C259" t="str">
            <v>Horváth Ádám</v>
          </cell>
          <cell r="D259" t="str">
            <v>8447411184</v>
          </cell>
        </row>
        <row r="260">
          <cell r="C260" t="str">
            <v>Horváth Barbara Angéla</v>
          </cell>
          <cell r="D260" t="str">
            <v>8395674600</v>
          </cell>
        </row>
        <row r="261">
          <cell r="C261" t="str">
            <v>Horváth Róbert</v>
          </cell>
          <cell r="D261" t="str">
            <v>8409311364</v>
          </cell>
        </row>
        <row r="262">
          <cell r="C262" t="str">
            <v>Horváth Tibor</v>
          </cell>
          <cell r="D262" t="str">
            <v>8344550599</v>
          </cell>
        </row>
        <row r="263">
          <cell r="C263" t="str">
            <v>Horváthné Dima Anikó</v>
          </cell>
          <cell r="D263" t="str">
            <v>8432772577</v>
          </cell>
        </row>
        <row r="264">
          <cell r="C264" t="str">
            <v>Klein Mónika</v>
          </cell>
          <cell r="D264" t="str">
            <v>8389142244</v>
          </cell>
        </row>
        <row r="265">
          <cell r="C265" t="str">
            <v>Gotthard-Huszti Réka</v>
          </cell>
          <cell r="D265" t="str">
            <v>8429343245</v>
          </cell>
        </row>
        <row r="266">
          <cell r="C266" t="str">
            <v>Ihász Gabriella</v>
          </cell>
          <cell r="D266" t="str">
            <v>8378563758</v>
          </cell>
        </row>
        <row r="267">
          <cell r="C267" t="str">
            <v>Iván Katalin</v>
          </cell>
          <cell r="D267" t="str">
            <v>8426803148</v>
          </cell>
        </row>
        <row r="268">
          <cell r="C268" t="str">
            <v>Janni Károly</v>
          </cell>
          <cell r="D268" t="str">
            <v>8365790491</v>
          </cell>
        </row>
        <row r="269">
          <cell r="C269" t="str">
            <v>Jaraba János</v>
          </cell>
          <cell r="D269" t="str">
            <v>8387393045</v>
          </cell>
        </row>
        <row r="270">
          <cell r="C270" t="str">
            <v>Kakasi Balázs</v>
          </cell>
          <cell r="D270" t="str">
            <v>8433331655</v>
          </cell>
        </row>
        <row r="271">
          <cell r="C271" t="str">
            <v>Károly Terézia</v>
          </cell>
          <cell r="D271" t="str">
            <v>8342722945</v>
          </cell>
        </row>
        <row r="272">
          <cell r="C272" t="str">
            <v>Kaskötőné Bodnár Julianna</v>
          </cell>
          <cell r="D272" t="str">
            <v>8363351288</v>
          </cell>
        </row>
        <row r="273">
          <cell r="C273" t="str">
            <v>Katsányi Gábor</v>
          </cell>
          <cell r="D273" t="str">
            <v>8341952432</v>
          </cell>
        </row>
        <row r="274">
          <cell r="C274" t="str">
            <v>Keller Tamás</v>
          </cell>
          <cell r="D274" t="str">
            <v>8424630238</v>
          </cell>
        </row>
        <row r="275">
          <cell r="C275" t="str">
            <v>Gazdag-Kéri Renáta</v>
          </cell>
          <cell r="D275" t="str">
            <v>8447171132</v>
          </cell>
        </row>
        <row r="276">
          <cell r="C276" t="str">
            <v>Kincses Márton Zoltán</v>
          </cell>
          <cell r="D276" t="str">
            <v>8391860450</v>
          </cell>
        </row>
        <row r="277">
          <cell r="C277" t="str">
            <v>Kiss Hajnalka</v>
          </cell>
          <cell r="D277" t="str">
            <v>8405334394</v>
          </cell>
        </row>
        <row r="278">
          <cell r="C278" t="str">
            <v>Kohlrusz Gábor Antal</v>
          </cell>
          <cell r="D278" t="str">
            <v>8414452523</v>
          </cell>
        </row>
        <row r="279">
          <cell r="C279" t="str">
            <v>Kokas Andrea Ildikó</v>
          </cell>
          <cell r="D279" t="str">
            <v>8377802570</v>
          </cell>
        </row>
        <row r="280">
          <cell r="C280" t="str">
            <v>Kólingerné Csányi Judit Viktória</v>
          </cell>
          <cell r="D280" t="str">
            <v>8398461780</v>
          </cell>
        </row>
        <row r="281">
          <cell r="C281" t="str">
            <v>Kornaizel Tamás</v>
          </cell>
          <cell r="D281" t="str">
            <v>8418113154</v>
          </cell>
        </row>
        <row r="282">
          <cell r="C282" t="str">
            <v>Kovács Balázs</v>
          </cell>
          <cell r="D282" t="str">
            <v>8401062608</v>
          </cell>
        </row>
        <row r="283">
          <cell r="C283" t="str">
            <v>Kovács Emese</v>
          </cell>
          <cell r="D283" t="str">
            <v>8423762033</v>
          </cell>
        </row>
        <row r="284">
          <cell r="C284" t="str">
            <v>Kovács Rita</v>
          </cell>
          <cell r="D284" t="str">
            <v>8408832921</v>
          </cell>
        </row>
        <row r="285">
          <cell r="C285" t="str">
            <v>Kovács Zoltán</v>
          </cell>
          <cell r="D285" t="str">
            <v>8437361664</v>
          </cell>
        </row>
        <row r="286">
          <cell r="C286" t="str">
            <v>Kovács-Ujvári Orsolya</v>
          </cell>
          <cell r="D286" t="str">
            <v>8409091712</v>
          </cell>
        </row>
        <row r="287">
          <cell r="C287" t="str">
            <v>Ködmönné Pethő Henrietta</v>
          </cell>
          <cell r="D287" t="str">
            <v>8396595097</v>
          </cell>
        </row>
        <row r="288">
          <cell r="C288" t="str">
            <v>Königné Dohanics Márta Mária</v>
          </cell>
          <cell r="D288" t="str">
            <v>8331833333</v>
          </cell>
        </row>
        <row r="289">
          <cell r="C289" t="str">
            <v>Kripli Ágnes</v>
          </cell>
          <cell r="D289" t="str">
            <v>8415300794</v>
          </cell>
        </row>
        <row r="290">
          <cell r="C290" t="str">
            <v>Kristóf Orsolya</v>
          </cell>
          <cell r="D290" t="str">
            <v>8407251070</v>
          </cell>
        </row>
        <row r="291">
          <cell r="C291" t="str">
            <v>Lakó János</v>
          </cell>
          <cell r="D291" t="str">
            <v>8409820269</v>
          </cell>
        </row>
        <row r="292">
          <cell r="C292" t="str">
            <v>Laposa Éva</v>
          </cell>
          <cell r="D292" t="str">
            <v>8371473184</v>
          </cell>
        </row>
        <row r="293">
          <cell r="C293" t="str">
            <v>Lipcsei László</v>
          </cell>
          <cell r="D293" t="str">
            <v>8401773423</v>
          </cell>
        </row>
        <row r="294">
          <cell r="C294" t="str">
            <v>Lukács Judit</v>
          </cell>
          <cell r="D294" t="str">
            <v>8351943541</v>
          </cell>
        </row>
        <row r="295">
          <cell r="C295" t="str">
            <v>Marton Gábor</v>
          </cell>
          <cell r="D295" t="str">
            <v>8429101519</v>
          </cell>
        </row>
        <row r="296">
          <cell r="C296" t="str">
            <v>Mazalin Imre</v>
          </cell>
          <cell r="D296" t="str">
            <v>8398613750</v>
          </cell>
        </row>
        <row r="297">
          <cell r="C297" t="str">
            <v>Mereteiné Sebestyén Annamária</v>
          </cell>
          <cell r="D297" t="str">
            <v>8385382259</v>
          </cell>
        </row>
        <row r="298">
          <cell r="C298" t="str">
            <v>Mészáros Anita</v>
          </cell>
          <cell r="D298" t="str">
            <v>8414503373</v>
          </cell>
        </row>
        <row r="299">
          <cell r="C299" t="str">
            <v>Mészáros Péter</v>
          </cell>
          <cell r="D299" t="str">
            <v>8424730070</v>
          </cell>
        </row>
        <row r="300">
          <cell r="C300" t="str">
            <v>Mészáros Zsolt</v>
          </cell>
          <cell r="D300" t="str">
            <v>8381490405</v>
          </cell>
        </row>
        <row r="301">
          <cell r="C301" t="str">
            <v>Molnár Claudia Melinda</v>
          </cell>
          <cell r="D301" t="str">
            <v>8381124921</v>
          </cell>
        </row>
        <row r="302">
          <cell r="C302" t="str">
            <v>Morvai Bálint</v>
          </cell>
          <cell r="D302" t="str">
            <v>8432950068</v>
          </cell>
        </row>
        <row r="303">
          <cell r="C303" t="str">
            <v>Nagy Róbert</v>
          </cell>
          <cell r="D303" t="str">
            <v>8396281300</v>
          </cell>
        </row>
        <row r="304">
          <cell r="C304" t="str">
            <v>Nagy-Péterfi Rita</v>
          </cell>
          <cell r="D304" t="str">
            <v>8439813473</v>
          </cell>
        </row>
        <row r="305">
          <cell r="C305" t="str">
            <v>Orlainé Tauer Andrea</v>
          </cell>
          <cell r="D305" t="str">
            <v>8370633390</v>
          </cell>
        </row>
        <row r="306">
          <cell r="C306" t="str">
            <v>Páhi László</v>
          </cell>
          <cell r="D306" t="str">
            <v>8338131113</v>
          </cell>
        </row>
        <row r="307">
          <cell r="C307" t="str">
            <v>Panyiné Mester Edina</v>
          </cell>
          <cell r="D307" t="str">
            <v>8389222558</v>
          </cell>
        </row>
        <row r="308">
          <cell r="C308" t="str">
            <v>Pokó-Éri Vivien Cintia</v>
          </cell>
          <cell r="D308" t="str">
            <v>8455730277</v>
          </cell>
        </row>
        <row r="309">
          <cell r="C309" t="str">
            <v>Polgár Éva Mónika</v>
          </cell>
          <cell r="D309" t="str">
            <v>8375521736</v>
          </cell>
        </row>
        <row r="310">
          <cell r="C310" t="str">
            <v>Pölösné Fischer Helga</v>
          </cell>
          <cell r="D310" t="str">
            <v>8397461884</v>
          </cell>
        </row>
        <row r="311">
          <cell r="C311" t="str">
            <v>Priskinné Rauscher Zsuzsanna</v>
          </cell>
          <cell r="D311" t="str">
            <v>8336301208</v>
          </cell>
        </row>
        <row r="312">
          <cell r="C312" t="str">
            <v>Pulai Gábor Attila</v>
          </cell>
          <cell r="D312" t="str">
            <v>8366942589</v>
          </cell>
        </row>
        <row r="313">
          <cell r="C313" t="str">
            <v>Raposa Veronika Tünde</v>
          </cell>
          <cell r="D313" t="str">
            <v>8444583421</v>
          </cell>
        </row>
        <row r="314">
          <cell r="C314" t="str">
            <v>Sági Tamás</v>
          </cell>
          <cell r="D314" t="str">
            <v>8361522107</v>
          </cell>
        </row>
        <row r="315">
          <cell r="C315" t="str">
            <v>Sagmeisterné Patakfalvi Andrea</v>
          </cell>
          <cell r="D315" t="str">
            <v>8344491819</v>
          </cell>
        </row>
        <row r="316">
          <cell r="C316" t="str">
            <v>Sárainé Dr. Rauch Renáta</v>
          </cell>
          <cell r="D316" t="str">
            <v>8396223912</v>
          </cell>
        </row>
        <row r="317">
          <cell r="C317" t="str">
            <v>Sárváriné Dezső Edit</v>
          </cell>
          <cell r="D317" t="str">
            <v>8377274515</v>
          </cell>
        </row>
        <row r="318">
          <cell r="C318" t="str">
            <v>Sashalmi István</v>
          </cell>
          <cell r="D318" t="str">
            <v>8357370659</v>
          </cell>
        </row>
        <row r="319">
          <cell r="C319" t="str">
            <v>Schmidtné Lényi Szilvia</v>
          </cell>
          <cell r="D319" t="str">
            <v>8412333799</v>
          </cell>
        </row>
        <row r="320">
          <cell r="C320" t="str">
            <v>Sebestyén Attila</v>
          </cell>
          <cell r="D320" t="str">
            <v>8380810767</v>
          </cell>
        </row>
        <row r="321">
          <cell r="C321" t="str">
            <v>Sebestyén Mariann</v>
          </cell>
          <cell r="D321" t="str">
            <v>8389022850</v>
          </cell>
        </row>
        <row r="322">
          <cell r="C322" t="str">
            <v>Sebestyén Marietta</v>
          </cell>
          <cell r="D322" t="str">
            <v>8403093829</v>
          </cell>
        </row>
        <row r="323">
          <cell r="C323" t="str">
            <v>Sevinger János</v>
          </cell>
          <cell r="D323" t="str">
            <v>8393080924</v>
          </cell>
        </row>
        <row r="324">
          <cell r="C324" t="str">
            <v>Siki Andrea</v>
          </cell>
          <cell r="D324" t="str">
            <v>8399231932</v>
          </cell>
        </row>
        <row r="325">
          <cell r="C325" t="str">
            <v>Simon-Szabó Tünde</v>
          </cell>
          <cell r="D325" t="str">
            <v>8393854040</v>
          </cell>
        </row>
        <row r="326">
          <cell r="C326" t="str">
            <v>Smidla Judit</v>
          </cell>
          <cell r="D326" t="str">
            <v>8363721875</v>
          </cell>
        </row>
        <row r="327">
          <cell r="C327" t="str">
            <v>Sötéthné Nagy Éva</v>
          </cell>
          <cell r="D327" t="str">
            <v>8373452354</v>
          </cell>
        </row>
        <row r="328">
          <cell r="C328" t="str">
            <v>Söveges Gábor</v>
          </cell>
          <cell r="D328" t="str">
            <v>8427040342</v>
          </cell>
        </row>
        <row r="329">
          <cell r="C329" t="str">
            <v>Staub Márton</v>
          </cell>
          <cell r="D329" t="str">
            <v>8421160273</v>
          </cell>
        </row>
        <row r="330">
          <cell r="C330" t="str">
            <v>Szabó György</v>
          </cell>
          <cell r="D330" t="str">
            <v>8409473887</v>
          </cell>
        </row>
        <row r="331">
          <cell r="C331" t="str">
            <v>Szabó László</v>
          </cell>
          <cell r="D331" t="str">
            <v>8338512761</v>
          </cell>
        </row>
        <row r="332">
          <cell r="C332" t="str">
            <v>Szalainé Szeili Katalin</v>
          </cell>
          <cell r="D332" t="str">
            <v>8417004319</v>
          </cell>
        </row>
        <row r="333">
          <cell r="C333" t="str">
            <v>Számfira-Turupoli Nóra</v>
          </cell>
          <cell r="D333" t="str">
            <v>8415041640</v>
          </cell>
        </row>
        <row r="334">
          <cell r="C334" t="str">
            <v>Szanyi Imre István</v>
          </cell>
          <cell r="D334" t="str">
            <v>8355040880</v>
          </cell>
        </row>
        <row r="335">
          <cell r="C335" t="str">
            <v>Szokolikné Kalmár Judit</v>
          </cell>
          <cell r="D335" t="str">
            <v>8418862165</v>
          </cell>
        </row>
        <row r="336">
          <cell r="C336" t="str">
            <v>Szommerné Kiss Erzsébet</v>
          </cell>
          <cell r="D336" t="str">
            <v>8375633437</v>
          </cell>
        </row>
        <row r="337">
          <cell r="C337" t="str">
            <v>Szőkéné Vizi Gabriella</v>
          </cell>
          <cell r="D337" t="str">
            <v>8396416036</v>
          </cell>
        </row>
        <row r="338">
          <cell r="C338" t="str">
            <v>Csiszárné Szőnyi Olga</v>
          </cell>
          <cell r="D338" t="str">
            <v>8404371083</v>
          </cell>
        </row>
        <row r="339">
          <cell r="C339" t="str">
            <v>Szüszenstein Ferenc</v>
          </cell>
          <cell r="D339" t="str">
            <v>8421461990</v>
          </cell>
        </row>
        <row r="340">
          <cell r="C340" t="str">
            <v>Torma Roland</v>
          </cell>
          <cell r="D340" t="str">
            <v>8397324542</v>
          </cell>
        </row>
        <row r="341">
          <cell r="C341" t="str">
            <v>Torma-Paluska Ágnes</v>
          </cell>
          <cell r="D341" t="str">
            <v>8408180045</v>
          </cell>
        </row>
        <row r="342">
          <cell r="C342" t="str">
            <v>Tóth Beáta</v>
          </cell>
          <cell r="D342" t="str">
            <v>8374203714</v>
          </cell>
        </row>
        <row r="343">
          <cell r="C343" t="str">
            <v>Tóth Éva</v>
          </cell>
          <cell r="D343" t="str">
            <v>8426450946</v>
          </cell>
        </row>
        <row r="344">
          <cell r="C344" t="str">
            <v>Tóth Gábor</v>
          </cell>
          <cell r="D344" t="str">
            <v>8379480910</v>
          </cell>
        </row>
        <row r="345">
          <cell r="C345" t="str">
            <v>Tóthné Rapali Beatrix</v>
          </cell>
          <cell r="D345" t="str">
            <v>8401873142</v>
          </cell>
        </row>
        <row r="346">
          <cell r="C346" t="str">
            <v>Vajda Tünde Gabriella</v>
          </cell>
          <cell r="D346" t="str">
            <v>8357793207</v>
          </cell>
        </row>
        <row r="347">
          <cell r="C347" t="str">
            <v>Vámosi Réka Mária</v>
          </cell>
          <cell r="D347" t="str">
            <v>8414381804</v>
          </cell>
        </row>
        <row r="348">
          <cell r="C348" t="str">
            <v>Varga Beáta</v>
          </cell>
          <cell r="D348" t="str">
            <v>8419842826</v>
          </cell>
        </row>
        <row r="349">
          <cell r="C349" t="str">
            <v>Varga Zoltán</v>
          </cell>
          <cell r="D349" t="str">
            <v>8393701074</v>
          </cell>
        </row>
        <row r="350">
          <cell r="C350" t="str">
            <v>Vargáné Hajda Tímea</v>
          </cell>
          <cell r="D350" t="str">
            <v>8400535464</v>
          </cell>
        </row>
        <row r="351">
          <cell r="C351" t="str">
            <v>Verbó Hedvig Éva</v>
          </cell>
          <cell r="D351" t="str">
            <v>8386094052</v>
          </cell>
        </row>
        <row r="352">
          <cell r="C352" t="str">
            <v>Veresné Biró Tímea</v>
          </cell>
          <cell r="D352" t="str">
            <v>8422492644</v>
          </cell>
        </row>
        <row r="353">
          <cell r="C353" t="str">
            <v>Viczina Balázs</v>
          </cell>
          <cell r="D353" t="str">
            <v>8416513058</v>
          </cell>
        </row>
        <row r="354">
          <cell r="C354" t="str">
            <v>Vida Attila</v>
          </cell>
          <cell r="D354" t="str">
            <v>8380550846</v>
          </cell>
        </row>
        <row r="355">
          <cell r="C355" t="str">
            <v>Winkler Szabolcs</v>
          </cell>
          <cell r="D355" t="str">
            <v>8397945369</v>
          </cell>
        </row>
        <row r="356">
          <cell r="C356" t="str">
            <v>Zsargó Szilvia</v>
          </cell>
          <cell r="D356" t="str">
            <v>8375101591</v>
          </cell>
        </row>
        <row r="357">
          <cell r="C357" t="str">
            <v>Zsiborács Andrea</v>
          </cell>
          <cell r="D357" t="str">
            <v>8434440679</v>
          </cell>
        </row>
        <row r="358">
          <cell r="C358" t="str">
            <v>Zsiborács Judit</v>
          </cell>
          <cell r="D358" t="str">
            <v>8413841763</v>
          </cell>
        </row>
        <row r="359">
          <cell r="C359" t="str">
            <v>Zsilák Zoltán</v>
          </cell>
          <cell r="D359" t="str">
            <v>8337512741</v>
          </cell>
        </row>
        <row r="360">
          <cell r="C360" t="str">
            <v>Zsirka Balázs</v>
          </cell>
          <cell r="D360" t="str">
            <v>8439131399</v>
          </cell>
        </row>
        <row r="361">
          <cell r="C361" t="str">
            <v>Csordás Anita</v>
          </cell>
          <cell r="D361" t="str">
            <v>8441412952</v>
          </cell>
        </row>
        <row r="362">
          <cell r="C362" t="str">
            <v>Bertók-Kiss Judit Zsuzsanna</v>
          </cell>
          <cell r="D362" t="str">
            <v>8408953524</v>
          </cell>
        </row>
        <row r="363">
          <cell r="C363" t="str">
            <v>Meiczinger Mónika</v>
          </cell>
          <cell r="D363" t="str">
            <v>8412171462</v>
          </cell>
        </row>
        <row r="364">
          <cell r="C364" t="str">
            <v>Pekárdy Milán Péter</v>
          </cell>
          <cell r="D364" t="str">
            <v>8443330120</v>
          </cell>
        </row>
        <row r="365">
          <cell r="C365" t="str">
            <v>Soósné Dr. Balczár Ida Anna</v>
          </cell>
          <cell r="D365" t="str">
            <v>8447501310</v>
          </cell>
        </row>
        <row r="366">
          <cell r="C366" t="str">
            <v>Kovács András</v>
          </cell>
          <cell r="D366" t="str">
            <v>8447570010</v>
          </cell>
        </row>
        <row r="367">
          <cell r="C367" t="str">
            <v>Koczka-Barabás Enikő</v>
          </cell>
          <cell r="D367" t="str">
            <v>8446380846</v>
          </cell>
        </row>
        <row r="368">
          <cell r="C368" t="str">
            <v>Tomasek Szabina</v>
          </cell>
          <cell r="D368" t="str">
            <v>8450063418</v>
          </cell>
        </row>
        <row r="369">
          <cell r="C369" t="str">
            <v>Zadravecz Renáta</v>
          </cell>
          <cell r="D369" t="str">
            <v>8409494051</v>
          </cell>
        </row>
        <row r="370">
          <cell r="C370" t="str">
            <v>Nagy Viktória</v>
          </cell>
          <cell r="D370" t="str">
            <v>8437401119</v>
          </cell>
        </row>
        <row r="371">
          <cell r="C371" t="str">
            <v>Bakon Krisztián Attila</v>
          </cell>
          <cell r="D371" t="str">
            <v>8457461427</v>
          </cell>
        </row>
        <row r="372">
          <cell r="C372" t="str">
            <v>Sarkady Attila</v>
          </cell>
          <cell r="D372" t="str">
            <v>8395305044</v>
          </cell>
        </row>
        <row r="373">
          <cell r="C373" t="str">
            <v>Szöllőskei Anikó</v>
          </cell>
          <cell r="D373" t="str">
            <v>8392843355</v>
          </cell>
        </row>
        <row r="374">
          <cell r="C374" t="str">
            <v>Nagy Andrea Magda</v>
          </cell>
          <cell r="D374" t="str">
            <v>8433380907</v>
          </cell>
        </row>
        <row r="375">
          <cell r="C375" t="str">
            <v>Ábrahám Gyula</v>
          </cell>
          <cell r="D375" t="str">
            <v>8451322220</v>
          </cell>
        </row>
        <row r="376">
          <cell r="C376" t="str">
            <v>Nyári Zsófia</v>
          </cell>
          <cell r="D376" t="str">
            <v>8406634006</v>
          </cell>
        </row>
        <row r="377">
          <cell r="C377" t="str">
            <v>Eck-Varanka Bettina Mária</v>
          </cell>
          <cell r="D377" t="str">
            <v>8443570865</v>
          </cell>
        </row>
        <row r="378">
          <cell r="C378" t="str">
            <v>Hülberné Törő Vivien</v>
          </cell>
          <cell r="D378" t="str">
            <v>8455343222</v>
          </cell>
        </row>
        <row r="379">
          <cell r="C379" t="str">
            <v>Lukács Zoltán</v>
          </cell>
          <cell r="D379" t="str">
            <v>8339973762</v>
          </cell>
        </row>
        <row r="380">
          <cell r="C380" t="str">
            <v>Mihalics Bálint</v>
          </cell>
          <cell r="D380" t="str">
            <v>8432843334</v>
          </cell>
        </row>
        <row r="381">
          <cell r="C381" t="str">
            <v>György Norbert</v>
          </cell>
          <cell r="D381" t="str">
            <v>8455681152</v>
          </cell>
        </row>
        <row r="382">
          <cell r="C382" t="str">
            <v>Kulcsár Gvendolin</v>
          </cell>
          <cell r="D382" t="str">
            <v>8479172010</v>
          </cell>
        </row>
        <row r="383">
          <cell r="C383" t="str">
            <v>Hajdu Eszter</v>
          </cell>
          <cell r="D383" t="str">
            <v>8448060083</v>
          </cell>
        </row>
        <row r="384">
          <cell r="C384" t="str">
            <v>Gyurikáné Luteránus Éva</v>
          </cell>
          <cell r="D384" t="str">
            <v>8440460899</v>
          </cell>
        </row>
        <row r="385">
          <cell r="C385" t="str">
            <v>Csillag Éva</v>
          </cell>
          <cell r="D385" t="str">
            <v>8418110333</v>
          </cell>
        </row>
        <row r="386">
          <cell r="C386" t="str">
            <v>Konka Boglárka</v>
          </cell>
          <cell r="D386" t="str">
            <v>8450130646</v>
          </cell>
        </row>
        <row r="387">
          <cell r="C387" t="str">
            <v>Kovács Noémi</v>
          </cell>
          <cell r="D387" t="str">
            <v>8460780449</v>
          </cell>
        </row>
        <row r="388">
          <cell r="C388" t="str">
            <v>Süle Péter</v>
          </cell>
          <cell r="D388" t="str">
            <v>8428810354</v>
          </cell>
        </row>
        <row r="389">
          <cell r="C389" t="str">
            <v>Kelemen Judit</v>
          </cell>
          <cell r="D389" t="str">
            <v>8419021393</v>
          </cell>
        </row>
        <row r="390">
          <cell r="C390" t="str">
            <v>Fehérvölgyi Szabolcs</v>
          </cell>
          <cell r="D390" t="str">
            <v>8399020796</v>
          </cell>
        </row>
        <row r="391">
          <cell r="C391" t="str">
            <v>Decsi Péter</v>
          </cell>
          <cell r="D391" t="str">
            <v>8447580458</v>
          </cell>
        </row>
        <row r="392">
          <cell r="C392" t="str">
            <v>Zaránd Szilvia</v>
          </cell>
          <cell r="D392" t="str">
            <v>8458760452</v>
          </cell>
        </row>
        <row r="393">
          <cell r="C393" t="str">
            <v>Kigyós Tamás Attila</v>
          </cell>
          <cell r="D393" t="str">
            <v>8431812710</v>
          </cell>
        </row>
        <row r="394">
          <cell r="C394" t="str">
            <v>Gajdics Rita</v>
          </cell>
          <cell r="D394" t="str">
            <v>8433111434</v>
          </cell>
        </row>
        <row r="395">
          <cell r="C395" t="str">
            <v>Rózsenberszki Tamás</v>
          </cell>
          <cell r="D395" t="str">
            <v>8442990062</v>
          </cell>
        </row>
        <row r="396">
          <cell r="C396" t="str">
            <v>Deér Loránd</v>
          </cell>
          <cell r="D396" t="str">
            <v>8452690312</v>
          </cell>
        </row>
        <row r="397">
          <cell r="C397" t="str">
            <v>Márton Zoltán</v>
          </cell>
          <cell r="D397" t="str">
            <v>8427202695</v>
          </cell>
        </row>
        <row r="398">
          <cell r="C398" t="str">
            <v>Ivanics Liliána</v>
          </cell>
          <cell r="D398" t="str">
            <v>8394092071</v>
          </cell>
        </row>
        <row r="399">
          <cell r="C399" t="str">
            <v>Zima Andrea</v>
          </cell>
          <cell r="D399" t="str">
            <v>8424091655</v>
          </cell>
        </row>
        <row r="400">
          <cell r="C400" t="str">
            <v>Rappné Tóth Andrea</v>
          </cell>
          <cell r="D400" t="str">
            <v>8351331759</v>
          </cell>
        </row>
        <row r="401">
          <cell r="C401" t="str">
            <v>Kellerné Kovács Dominika</v>
          </cell>
          <cell r="D401" t="str">
            <v>8440551258</v>
          </cell>
        </row>
        <row r="402">
          <cell r="C402" t="str">
            <v>Annus Gábor</v>
          </cell>
          <cell r="D402" t="str">
            <v>8366723038</v>
          </cell>
        </row>
        <row r="403">
          <cell r="C403" t="str">
            <v>Ratting Gergely</v>
          </cell>
          <cell r="D403" t="str">
            <v>8443481749</v>
          </cell>
        </row>
        <row r="404">
          <cell r="C404" t="str">
            <v>Járvás Gábor</v>
          </cell>
          <cell r="D404" t="str">
            <v>8422871416</v>
          </cell>
        </row>
        <row r="405">
          <cell r="C405" t="str">
            <v>Jankó Dóra</v>
          </cell>
          <cell r="D405" t="str">
            <v>8425711185</v>
          </cell>
        </row>
        <row r="406">
          <cell r="C406" t="str">
            <v>Éles András</v>
          </cell>
          <cell r="D406" t="str">
            <v>8454831525</v>
          </cell>
        </row>
        <row r="407">
          <cell r="C407" t="str">
            <v>Leitold Dániel</v>
          </cell>
          <cell r="D407" t="str">
            <v>8451860338</v>
          </cell>
        </row>
        <row r="408">
          <cell r="C408" t="str">
            <v>Pózna Anna Ibolya</v>
          </cell>
          <cell r="D408" t="str">
            <v>8457261002</v>
          </cell>
        </row>
        <row r="409">
          <cell r="C409" t="str">
            <v>Bálint Roland</v>
          </cell>
          <cell r="D409" t="str">
            <v>8448900545</v>
          </cell>
        </row>
        <row r="410">
          <cell r="C410" t="str">
            <v>Nagy Róbert</v>
          </cell>
          <cell r="D410" t="str">
            <v>8446950472</v>
          </cell>
        </row>
        <row r="411">
          <cell r="C411" t="str">
            <v>Maszarek Henrik</v>
          </cell>
          <cell r="D411" t="str">
            <v>8388983024</v>
          </cell>
        </row>
        <row r="412">
          <cell r="C412" t="str">
            <v>Harasztiné Hargitai Réka</v>
          </cell>
          <cell r="D412" t="str">
            <v>8446483645</v>
          </cell>
        </row>
        <row r="413">
          <cell r="C413" t="str">
            <v>Molnár Miklós</v>
          </cell>
          <cell r="D413" t="str">
            <v>8419653322</v>
          </cell>
        </row>
        <row r="414">
          <cell r="C414" t="str">
            <v>Guba Sándor</v>
          </cell>
          <cell r="D414" t="str">
            <v>8442600442</v>
          </cell>
        </row>
        <row r="415">
          <cell r="C415" t="str">
            <v>Zsirkáné Dr.Fónagy Orsolya</v>
          </cell>
          <cell r="D415" t="str">
            <v>8448413687</v>
          </cell>
        </row>
        <row r="416">
          <cell r="C416" t="str">
            <v>Tábori Ferenc</v>
          </cell>
          <cell r="D416" t="str">
            <v>8431303115</v>
          </cell>
        </row>
        <row r="417">
          <cell r="C417" t="str">
            <v>Orosz Ákos</v>
          </cell>
          <cell r="D417" t="str">
            <v>8452020228</v>
          </cell>
        </row>
        <row r="418">
          <cell r="C418" t="str">
            <v>Csontos Balázs</v>
          </cell>
          <cell r="D418" t="str">
            <v>8433700847</v>
          </cell>
        </row>
        <row r="419">
          <cell r="C419" t="str">
            <v>Zsiborács Henrik</v>
          </cell>
          <cell r="D419" t="str">
            <v>8444651087</v>
          </cell>
        </row>
        <row r="420">
          <cell r="C420" t="str">
            <v>Ollé János</v>
          </cell>
          <cell r="D420" t="str">
            <v>8396574812</v>
          </cell>
        </row>
        <row r="421">
          <cell r="C421" t="str">
            <v>Trájer Attila János</v>
          </cell>
          <cell r="D421" t="str">
            <v>8426440355</v>
          </cell>
        </row>
        <row r="422">
          <cell r="C422" t="str">
            <v>Pilinszki-Pék Dorottya</v>
          </cell>
          <cell r="D422" t="str">
            <v>8409092557</v>
          </cell>
        </row>
        <row r="423">
          <cell r="C423" t="str">
            <v>Gombás-Pataki Éva</v>
          </cell>
          <cell r="D423" t="str">
            <v>8335673411</v>
          </cell>
        </row>
        <row r="424">
          <cell r="C424" t="str">
            <v>Pekker Péter</v>
          </cell>
          <cell r="D424" t="str">
            <v>8418640162</v>
          </cell>
        </row>
        <row r="425">
          <cell r="C425" t="str">
            <v>Varga Béla</v>
          </cell>
          <cell r="D425" t="str">
            <v>8450390338</v>
          </cell>
        </row>
        <row r="426">
          <cell r="C426" t="str">
            <v>Nagy Bianka</v>
          </cell>
          <cell r="D426" t="str">
            <v>8461870093</v>
          </cell>
        </row>
        <row r="427">
          <cell r="C427" t="str">
            <v>Imre Kornélia</v>
          </cell>
          <cell r="D427" t="str">
            <v>8407742120</v>
          </cell>
        </row>
        <row r="428">
          <cell r="C428" t="str">
            <v>Poór Zoltán Ferenc</v>
          </cell>
          <cell r="D428" t="str">
            <v>8334462786</v>
          </cell>
        </row>
        <row r="429">
          <cell r="C429" t="str">
            <v>Bálint Adrienn</v>
          </cell>
          <cell r="D429" t="str">
            <v>8424450205</v>
          </cell>
        </row>
        <row r="430">
          <cell r="C430" t="str">
            <v>Jakab Miklós</v>
          </cell>
          <cell r="D430" t="str">
            <v>8462721202</v>
          </cell>
        </row>
        <row r="431">
          <cell r="C431" t="str">
            <v>Simon József</v>
          </cell>
          <cell r="D431" t="str">
            <v>8442692398</v>
          </cell>
        </row>
        <row r="432">
          <cell r="C432" t="str">
            <v>Kovács Barbara</v>
          </cell>
          <cell r="D432" t="str">
            <v>8429333843</v>
          </cell>
        </row>
        <row r="433">
          <cell r="C433" t="str">
            <v>Kiss Zsolt László</v>
          </cell>
          <cell r="D433" t="str">
            <v>8441310858</v>
          </cell>
        </row>
        <row r="434">
          <cell r="C434" t="str">
            <v>Orbán Zsuzsanna</v>
          </cell>
          <cell r="D434" t="str">
            <v>8396360162</v>
          </cell>
        </row>
        <row r="435">
          <cell r="C435" t="str">
            <v>Hajba-Horváth Eszter</v>
          </cell>
          <cell r="D435" t="str">
            <v>8426043291</v>
          </cell>
        </row>
        <row r="436">
          <cell r="C436" t="str">
            <v>Tudós Gábor</v>
          </cell>
          <cell r="D436" t="str">
            <v>8420632767</v>
          </cell>
        </row>
        <row r="437">
          <cell r="C437" t="str">
            <v>Kristofics Adél</v>
          </cell>
          <cell r="D437" t="str">
            <v>8459230287</v>
          </cell>
        </row>
        <row r="438">
          <cell r="C438" t="str">
            <v>Parapatics Andrea</v>
          </cell>
          <cell r="D438" t="str">
            <v>8436690672</v>
          </cell>
        </row>
        <row r="439">
          <cell r="C439" t="str">
            <v>Baum Krisztina</v>
          </cell>
          <cell r="D439" t="str">
            <v>8452590628</v>
          </cell>
        </row>
        <row r="440">
          <cell r="C440" t="str">
            <v>Schrenk Veronika Ágnes</v>
          </cell>
          <cell r="D440" t="str">
            <v>8411173119</v>
          </cell>
        </row>
        <row r="441">
          <cell r="C441" t="str">
            <v>Jancsek-Turóczi Beatrix</v>
          </cell>
          <cell r="D441" t="str">
            <v>8433840320</v>
          </cell>
        </row>
        <row r="442">
          <cell r="C442" t="str">
            <v>Császár Zsófia</v>
          </cell>
          <cell r="D442" t="str">
            <v>8455030704</v>
          </cell>
        </row>
        <row r="443">
          <cell r="C443" t="str">
            <v>Simon-Stőger Lilla Rita</v>
          </cell>
          <cell r="D443" t="str">
            <v>8452330308</v>
          </cell>
        </row>
        <row r="444">
          <cell r="C444" t="str">
            <v>Boleraczki Miklós</v>
          </cell>
          <cell r="D444" t="str">
            <v>8420711640</v>
          </cell>
        </row>
        <row r="445">
          <cell r="C445" t="str">
            <v>Konrád Naomi</v>
          </cell>
          <cell r="D445" t="str">
            <v>8456232890</v>
          </cell>
        </row>
        <row r="446">
          <cell r="C446" t="str">
            <v>Kovács Lívia</v>
          </cell>
          <cell r="D446" t="str">
            <v>8379181603</v>
          </cell>
        </row>
        <row r="447">
          <cell r="C447" t="str">
            <v>Marton Zsuzsanna</v>
          </cell>
          <cell r="D447" t="str">
            <v>8445951254</v>
          </cell>
        </row>
        <row r="448">
          <cell r="C448" t="str">
            <v>Steinbachné Hajmásy Gyöngyi</v>
          </cell>
          <cell r="D448" t="str">
            <v>8440181078</v>
          </cell>
        </row>
        <row r="449">
          <cell r="C449" t="str">
            <v>Szabó Renáta</v>
          </cell>
          <cell r="D449" t="str">
            <v>8415171048</v>
          </cell>
        </row>
        <row r="450">
          <cell r="C450" t="str">
            <v>Megyeri Lóránt</v>
          </cell>
          <cell r="D450" t="str">
            <v>8425000386</v>
          </cell>
        </row>
        <row r="451">
          <cell r="C451" t="str">
            <v>Berta Kinga Manuéla</v>
          </cell>
          <cell r="D451" t="str">
            <v>8440692994</v>
          </cell>
        </row>
        <row r="452">
          <cell r="C452" t="str">
            <v>Pitás Viktória</v>
          </cell>
          <cell r="D452" t="str">
            <v>8430420215</v>
          </cell>
        </row>
        <row r="453">
          <cell r="C453" t="str">
            <v>Bocsor Anikó</v>
          </cell>
          <cell r="D453" t="str">
            <v>8433713434</v>
          </cell>
        </row>
        <row r="454">
          <cell r="C454" t="str">
            <v>Kállay-Kiss Krisztina</v>
          </cell>
          <cell r="D454" t="str">
            <v>8454431039</v>
          </cell>
        </row>
        <row r="455">
          <cell r="C455" t="str">
            <v>Bognár Judit</v>
          </cell>
          <cell r="D455" t="str">
            <v>8438912923</v>
          </cell>
        </row>
        <row r="456">
          <cell r="C456" t="str">
            <v>Pataki Zsolt András</v>
          </cell>
          <cell r="D456" t="str">
            <v>8408011464</v>
          </cell>
        </row>
        <row r="457">
          <cell r="C457" t="str">
            <v>Horváthné Deák Emese</v>
          </cell>
          <cell r="D457" t="str">
            <v>8418153059</v>
          </cell>
        </row>
        <row r="458">
          <cell r="C458" t="str">
            <v>Simon Nikoletta</v>
          </cell>
          <cell r="D458" t="str">
            <v>8431123648</v>
          </cell>
        </row>
        <row r="459">
          <cell r="C459" t="str">
            <v>Kelemen-Cserta Eszter</v>
          </cell>
          <cell r="D459" t="str">
            <v>8459141144</v>
          </cell>
        </row>
        <row r="460">
          <cell r="C460" t="str">
            <v>Bobek-Nagy Janka</v>
          </cell>
          <cell r="D460" t="str">
            <v>8452830645</v>
          </cell>
        </row>
        <row r="461">
          <cell r="C461" t="str">
            <v>Szombat Szabina</v>
          </cell>
          <cell r="D461" t="str">
            <v>8473392310</v>
          </cell>
        </row>
        <row r="462">
          <cell r="C462" t="str">
            <v>Rotter Dóra</v>
          </cell>
          <cell r="D462" t="str">
            <v>8464480210</v>
          </cell>
        </row>
        <row r="463">
          <cell r="C463" t="str">
            <v>Kerstner Máté</v>
          </cell>
          <cell r="D463" t="str">
            <v>8469560212</v>
          </cell>
        </row>
        <row r="464">
          <cell r="C464" t="str">
            <v>Hegedűs Miklós</v>
          </cell>
          <cell r="D464" t="str">
            <v>8442631402</v>
          </cell>
        </row>
        <row r="465">
          <cell r="C465" t="str">
            <v>Shahrokhi Amin</v>
          </cell>
          <cell r="D465" t="str">
            <v>8435565130</v>
          </cell>
        </row>
        <row r="466">
          <cell r="C466" t="str">
            <v>Körmendi Marianna Terézia</v>
          </cell>
          <cell r="D466" t="str">
            <v>8348612807</v>
          </cell>
        </row>
        <row r="467">
          <cell r="C467" t="str">
            <v>Király Edit</v>
          </cell>
          <cell r="D467" t="str">
            <v>8467980052</v>
          </cell>
        </row>
        <row r="468">
          <cell r="C468" t="str">
            <v>Juvanziczné Zsovár Viktória</v>
          </cell>
          <cell r="D468" t="str">
            <v>8446200813</v>
          </cell>
        </row>
        <row r="469">
          <cell r="C469" t="str">
            <v>Zsinka Viktória</v>
          </cell>
          <cell r="D469" t="str">
            <v>8469970453</v>
          </cell>
        </row>
        <row r="470">
          <cell r="C470" t="str">
            <v>Troják Zsolt</v>
          </cell>
          <cell r="D470" t="str">
            <v>8388803441</v>
          </cell>
        </row>
        <row r="471">
          <cell r="C471" t="str">
            <v>Németh Edina</v>
          </cell>
          <cell r="D471" t="str">
            <v>8440150547</v>
          </cell>
        </row>
        <row r="472">
          <cell r="C472" t="str">
            <v>Szilágyi Péter Ferenc</v>
          </cell>
          <cell r="D472" t="str">
            <v>8413364175</v>
          </cell>
        </row>
        <row r="473">
          <cell r="C473" t="str">
            <v>Arany Zsuzsanna</v>
          </cell>
          <cell r="D473" t="str">
            <v>8399790605</v>
          </cell>
        </row>
        <row r="474">
          <cell r="C474" t="str">
            <v>Mikó Barbara</v>
          </cell>
          <cell r="D474" t="str">
            <v>8452442041</v>
          </cell>
        </row>
        <row r="475">
          <cell r="C475" t="str">
            <v>Ringné Nyári Edina Ibolya</v>
          </cell>
          <cell r="D475" t="str">
            <v>8390823888</v>
          </cell>
        </row>
        <row r="476">
          <cell r="C476" t="str">
            <v>Tóth Ádám</v>
          </cell>
          <cell r="D476" t="str">
            <v>8432463973</v>
          </cell>
        </row>
        <row r="477">
          <cell r="C477" t="str">
            <v>Fresneau Nolwenn</v>
          </cell>
          <cell r="D477" t="str">
            <v>8442834311</v>
          </cell>
        </row>
        <row r="478">
          <cell r="C478" t="str">
            <v>Virthné Kemes Klára</v>
          </cell>
          <cell r="D478" t="str">
            <v>8476922108</v>
          </cell>
        </row>
        <row r="479">
          <cell r="C479" t="str">
            <v>Komáromi Sándor</v>
          </cell>
          <cell r="D479" t="str">
            <v>8404660271</v>
          </cell>
        </row>
        <row r="480">
          <cell r="C480" t="str">
            <v>Farsang Róbert</v>
          </cell>
          <cell r="D480" t="str">
            <v>8460541932</v>
          </cell>
        </row>
        <row r="481">
          <cell r="C481" t="str">
            <v>Szakonyi Benedek</v>
          </cell>
          <cell r="D481" t="str">
            <v>8458270471</v>
          </cell>
        </row>
        <row r="482">
          <cell r="C482" t="str">
            <v>Kovács Róbert</v>
          </cell>
          <cell r="D482" t="str">
            <v>8404433356</v>
          </cell>
        </row>
        <row r="483">
          <cell r="C483" t="str">
            <v>Juhász Judit</v>
          </cell>
          <cell r="D483" t="str">
            <v>8470592335</v>
          </cell>
        </row>
        <row r="484">
          <cell r="C484" t="str">
            <v>Szűcs Attila</v>
          </cell>
          <cell r="D484" t="str">
            <v>8388380893</v>
          </cell>
        </row>
        <row r="485">
          <cell r="C485" t="str">
            <v>Morva Péter</v>
          </cell>
          <cell r="D485" t="str">
            <v>8396640327</v>
          </cell>
        </row>
        <row r="486">
          <cell r="C486" t="str">
            <v>Cseh Gréta</v>
          </cell>
          <cell r="D486" t="str">
            <v>8460153053</v>
          </cell>
        </row>
        <row r="487">
          <cell r="C487" t="str">
            <v>Fülöp Tamás</v>
          </cell>
          <cell r="D487" t="str">
            <v>8422620510</v>
          </cell>
        </row>
        <row r="488">
          <cell r="C488" t="str">
            <v>Ruppert Tamás</v>
          </cell>
          <cell r="D488" t="str">
            <v>8445023675</v>
          </cell>
        </row>
        <row r="489">
          <cell r="C489" t="str">
            <v>Horváth Dominik</v>
          </cell>
          <cell r="D489" t="str">
            <v>8476162324</v>
          </cell>
        </row>
        <row r="490">
          <cell r="C490" t="str">
            <v>Korpáczi Eszter</v>
          </cell>
          <cell r="D490" t="str">
            <v>8408352725</v>
          </cell>
        </row>
        <row r="491">
          <cell r="C491" t="str">
            <v>Lengyel Edina</v>
          </cell>
          <cell r="D491" t="str">
            <v>8434153491</v>
          </cell>
        </row>
        <row r="492">
          <cell r="C492" t="str">
            <v>Éles Barna Attila</v>
          </cell>
          <cell r="D492" t="str">
            <v>8359032394</v>
          </cell>
        </row>
        <row r="493">
          <cell r="C493" t="str">
            <v>Bertók Martin</v>
          </cell>
          <cell r="D493" t="str">
            <v>8482470434</v>
          </cell>
        </row>
        <row r="494">
          <cell r="C494" t="str">
            <v>Kiglics Norbert</v>
          </cell>
          <cell r="D494" t="str">
            <v>8460750965</v>
          </cell>
        </row>
        <row r="495">
          <cell r="C495" t="str">
            <v>Lukács Diána</v>
          </cell>
          <cell r="D495" t="str">
            <v>8444752533</v>
          </cell>
        </row>
        <row r="496">
          <cell r="C496" t="str">
            <v>Tóth Renáta</v>
          </cell>
          <cell r="D496" t="str">
            <v>8408962612</v>
          </cell>
        </row>
        <row r="497">
          <cell r="C497" t="str">
            <v>Béresné Béndek Zsuzsanna</v>
          </cell>
          <cell r="D497" t="str">
            <v>8454831045</v>
          </cell>
        </row>
        <row r="498">
          <cell r="C498" t="str">
            <v>Papirovnyik Mónika Mária</v>
          </cell>
          <cell r="D498" t="str">
            <v>8376974440</v>
          </cell>
        </row>
        <row r="499">
          <cell r="C499" t="str">
            <v>Csalódi Róbert</v>
          </cell>
          <cell r="D499" t="str">
            <v>8472241629</v>
          </cell>
        </row>
        <row r="500">
          <cell r="C500" t="str">
            <v>Szépvölgyi Réka Katherine</v>
          </cell>
          <cell r="D500" t="str">
            <v>8446302802</v>
          </cell>
        </row>
        <row r="501">
          <cell r="C501" t="str">
            <v>Bambek Magdolna</v>
          </cell>
          <cell r="D501" t="str">
            <v>8426341128</v>
          </cell>
        </row>
        <row r="502">
          <cell r="C502" t="str">
            <v>Balogh Diána</v>
          </cell>
          <cell r="D502" t="str">
            <v>8408103296</v>
          </cell>
        </row>
        <row r="503">
          <cell r="C503" t="str">
            <v>Hülberné Beyer Éva Anna</v>
          </cell>
          <cell r="D503" t="str">
            <v>8427353219</v>
          </cell>
        </row>
        <row r="504">
          <cell r="C504" t="str">
            <v>Fitosné Boros Adrienn</v>
          </cell>
          <cell r="D504" t="str">
            <v>8457050281</v>
          </cell>
        </row>
        <row r="505">
          <cell r="C505" t="str">
            <v>Kocsisné Pfeifer Éva</v>
          </cell>
          <cell r="D505" t="str">
            <v>8411870324</v>
          </cell>
        </row>
        <row r="506">
          <cell r="C506" t="str">
            <v>Németh Péter</v>
          </cell>
          <cell r="D506" t="str">
            <v>8405600728</v>
          </cell>
        </row>
        <row r="507">
          <cell r="C507" t="str">
            <v>Kertai László</v>
          </cell>
          <cell r="D507" t="str">
            <v>8408141996</v>
          </cell>
        </row>
        <row r="508">
          <cell r="C508" t="str">
            <v>Szolga Szilárd</v>
          </cell>
          <cell r="D508" t="str">
            <v>8437320062</v>
          </cell>
        </row>
        <row r="509">
          <cell r="C509" t="str">
            <v>P Szabó Miklós</v>
          </cell>
          <cell r="D509" t="str">
            <v>8355271106</v>
          </cell>
        </row>
        <row r="510">
          <cell r="C510" t="str">
            <v>Katona András Richárd</v>
          </cell>
          <cell r="D510" t="str">
            <v>8462260035</v>
          </cell>
        </row>
        <row r="511">
          <cell r="C511" t="str">
            <v>Csillingh Erika</v>
          </cell>
          <cell r="D511" t="str">
            <v>8377610388</v>
          </cell>
        </row>
        <row r="512">
          <cell r="C512" t="str">
            <v>Formádi Katalin Klaudia</v>
          </cell>
          <cell r="D512" t="str">
            <v>8389152959</v>
          </cell>
        </row>
        <row r="513">
          <cell r="C513" t="str">
            <v>Bencsik Andrea</v>
          </cell>
          <cell r="D513" t="str">
            <v>8326124451</v>
          </cell>
        </row>
        <row r="514">
          <cell r="C514" t="str">
            <v>Heinbach Nikoletta</v>
          </cell>
          <cell r="D514" t="str">
            <v>8421612808</v>
          </cell>
        </row>
        <row r="515">
          <cell r="C515" t="str">
            <v>Szabó-Tasner Dóra</v>
          </cell>
          <cell r="D515" t="str">
            <v>8437130026</v>
          </cell>
        </row>
        <row r="516">
          <cell r="C516" t="str">
            <v>Némethné Ticz Mónika</v>
          </cell>
          <cell r="D516" t="str">
            <v>8450852021</v>
          </cell>
        </row>
        <row r="517">
          <cell r="C517" t="str">
            <v>Vizi István György</v>
          </cell>
          <cell r="D517" t="str">
            <v>8361092331</v>
          </cell>
        </row>
        <row r="518">
          <cell r="C518" t="str">
            <v>Lukács Pál Zoltán</v>
          </cell>
          <cell r="D518" t="str">
            <v>8380433149</v>
          </cell>
        </row>
        <row r="519">
          <cell r="C519" t="str">
            <v>Kruppa-Jakab Éva</v>
          </cell>
          <cell r="D519" t="str">
            <v>8417951342</v>
          </cell>
        </row>
        <row r="520">
          <cell r="C520" t="str">
            <v>Szerényi Dóra</v>
          </cell>
          <cell r="D520" t="str">
            <v>8464910525</v>
          </cell>
        </row>
        <row r="521">
          <cell r="C521" t="str">
            <v>Lakner Gabriella</v>
          </cell>
          <cell r="D521" t="str">
            <v>8416001936</v>
          </cell>
        </row>
        <row r="522">
          <cell r="C522" t="str">
            <v>Dobos Tibor</v>
          </cell>
          <cell r="D522" t="str">
            <v>8363194034</v>
          </cell>
        </row>
        <row r="523">
          <cell r="C523" t="str">
            <v>Barták Róbert</v>
          </cell>
          <cell r="D523" t="str">
            <v>8348242694</v>
          </cell>
        </row>
        <row r="524">
          <cell r="C524" t="str">
            <v>Szénásy Márta Krisztina</v>
          </cell>
          <cell r="D524" t="str">
            <v>8366333868</v>
          </cell>
        </row>
        <row r="525">
          <cell r="C525" t="str">
            <v>Hubert Nikolett</v>
          </cell>
          <cell r="D525" t="str">
            <v>8469202529</v>
          </cell>
        </row>
        <row r="526">
          <cell r="C526" t="str">
            <v>Varga Ágnes</v>
          </cell>
          <cell r="D526" t="str">
            <v>8364533339</v>
          </cell>
        </row>
        <row r="527">
          <cell r="C527" t="str">
            <v>Káli Péter</v>
          </cell>
          <cell r="D527" t="str">
            <v>8471310406</v>
          </cell>
        </row>
        <row r="528">
          <cell r="C528" t="str">
            <v>Nánási Barbara</v>
          </cell>
          <cell r="D528" t="str">
            <v>8403794029</v>
          </cell>
        </row>
        <row r="529">
          <cell r="C529" t="str">
            <v>Herzog Csilla</v>
          </cell>
          <cell r="D529" t="str">
            <v>8372591652</v>
          </cell>
        </row>
        <row r="530">
          <cell r="C530" t="str">
            <v>Kovács Viola</v>
          </cell>
          <cell r="D530" t="str">
            <v>8421062379</v>
          </cell>
        </row>
        <row r="531">
          <cell r="C531" t="str">
            <v>Nagy Roland</v>
          </cell>
          <cell r="D531" t="str">
            <v>8476222777</v>
          </cell>
        </row>
        <row r="532">
          <cell r="C532" t="str">
            <v>Stáhl Anita Katalin</v>
          </cell>
          <cell r="D532" t="str">
            <v>8391050157</v>
          </cell>
        </row>
        <row r="533">
          <cell r="C533" t="str">
            <v>Katona László Gábor</v>
          </cell>
          <cell r="D533" t="str">
            <v>8415246099</v>
          </cell>
        </row>
        <row r="534">
          <cell r="C534" t="str">
            <v>Ignácz Melinda</v>
          </cell>
          <cell r="D534" t="str">
            <v>8404111863</v>
          </cell>
        </row>
        <row r="535">
          <cell r="C535" t="str">
            <v>Estélyi István</v>
          </cell>
          <cell r="D535" t="str">
            <v>8440864078</v>
          </cell>
        </row>
        <row r="536">
          <cell r="C536" t="str">
            <v>Máhr Tivadar</v>
          </cell>
          <cell r="D536" t="str">
            <v>8393461960</v>
          </cell>
        </row>
        <row r="537">
          <cell r="C537" t="str">
            <v>Zaránd Alina</v>
          </cell>
          <cell r="D537" t="str">
            <v>8469240358</v>
          </cell>
        </row>
        <row r="538">
          <cell r="C538" t="str">
            <v>Földi Zsuzsanna</v>
          </cell>
          <cell r="D538" t="str">
            <v>8401883954</v>
          </cell>
        </row>
        <row r="539">
          <cell r="C539" t="str">
            <v>Mészáros Attila</v>
          </cell>
          <cell r="D539" t="str">
            <v>8384883114</v>
          </cell>
        </row>
        <row r="540">
          <cell r="C540" t="str">
            <v>Ódor-Hámori Ildikó</v>
          </cell>
          <cell r="D540" t="str">
            <v>8418112433</v>
          </cell>
        </row>
        <row r="541">
          <cell r="C541" t="str">
            <v>Oláhné Dr. Horváth Borbála</v>
          </cell>
          <cell r="D541" t="str">
            <v>8457292900</v>
          </cell>
        </row>
        <row r="542">
          <cell r="C542" t="str">
            <v>Csákiné Dr. Tombácz Etelka</v>
          </cell>
          <cell r="D542" t="str">
            <v>8310892233</v>
          </cell>
        </row>
        <row r="543">
          <cell r="C543" t="str">
            <v>Adamcsik Orsolya</v>
          </cell>
          <cell r="D543" t="str">
            <v>8468030554</v>
          </cell>
        </row>
        <row r="544">
          <cell r="C544" t="str">
            <v>Kulcsár Dániel</v>
          </cell>
          <cell r="D544" t="str">
            <v>8461011201</v>
          </cell>
        </row>
        <row r="545">
          <cell r="C545" t="str">
            <v>Hartyányi Máté</v>
          </cell>
          <cell r="D545" t="str">
            <v>8468170232</v>
          </cell>
        </row>
        <row r="546">
          <cell r="C546" t="str">
            <v>Bejczi Rebeka</v>
          </cell>
          <cell r="D546" t="str">
            <v>8471840170</v>
          </cell>
        </row>
        <row r="547">
          <cell r="C547" t="str">
            <v>Varga-Dani Barbara Zsuzsanna</v>
          </cell>
          <cell r="D547" t="str">
            <v>8401243130</v>
          </cell>
        </row>
        <row r="548">
          <cell r="C548" t="str">
            <v>Guáth Gyula Norbertné</v>
          </cell>
          <cell r="D548" t="str">
            <v>8394663109</v>
          </cell>
        </row>
        <row r="549">
          <cell r="C549" t="str">
            <v>Molnár-Pintér Eszter</v>
          </cell>
          <cell r="D549" t="str">
            <v>8445181513</v>
          </cell>
        </row>
        <row r="550">
          <cell r="C550" t="str">
            <v>Thimm Andreas</v>
          </cell>
          <cell r="D550" t="str">
            <v>8361864555</v>
          </cell>
        </row>
        <row r="551">
          <cell r="C551" t="str">
            <v>Kovács Nikoletta</v>
          </cell>
          <cell r="D551" t="str">
            <v>8450532272</v>
          </cell>
        </row>
        <row r="552">
          <cell r="C552" t="str">
            <v>Machalik-Hartman Beáta</v>
          </cell>
          <cell r="D552" t="str">
            <v>8398334916</v>
          </cell>
        </row>
        <row r="553">
          <cell r="C553" t="str">
            <v>Mezőfi Nóra</v>
          </cell>
          <cell r="D553" t="str">
            <v>8434592517</v>
          </cell>
        </row>
        <row r="554">
          <cell r="C554" t="str">
            <v>Marton-Németh Gabriella</v>
          </cell>
          <cell r="D554" t="str">
            <v>8437330769</v>
          </cell>
        </row>
        <row r="555">
          <cell r="C555" t="str">
            <v>Bazsó Rebeka</v>
          </cell>
          <cell r="D555" t="str">
            <v>8472250296</v>
          </cell>
        </row>
        <row r="556">
          <cell r="C556" t="str">
            <v>Czene Csilla</v>
          </cell>
          <cell r="D556" t="str">
            <v>8376733702</v>
          </cell>
        </row>
        <row r="557">
          <cell r="C557" t="str">
            <v>Zsargó Adrienn</v>
          </cell>
          <cell r="D557" t="str">
            <v>8460271463</v>
          </cell>
        </row>
        <row r="558">
          <cell r="C558" t="str">
            <v>Német Rajmund</v>
          </cell>
          <cell r="D558" t="str">
            <v>8461383214</v>
          </cell>
        </row>
        <row r="559">
          <cell r="C559" t="str">
            <v>Krahling Klaudia</v>
          </cell>
          <cell r="D559" t="str">
            <v>8471932784</v>
          </cell>
        </row>
        <row r="560">
          <cell r="C560" t="str">
            <v>Bóna Áron</v>
          </cell>
          <cell r="D560" t="str">
            <v>8424970721</v>
          </cell>
        </row>
        <row r="561">
          <cell r="C561" t="str">
            <v>Sigmond Eszter</v>
          </cell>
          <cell r="D561" t="str">
            <v>8378913287</v>
          </cell>
        </row>
        <row r="562">
          <cell r="C562" t="str">
            <v>Németh Eszter Júlia</v>
          </cell>
          <cell r="D562" t="str">
            <v>8473390040</v>
          </cell>
        </row>
        <row r="563">
          <cell r="C563" t="str">
            <v>Kozári Ildikó</v>
          </cell>
          <cell r="D563" t="str">
            <v>8386143789</v>
          </cell>
        </row>
        <row r="564">
          <cell r="C564" t="str">
            <v>Molnár Zsombor</v>
          </cell>
          <cell r="D564" t="str">
            <v>8466610820</v>
          </cell>
        </row>
        <row r="565">
          <cell r="C565" t="str">
            <v>Virág Lilla</v>
          </cell>
          <cell r="D565" t="str">
            <v>8457891952</v>
          </cell>
        </row>
        <row r="566">
          <cell r="C566" t="str">
            <v>Kummer Alex</v>
          </cell>
          <cell r="D566" t="str">
            <v>8456941492</v>
          </cell>
        </row>
        <row r="567">
          <cell r="C567" t="str">
            <v>Sziva Barnabás</v>
          </cell>
          <cell r="D567" t="str">
            <v>8392221095</v>
          </cell>
        </row>
        <row r="568">
          <cell r="C568" t="str">
            <v>Dobozi Eszter Judit</v>
          </cell>
          <cell r="D568" t="str">
            <v>8399572616</v>
          </cell>
        </row>
        <row r="569">
          <cell r="C569" t="str">
            <v>Hőke Ferenc</v>
          </cell>
          <cell r="D569" t="str">
            <v>8459031489</v>
          </cell>
        </row>
        <row r="570">
          <cell r="C570" t="str">
            <v>Csányi-Tornyos Eszter</v>
          </cell>
          <cell r="D570" t="str">
            <v>8407774197</v>
          </cell>
        </row>
        <row r="571">
          <cell r="C571" t="str">
            <v>Csanádi Ágnes</v>
          </cell>
          <cell r="D571" t="str">
            <v>8329223957</v>
          </cell>
        </row>
        <row r="572">
          <cell r="C572" t="str">
            <v>Hornung Tamás Jenő</v>
          </cell>
          <cell r="D572" t="str">
            <v>8331062841</v>
          </cell>
        </row>
        <row r="573">
          <cell r="C573" t="str">
            <v>Simon Győző</v>
          </cell>
          <cell r="D573" t="str">
            <v>8334263570</v>
          </cell>
        </row>
        <row r="574">
          <cell r="C574" t="str">
            <v>Gáspár László</v>
          </cell>
          <cell r="D574" t="str">
            <v>8335033226</v>
          </cell>
        </row>
        <row r="575">
          <cell r="C575" t="str">
            <v>Jámbor Balázs Róbert</v>
          </cell>
          <cell r="D575" t="str">
            <v>8340433393</v>
          </cell>
        </row>
        <row r="576">
          <cell r="C576" t="str">
            <v>Biró Ferenc</v>
          </cell>
          <cell r="D576" t="str">
            <v>8346702302</v>
          </cell>
        </row>
        <row r="577">
          <cell r="C577" t="str">
            <v>Szőke Irén</v>
          </cell>
          <cell r="D577" t="str">
            <v>8347162905</v>
          </cell>
        </row>
        <row r="578">
          <cell r="C578" t="str">
            <v>Klinger Jánosné</v>
          </cell>
          <cell r="D578" t="str">
            <v>8347962146</v>
          </cell>
        </row>
        <row r="579">
          <cell r="C579" t="str">
            <v>László Tamás</v>
          </cell>
          <cell r="D579" t="str">
            <v>8355333578</v>
          </cell>
        </row>
        <row r="580">
          <cell r="C580" t="str">
            <v>Bérces Edit</v>
          </cell>
          <cell r="D580" t="str">
            <v>8355642937</v>
          </cell>
        </row>
        <row r="581">
          <cell r="C581" t="str">
            <v>Palányi Ildikó</v>
          </cell>
          <cell r="D581" t="str">
            <v>8360023166</v>
          </cell>
        </row>
        <row r="582">
          <cell r="C582" t="str">
            <v>Vadvári Tibor</v>
          </cell>
          <cell r="D582" t="str">
            <v>8360112924</v>
          </cell>
        </row>
        <row r="583">
          <cell r="C583" t="str">
            <v>Antal Csabáné</v>
          </cell>
          <cell r="D583" t="str">
            <v>8361381112</v>
          </cell>
        </row>
        <row r="584">
          <cell r="C584" t="str">
            <v>Szabó Géza Tibor</v>
          </cell>
          <cell r="D584" t="str">
            <v>8362422726</v>
          </cell>
        </row>
        <row r="585">
          <cell r="C585" t="str">
            <v>Fehér Erika</v>
          </cell>
          <cell r="D585" t="str">
            <v>8362921579</v>
          </cell>
        </row>
        <row r="586">
          <cell r="C586" t="str">
            <v>Nagyné Halász Zsuzsanna</v>
          </cell>
          <cell r="D586" t="str">
            <v>8363643505</v>
          </cell>
        </row>
        <row r="587">
          <cell r="C587" t="str">
            <v>Dömők Miklósné</v>
          </cell>
          <cell r="D587" t="str">
            <v>8366693341</v>
          </cell>
        </row>
        <row r="588">
          <cell r="C588" t="str">
            <v>Gerencsér Györgyné</v>
          </cell>
          <cell r="D588" t="str">
            <v>8368910234</v>
          </cell>
        </row>
        <row r="589">
          <cell r="C589" t="str">
            <v>Virágh Andrea</v>
          </cell>
          <cell r="D589" t="str">
            <v>8373774033</v>
          </cell>
        </row>
        <row r="590">
          <cell r="C590" t="str">
            <v>Góczán Judit</v>
          </cell>
          <cell r="D590" t="str">
            <v>8387024724</v>
          </cell>
        </row>
        <row r="591">
          <cell r="C591" t="str">
            <v>Antal Anita</v>
          </cell>
          <cell r="D591" t="str">
            <v>8401914213</v>
          </cell>
        </row>
        <row r="592">
          <cell r="C592" t="str">
            <v>Torma Roland</v>
          </cell>
          <cell r="D592" t="str">
            <v>8406992026</v>
          </cell>
        </row>
        <row r="593">
          <cell r="C593" t="str">
            <v>László András</v>
          </cell>
          <cell r="D593" t="str">
            <v>8407780618</v>
          </cell>
        </row>
        <row r="594">
          <cell r="C594" t="str">
            <v>Badics Albert</v>
          </cell>
          <cell r="D594" t="str">
            <v>8411453715</v>
          </cell>
        </row>
        <row r="595">
          <cell r="C595" t="str">
            <v>Szelesné Szőke Judit</v>
          </cell>
          <cell r="D595" t="str">
            <v>8411521834</v>
          </cell>
        </row>
        <row r="596">
          <cell r="C596" t="str">
            <v>Szabó Péter</v>
          </cell>
          <cell r="D596" t="str">
            <v>8417903070</v>
          </cell>
        </row>
        <row r="597">
          <cell r="C597" t="str">
            <v>Egyed Róbert</v>
          </cell>
          <cell r="D597" t="str">
            <v>8418523018</v>
          </cell>
        </row>
        <row r="598">
          <cell r="C598" t="str">
            <v>Tibákné Nyirati Katalin</v>
          </cell>
          <cell r="D598" t="str">
            <v>8420351687</v>
          </cell>
        </row>
        <row r="599">
          <cell r="C599" t="str">
            <v>Bicsák Richárd</v>
          </cell>
          <cell r="D599" t="str">
            <v>8432283533</v>
          </cell>
        </row>
        <row r="600">
          <cell r="C600" t="str">
            <v>Horváth Veronika</v>
          </cell>
          <cell r="D600" t="str">
            <v>8438330428</v>
          </cell>
        </row>
        <row r="601">
          <cell r="C601" t="str">
            <v>Márkus Mónika</v>
          </cell>
          <cell r="D601" t="str">
            <v>8441091919</v>
          </cell>
        </row>
        <row r="602">
          <cell r="C602" t="str">
            <v>Varga Petra</v>
          </cell>
          <cell r="D602" t="str">
            <v>8442761829</v>
          </cell>
        </row>
        <row r="603">
          <cell r="C603" t="str">
            <v>Németh Krisztina</v>
          </cell>
          <cell r="D603" t="str">
            <v>8446122928</v>
          </cell>
        </row>
        <row r="604">
          <cell r="C604" t="str">
            <v>Horváth- Keibl Aliz</v>
          </cell>
          <cell r="D604" t="str">
            <v>8446882825</v>
          </cell>
        </row>
        <row r="605">
          <cell r="C605" t="str">
            <v>Gombócz Antal</v>
          </cell>
          <cell r="D605" t="str">
            <v>8449600928</v>
          </cell>
        </row>
        <row r="606">
          <cell r="C606" t="str">
            <v>Lukács-Gaál Eszter</v>
          </cell>
          <cell r="D606" t="str">
            <v>8453751919</v>
          </cell>
        </row>
        <row r="607">
          <cell r="C607" t="str">
            <v>Szabó Csaba</v>
          </cell>
          <cell r="D607" t="str">
            <v>8365902559</v>
          </cell>
        </row>
        <row r="608">
          <cell r="C608" t="str">
            <v>Tóth Balázs</v>
          </cell>
          <cell r="D608" t="str">
            <v>8446400413</v>
          </cell>
        </row>
        <row r="609">
          <cell r="C609" t="str">
            <v>Szekér Ármin</v>
          </cell>
          <cell r="D609" t="str">
            <v>8474010640</v>
          </cell>
        </row>
        <row r="610">
          <cell r="C610" t="str">
            <v>Pálfy Angelika</v>
          </cell>
          <cell r="D610" t="str">
            <v>8390832461</v>
          </cell>
        </row>
        <row r="611">
          <cell r="C611" t="str">
            <v>Hadászi Ágnes Melinda</v>
          </cell>
          <cell r="D611" t="str">
            <v>8367553926</v>
          </cell>
        </row>
        <row r="612">
          <cell r="C612" t="str">
            <v>Balaton János</v>
          </cell>
          <cell r="D612" t="str">
            <v>8360630372</v>
          </cell>
        </row>
        <row r="613">
          <cell r="C613" t="str">
            <v>Csorvási-György Petra</v>
          </cell>
          <cell r="D613" t="str">
            <v>8459483118</v>
          </cell>
        </row>
        <row r="614">
          <cell r="C614" t="str">
            <v>Holczinger Melinda</v>
          </cell>
          <cell r="D614" t="str">
            <v>8396663947</v>
          </cell>
        </row>
        <row r="615">
          <cell r="C615" t="str">
            <v>Németh István</v>
          </cell>
          <cell r="D615" t="str">
            <v>8382191150</v>
          </cell>
        </row>
        <row r="616">
          <cell r="C616" t="str">
            <v>Kovács Gábor</v>
          </cell>
          <cell r="D616" t="str">
            <v>8363073083</v>
          </cell>
        </row>
        <row r="617">
          <cell r="C617" t="str">
            <v>Czvetkó Tímea</v>
          </cell>
          <cell r="D617" t="str">
            <v>8477853010</v>
          </cell>
        </row>
        <row r="618">
          <cell r="C618" t="str">
            <v>Katona Attila Imre</v>
          </cell>
          <cell r="D618" t="str">
            <v>8449770939</v>
          </cell>
        </row>
        <row r="619">
          <cell r="C619" t="str">
            <v>Liska Fanny</v>
          </cell>
          <cell r="D619" t="str">
            <v>8456630403</v>
          </cell>
        </row>
        <row r="620">
          <cell r="C620" t="str">
            <v>Szokoli Kitti</v>
          </cell>
          <cell r="D620" t="str">
            <v>8439851952</v>
          </cell>
        </row>
        <row r="621">
          <cell r="C621" t="str">
            <v>Pekkerné Menyhárt Adrienn</v>
          </cell>
          <cell r="D621" t="str">
            <v>8429253254</v>
          </cell>
        </row>
        <row r="622">
          <cell r="C622" t="str">
            <v>Maász Gábor</v>
          </cell>
          <cell r="D622" t="str">
            <v>8437480957</v>
          </cell>
        </row>
        <row r="623">
          <cell r="C623" t="str">
            <v>Maászné Zrínyi Zita</v>
          </cell>
          <cell r="D623" t="str">
            <v>8442082794</v>
          </cell>
        </row>
        <row r="624">
          <cell r="C624" t="str">
            <v>Tóth-Farsang Evelin</v>
          </cell>
          <cell r="D624" t="str">
            <v>8447772748</v>
          </cell>
        </row>
        <row r="625">
          <cell r="C625" t="str">
            <v>Dabronaki Priszinger Krisztina Éva</v>
          </cell>
          <cell r="D625" t="str">
            <v>8415300263</v>
          </cell>
        </row>
        <row r="626">
          <cell r="C626" t="str">
            <v>Imre Nóra</v>
          </cell>
          <cell r="D626" t="str">
            <v>8391833836</v>
          </cell>
        </row>
        <row r="627">
          <cell r="C627" t="str">
            <v>Horváth Virág</v>
          </cell>
          <cell r="D627" t="str">
            <v>8464342063</v>
          </cell>
        </row>
        <row r="628">
          <cell r="C628" t="str">
            <v>Balatoni Mónika</v>
          </cell>
          <cell r="D628" t="str">
            <v>8382053971</v>
          </cell>
        </row>
        <row r="629">
          <cell r="C629" t="str">
            <v>Kocsis Andrea</v>
          </cell>
          <cell r="D629" t="str">
            <v>8360241228</v>
          </cell>
        </row>
        <row r="630">
          <cell r="C630" t="str">
            <v>Kujbusné Kovács Rita</v>
          </cell>
          <cell r="D630" t="str">
            <v>8381284139</v>
          </cell>
        </row>
        <row r="631">
          <cell r="C631" t="str">
            <v>Vincze Ernő</v>
          </cell>
          <cell r="D631" t="str">
            <v>8435150860</v>
          </cell>
        </row>
        <row r="632">
          <cell r="C632" t="str">
            <v>Kozma Dorottya Edina</v>
          </cell>
          <cell r="D632" t="str">
            <v>8453283079</v>
          </cell>
        </row>
        <row r="633">
          <cell r="C633" t="str">
            <v>Petrinic Irena</v>
          </cell>
          <cell r="D633" t="str">
            <v>8387485616</v>
          </cell>
        </row>
        <row r="634">
          <cell r="C634" t="str">
            <v>Auer Felícia</v>
          </cell>
          <cell r="D634" t="str">
            <v>8468362336</v>
          </cell>
        </row>
        <row r="635">
          <cell r="C635" t="str">
            <v>Pekárik Dávid</v>
          </cell>
          <cell r="D635" t="str">
            <v>8465090238</v>
          </cell>
        </row>
        <row r="636">
          <cell r="C636" t="str">
            <v>Bella Dániel</v>
          </cell>
          <cell r="D636" t="str">
            <v>8459273199</v>
          </cell>
        </row>
        <row r="637">
          <cell r="C637" t="str">
            <v>Tóth Bernadett</v>
          </cell>
          <cell r="D637" t="str">
            <v>8452851529</v>
          </cell>
        </row>
        <row r="638">
          <cell r="C638" t="str">
            <v>Farkas Péter</v>
          </cell>
          <cell r="D638" t="str">
            <v>8400125053</v>
          </cell>
        </row>
        <row r="639">
          <cell r="C639" t="str">
            <v>Kerekesné Csordás Eszter</v>
          </cell>
          <cell r="D639" t="str">
            <v>8447572374</v>
          </cell>
        </row>
        <row r="640">
          <cell r="C640" t="str">
            <v>Szakács Szabolcs</v>
          </cell>
          <cell r="D640" t="str">
            <v>8447632261</v>
          </cell>
        </row>
        <row r="641">
          <cell r="C641" t="str">
            <v>Kaszáné Csehi Diána</v>
          </cell>
          <cell r="D641" t="str">
            <v>8397883924</v>
          </cell>
        </row>
        <row r="642">
          <cell r="C642" t="str">
            <v>Szabó László</v>
          </cell>
          <cell r="D642" t="str">
            <v>8354930351</v>
          </cell>
        </row>
        <row r="643">
          <cell r="C643" t="str">
            <v>Fodor Sándor</v>
          </cell>
          <cell r="D643" t="str">
            <v>8470832808</v>
          </cell>
        </row>
        <row r="644">
          <cell r="C644" t="str">
            <v>Balog Annamária</v>
          </cell>
          <cell r="D644" t="str">
            <v>8463041248</v>
          </cell>
        </row>
        <row r="645">
          <cell r="C645" t="str">
            <v>Vonderviszt Lajos</v>
          </cell>
          <cell r="D645" t="str">
            <v>8347262403</v>
          </cell>
        </row>
        <row r="646">
          <cell r="C646" t="str">
            <v>Varga Kende Lőrinc</v>
          </cell>
          <cell r="D646" t="str">
            <v>8443273798</v>
          </cell>
        </row>
        <row r="647">
          <cell r="C647" t="str">
            <v>Fehér Norbert</v>
          </cell>
          <cell r="D647" t="str">
            <v>8392061268</v>
          </cell>
        </row>
        <row r="648">
          <cell r="C648" t="str">
            <v>Mihalik Bendegúz</v>
          </cell>
          <cell r="D648" t="str">
            <v>8451324509</v>
          </cell>
        </row>
        <row r="649">
          <cell r="C649" t="str">
            <v>Rádli Richárd Bence</v>
          </cell>
          <cell r="D649" t="str">
            <v>8463660355</v>
          </cell>
        </row>
        <row r="650">
          <cell r="C650" t="str">
            <v>Varga Ákos</v>
          </cell>
          <cell r="D650" t="str">
            <v>8474940427</v>
          </cell>
        </row>
        <row r="651">
          <cell r="C651" t="str">
            <v>Csima-Ihász Tímea</v>
          </cell>
          <cell r="D651" t="str">
            <v>8412103416</v>
          </cell>
        </row>
        <row r="652">
          <cell r="C652" t="str">
            <v>Józsa László</v>
          </cell>
          <cell r="D652" t="str">
            <v>8341603020</v>
          </cell>
        </row>
        <row r="653">
          <cell r="C653" t="str">
            <v>Jakab Bálint</v>
          </cell>
          <cell r="D653" t="str">
            <v>8462701147</v>
          </cell>
        </row>
        <row r="654">
          <cell r="C654" t="str">
            <v>Leveles László</v>
          </cell>
          <cell r="D654" t="str">
            <v>8384415307</v>
          </cell>
        </row>
        <row r="655">
          <cell r="C655" t="str">
            <v>Gál Henrietta</v>
          </cell>
          <cell r="D655" t="str">
            <v>8476082037</v>
          </cell>
        </row>
        <row r="656">
          <cell r="C656" t="str">
            <v>Darányi András Pál</v>
          </cell>
          <cell r="D656" t="str">
            <v>8461660684</v>
          </cell>
        </row>
        <row r="657">
          <cell r="C657" t="str">
            <v>Zsiborács Henrik</v>
          </cell>
          <cell r="D657" t="str">
            <v>8332374189</v>
          </cell>
        </row>
        <row r="658">
          <cell r="C658" t="str">
            <v>Szecsődi-Guti Mária</v>
          </cell>
          <cell r="D658" t="str">
            <v>8441923213</v>
          </cell>
        </row>
        <row r="659">
          <cell r="C659" t="str">
            <v>Tóth Benedek</v>
          </cell>
          <cell r="D659" t="str">
            <v>8401954231</v>
          </cell>
        </row>
        <row r="660">
          <cell r="C660" t="str">
            <v>Strack Flórián</v>
          </cell>
          <cell r="D660" t="str">
            <v>8456510645</v>
          </cell>
        </row>
        <row r="661">
          <cell r="C661" t="str">
            <v>Kántor Szilvia</v>
          </cell>
          <cell r="D661" t="str">
            <v>8456992658</v>
          </cell>
        </row>
        <row r="662">
          <cell r="C662" t="str">
            <v>Czene Adrienn</v>
          </cell>
          <cell r="D662" t="str">
            <v>8469340409</v>
          </cell>
        </row>
        <row r="663">
          <cell r="C663" t="str">
            <v>Kucserka Tamás</v>
          </cell>
          <cell r="D663" t="str">
            <v>8425661145</v>
          </cell>
        </row>
        <row r="664">
          <cell r="C664" t="str">
            <v>Kis-Simon Tünde</v>
          </cell>
          <cell r="D664" t="str">
            <v>8430140549</v>
          </cell>
        </row>
        <row r="665">
          <cell r="C665" t="str">
            <v>Léber Adrienn</v>
          </cell>
          <cell r="D665" t="str">
            <v>8427861834</v>
          </cell>
        </row>
        <row r="666">
          <cell r="C666" t="str">
            <v>Kajtár Tímea</v>
          </cell>
          <cell r="D666" t="str">
            <v>8392460766</v>
          </cell>
        </row>
        <row r="667">
          <cell r="C667" t="str">
            <v>Dienes Ágota Viktória</v>
          </cell>
          <cell r="D667" t="str">
            <v>8443541296</v>
          </cell>
        </row>
        <row r="668">
          <cell r="C668" t="str">
            <v>Darida Zsuzsa</v>
          </cell>
          <cell r="D668" t="str">
            <v>8395723636</v>
          </cell>
        </row>
        <row r="669">
          <cell r="C669" t="str">
            <v>Keller Viktória Petra</v>
          </cell>
          <cell r="D669" t="str">
            <v>8399494542</v>
          </cell>
        </row>
        <row r="670">
          <cell r="C670" t="str">
            <v>Ipkovich Ádám</v>
          </cell>
          <cell r="D670" t="str">
            <v>8486570808</v>
          </cell>
        </row>
        <row r="671">
          <cell r="C671" t="str">
            <v>Staubné Balás Rita</v>
          </cell>
          <cell r="D671" t="str">
            <v>8431501502</v>
          </cell>
        </row>
        <row r="672">
          <cell r="C672" t="str">
            <v>Melich Dóra</v>
          </cell>
          <cell r="D672" t="str">
            <v>8470952773</v>
          </cell>
        </row>
        <row r="673">
          <cell r="C673" t="str">
            <v>Fodor Fruzsina</v>
          </cell>
          <cell r="D673" t="str">
            <v>8479830956</v>
          </cell>
        </row>
        <row r="674">
          <cell r="C674" t="str">
            <v>Komáromy Péter</v>
          </cell>
          <cell r="D674" t="str">
            <v>8353902435</v>
          </cell>
        </row>
        <row r="675">
          <cell r="C675" t="str">
            <v>Simon Georgina Judit</v>
          </cell>
          <cell r="D675" t="str">
            <v>8447622487</v>
          </cell>
        </row>
        <row r="676">
          <cell r="C676" t="str">
            <v>Benedek Ágnes</v>
          </cell>
          <cell r="D676" t="str">
            <v>8429410953</v>
          </cell>
        </row>
        <row r="677">
          <cell r="C677" t="str">
            <v>Balás-Nyitrai Barbara</v>
          </cell>
          <cell r="D677" t="str">
            <v>8440121865</v>
          </cell>
        </row>
        <row r="678">
          <cell r="C678" t="str">
            <v>Kesserű Péter</v>
          </cell>
          <cell r="D678" t="str">
            <v>8386020911</v>
          </cell>
        </row>
        <row r="679">
          <cell r="C679" t="str">
            <v>Fekete Dzsenifer</v>
          </cell>
          <cell r="D679" t="str">
            <v>8470991035</v>
          </cell>
        </row>
        <row r="680">
          <cell r="C680" t="str">
            <v>Tóth Krisztina Tímea</v>
          </cell>
          <cell r="D680" t="str">
            <v>8461583191</v>
          </cell>
        </row>
        <row r="681">
          <cell r="C681" t="str">
            <v>Mészáros András</v>
          </cell>
          <cell r="D681" t="str">
            <v>8424321014</v>
          </cell>
        </row>
        <row r="682">
          <cell r="C682" t="str">
            <v>Török Nikolett</v>
          </cell>
          <cell r="D682" t="str">
            <v>8445893076</v>
          </cell>
        </row>
        <row r="683">
          <cell r="C683" t="str">
            <v>Hanis Dávid</v>
          </cell>
          <cell r="D683" t="str">
            <v>8462731127</v>
          </cell>
        </row>
        <row r="684">
          <cell r="C684" t="str">
            <v>Kámán András</v>
          </cell>
          <cell r="D684" t="str">
            <v>8472472035</v>
          </cell>
        </row>
        <row r="685">
          <cell r="C685" t="str">
            <v>Szekér Vivien</v>
          </cell>
          <cell r="D685" t="str">
            <v>8457043838</v>
          </cell>
        </row>
        <row r="686">
          <cell r="C686" t="str">
            <v>Tábori Margit</v>
          </cell>
          <cell r="D686" t="str">
            <v>8400143507</v>
          </cell>
        </row>
        <row r="687">
          <cell r="C687" t="str">
            <v>Tóth Zsanett</v>
          </cell>
          <cell r="D687" t="str">
            <v>8479521163</v>
          </cell>
        </row>
        <row r="688">
          <cell r="C688" t="str">
            <v>Szili-Fodor Dóra</v>
          </cell>
          <cell r="D688" t="str">
            <v>8404893268</v>
          </cell>
        </row>
        <row r="689">
          <cell r="C689" t="str">
            <v>Szabó István</v>
          </cell>
          <cell r="D689" t="str">
            <v>8405900829</v>
          </cell>
        </row>
        <row r="690">
          <cell r="C690" t="str">
            <v>Afshar Naeimeh</v>
          </cell>
          <cell r="D690" t="str">
            <v>8415364997</v>
          </cell>
        </row>
        <row r="691">
          <cell r="C691" t="str">
            <v>Töreki Stefánia Matild</v>
          </cell>
          <cell r="D691" t="str">
            <v>8371850115</v>
          </cell>
        </row>
        <row r="692">
          <cell r="C692" t="str">
            <v>Szóka Orsolya</v>
          </cell>
          <cell r="D692" t="str">
            <v>8450030404</v>
          </cell>
        </row>
        <row r="693">
          <cell r="C693" t="str">
            <v>Nagy Antal</v>
          </cell>
          <cell r="D693" t="str">
            <v>8439382790</v>
          </cell>
        </row>
        <row r="694">
          <cell r="C694" t="str">
            <v>Balaicz Zoltánné</v>
          </cell>
          <cell r="D694" t="str">
            <v>8401383412</v>
          </cell>
        </row>
        <row r="695">
          <cell r="C695" t="str">
            <v>Stavans Anat</v>
          </cell>
          <cell r="D695" t="str">
            <v>8332495547</v>
          </cell>
        </row>
        <row r="696">
          <cell r="C696" t="str">
            <v>Sepsi Éva</v>
          </cell>
          <cell r="D696" t="str">
            <v>8412310314</v>
          </cell>
        </row>
        <row r="697">
          <cell r="C697" t="str">
            <v>Koók László</v>
          </cell>
          <cell r="D697" t="str">
            <v>8454981969</v>
          </cell>
        </row>
        <row r="698">
          <cell r="C698" t="str">
            <v>Kovács Melinda</v>
          </cell>
          <cell r="D698" t="str">
            <v>8401664799</v>
          </cell>
        </row>
        <row r="699">
          <cell r="C699" t="str">
            <v>Kovács-Németh Lilla</v>
          </cell>
          <cell r="D699" t="str">
            <v>8442550232</v>
          </cell>
        </row>
        <row r="700">
          <cell r="C700" t="str">
            <v>Bereczki Péter Gábor</v>
          </cell>
          <cell r="D700" t="str">
            <v>8419890081</v>
          </cell>
        </row>
        <row r="701">
          <cell r="C701" t="str">
            <v>Balog Andrea</v>
          </cell>
          <cell r="D701" t="str">
            <v>8400614186</v>
          </cell>
        </row>
        <row r="702">
          <cell r="C702" t="str">
            <v>Szabóné Dr. Ravasz Bernadett</v>
          </cell>
          <cell r="D702" t="str">
            <v>8303113313</v>
          </cell>
        </row>
        <row r="703">
          <cell r="C703" t="str">
            <v>Estélyi-Tala Nóra</v>
          </cell>
          <cell r="D703" t="str">
            <v>8450163250</v>
          </cell>
        </row>
        <row r="704">
          <cell r="C704" t="str">
            <v>Guzsvinecz Tibor</v>
          </cell>
          <cell r="D704" t="str">
            <v>8456000604</v>
          </cell>
        </row>
        <row r="705">
          <cell r="C705" t="str">
            <v>Szűcs Judit</v>
          </cell>
          <cell r="D705" t="str">
            <v>8456852562</v>
          </cell>
        </row>
        <row r="706">
          <cell r="C706" t="str">
            <v>Kondor Dóra</v>
          </cell>
          <cell r="D706" t="str">
            <v>8477941602</v>
          </cell>
        </row>
        <row r="707">
          <cell r="C707" t="str">
            <v>Bujna Hajnalka</v>
          </cell>
          <cell r="D707" t="str">
            <v>8422550644</v>
          </cell>
        </row>
        <row r="708">
          <cell r="C708" t="str">
            <v>Pós Adrienn</v>
          </cell>
          <cell r="D708" t="str">
            <v>8471190532</v>
          </cell>
        </row>
        <row r="709">
          <cell r="C709" t="str">
            <v>Czeglédi-Kelemen Angéla</v>
          </cell>
          <cell r="D709" t="str">
            <v>8430310738</v>
          </cell>
        </row>
        <row r="710">
          <cell r="C710" t="str">
            <v>Németh Gábor István</v>
          </cell>
          <cell r="D710" t="str">
            <v>8473952286</v>
          </cell>
        </row>
        <row r="711">
          <cell r="C711" t="str">
            <v>Lukács Tamás Csaba</v>
          </cell>
          <cell r="D711" t="str">
            <v>8355672534</v>
          </cell>
        </row>
        <row r="712">
          <cell r="C712" t="str">
            <v>Tulézi-Lukácsi Kitti</v>
          </cell>
          <cell r="D712" t="str">
            <v>8479450444</v>
          </cell>
        </row>
        <row r="713">
          <cell r="C713" t="str">
            <v>Opicz Ágnes</v>
          </cell>
          <cell r="D713" t="str">
            <v>8365593564</v>
          </cell>
        </row>
        <row r="714">
          <cell r="C714" t="str">
            <v>Bogdán Tamás</v>
          </cell>
          <cell r="D714" t="str">
            <v>8350852550</v>
          </cell>
        </row>
        <row r="715">
          <cell r="C715" t="str">
            <v>Betlehemné Marton Ildikó</v>
          </cell>
          <cell r="D715" t="str">
            <v>8353391902</v>
          </cell>
        </row>
        <row r="716">
          <cell r="C716" t="str">
            <v>Takács Líviusz</v>
          </cell>
          <cell r="D716" t="str">
            <v>8443042931</v>
          </cell>
        </row>
        <row r="717">
          <cell r="C717" t="str">
            <v>Waldinger Anett</v>
          </cell>
          <cell r="D717" t="str">
            <v>8453660115</v>
          </cell>
        </row>
        <row r="718">
          <cell r="C718" t="str">
            <v>Németh Richárd</v>
          </cell>
          <cell r="D718" t="str">
            <v>8449114357</v>
          </cell>
        </row>
        <row r="719">
          <cell r="C719" t="str">
            <v>Kandár Attila</v>
          </cell>
          <cell r="D719" t="str">
            <v>8428730148</v>
          </cell>
        </row>
        <row r="720">
          <cell r="C720" t="str">
            <v>Péntek Imre</v>
          </cell>
          <cell r="D720" t="str">
            <v>8439311400</v>
          </cell>
        </row>
        <row r="721">
          <cell r="C721" t="str">
            <v>Juhász Mária Dóra</v>
          </cell>
          <cell r="D721" t="str">
            <v>8388670670</v>
          </cell>
        </row>
        <row r="722">
          <cell r="C722" t="str">
            <v>Szabó Zsolt</v>
          </cell>
          <cell r="D722" t="str">
            <v>8377233223</v>
          </cell>
        </row>
        <row r="723">
          <cell r="C723" t="str">
            <v>Vuk Attila Lajos</v>
          </cell>
          <cell r="D723" t="str">
            <v>8375352837</v>
          </cell>
        </row>
        <row r="724">
          <cell r="C724" t="str">
            <v>Beregszászi Csaba</v>
          </cell>
          <cell r="D724" t="str">
            <v>8358032285</v>
          </cell>
        </row>
        <row r="725">
          <cell r="C725" t="str">
            <v>Kandárné Molnár Jusztina</v>
          </cell>
          <cell r="D725" t="str">
            <v>8436493206</v>
          </cell>
        </row>
        <row r="726">
          <cell r="C726" t="str">
            <v>Pancsa Katalin</v>
          </cell>
          <cell r="D726" t="str">
            <v>8440502516</v>
          </cell>
        </row>
        <row r="727">
          <cell r="C727" t="str">
            <v>Szatmári Sándor</v>
          </cell>
          <cell r="D727" t="str">
            <v>8397073647</v>
          </cell>
        </row>
        <row r="728">
          <cell r="C728" t="str">
            <v>Pálinkás Roland</v>
          </cell>
          <cell r="D728" t="str">
            <v>8451490050</v>
          </cell>
        </row>
        <row r="729">
          <cell r="C729" t="str">
            <v>Andor Balázs</v>
          </cell>
          <cell r="D729" t="str">
            <v>8438973132</v>
          </cell>
        </row>
        <row r="730">
          <cell r="C730" t="str">
            <v>Király András</v>
          </cell>
          <cell r="D730" t="str">
            <v>8434170299</v>
          </cell>
        </row>
        <row r="731">
          <cell r="C731" t="str">
            <v>Sánta Zoltán</v>
          </cell>
          <cell r="D731" t="str">
            <v>8377113341</v>
          </cell>
        </row>
        <row r="732">
          <cell r="C732" t="str">
            <v>Urbán Katalin</v>
          </cell>
          <cell r="D732" t="str">
            <v>8378243737</v>
          </cell>
        </row>
        <row r="733">
          <cell r="C733" t="str">
            <v>Horváth-Auer Fanni Olivia</v>
          </cell>
          <cell r="D733" t="str">
            <v>8465163111</v>
          </cell>
        </row>
        <row r="734">
          <cell r="C734" t="str">
            <v>Lepsényi István</v>
          </cell>
          <cell r="D734" t="str">
            <v>8318834208</v>
          </cell>
        </row>
        <row r="735">
          <cell r="C735" t="str">
            <v>Görög Mihály</v>
          </cell>
          <cell r="D735" t="str">
            <v>8309423470</v>
          </cell>
        </row>
        <row r="736">
          <cell r="C736" t="str">
            <v>Halász Gergely Lajos</v>
          </cell>
          <cell r="D736" t="str">
            <v>8484210146</v>
          </cell>
        </row>
        <row r="737">
          <cell r="C737" t="str">
            <v>Csendes Viktória Flóra</v>
          </cell>
          <cell r="D737" t="str">
            <v>8464521502</v>
          </cell>
        </row>
        <row r="738">
          <cell r="C738" t="str">
            <v>Tran Tuan Anh</v>
          </cell>
          <cell r="D738" t="str">
            <v>8459943798</v>
          </cell>
        </row>
        <row r="739">
          <cell r="C739" t="str">
            <v>Szőke Georgina</v>
          </cell>
          <cell r="D739" t="str">
            <v>8481051845</v>
          </cell>
        </row>
        <row r="740">
          <cell r="C740" t="str">
            <v>László Veronika</v>
          </cell>
          <cell r="D740" t="str">
            <v>8465210845</v>
          </cell>
        </row>
        <row r="741">
          <cell r="C741" t="str">
            <v>Salamon Antal</v>
          </cell>
          <cell r="D741" t="str">
            <v>8358303319</v>
          </cell>
        </row>
        <row r="742">
          <cell r="C742" t="str">
            <v>Pálfi Ivett</v>
          </cell>
          <cell r="D742" t="str">
            <v>8466090657</v>
          </cell>
        </row>
        <row r="743">
          <cell r="C743" t="str">
            <v>Németh-Fábián Réka</v>
          </cell>
          <cell r="D743" t="str">
            <v>8442350756</v>
          </cell>
        </row>
        <row r="744">
          <cell r="C744" t="str">
            <v>Kovácsné Nagy Antónia</v>
          </cell>
          <cell r="D744" t="str">
            <v>8367733835</v>
          </cell>
        </row>
        <row r="745">
          <cell r="C745" t="str">
            <v>Szalontai-Liszkai Nikoletta</v>
          </cell>
          <cell r="D745" t="str">
            <v>8422850095</v>
          </cell>
        </row>
        <row r="746">
          <cell r="C746" t="str">
            <v>Karakai Tünde</v>
          </cell>
          <cell r="D746" t="str">
            <v>8392743369</v>
          </cell>
        </row>
        <row r="747">
          <cell r="C747" t="str">
            <v>Sikné Czank Nóra</v>
          </cell>
          <cell r="D747" t="str">
            <v>8446450216</v>
          </cell>
        </row>
        <row r="748">
          <cell r="C748" t="str">
            <v>Kandó Kata Életke</v>
          </cell>
          <cell r="D748" t="str">
            <v>8474110068</v>
          </cell>
        </row>
        <row r="749">
          <cell r="C749" t="str">
            <v>Selmeczi Judit</v>
          </cell>
          <cell r="D749" t="str">
            <v>8462660505</v>
          </cell>
        </row>
        <row r="750">
          <cell r="C750" t="str">
            <v>Nagy Attila Árpád</v>
          </cell>
          <cell r="D750" t="str">
            <v>8457462482</v>
          </cell>
        </row>
        <row r="751">
          <cell r="C751" t="str">
            <v>Hardy András György</v>
          </cell>
          <cell r="D751" t="str">
            <v>8341122936</v>
          </cell>
        </row>
        <row r="752">
          <cell r="C752" t="str">
            <v>Sipos Nikolett</v>
          </cell>
          <cell r="D752" t="str">
            <v>8464281692</v>
          </cell>
        </row>
        <row r="753">
          <cell r="C753" t="str">
            <v>Mák Lilla</v>
          </cell>
          <cell r="D753" t="str">
            <v>8462140455</v>
          </cell>
        </row>
        <row r="754">
          <cell r="C754" t="str">
            <v>Szigetvári Zsolt</v>
          </cell>
          <cell r="D754" t="str">
            <v>8374523034</v>
          </cell>
        </row>
        <row r="755">
          <cell r="C755" t="str">
            <v>Németh László</v>
          </cell>
          <cell r="D755" t="str">
            <v>8469820931</v>
          </cell>
        </row>
        <row r="756">
          <cell r="C756" t="str">
            <v>Szalai Gréta</v>
          </cell>
          <cell r="D756" t="str">
            <v>8488690673</v>
          </cell>
        </row>
        <row r="757">
          <cell r="C757" t="str">
            <v>Patkósné Böle Renáta</v>
          </cell>
          <cell r="D757" t="str">
            <v>8448150856</v>
          </cell>
        </row>
        <row r="758">
          <cell r="C758" t="str">
            <v>Sántha-Malomsoki Ágnes</v>
          </cell>
          <cell r="D758" t="str">
            <v>8411764036</v>
          </cell>
        </row>
        <row r="759">
          <cell r="C759" t="str">
            <v>Gnitiev Sergei</v>
          </cell>
          <cell r="D759" t="str">
            <v>8464484135</v>
          </cell>
        </row>
        <row r="760">
          <cell r="C760" t="str">
            <v>Saghir Aamir</v>
          </cell>
          <cell r="D760" t="str">
            <v>8427273789</v>
          </cell>
        </row>
        <row r="761">
          <cell r="C761" t="str">
            <v>Fülöp Zsófia</v>
          </cell>
          <cell r="D761" t="str">
            <v>8427800118</v>
          </cell>
        </row>
        <row r="762">
          <cell r="C762" t="str">
            <v>Ihász Petra</v>
          </cell>
          <cell r="D762" t="str">
            <v>8459391582</v>
          </cell>
        </row>
        <row r="763">
          <cell r="C763" t="str">
            <v>Hanich Szabolcs</v>
          </cell>
          <cell r="D763" t="str">
            <v>8396355045</v>
          </cell>
        </row>
        <row r="764">
          <cell r="C764" t="str">
            <v>Püspök Krisztián</v>
          </cell>
          <cell r="D764" t="str">
            <v>8484400956</v>
          </cell>
        </row>
        <row r="765">
          <cell r="C765" t="str">
            <v>Osváth Erzsébet</v>
          </cell>
          <cell r="D765" t="str">
            <v>8477182833</v>
          </cell>
        </row>
        <row r="766">
          <cell r="C766" t="str">
            <v>Palotai Nándor</v>
          </cell>
          <cell r="D766" t="str">
            <v>8423311996</v>
          </cell>
        </row>
        <row r="767">
          <cell r="C767" t="str">
            <v>Vipler Nikolett</v>
          </cell>
          <cell r="D767" t="str">
            <v>8463713424</v>
          </cell>
        </row>
        <row r="768">
          <cell r="C768" t="str">
            <v>Dési Ádám Dániel</v>
          </cell>
          <cell r="D768" t="str">
            <v>8453561745</v>
          </cell>
        </row>
        <row r="769">
          <cell r="C769" t="str">
            <v>Joó István</v>
          </cell>
          <cell r="D769" t="str">
            <v>8427691262</v>
          </cell>
        </row>
        <row r="770">
          <cell r="C770" t="str">
            <v>Katits Etelka Éva</v>
          </cell>
          <cell r="D770" t="str">
            <v>8356123089</v>
          </cell>
        </row>
        <row r="771">
          <cell r="C771" t="str">
            <v>Hegedűs Géza József</v>
          </cell>
          <cell r="D771" t="str">
            <v>8336430938</v>
          </cell>
        </row>
        <row r="772">
          <cell r="C772" t="str">
            <v>Kopházi-Molnár Erzsébet</v>
          </cell>
          <cell r="D772" t="str">
            <v>8361542329</v>
          </cell>
        </row>
        <row r="773">
          <cell r="C773" t="str">
            <v>Ignácz Kristóf</v>
          </cell>
          <cell r="D773" t="str">
            <v>8488731965</v>
          </cell>
        </row>
        <row r="774">
          <cell r="C774" t="str">
            <v>Katona Richárd</v>
          </cell>
          <cell r="D774" t="str">
            <v>8462144000</v>
          </cell>
        </row>
        <row r="775">
          <cell r="C775" t="str">
            <v>Kerkai Károly</v>
          </cell>
          <cell r="D775" t="str">
            <v>8376910663</v>
          </cell>
        </row>
        <row r="776">
          <cell r="C776" t="str">
            <v>Soltész Péter</v>
          </cell>
          <cell r="D776" t="str">
            <v>8388700855</v>
          </cell>
        </row>
        <row r="777">
          <cell r="C777" t="str">
            <v>Jambrich Attila</v>
          </cell>
          <cell r="D777" t="str">
            <v>8409362279</v>
          </cell>
        </row>
        <row r="778">
          <cell r="C778" t="str">
            <v>Nagy László</v>
          </cell>
          <cell r="D778" t="str">
            <v>8459972100</v>
          </cell>
        </row>
        <row r="779">
          <cell r="C779" t="str">
            <v>Simon Ivett Alexandra</v>
          </cell>
          <cell r="D779" t="str">
            <v>8484211363</v>
          </cell>
        </row>
        <row r="780">
          <cell r="C780" t="str">
            <v>Lukács Éva</v>
          </cell>
          <cell r="D780" t="str">
            <v>8354163245</v>
          </cell>
        </row>
        <row r="781">
          <cell r="C781" t="str">
            <v>Bokor Barbara</v>
          </cell>
          <cell r="D781" t="str">
            <v>8486210135</v>
          </cell>
        </row>
        <row r="782">
          <cell r="C782" t="str">
            <v>Fehér Balázs</v>
          </cell>
          <cell r="D782" t="str">
            <v>8396372314</v>
          </cell>
        </row>
        <row r="783">
          <cell r="C783" t="str">
            <v>Égler András</v>
          </cell>
          <cell r="D783" t="str">
            <v>8445122509</v>
          </cell>
        </row>
        <row r="784">
          <cell r="C784" t="str">
            <v>Barczikay Zsuzsanna</v>
          </cell>
          <cell r="D784" t="str">
            <v>8383022344</v>
          </cell>
        </row>
        <row r="785">
          <cell r="C785" t="str">
            <v>Földháziné Császár Edit</v>
          </cell>
          <cell r="D785" t="str">
            <v>8424651286</v>
          </cell>
        </row>
        <row r="786">
          <cell r="C786" t="str">
            <v>Zámbó Anikó</v>
          </cell>
          <cell r="D786" t="str">
            <v>8347131562</v>
          </cell>
        </row>
        <row r="787">
          <cell r="C787" t="str">
            <v>Grósz-Csillag Judit</v>
          </cell>
          <cell r="D787" t="str">
            <v>8439431996</v>
          </cell>
        </row>
        <row r="788">
          <cell r="C788" t="str">
            <v>Kiss Nikoletta</v>
          </cell>
          <cell r="D788" t="str">
            <v>8405152067</v>
          </cell>
        </row>
        <row r="789">
          <cell r="C789" t="str">
            <v>Wolf Andrea</v>
          </cell>
          <cell r="D789" t="str">
            <v>8375201448</v>
          </cell>
        </row>
        <row r="790">
          <cell r="C790" t="str">
            <v>Kegyes Tamás</v>
          </cell>
          <cell r="D790" t="str">
            <v>8419883549</v>
          </cell>
        </row>
        <row r="791">
          <cell r="C791" t="str">
            <v>Szalai Dóra</v>
          </cell>
          <cell r="D791" t="str">
            <v>8438460151</v>
          </cell>
        </row>
        <row r="792">
          <cell r="C792" t="str">
            <v>Fekete Dániel</v>
          </cell>
          <cell r="D792" t="str">
            <v>8463240089</v>
          </cell>
        </row>
        <row r="793">
          <cell r="C793" t="str">
            <v>Fejes Róbert</v>
          </cell>
          <cell r="D793" t="str">
            <v>8396230846</v>
          </cell>
        </row>
        <row r="794">
          <cell r="C794" t="str">
            <v>Béni István</v>
          </cell>
          <cell r="D794" t="str">
            <v>8350332492</v>
          </cell>
        </row>
        <row r="795">
          <cell r="C795" t="str">
            <v>Pálfi Géza</v>
          </cell>
          <cell r="D795" t="str">
            <v>8386391111</v>
          </cell>
        </row>
        <row r="796">
          <cell r="C796" t="str">
            <v>Weier Zsuzsanna</v>
          </cell>
          <cell r="D796" t="str">
            <v>8455631996</v>
          </cell>
        </row>
        <row r="797">
          <cell r="C797" t="str">
            <v>Fejes Judit Katalin</v>
          </cell>
          <cell r="D797" t="str">
            <v>8386874112</v>
          </cell>
        </row>
        <row r="798">
          <cell r="C798" t="str">
            <v>Shypul Olga</v>
          </cell>
          <cell r="D798" t="str">
            <v>8403497016</v>
          </cell>
        </row>
        <row r="799">
          <cell r="C799" t="str">
            <v>Gittáné Székely Magdolna</v>
          </cell>
          <cell r="D799" t="str">
            <v>8398834293</v>
          </cell>
        </row>
        <row r="800">
          <cell r="C800" t="str">
            <v>Talián-Szalai Renáta</v>
          </cell>
          <cell r="D800" t="str">
            <v>8453170231</v>
          </cell>
        </row>
        <row r="801">
          <cell r="C801" t="str">
            <v>Bodó Réka</v>
          </cell>
          <cell r="D801" t="str">
            <v>8404423393</v>
          </cell>
        </row>
        <row r="802">
          <cell r="C802" t="str">
            <v>Pilipár Tímea</v>
          </cell>
          <cell r="D802" t="str">
            <v>8423111202</v>
          </cell>
        </row>
        <row r="803">
          <cell r="C803" t="str">
            <v>Ipkovich Bálint</v>
          </cell>
          <cell r="D803" t="str">
            <v>8473223225</v>
          </cell>
        </row>
        <row r="804">
          <cell r="C804" t="str">
            <v>Pityó Gábor</v>
          </cell>
          <cell r="D804" t="str">
            <v>8408270109</v>
          </cell>
        </row>
        <row r="805">
          <cell r="C805" t="str">
            <v>Egyed Ildikó</v>
          </cell>
          <cell r="D805" t="str">
            <v>8406632178</v>
          </cell>
        </row>
        <row r="806">
          <cell r="C806" t="str">
            <v>Varga-Szabó Szilvia</v>
          </cell>
          <cell r="D806" t="str">
            <v>8450510813</v>
          </cell>
        </row>
        <row r="807">
          <cell r="C807" t="str">
            <v>Kalauz-Simon Veronika</v>
          </cell>
          <cell r="D807" t="str">
            <v>8420560138</v>
          </cell>
        </row>
        <row r="808">
          <cell r="C808" t="str">
            <v>Őze Csilla</v>
          </cell>
          <cell r="D808" t="str">
            <v>8474341183</v>
          </cell>
        </row>
        <row r="809">
          <cell r="C809" t="str">
            <v>Kornaizel Gábor</v>
          </cell>
          <cell r="D809" t="str">
            <v>8428023395</v>
          </cell>
        </row>
        <row r="810">
          <cell r="C810" t="str">
            <v>Balogh László</v>
          </cell>
          <cell r="D810" t="str">
            <v>8477071462</v>
          </cell>
        </row>
        <row r="811">
          <cell r="C811" t="str">
            <v>László Andrea Tamara</v>
          </cell>
          <cell r="D811" t="str">
            <v>8477230684</v>
          </cell>
        </row>
        <row r="812">
          <cell r="C812" t="str">
            <v>Merics-Károlyi Melinda</v>
          </cell>
          <cell r="D812" t="str">
            <v>8427710135</v>
          </cell>
        </row>
        <row r="813">
          <cell r="C813" t="str">
            <v>Matlári Andrea</v>
          </cell>
          <cell r="D813" t="str">
            <v>8418461764</v>
          </cell>
        </row>
        <row r="814">
          <cell r="C814" t="str">
            <v>Voronko Iryna</v>
          </cell>
          <cell r="D814" t="str">
            <v>8437704251</v>
          </cell>
        </row>
        <row r="815">
          <cell r="C815" t="str">
            <v>Reider Anikó</v>
          </cell>
          <cell r="D815" t="str">
            <v>8422403099</v>
          </cell>
        </row>
        <row r="816">
          <cell r="C816" t="str">
            <v>Lengyel Bálint Bence</v>
          </cell>
          <cell r="D816" t="str">
            <v>8490422486</v>
          </cell>
        </row>
        <row r="817">
          <cell r="C817" t="str">
            <v>Csite-Balogh Éva</v>
          </cell>
          <cell r="D817" t="str">
            <v>8412820428</v>
          </cell>
        </row>
        <row r="818">
          <cell r="C818" t="str">
            <v>Bankó Péter</v>
          </cell>
          <cell r="D818" t="str">
            <v>8438901476</v>
          </cell>
        </row>
        <row r="819">
          <cell r="C819" t="str">
            <v>Szabó Zsófia</v>
          </cell>
          <cell r="D819" t="str">
            <v>8490251584</v>
          </cell>
        </row>
        <row r="820">
          <cell r="C820" t="str">
            <v>Makida László</v>
          </cell>
          <cell r="D820" t="str">
            <v>8437290244</v>
          </cell>
        </row>
        <row r="821">
          <cell r="C821" t="str">
            <v>Klein Alex</v>
          </cell>
          <cell r="D821" t="str">
            <v>8491580409</v>
          </cell>
        </row>
        <row r="822">
          <cell r="C822" t="str">
            <v>Zsuga-Biró Rita</v>
          </cell>
          <cell r="D822" t="str">
            <v>8439390491</v>
          </cell>
        </row>
        <row r="823">
          <cell r="C823" t="str">
            <v>Nagyné Balázs Adrienn Erzsébet</v>
          </cell>
          <cell r="D823" t="str">
            <v>8408291289</v>
          </cell>
        </row>
        <row r="824">
          <cell r="C824" t="str">
            <v>Török Rebeka</v>
          </cell>
          <cell r="D824" t="str">
            <v>8476102356</v>
          </cell>
        </row>
        <row r="825">
          <cell r="C825" t="str">
            <v>Bényász Gábor</v>
          </cell>
          <cell r="D825" t="str">
            <v>8413223210</v>
          </cell>
        </row>
        <row r="826">
          <cell r="C826" t="str">
            <v>Varga Noémi</v>
          </cell>
          <cell r="D826" t="str">
            <v>8494880098</v>
          </cell>
        </row>
        <row r="827">
          <cell r="C827" t="str">
            <v>Molnár Ágnes</v>
          </cell>
          <cell r="D827" t="str">
            <v>8349722673</v>
          </cell>
        </row>
        <row r="828">
          <cell r="C828" t="str">
            <v>Czikkelyné Dr. Ágh Nóra</v>
          </cell>
          <cell r="D828" t="str">
            <v>8451441513</v>
          </cell>
        </row>
        <row r="829">
          <cell r="C829" t="str">
            <v>Nyirő-Kósa Ilona</v>
          </cell>
          <cell r="D829" t="str">
            <v>8420512370</v>
          </cell>
        </row>
        <row r="830">
          <cell r="C830" t="str">
            <v>Hoffer András</v>
          </cell>
          <cell r="D830" t="str">
            <v>8399513814</v>
          </cell>
        </row>
        <row r="831">
          <cell r="C831" t="str">
            <v>Jóna István</v>
          </cell>
          <cell r="D831" t="str">
            <v>8402940218</v>
          </cell>
        </row>
        <row r="832">
          <cell r="C832" t="str">
            <v>Gyarmati Ildikó Tímea</v>
          </cell>
          <cell r="D832" t="str">
            <v>8476082282</v>
          </cell>
        </row>
        <row r="833">
          <cell r="C833" t="str">
            <v>Tóth Krisztián</v>
          </cell>
          <cell r="D833" t="str">
            <v>8472050033</v>
          </cell>
        </row>
        <row r="834">
          <cell r="C834" t="str">
            <v>Kiss József</v>
          </cell>
          <cell r="D834" t="str">
            <v>8412650174</v>
          </cell>
        </row>
        <row r="835">
          <cell r="C835" t="str">
            <v>Brand Ádám</v>
          </cell>
          <cell r="D835" t="str">
            <v>8463320732</v>
          </cell>
        </row>
        <row r="836">
          <cell r="C836" t="str">
            <v>Osváth Ferenc Ménrót</v>
          </cell>
          <cell r="D836" t="str">
            <v>8452993811</v>
          </cell>
        </row>
        <row r="837">
          <cell r="C837" t="str">
            <v>Pavlik Tamás</v>
          </cell>
          <cell r="D837" t="str">
            <v>8394030483</v>
          </cell>
        </row>
        <row r="838">
          <cell r="C838" t="str">
            <v>Perjés István András</v>
          </cell>
          <cell r="D838" t="str">
            <v>8359472858</v>
          </cell>
        </row>
        <row r="839">
          <cell r="C839" t="str">
            <v>Juhász Imre</v>
          </cell>
          <cell r="D839" t="str">
            <v>8403430604</v>
          </cell>
        </row>
        <row r="840">
          <cell r="C840" t="str">
            <v>Szentmiklósi Beáta</v>
          </cell>
          <cell r="D840" t="str">
            <v>8390771837</v>
          </cell>
        </row>
        <row r="841">
          <cell r="C841" t="str">
            <v>Ottroba Alexandra</v>
          </cell>
          <cell r="D841" t="str">
            <v>8475032443</v>
          </cell>
        </row>
        <row r="842">
          <cell r="C842" t="str">
            <v>Annusné Nagy Rózsa</v>
          </cell>
          <cell r="D842" t="str">
            <v>8385943714</v>
          </cell>
        </row>
        <row r="843">
          <cell r="C843" t="str">
            <v>Bari Ferenc</v>
          </cell>
          <cell r="D843" t="str">
            <v>8320203163</v>
          </cell>
        </row>
        <row r="844">
          <cell r="C844" t="str">
            <v>Salamon Attila</v>
          </cell>
          <cell r="D844" t="str">
            <v>8470681206</v>
          </cell>
        </row>
        <row r="845">
          <cell r="C845" t="str">
            <v>Gerencsér Attiláné</v>
          </cell>
          <cell r="D845" t="str">
            <v>8354561240</v>
          </cell>
        </row>
        <row r="846">
          <cell r="C846" t="str">
            <v>Molnár Nikoletta</v>
          </cell>
          <cell r="D846" t="str">
            <v>8456720208</v>
          </cell>
        </row>
        <row r="847">
          <cell r="C847" t="str">
            <v>Kádár Judit Ágnes</v>
          </cell>
          <cell r="D847" t="str">
            <v>8368811929</v>
          </cell>
        </row>
        <row r="848">
          <cell r="C848" t="str">
            <v>Nagy Levente Antal</v>
          </cell>
          <cell r="D848" t="str">
            <v>8470432028</v>
          </cell>
        </row>
        <row r="849">
          <cell r="C849" t="str">
            <v>Szabó Zoltán</v>
          </cell>
          <cell r="D849" t="str">
            <v>8428693250</v>
          </cell>
        </row>
        <row r="850">
          <cell r="C850" t="str">
            <v>Cseh András</v>
          </cell>
          <cell r="D850" t="str">
            <v>8420971286</v>
          </cell>
        </row>
        <row r="851">
          <cell r="C851" t="str">
            <v>Molnárné Lakics Eszter</v>
          </cell>
          <cell r="D851" t="str">
            <v>8430180605</v>
          </cell>
        </row>
        <row r="852">
          <cell r="C852" t="str">
            <v>Szabó-Hren Judit</v>
          </cell>
          <cell r="D852" t="str">
            <v>8426710921</v>
          </cell>
        </row>
        <row r="853">
          <cell r="C853" t="str">
            <v>Ispán Dávid</v>
          </cell>
          <cell r="D853" t="str">
            <v>8460470792</v>
          </cell>
        </row>
        <row r="854">
          <cell r="C854" t="str">
            <v>Darabos Kíra</v>
          </cell>
          <cell r="D854" t="str">
            <v>8481950971</v>
          </cell>
        </row>
        <row r="855">
          <cell r="C855" t="str">
            <v>Hiezl Kitti</v>
          </cell>
          <cell r="D855" t="str">
            <v>8450510597</v>
          </cell>
        </row>
        <row r="856">
          <cell r="C856" t="str">
            <v>Kocsis Ferenc Bence</v>
          </cell>
          <cell r="D856" t="str">
            <v>8480502614</v>
          </cell>
        </row>
        <row r="857">
          <cell r="C857" t="str">
            <v>Grebely Gergely</v>
          </cell>
          <cell r="D857" t="str">
            <v>8431133368</v>
          </cell>
        </row>
        <row r="858">
          <cell r="C858" t="str">
            <v>Szijártó Áron</v>
          </cell>
          <cell r="D858" t="str">
            <v>8463030467</v>
          </cell>
        </row>
        <row r="859">
          <cell r="C859" t="str">
            <v>Medgyes Krisztián</v>
          </cell>
          <cell r="D859" t="str">
            <v>8419321990</v>
          </cell>
        </row>
        <row r="860">
          <cell r="C860" t="str">
            <v>Kiss Gábor Antal</v>
          </cell>
          <cell r="D860" t="str">
            <v>8410762048</v>
          </cell>
        </row>
        <row r="861">
          <cell r="C861" t="str">
            <v>Nagy Gábor</v>
          </cell>
          <cell r="D861" t="str">
            <v>8421490664</v>
          </cell>
        </row>
        <row r="862">
          <cell r="C862" t="str">
            <v>Bedők Sándor</v>
          </cell>
          <cell r="D862" t="str">
            <v>8347313725</v>
          </cell>
        </row>
        <row r="863">
          <cell r="C863" t="str">
            <v>Goswami Angshuman Robin</v>
          </cell>
          <cell r="D863" t="str">
            <v>8466444890</v>
          </cell>
        </row>
        <row r="864">
          <cell r="C864" t="str">
            <v>Szendi Sándor</v>
          </cell>
          <cell r="D864" t="str">
            <v>8351943711</v>
          </cell>
        </row>
        <row r="865">
          <cell r="C865" t="str">
            <v>Kulcsár Tamás Jenő</v>
          </cell>
          <cell r="D865" t="str">
            <v>8343912519</v>
          </cell>
        </row>
        <row r="866">
          <cell r="C866" t="str">
            <v>Kovács Márk</v>
          </cell>
          <cell r="D866" t="str">
            <v>8388883704</v>
          </cell>
        </row>
        <row r="867">
          <cell r="C867" t="str">
            <v>Schné Mónika</v>
          </cell>
          <cell r="D867" t="str">
            <v>8400542681</v>
          </cell>
        </row>
        <row r="868">
          <cell r="C868" t="str">
            <v>Sarkadi Zsófia Judit</v>
          </cell>
          <cell r="D868" t="str">
            <v>8458452669</v>
          </cell>
        </row>
        <row r="869">
          <cell r="C869" t="str">
            <v>Oláh Regina Xénia</v>
          </cell>
          <cell r="D869" t="str">
            <v>8469850865</v>
          </cell>
        </row>
        <row r="870">
          <cell r="C870" t="str">
            <v>Szentirmai Péter</v>
          </cell>
          <cell r="D870" t="str">
            <v>8453471932</v>
          </cell>
        </row>
        <row r="871">
          <cell r="C871" t="str">
            <v>Bosnyák-Simon Nikolett</v>
          </cell>
          <cell r="D871" t="str">
            <v>8455371226</v>
          </cell>
        </row>
        <row r="872">
          <cell r="C872" t="str">
            <v>Szarka Dóra</v>
          </cell>
          <cell r="D872" t="str">
            <v>8461551931</v>
          </cell>
        </row>
        <row r="873">
          <cell r="C873" t="str">
            <v>Tudósné Ódor Eszter</v>
          </cell>
          <cell r="D873" t="str">
            <v>8442950087</v>
          </cell>
        </row>
        <row r="874">
          <cell r="C874" t="str">
            <v>Gyöngyössy Bence Boldizsár</v>
          </cell>
          <cell r="D874" t="str">
            <v>8486551374</v>
          </cell>
        </row>
        <row r="875">
          <cell r="C875" t="str">
            <v>Ukshini Florinda</v>
          </cell>
          <cell r="D875" t="str">
            <v>8495413558</v>
          </cell>
        </row>
        <row r="876">
          <cell r="C876" t="str">
            <v>Strausz-Bognár Dóra</v>
          </cell>
          <cell r="D876" t="str">
            <v>8447040690</v>
          </cell>
        </row>
        <row r="877">
          <cell r="C877" t="str">
            <v>Shabbir Salman</v>
          </cell>
          <cell r="D877" t="str">
            <v>8469944800</v>
          </cell>
        </row>
        <row r="878">
          <cell r="C878" t="str">
            <v>Fux Marcell</v>
          </cell>
          <cell r="D878" t="str">
            <v>8479381701</v>
          </cell>
        </row>
        <row r="879">
          <cell r="C879" t="str">
            <v>Uddin Imran</v>
          </cell>
          <cell r="D879" t="str">
            <v>8413776155</v>
          </cell>
        </row>
        <row r="880">
          <cell r="C880" t="str">
            <v>Székely Katalin</v>
          </cell>
          <cell r="D880" t="str">
            <v>8406323299</v>
          </cell>
        </row>
        <row r="881">
          <cell r="C881" t="str">
            <v>Török Ádám</v>
          </cell>
          <cell r="D881" t="str">
            <v>8313412607</v>
          </cell>
        </row>
        <row r="882">
          <cell r="C882" t="str">
            <v>Gadár László</v>
          </cell>
          <cell r="D882" t="str">
            <v>8408982311</v>
          </cell>
        </row>
        <row r="883">
          <cell r="C883" t="str">
            <v>Bodor-Kurucz Nóra</v>
          </cell>
          <cell r="D883" t="str">
            <v>8431623594</v>
          </cell>
        </row>
        <row r="884">
          <cell r="C884" t="str">
            <v>Kiss Gyula</v>
          </cell>
          <cell r="D884" t="str">
            <v>8364962566</v>
          </cell>
        </row>
        <row r="885">
          <cell r="C885" t="str">
            <v>Horváth László</v>
          </cell>
          <cell r="D885" t="str">
            <v>8447262901</v>
          </cell>
        </row>
        <row r="886">
          <cell r="C886" t="str">
            <v>Márvány Gabriella</v>
          </cell>
          <cell r="D886" t="str">
            <v>8425542162</v>
          </cell>
        </row>
        <row r="887">
          <cell r="C887" t="str">
            <v>Álmos Levente</v>
          </cell>
          <cell r="D887" t="str">
            <v>8405792082</v>
          </cell>
        </row>
        <row r="888">
          <cell r="C888" t="str">
            <v>Baumholczer Eszter</v>
          </cell>
          <cell r="D888" t="str">
            <v>8451130208</v>
          </cell>
        </row>
        <row r="889">
          <cell r="C889" t="str">
            <v>Spanics Ildikó</v>
          </cell>
          <cell r="D889" t="str">
            <v>8388331809</v>
          </cell>
        </row>
        <row r="890">
          <cell r="C890" t="str">
            <v>Huszár Róbert</v>
          </cell>
          <cell r="D890" t="str">
            <v>8445211609</v>
          </cell>
        </row>
        <row r="891">
          <cell r="C891" t="str">
            <v>Kasianova Alisa</v>
          </cell>
          <cell r="D891" t="str">
            <v>8478392939</v>
          </cell>
        </row>
        <row r="892">
          <cell r="C892" t="str">
            <v>Tarcsay Bálint Levente</v>
          </cell>
          <cell r="D892" t="str">
            <v>8469983482</v>
          </cell>
        </row>
        <row r="893">
          <cell r="C893" t="str">
            <v>Jarjabka Éva Erzsébet</v>
          </cell>
          <cell r="D893" t="str">
            <v>8483760827</v>
          </cell>
        </row>
        <row r="894">
          <cell r="C894" t="str">
            <v>Bántay László</v>
          </cell>
          <cell r="D894" t="str">
            <v>8423862720</v>
          </cell>
        </row>
        <row r="895">
          <cell r="C895" t="str">
            <v>Szarka Bettina Ildikó</v>
          </cell>
          <cell r="D895" t="str">
            <v>8483771608</v>
          </cell>
        </row>
        <row r="896">
          <cell r="C896" t="str">
            <v>Mózes Krisztina</v>
          </cell>
          <cell r="D896" t="str">
            <v>8492451181</v>
          </cell>
        </row>
        <row r="897">
          <cell r="C897" t="str">
            <v>Tóth Eliza</v>
          </cell>
          <cell r="D897" t="str">
            <v>8485702417</v>
          </cell>
        </row>
        <row r="898">
          <cell r="C898" t="str">
            <v>Demény Bence</v>
          </cell>
          <cell r="D898" t="str">
            <v>8486631289</v>
          </cell>
        </row>
        <row r="899">
          <cell r="C899" t="str">
            <v>Kiglics Krisztina</v>
          </cell>
          <cell r="D899" t="str">
            <v>8467950226</v>
          </cell>
        </row>
        <row r="900">
          <cell r="C900" t="str">
            <v>Dégi Melánia</v>
          </cell>
          <cell r="D900" t="str">
            <v>8482040391</v>
          </cell>
        </row>
        <row r="901">
          <cell r="C901" t="str">
            <v>Meszlényi Armand</v>
          </cell>
          <cell r="D901" t="str">
            <v>8485391136</v>
          </cell>
        </row>
        <row r="902">
          <cell r="C902" t="str">
            <v>Kocsor Péter Ernő</v>
          </cell>
          <cell r="D902" t="str">
            <v>8485451619</v>
          </cell>
        </row>
        <row r="903">
          <cell r="C903" t="str">
            <v>Vörös Bálint</v>
          </cell>
          <cell r="D903" t="str">
            <v>8485500210</v>
          </cell>
        </row>
        <row r="904">
          <cell r="C904" t="str">
            <v>Gugolya Mónika</v>
          </cell>
          <cell r="D904" t="str">
            <v>8488862237</v>
          </cell>
        </row>
        <row r="905">
          <cell r="C905" t="str">
            <v>Szabó Ádám</v>
          </cell>
          <cell r="D905" t="str">
            <v>8486171679</v>
          </cell>
        </row>
        <row r="906">
          <cell r="C906" t="str">
            <v>Török Petra</v>
          </cell>
          <cell r="D906" t="str">
            <v>8486560063</v>
          </cell>
        </row>
      </sheetData>
    </sheetDataSet>
  </externalBook>
</externalLink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Munka1"/>
  <dimension ref="A1:P17"/>
  <sheetViews>
    <sheetView zoomScaleNormal="100" workbookViewId="0">
      <selection activeCell="D24" sqref="D24"/>
    </sheetView>
  </sheetViews>
  <sheetFormatPr defaultRowHeight="15" x14ac:dyDescent="0.25"/>
  <cols>
    <col min="1" max="1" width="25.85546875" customWidth="1"/>
    <col min="2" max="2" width="34.5703125" customWidth="1"/>
    <col min="3" max="3" width="15.85546875" style="3" customWidth="1"/>
    <col min="4" max="4" width="15.42578125" style="57" customWidth="1"/>
    <col min="5" max="5" width="16.5703125" style="57" customWidth="1"/>
    <col min="6" max="6" width="14.85546875" style="57" customWidth="1"/>
    <col min="7" max="7" width="15" style="57" customWidth="1"/>
    <col min="8" max="8" width="4.85546875" customWidth="1"/>
    <col min="9" max="9" width="28.7109375" style="28" bestFit="1" customWidth="1"/>
    <col min="10" max="10" width="13.5703125" style="28" bestFit="1" customWidth="1"/>
    <col min="11" max="11" width="14.85546875" style="28" customWidth="1"/>
    <col min="12" max="15" width="13.28515625" customWidth="1"/>
  </cols>
  <sheetData>
    <row r="1" spans="1:16" ht="15" customHeight="1" x14ac:dyDescent="0.25">
      <c r="A1" s="104" t="s">
        <v>109</v>
      </c>
      <c r="B1" s="105"/>
      <c r="C1" s="106"/>
      <c r="D1" s="107"/>
      <c r="E1" s="107"/>
      <c r="F1" s="107"/>
      <c r="G1" s="107"/>
      <c r="I1" s="153" t="s">
        <v>57</v>
      </c>
      <c r="J1" s="106"/>
      <c r="K1" s="106"/>
      <c r="L1" s="106"/>
      <c r="M1" s="107"/>
      <c r="N1" s="107"/>
      <c r="O1" s="107"/>
      <c r="P1" s="107"/>
    </row>
    <row r="2" spans="1:16" ht="39.75" customHeight="1" x14ac:dyDescent="0.25">
      <c r="A2" s="1" t="s">
        <v>9</v>
      </c>
      <c r="B2" s="2" t="s">
        <v>97</v>
      </c>
      <c r="C2" s="2" t="s">
        <v>98</v>
      </c>
      <c r="D2" s="98" t="s">
        <v>18</v>
      </c>
      <c r="E2" s="98" t="s">
        <v>0</v>
      </c>
      <c r="F2" s="98" t="s">
        <v>13</v>
      </c>
      <c r="G2" s="98" t="s">
        <v>14</v>
      </c>
      <c r="I2" s="98" t="s">
        <v>110</v>
      </c>
      <c r="J2" s="98" t="s">
        <v>8</v>
      </c>
      <c r="K2" s="98" t="s">
        <v>98</v>
      </c>
      <c r="L2" s="98" t="s">
        <v>18</v>
      </c>
      <c r="M2" s="98" t="s">
        <v>0</v>
      </c>
      <c r="N2" s="98" t="s">
        <v>13</v>
      </c>
      <c r="O2" s="98" t="s">
        <v>14</v>
      </c>
    </row>
    <row r="3" spans="1:16" x14ac:dyDescent="0.25">
      <c r="A3" s="4"/>
      <c r="B3" s="4"/>
      <c r="C3" s="97"/>
      <c r="D3" s="58"/>
      <c r="E3" s="58"/>
      <c r="F3" s="58"/>
      <c r="G3" s="58"/>
      <c r="I3" s="150"/>
      <c r="J3" s="150"/>
      <c r="K3" s="150"/>
      <c r="L3" s="4"/>
      <c r="M3" s="4"/>
      <c r="N3" s="4"/>
      <c r="O3" s="4"/>
    </row>
    <row r="4" spans="1:16" x14ac:dyDescent="0.25">
      <c r="A4" s="143" t="s">
        <v>126</v>
      </c>
      <c r="B4" s="144" t="s">
        <v>166</v>
      </c>
      <c r="C4" s="145">
        <v>139880000</v>
      </c>
      <c r="D4" s="59">
        <f>SUMIFS(Bérköltség!$P$7:$P$413,Bérköltség!$F$7:$F$413,$B4,Bérköltség!$I$7:$I$413,"Tény")</f>
        <v>40776076</v>
      </c>
      <c r="E4" s="59">
        <f>C4-D4</f>
        <v>99103924</v>
      </c>
      <c r="F4" s="59">
        <f>SUMIFS(Bérköltség!$P$7:$P$413,Bérköltség!$F$7:$F$413,$B4,Bérköltség!$I$7:$I$413,"Köt. váll.")</f>
        <v>8723323</v>
      </c>
      <c r="G4" s="59">
        <f>E4-F4</f>
        <v>90380601</v>
      </c>
      <c r="I4" s="151" t="s">
        <v>176</v>
      </c>
      <c r="J4" s="151" t="s">
        <v>177</v>
      </c>
      <c r="K4" s="145">
        <v>200000000</v>
      </c>
      <c r="L4" s="59">
        <f>SUMIFS(Bérköltség!P7:P413,Bérköltség!C7:C413,J4,Bérköltség!I7:I413,"Tény")+SUMIFS(Bérköltség!Q7:Q413,Bérköltség!C7:C413,J4,Bérköltség!I7:I413,"Tény")+SUMIFS(Dologi_felhalm.!G42:G73,Dologi_felhalm.!L42:L73,J4,Dologi_felhalm.!H42:H73,"Tény")</f>
        <v>70955224</v>
      </c>
      <c r="M4" s="59">
        <f>K4-L4</f>
        <v>129044776</v>
      </c>
      <c r="N4" s="59">
        <f>SUMIFS(Bérköltség!P7:P413,Bérköltség!C7:C413,J4,Bérköltség!I7:I413,"Köt. váll.")+SUMIFS(Bérköltség!Q7:Q413,Bérköltség!C7:C413,J4,Bérköltség!I7:I413,"Köt. váll.")+SUMIFS(Dologi_felhalm.!G42:G73,Dologi_felhalm.!B42:B73,B10,Dologi_felhalm.!H42:H73,"Köt. Váll.")</f>
        <v>15303326</v>
      </c>
      <c r="O4" s="59">
        <f>M4-N4</f>
        <v>113741450</v>
      </c>
    </row>
    <row r="5" spans="1:16" x14ac:dyDescent="0.25">
      <c r="A5" s="143" t="s">
        <v>127</v>
      </c>
      <c r="B5" s="144" t="s">
        <v>169</v>
      </c>
      <c r="C5" s="145">
        <v>29520000</v>
      </c>
      <c r="D5" s="59">
        <f>SUMIFS(Bérköltség!$P$7:$P$413,Bérköltség!$F$7:$F$413,$B5,Bérköltség!$I$7:$I$413,"Tény")</f>
        <v>20539942</v>
      </c>
      <c r="E5" s="59">
        <f t="shared" ref="E5" si="0">C5-D5</f>
        <v>8980058</v>
      </c>
      <c r="F5" s="59">
        <f>SUMIFS(Bérköltség!$P$7:$P$413,Bérköltség!$F$7:$F$413,$B5,Bérköltség!$I$7:$I$413,"Köt. váll.")</f>
        <v>4819443</v>
      </c>
      <c r="G5" s="59">
        <f t="shared" ref="G5" si="1">E5-F5</f>
        <v>4160615</v>
      </c>
      <c r="I5" s="193" t="s">
        <v>36</v>
      </c>
      <c r="J5" s="194"/>
      <c r="K5" s="154">
        <f>SUM(K4:K4)</f>
        <v>200000000</v>
      </c>
      <c r="L5" s="155">
        <f>SUM(L4:L4)</f>
        <v>70955224</v>
      </c>
      <c r="M5" s="154">
        <f>SUM(M4:M4)</f>
        <v>129044776</v>
      </c>
      <c r="N5" s="155">
        <f>SUM(N4:N4)</f>
        <v>15303326</v>
      </c>
      <c r="O5" s="154">
        <f>SUM(O4:O4)</f>
        <v>113741450</v>
      </c>
    </row>
    <row r="6" spans="1:16" x14ac:dyDescent="0.25">
      <c r="A6" s="146" t="s">
        <v>26</v>
      </c>
      <c r="B6" s="146"/>
      <c r="C6" s="147">
        <f>SUM(C4:C5)</f>
        <v>169400000</v>
      </c>
      <c r="D6" s="148">
        <f>SUM(D4:D5)</f>
        <v>61316018</v>
      </c>
      <c r="E6" s="148">
        <f>SUM(E4:E5)</f>
        <v>108083982</v>
      </c>
      <c r="F6" s="148">
        <f>SUM(F4:F5)</f>
        <v>13542766</v>
      </c>
      <c r="G6" s="148">
        <f>SUM(G4:G5)</f>
        <v>94541216</v>
      </c>
      <c r="I6"/>
      <c r="J6"/>
      <c r="K6"/>
    </row>
    <row r="7" spans="1:16" x14ac:dyDescent="0.25">
      <c r="A7" s="143" t="s">
        <v>128</v>
      </c>
      <c r="B7" s="144" t="s">
        <v>172</v>
      </c>
      <c r="C7" s="145">
        <v>21681400</v>
      </c>
      <c r="D7" s="59">
        <f>SUMIFS(Bérköltség!$Q$7:$Q$413,Bérköltség!$G$7:$G$413,$B7,Bérköltség!$I$7:$I$413,"Tény")</f>
        <v>5300879</v>
      </c>
      <c r="E7" s="59">
        <f t="shared" ref="E7:E8" si="2">C7-D7</f>
        <v>16380521</v>
      </c>
      <c r="F7" s="59">
        <f>SUMIFS(Bérköltség!$Q$7:$Q$413,Bérköltség!$G$7:$G$413,$B7,Bérköltség!$I$7:$I$413,"Köt. váll.")</f>
        <v>1134034</v>
      </c>
      <c r="G7" s="59">
        <f t="shared" ref="G7:G8" si="3">E7-F7</f>
        <v>15246487</v>
      </c>
      <c r="I7" s="161" t="s">
        <v>217</v>
      </c>
      <c r="J7" s="161"/>
      <c r="K7" s="162"/>
      <c r="L7" s="163"/>
      <c r="M7" s="162"/>
      <c r="N7" s="163"/>
      <c r="O7" s="162"/>
    </row>
    <row r="8" spans="1:16" x14ac:dyDescent="0.25">
      <c r="A8" s="143" t="s">
        <v>129</v>
      </c>
      <c r="B8" s="144" t="s">
        <v>174</v>
      </c>
      <c r="C8" s="145">
        <v>4575600</v>
      </c>
      <c r="D8" s="59">
        <f>SUMIFS(Bérköltség!$Q$7:$Q$413,Bérköltség!$G$7:$G$413,$B8,Bérköltség!$I$7:$I$413,"Tény")</f>
        <v>2515573</v>
      </c>
      <c r="E8" s="59">
        <f t="shared" si="2"/>
        <v>2060027</v>
      </c>
      <c r="F8" s="59">
        <f>SUMIFS(Bérköltség!$Q$7:$Q$413,Bérköltség!$G$7:$G$413,$B8,Bérköltség!$I$7:$I$413,"Köt. váll.")</f>
        <v>626526</v>
      </c>
      <c r="G8" s="59">
        <f t="shared" si="3"/>
        <v>1433501</v>
      </c>
      <c r="I8" s="161" t="s">
        <v>282</v>
      </c>
      <c r="J8" s="161"/>
      <c r="K8" s="162"/>
      <c r="L8" s="163"/>
      <c r="M8" s="162"/>
      <c r="N8" s="163"/>
      <c r="O8" s="162"/>
    </row>
    <row r="9" spans="1:16" x14ac:dyDescent="0.25">
      <c r="A9" s="149" t="s">
        <v>27</v>
      </c>
      <c r="B9" s="149"/>
      <c r="C9" s="147">
        <f>SUM(C7:C8)</f>
        <v>26257000</v>
      </c>
      <c r="D9" s="148">
        <f>SUM(D7:D8)</f>
        <v>7816452</v>
      </c>
      <c r="E9" s="148">
        <f>SUM(E7:E8)</f>
        <v>18440548</v>
      </c>
      <c r="F9" s="148">
        <f>SUM(F7:F8)</f>
        <v>1760560</v>
      </c>
      <c r="G9" s="148">
        <f>SUM(G7:G8)</f>
        <v>16679988</v>
      </c>
      <c r="I9" s="178" t="s">
        <v>218</v>
      </c>
      <c r="J9" s="161"/>
      <c r="K9" s="162"/>
      <c r="L9" s="163"/>
      <c r="M9" s="162"/>
      <c r="N9" s="163"/>
      <c r="O9" s="162"/>
    </row>
    <row r="10" spans="1:16" x14ac:dyDescent="0.25">
      <c r="A10" s="143" t="s">
        <v>125</v>
      </c>
      <c r="B10" s="144" t="s">
        <v>158</v>
      </c>
      <c r="C10" s="145">
        <v>4343000</v>
      </c>
      <c r="D10" s="59">
        <f>SUMIFS(Dologi_felhalm.!G42:G73,Dologi_felhalm.!B42:B73,B10,Dologi_felhalm.!H42:H73,"Tény")</f>
        <v>1822754</v>
      </c>
      <c r="E10" s="59">
        <f>C10-D10</f>
        <v>2520246</v>
      </c>
      <c r="F10" s="59">
        <f>SUMIFS(Dologi_felhalm.!G42:G73,Dologi_felhalm.!B42:B73,B10,Dologi_felhalm.!H42:H73,"Köt. Váll.")</f>
        <v>0</v>
      </c>
      <c r="G10" s="59">
        <f>E10-F10</f>
        <v>2520246</v>
      </c>
      <c r="I10" s="161" t="s">
        <v>219</v>
      </c>
      <c r="J10" s="161"/>
      <c r="K10" s="162"/>
      <c r="L10" s="163"/>
      <c r="M10" s="162"/>
      <c r="N10" s="163"/>
      <c r="O10" s="162"/>
    </row>
    <row r="11" spans="1:16" ht="15" customHeight="1" x14ac:dyDescent="0.25">
      <c r="A11" s="149" t="s">
        <v>114</v>
      </c>
      <c r="B11" s="149"/>
      <c r="C11" s="147">
        <f>SUM(C10:C10)</f>
        <v>4343000</v>
      </c>
      <c r="D11" s="147">
        <f>SUM(D10:D10)</f>
        <v>1822754</v>
      </c>
      <c r="E11" s="147">
        <f>SUM(E10:E10)</f>
        <v>2520246</v>
      </c>
      <c r="F11" s="147">
        <f>SUM(F10:F10)</f>
        <v>0</v>
      </c>
      <c r="G11" s="147">
        <f>SUM(G10:G10)</f>
        <v>2520246</v>
      </c>
      <c r="I11" s="161" t="s">
        <v>220</v>
      </c>
      <c r="J11"/>
      <c r="K11" s="166"/>
    </row>
    <row r="12" spans="1:16" x14ac:dyDescent="0.25">
      <c r="A12" s="195" t="s">
        <v>36</v>
      </c>
      <c r="B12" s="195"/>
      <c r="C12" s="152">
        <f>C6+C9+C11</f>
        <v>200000000</v>
      </c>
      <c r="D12" s="152">
        <f>D6+D9+D11</f>
        <v>70955224</v>
      </c>
      <c r="E12" s="152">
        <f>E6+E9+E11</f>
        <v>129044776</v>
      </c>
      <c r="F12" s="152">
        <f>F6+F9+F11</f>
        <v>15303326</v>
      </c>
      <c r="G12" s="152">
        <f>G6+G9+G11</f>
        <v>113741450</v>
      </c>
      <c r="I12" s="161" t="s">
        <v>222</v>
      </c>
      <c r="J12"/>
      <c r="K12" s="167"/>
    </row>
    <row r="13" spans="1:16" x14ac:dyDescent="0.25">
      <c r="I13" s="161" t="s">
        <v>210</v>
      </c>
      <c r="J13" s="30"/>
      <c r="K13" s="30"/>
      <c r="L13" s="36"/>
      <c r="M13" s="36"/>
      <c r="N13" s="36"/>
      <c r="O13" s="36"/>
    </row>
    <row r="14" spans="1:16" s="36" customFormat="1" ht="21.75" customHeight="1" x14ac:dyDescent="0.25">
      <c r="A14"/>
      <c r="B14"/>
      <c r="C14" s="3"/>
      <c r="D14" s="57"/>
      <c r="E14" s="57"/>
      <c r="F14" s="57"/>
      <c r="G14" s="57"/>
      <c r="I14" s="161"/>
      <c r="J14" s="28"/>
      <c r="K14" s="28"/>
      <c r="L14"/>
      <c r="M14"/>
      <c r="N14"/>
      <c r="O14"/>
    </row>
    <row r="15" spans="1:16" x14ac:dyDescent="0.25">
      <c r="I15" s="28" t="s">
        <v>279</v>
      </c>
      <c r="J15" s="166">
        <v>44652</v>
      </c>
      <c r="K15" s="167">
        <v>36952500</v>
      </c>
    </row>
    <row r="16" spans="1:16" x14ac:dyDescent="0.25">
      <c r="J16" s="166">
        <v>45016</v>
      </c>
      <c r="K16" s="167">
        <v>32609500</v>
      </c>
    </row>
    <row r="17" spans="9:9" x14ac:dyDescent="0.25">
      <c r="I17" s="30"/>
    </row>
  </sheetData>
  <customSheetViews>
    <customSheetView guid="{B3053EE5-F487-4331-B4B6-28A1F2EF1617}" scale="85" showAutoFilter="1">
      <selection activeCell="H12" sqref="H12"/>
      <pageMargins left="0.7" right="0.7" top="0.75" bottom="0.75" header="0.3" footer="0.3"/>
      <pageSetup paperSize="9" orientation="landscape" horizontalDpi="4294967293" r:id="rId1"/>
      <autoFilter ref="A3:L77" xr:uid="{29234A85-1D70-49D0-8563-FFD6BEE01285}"/>
    </customSheetView>
  </customSheetViews>
  <mergeCells count="2">
    <mergeCell ref="I5:J5"/>
    <mergeCell ref="A12:B12"/>
  </mergeCells>
  <phoneticPr fontId="6" type="noConversion"/>
  <pageMargins left="0.7" right="0.7" top="0.75" bottom="0.75" header="0.3" footer="0.3"/>
  <pageSetup paperSize="9" orientation="landscape" horizontalDpi="4294967293"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Munka2" filterMode="1"/>
  <dimension ref="A1:AR453"/>
  <sheetViews>
    <sheetView tabSelected="1" topLeftCell="B1" zoomScaleNormal="100" workbookViewId="0">
      <pane xSplit="1" ySplit="6" topLeftCell="C7" activePane="bottomRight" state="frozen"/>
      <selection activeCell="B1" sqref="B1"/>
      <selection pane="topRight" activeCell="C1" sqref="C1"/>
      <selection pane="bottomLeft" activeCell="B6" sqref="B6"/>
      <selection pane="bottomRight" activeCell="B2" sqref="B2:H2"/>
    </sheetView>
  </sheetViews>
  <sheetFormatPr defaultRowHeight="15" outlineLevelRow="1" x14ac:dyDescent="0.25"/>
  <cols>
    <col min="1" max="1" width="3.7109375" hidden="1" customWidth="1"/>
    <col min="2" max="2" width="33.7109375" customWidth="1"/>
    <col min="3" max="3" width="14.42578125" customWidth="1"/>
    <col min="4" max="4" width="16.85546875" customWidth="1"/>
    <col min="5" max="5" width="7.7109375" customWidth="1"/>
    <col min="6" max="6" width="23.28515625" customWidth="1"/>
    <col min="7" max="7" width="9.7109375" customWidth="1"/>
    <col min="8" max="8" width="14.85546875" style="28" customWidth="1"/>
    <col min="9" max="9" width="11.140625" customWidth="1"/>
    <col min="10" max="10" width="10" customWidth="1"/>
    <col min="11" max="11" width="11.85546875" style="3" customWidth="1"/>
    <col min="12" max="12" width="10.7109375" style="3" customWidth="1"/>
    <col min="13" max="13" width="11.140625" style="28" customWidth="1"/>
    <col min="14" max="15" width="11" style="72" customWidth="1"/>
    <col min="16" max="16" width="13.85546875" style="5" customWidth="1"/>
    <col min="17" max="17" width="14.5703125" style="5" customWidth="1"/>
    <col min="18" max="18" width="12.28515625" style="115" customWidth="1"/>
    <col min="19" max="19" width="10.5703125" style="28" customWidth="1"/>
    <col min="20" max="20" width="16.42578125" style="28" customWidth="1"/>
    <col min="21" max="21" width="10.5703125" style="28" customWidth="1"/>
    <col min="22" max="22" width="10.5703125" style="87" customWidth="1"/>
    <col min="23" max="23" width="11.140625" style="28" customWidth="1"/>
    <col min="24" max="24" width="9.7109375" bestFit="1" customWidth="1"/>
    <col min="25" max="25" width="11.28515625" bestFit="1" customWidth="1"/>
    <col min="26" max="26" width="8.85546875"/>
    <col min="27" max="27" width="10.28515625" bestFit="1" customWidth="1"/>
    <col min="28" max="29" width="11.140625" bestFit="1" customWidth="1"/>
    <col min="30" max="44" width="8.85546875"/>
  </cols>
  <sheetData>
    <row r="1" spans="1:29" x14ac:dyDescent="0.25">
      <c r="B1" t="s">
        <v>298</v>
      </c>
      <c r="C1" t="s">
        <v>299</v>
      </c>
      <c r="D1" t="s">
        <v>295</v>
      </c>
      <c r="H1" s="28" t="s">
        <v>296</v>
      </c>
      <c r="P1" s="5" t="s">
        <v>297</v>
      </c>
      <c r="Q1" s="5" t="s">
        <v>46</v>
      </c>
      <c r="Y1" t="s">
        <v>253</v>
      </c>
      <c r="Z1" t="s">
        <v>294</v>
      </c>
    </row>
    <row r="2" spans="1:29" ht="18.75" x14ac:dyDescent="0.25">
      <c r="B2" s="196" t="s">
        <v>207</v>
      </c>
      <c r="C2" s="196"/>
      <c r="D2" s="196"/>
      <c r="E2" s="196"/>
      <c r="F2" s="196"/>
      <c r="G2" s="196"/>
      <c r="H2" s="196"/>
      <c r="I2" s="99"/>
      <c r="J2" s="39"/>
      <c r="L2" s="69"/>
      <c r="R2" s="114"/>
    </row>
    <row r="3" spans="1:29" ht="54" customHeight="1" x14ac:dyDescent="0.25">
      <c r="B3" s="198" t="s">
        <v>208</v>
      </c>
      <c r="C3" s="198"/>
      <c r="D3" s="198"/>
      <c r="E3" s="198"/>
      <c r="F3" s="198"/>
      <c r="G3" s="198"/>
      <c r="H3" s="198"/>
      <c r="I3" s="99"/>
      <c r="J3" s="39"/>
      <c r="L3" s="69"/>
      <c r="R3" s="114"/>
    </row>
    <row r="4" spans="1:29" ht="15" customHeight="1" x14ac:dyDescent="0.25">
      <c r="A4" s="10"/>
      <c r="B4" s="10" t="s">
        <v>1</v>
      </c>
      <c r="C4" s="10"/>
      <c r="D4" s="10"/>
      <c r="E4" s="10"/>
      <c r="F4" s="160" t="s">
        <v>113</v>
      </c>
      <c r="G4" s="160"/>
      <c r="H4" s="65"/>
      <c r="I4" s="74"/>
      <c r="J4" s="54" t="s">
        <v>37</v>
      </c>
      <c r="K4" s="126"/>
      <c r="L4" s="127"/>
      <c r="M4" s="128" t="s">
        <v>42</v>
      </c>
      <c r="N4" s="128" t="s">
        <v>47</v>
      </c>
      <c r="O4" s="128"/>
      <c r="P4" s="129"/>
      <c r="Q4" s="129"/>
      <c r="R4" s="128" t="s">
        <v>99</v>
      </c>
      <c r="S4" s="156" t="s">
        <v>111</v>
      </c>
      <c r="T4" s="130"/>
      <c r="U4" s="120"/>
      <c r="V4" s="123" t="s">
        <v>29</v>
      </c>
      <c r="W4" s="120"/>
      <c r="AA4" t="e">
        <f>IF(VLOOKUP(LEFT(Y4,10),'Havi béradatok'!$B:$E,2,0)=D4,"EGYEZIK","HIBÁS")</f>
        <v>#N/A</v>
      </c>
      <c r="AB4" t="e">
        <f>(VLOOKUP(LEFT(Y4,10),'Havi béradatok'!$B:$E,3,0)-K4)</f>
        <v>#N/A</v>
      </c>
      <c r="AC4" s="3" t="e">
        <f>(VLOOKUP(LEFT(Y4,10),'Havi béradatok'!$B:$E,4,0)-L4)</f>
        <v>#N/A</v>
      </c>
    </row>
    <row r="5" spans="1:29" ht="24.75" customHeight="1" x14ac:dyDescent="0.25">
      <c r="A5" s="11"/>
      <c r="B5" s="11" t="s">
        <v>10</v>
      </c>
      <c r="C5" s="8" t="s">
        <v>19</v>
      </c>
      <c r="D5" s="8" t="s">
        <v>19</v>
      </c>
      <c r="E5" s="8"/>
      <c r="F5" s="8" t="s">
        <v>103</v>
      </c>
      <c r="G5" s="8"/>
      <c r="H5" s="8" t="s">
        <v>4</v>
      </c>
      <c r="I5" s="8" t="s">
        <v>11</v>
      </c>
      <c r="J5" s="55" t="s">
        <v>38</v>
      </c>
      <c r="K5" s="131" t="s">
        <v>40</v>
      </c>
      <c r="L5" s="132" t="s">
        <v>67</v>
      </c>
      <c r="M5" s="133" t="s">
        <v>43</v>
      </c>
      <c r="N5" s="134" t="s">
        <v>45</v>
      </c>
      <c r="O5" s="134"/>
      <c r="P5" s="135" t="s">
        <v>45</v>
      </c>
      <c r="Q5" s="135" t="s">
        <v>45</v>
      </c>
      <c r="R5" s="135" t="s">
        <v>2</v>
      </c>
      <c r="S5" s="157" t="s">
        <v>112</v>
      </c>
      <c r="T5" s="136" t="s">
        <v>101</v>
      </c>
      <c r="U5" s="121"/>
      <c r="V5" s="124" t="s">
        <v>63</v>
      </c>
      <c r="W5" s="121" t="s">
        <v>66</v>
      </c>
      <c r="AA5" s="181" t="s">
        <v>8</v>
      </c>
      <c r="AB5" s="181" t="s">
        <v>22</v>
      </c>
      <c r="AC5" s="181" t="s">
        <v>250</v>
      </c>
    </row>
    <row r="6" spans="1:29" ht="18.75" customHeight="1" x14ac:dyDescent="0.25">
      <c r="A6" s="12" t="s">
        <v>180</v>
      </c>
      <c r="B6" s="12" t="s">
        <v>50</v>
      </c>
      <c r="C6" s="9" t="s">
        <v>52</v>
      </c>
      <c r="D6" s="12" t="s">
        <v>53</v>
      </c>
      <c r="E6" s="12"/>
      <c r="F6" s="9" t="s">
        <v>102</v>
      </c>
      <c r="G6" s="9"/>
      <c r="H6" s="9" t="s">
        <v>51</v>
      </c>
      <c r="I6" s="9" t="s">
        <v>12</v>
      </c>
      <c r="J6" s="56" t="s">
        <v>39</v>
      </c>
      <c r="K6" s="137" t="s">
        <v>41</v>
      </c>
      <c r="L6" s="138"/>
      <c r="M6" s="139" t="s">
        <v>44</v>
      </c>
      <c r="N6" s="140" t="s">
        <v>44</v>
      </c>
      <c r="O6" s="140"/>
      <c r="P6" s="139" t="s">
        <v>40</v>
      </c>
      <c r="Q6" s="139" t="s">
        <v>46</v>
      </c>
      <c r="R6" s="141" t="s">
        <v>100</v>
      </c>
      <c r="S6" s="158" t="s">
        <v>65</v>
      </c>
      <c r="T6" s="142" t="s">
        <v>49</v>
      </c>
      <c r="U6" s="122" t="s">
        <v>221</v>
      </c>
      <c r="V6" s="125" t="s">
        <v>39</v>
      </c>
      <c r="W6" s="122" t="s">
        <v>64</v>
      </c>
      <c r="X6" t="s">
        <v>54</v>
      </c>
      <c r="Y6" t="s">
        <v>249</v>
      </c>
      <c r="AA6" s="182" t="s">
        <v>251</v>
      </c>
      <c r="AB6" s="182" t="s">
        <v>251</v>
      </c>
      <c r="AC6" s="182" t="s">
        <v>251</v>
      </c>
    </row>
    <row r="7" spans="1:29" s="15" customFormat="1" ht="14.45" customHeight="1" x14ac:dyDescent="0.25">
      <c r="A7" s="38"/>
      <c r="B7" s="38" t="s">
        <v>223</v>
      </c>
      <c r="C7" s="62" t="s">
        <v>177</v>
      </c>
      <c r="D7" s="62" t="s">
        <v>244</v>
      </c>
      <c r="E7" s="62" t="s">
        <v>179</v>
      </c>
      <c r="F7" s="77" t="s">
        <v>169</v>
      </c>
      <c r="G7" s="77" t="s">
        <v>174</v>
      </c>
      <c r="H7" s="62" t="s">
        <v>92</v>
      </c>
      <c r="I7" s="77" t="s">
        <v>11</v>
      </c>
      <c r="J7" s="38" t="s">
        <v>37</v>
      </c>
      <c r="K7" s="6">
        <v>363500</v>
      </c>
      <c r="L7" s="78">
        <f t="shared" ref="L7:L10" si="0">ROUND(K7*S7,0)</f>
        <v>47255</v>
      </c>
      <c r="M7" s="79">
        <v>174</v>
      </c>
      <c r="N7" s="79">
        <v>87</v>
      </c>
      <c r="O7" s="191">
        <f>N7/M7</f>
        <v>0.5</v>
      </c>
      <c r="P7" s="80">
        <f t="shared" ref="P7:P10" si="1">ROUND(K7*N7/M7,0)</f>
        <v>181750</v>
      </c>
      <c r="Q7" s="80">
        <f t="shared" ref="Q7:Q10" si="2">ROUND(P7*S7,0)</f>
        <v>23628</v>
      </c>
      <c r="R7" s="159">
        <f t="shared" ref="R7:R10" si="3">N7/M7-P7/K7</f>
        <v>0</v>
      </c>
      <c r="S7" s="113">
        <v>0.13</v>
      </c>
      <c r="T7" s="86">
        <v>44785</v>
      </c>
      <c r="U7" s="64">
        <v>2</v>
      </c>
      <c r="V7" s="64"/>
      <c r="W7" s="64"/>
      <c r="X7" s="15">
        <v>1</v>
      </c>
      <c r="Y7" s="15" t="str">
        <f>VLOOKUP(B7,[1]Sheet1!$C$2:$D$906,2,0)</f>
        <v>8482470434</v>
      </c>
    </row>
    <row r="8" spans="1:29" s="15" customFormat="1" ht="14.45" customHeight="1" x14ac:dyDescent="0.25">
      <c r="A8" s="38"/>
      <c r="B8" s="38" t="s">
        <v>223</v>
      </c>
      <c r="C8" s="62" t="s">
        <v>177</v>
      </c>
      <c r="D8" s="62" t="s">
        <v>244</v>
      </c>
      <c r="E8" s="62" t="s">
        <v>179</v>
      </c>
      <c r="F8" s="77" t="s">
        <v>169</v>
      </c>
      <c r="G8" s="77" t="s">
        <v>174</v>
      </c>
      <c r="H8" s="62" t="s">
        <v>93</v>
      </c>
      <c r="I8" s="77" t="s">
        <v>11</v>
      </c>
      <c r="J8" s="38" t="s">
        <v>37</v>
      </c>
      <c r="K8" s="6">
        <v>363500</v>
      </c>
      <c r="L8" s="78">
        <f t="shared" si="0"/>
        <v>47255</v>
      </c>
      <c r="M8" s="79">
        <v>174</v>
      </c>
      <c r="N8" s="79">
        <v>31</v>
      </c>
      <c r="O8" s="191">
        <f t="shared" ref="O8:O80" si="4">N8/M8</f>
        <v>0.17816091954022989</v>
      </c>
      <c r="P8" s="80">
        <f t="shared" si="1"/>
        <v>64761</v>
      </c>
      <c r="Q8" s="80">
        <f t="shared" si="2"/>
        <v>8419</v>
      </c>
      <c r="R8" s="159">
        <f t="shared" si="3"/>
        <v>1.3597052917757591E-6</v>
      </c>
      <c r="S8" s="113">
        <v>0.13</v>
      </c>
      <c r="T8" s="86">
        <v>44819</v>
      </c>
      <c r="U8" s="64">
        <v>2</v>
      </c>
      <c r="V8" s="64"/>
      <c r="W8" s="64"/>
      <c r="X8" s="15">
        <v>1</v>
      </c>
      <c r="Y8" s="15" t="str">
        <f>VLOOKUP(B8,[1]Sheet1!$C$2:$D$906,2,0)</f>
        <v>8482470434</v>
      </c>
    </row>
    <row r="9" spans="1:29" s="15" customFormat="1" ht="14.45" customHeight="1" x14ac:dyDescent="0.25">
      <c r="A9" s="38"/>
      <c r="B9" s="38" t="s">
        <v>223</v>
      </c>
      <c r="C9" s="62" t="s">
        <v>177</v>
      </c>
      <c r="D9" s="62" t="s">
        <v>203</v>
      </c>
      <c r="E9" s="62" t="s">
        <v>179</v>
      </c>
      <c r="F9" s="77" t="s">
        <v>169</v>
      </c>
      <c r="G9" s="77" t="s">
        <v>174</v>
      </c>
      <c r="H9" s="62" t="s">
        <v>94</v>
      </c>
      <c r="I9" s="77" t="s">
        <v>11</v>
      </c>
      <c r="J9" s="38" t="s">
        <v>37</v>
      </c>
      <c r="K9" s="6">
        <v>363500</v>
      </c>
      <c r="L9" s="78">
        <f t="shared" si="0"/>
        <v>47255</v>
      </c>
      <c r="M9" s="79">
        <v>174</v>
      </c>
      <c r="N9" s="79">
        <v>31</v>
      </c>
      <c r="O9" s="191">
        <f t="shared" si="4"/>
        <v>0.17816091954022989</v>
      </c>
      <c r="P9" s="80">
        <f t="shared" si="1"/>
        <v>64761</v>
      </c>
      <c r="Q9" s="80">
        <f t="shared" si="2"/>
        <v>8419</v>
      </c>
      <c r="R9" s="159">
        <f t="shared" si="3"/>
        <v>1.3597052917757591E-6</v>
      </c>
      <c r="S9" s="113">
        <v>0.13</v>
      </c>
      <c r="T9" s="86">
        <v>44846</v>
      </c>
      <c r="U9" s="64">
        <v>2</v>
      </c>
      <c r="V9" s="64"/>
      <c r="W9" s="64"/>
      <c r="X9" s="15">
        <v>1</v>
      </c>
      <c r="Y9" s="15" t="str">
        <f>VLOOKUP(B9,[1]Sheet1!$C$2:$D$906,2,0)</f>
        <v>8482470434</v>
      </c>
    </row>
    <row r="10" spans="1:29" s="15" customFormat="1" ht="14.45" customHeight="1" x14ac:dyDescent="0.25">
      <c r="A10" s="38"/>
      <c r="B10" s="38" t="s">
        <v>223</v>
      </c>
      <c r="C10" s="62" t="s">
        <v>177</v>
      </c>
      <c r="D10" s="62" t="s">
        <v>203</v>
      </c>
      <c r="E10" s="62" t="s">
        <v>179</v>
      </c>
      <c r="F10" s="77" t="s">
        <v>169</v>
      </c>
      <c r="G10" s="77" t="s">
        <v>174</v>
      </c>
      <c r="H10" s="174" t="s">
        <v>281</v>
      </c>
      <c r="I10" s="77" t="s">
        <v>11</v>
      </c>
      <c r="J10" s="38" t="s">
        <v>37</v>
      </c>
      <c r="K10" s="6">
        <v>225023</v>
      </c>
      <c r="L10" s="78">
        <f t="shared" si="0"/>
        <v>29253</v>
      </c>
      <c r="M10" s="79">
        <v>174</v>
      </c>
      <c r="N10" s="79">
        <v>31</v>
      </c>
      <c r="O10" s="191">
        <f t="shared" si="4"/>
        <v>0.17816091954022989</v>
      </c>
      <c r="P10" s="80">
        <f t="shared" si="1"/>
        <v>40090</v>
      </c>
      <c r="Q10" s="80">
        <f t="shared" si="2"/>
        <v>5212</v>
      </c>
      <c r="R10" s="159">
        <f t="shared" si="3"/>
        <v>1.3536291896820707E-6</v>
      </c>
      <c r="S10" s="113">
        <v>0.13</v>
      </c>
      <c r="T10" s="86">
        <v>44846</v>
      </c>
      <c r="U10" s="64">
        <v>2</v>
      </c>
      <c r="V10" s="64"/>
      <c r="W10" s="64"/>
      <c r="X10" s="15">
        <v>1</v>
      </c>
      <c r="Y10" s="15" t="str">
        <f>VLOOKUP(B10,[1]Sheet1!$C$2:$D$906,2,0)</f>
        <v>8482470434</v>
      </c>
      <c r="AA10" t="e">
        <f>IF(VLOOKUP(LEFT(Y10,10),'Havi béradatok'!$B:$E,2,0)=D10,"EGYEZIK","HIBÁS")</f>
        <v>#N/A</v>
      </c>
      <c r="AB10" t="e">
        <f>(VLOOKUP(LEFT(Y10,10),'Havi béradatok'!$B:$E,3,0)-K10)</f>
        <v>#N/A</v>
      </c>
      <c r="AC10" s="3" t="e">
        <f>(VLOOKUP(LEFT(Y10,10),'Havi béradatok'!$B:$E,4,0)-L10)</f>
        <v>#N/A</v>
      </c>
    </row>
    <row r="11" spans="1:29" s="15" customFormat="1" ht="14.45" customHeight="1" x14ac:dyDescent="0.25">
      <c r="A11" s="38"/>
      <c r="B11" s="38" t="s">
        <v>223</v>
      </c>
      <c r="C11" s="62" t="s">
        <v>177</v>
      </c>
      <c r="D11" s="62" t="s">
        <v>203</v>
      </c>
      <c r="E11" s="62" t="s">
        <v>179</v>
      </c>
      <c r="F11" s="77" t="s">
        <v>169</v>
      </c>
      <c r="G11" s="77" t="s">
        <v>174</v>
      </c>
      <c r="H11" s="174" t="s">
        <v>280</v>
      </c>
      <c r="I11" s="77" t="s">
        <v>11</v>
      </c>
      <c r="J11" s="38" t="s">
        <v>37</v>
      </c>
      <c r="K11" s="6">
        <v>138476</v>
      </c>
      <c r="L11" s="78">
        <f t="shared" ref="L11" si="5">ROUND(K11*S11,0)</f>
        <v>18002</v>
      </c>
      <c r="M11" s="79">
        <v>174</v>
      </c>
      <c r="N11" s="79">
        <v>31</v>
      </c>
      <c r="O11" s="191">
        <f t="shared" ref="O11" si="6">N11/M11</f>
        <v>0.17816091954022989</v>
      </c>
      <c r="P11" s="80">
        <f t="shared" ref="P11" si="7">ROUND(K11*N11/M11,0)</f>
        <v>24671</v>
      </c>
      <c r="Q11" s="80">
        <f t="shared" ref="Q11" si="8">ROUND(P11*S11,0)</f>
        <v>3207</v>
      </c>
      <c r="R11" s="159">
        <f t="shared" ref="R11" si="9">N11/M11-P11/K11</f>
        <v>8.3005379097889076E-8</v>
      </c>
      <c r="S11" s="113">
        <v>0.13</v>
      </c>
      <c r="T11" s="86">
        <v>44846</v>
      </c>
      <c r="U11" s="64"/>
      <c r="V11" s="64"/>
      <c r="W11" s="64"/>
      <c r="X11" s="15">
        <v>1</v>
      </c>
      <c r="Y11" s="15" t="str">
        <f>VLOOKUP(B11,[1]Sheet1!$C$2:$D$906,2,0)</f>
        <v>8482470434</v>
      </c>
      <c r="AA11" t="e">
        <f>IF(VLOOKUP(LEFT(Y11,10),'Havi béradatok'!$B:$E,2,0)=D11,"EGYEZIK","HIBÁS")</f>
        <v>#N/A</v>
      </c>
      <c r="AB11" t="e">
        <f>(VLOOKUP(LEFT(Y11,10),'Havi béradatok'!$B:$E,3,0)-K11)</f>
        <v>#N/A</v>
      </c>
      <c r="AC11" s="3" t="e">
        <f>(VLOOKUP(LEFT(Y11,10),'Havi béradatok'!$B:$E,4,0)-L11)</f>
        <v>#N/A</v>
      </c>
    </row>
    <row r="12" spans="1:29" s="15" customFormat="1" ht="14.45" customHeight="1" x14ac:dyDescent="0.25">
      <c r="A12" s="38"/>
      <c r="B12" s="38" t="s">
        <v>216</v>
      </c>
      <c r="C12" s="62" t="s">
        <v>177</v>
      </c>
      <c r="D12" s="62" t="s">
        <v>211</v>
      </c>
      <c r="E12" s="62" t="s">
        <v>179</v>
      </c>
      <c r="F12" s="77" t="s">
        <v>169</v>
      </c>
      <c r="G12" s="77" t="s">
        <v>174</v>
      </c>
      <c r="H12" s="62" t="s">
        <v>90</v>
      </c>
      <c r="I12" s="77" t="s">
        <v>11</v>
      </c>
      <c r="J12" s="38" t="s">
        <v>37</v>
      </c>
      <c r="K12" s="6">
        <v>431000</v>
      </c>
      <c r="L12" s="78">
        <f t="shared" ref="L12:L77" si="10">ROUND(K12*S12,0)</f>
        <v>56030</v>
      </c>
      <c r="M12" s="79">
        <v>174</v>
      </c>
      <c r="N12" s="79">
        <v>56</v>
      </c>
      <c r="O12" s="191">
        <f t="shared" si="4"/>
        <v>0.32183908045977011</v>
      </c>
      <c r="P12" s="80">
        <f t="shared" ref="P12:P13" si="11">ROUND(K12*N12/M12,0)</f>
        <v>138713</v>
      </c>
      <c r="Q12" s="80">
        <f t="shared" ref="Q12:Q13" si="12">ROUND(P12*S12,0)</f>
        <v>18033</v>
      </c>
      <c r="R12" s="159">
        <f t="shared" ref="R12:R13" si="13">N12/M12-P12/K12</f>
        <v>-8.2673280527023607E-7</v>
      </c>
      <c r="S12" s="113">
        <v>0.13</v>
      </c>
      <c r="T12" s="86">
        <v>44729</v>
      </c>
      <c r="U12" s="64">
        <v>2</v>
      </c>
      <c r="V12" s="64"/>
      <c r="W12" s="64"/>
      <c r="X12" s="15">
        <v>1</v>
      </c>
      <c r="Y12" s="15" t="str">
        <f>VLOOKUP(B12,[1]Sheet1!$C$2:$D$906,2,0)</f>
        <v>8399050482</v>
      </c>
    </row>
    <row r="13" spans="1:29" s="15" customFormat="1" ht="14.45" customHeight="1" x14ac:dyDescent="0.25">
      <c r="A13" s="38"/>
      <c r="B13" s="38" t="s">
        <v>216</v>
      </c>
      <c r="C13" s="62" t="s">
        <v>177</v>
      </c>
      <c r="D13" s="62" t="s">
        <v>211</v>
      </c>
      <c r="E13" s="62" t="s">
        <v>179</v>
      </c>
      <c r="F13" s="77" t="s">
        <v>169</v>
      </c>
      <c r="G13" s="77" t="s">
        <v>174</v>
      </c>
      <c r="H13" s="62" t="s">
        <v>91</v>
      </c>
      <c r="I13" s="77" t="s">
        <v>11</v>
      </c>
      <c r="J13" s="38" t="s">
        <v>37</v>
      </c>
      <c r="K13" s="177">
        <v>337304</v>
      </c>
      <c r="L13" s="78">
        <f t="shared" si="10"/>
        <v>43850</v>
      </c>
      <c r="M13" s="79">
        <v>174</v>
      </c>
      <c r="N13" s="79">
        <v>56</v>
      </c>
      <c r="O13" s="191">
        <f t="shared" si="4"/>
        <v>0.32183908045977011</v>
      </c>
      <c r="P13" s="80">
        <f t="shared" si="11"/>
        <v>108558</v>
      </c>
      <c r="Q13" s="80">
        <f t="shared" si="12"/>
        <v>14113</v>
      </c>
      <c r="R13" s="159">
        <f t="shared" si="13"/>
        <v>-1.1586124021856214E-6</v>
      </c>
      <c r="S13" s="113">
        <v>0.13</v>
      </c>
      <c r="T13" s="86">
        <v>44729</v>
      </c>
      <c r="U13" s="64">
        <v>2</v>
      </c>
      <c r="V13" s="64"/>
      <c r="W13" s="64"/>
      <c r="X13" s="15">
        <v>1</v>
      </c>
      <c r="Y13" s="15" t="str">
        <f>VLOOKUP(B13,[1]Sheet1!$C$2:$D$906,2,0)</f>
        <v>8399050482</v>
      </c>
    </row>
    <row r="14" spans="1:29" s="15" customFormat="1" ht="14.45" customHeight="1" x14ac:dyDescent="0.25">
      <c r="A14" s="38"/>
      <c r="B14" s="38" t="s">
        <v>216</v>
      </c>
      <c r="C14" s="62" t="s">
        <v>177</v>
      </c>
      <c r="D14" s="62" t="s">
        <v>211</v>
      </c>
      <c r="E14" s="62" t="s">
        <v>179</v>
      </c>
      <c r="F14" s="77" t="s">
        <v>169</v>
      </c>
      <c r="G14" s="77" t="s">
        <v>174</v>
      </c>
      <c r="H14" s="62" t="s">
        <v>92</v>
      </c>
      <c r="I14" s="77" t="s">
        <v>11</v>
      </c>
      <c r="J14" s="38" t="s">
        <v>37</v>
      </c>
      <c r="K14" s="6">
        <v>431000</v>
      </c>
      <c r="L14" s="78">
        <f t="shared" si="10"/>
        <v>56030</v>
      </c>
      <c r="M14" s="79">
        <v>174</v>
      </c>
      <c r="N14" s="79">
        <v>56</v>
      </c>
      <c r="O14" s="191">
        <f t="shared" si="4"/>
        <v>0.32183908045977011</v>
      </c>
      <c r="P14" s="80">
        <f t="shared" ref="P14:P20" si="14">ROUND(K14*N14/M14,0)</f>
        <v>138713</v>
      </c>
      <c r="Q14" s="80">
        <f t="shared" ref="Q14:Q20" si="15">ROUND(P14*S14,0)</f>
        <v>18033</v>
      </c>
      <c r="R14" s="159">
        <f t="shared" ref="R14:R20" si="16">N14/M14-P14/K14</f>
        <v>-8.2673280527023607E-7</v>
      </c>
      <c r="S14" s="113">
        <v>0.13</v>
      </c>
      <c r="T14" s="86"/>
      <c r="U14" s="64">
        <v>2</v>
      </c>
      <c r="V14" s="64"/>
      <c r="W14" s="64"/>
      <c r="X14" s="15">
        <v>1</v>
      </c>
      <c r="Y14" s="15" t="str">
        <f>VLOOKUP(B14,[1]Sheet1!$C$2:$D$906,2,0)</f>
        <v>8399050482</v>
      </c>
    </row>
    <row r="15" spans="1:29" s="15" customFormat="1" ht="14.45" customHeight="1" x14ac:dyDescent="0.25">
      <c r="A15" s="38"/>
      <c r="B15" s="38" t="s">
        <v>216</v>
      </c>
      <c r="C15" s="62" t="s">
        <v>177</v>
      </c>
      <c r="D15" s="62" t="s">
        <v>211</v>
      </c>
      <c r="E15" s="62" t="s">
        <v>179</v>
      </c>
      <c r="F15" s="77" t="s">
        <v>169</v>
      </c>
      <c r="G15" s="77" t="s">
        <v>174</v>
      </c>
      <c r="H15" s="62" t="s">
        <v>93</v>
      </c>
      <c r="I15" s="77" t="s">
        <v>11</v>
      </c>
      <c r="J15" s="38" t="s">
        <v>37</v>
      </c>
      <c r="K15" s="6">
        <v>431000</v>
      </c>
      <c r="L15" s="78">
        <f t="shared" si="10"/>
        <v>56030</v>
      </c>
      <c r="M15" s="79">
        <v>174</v>
      </c>
      <c r="N15" s="79">
        <v>56</v>
      </c>
      <c r="O15" s="191">
        <f t="shared" si="4"/>
        <v>0.32183908045977011</v>
      </c>
      <c r="P15" s="80">
        <f t="shared" si="14"/>
        <v>138713</v>
      </c>
      <c r="Q15" s="80">
        <f t="shared" si="15"/>
        <v>18033</v>
      </c>
      <c r="R15" s="159">
        <f t="shared" si="16"/>
        <v>-8.2673280527023607E-7</v>
      </c>
      <c r="S15" s="113">
        <v>0.13</v>
      </c>
      <c r="T15" s="86"/>
      <c r="U15" s="64">
        <v>2</v>
      </c>
      <c r="V15" s="64"/>
      <c r="W15" s="64"/>
      <c r="X15" s="15">
        <v>1</v>
      </c>
      <c r="Y15" s="15" t="str">
        <f>VLOOKUP(B15,[1]Sheet1!$C$2:$D$906,2,0)</f>
        <v>8399050482</v>
      </c>
    </row>
    <row r="16" spans="1:29" s="15" customFormat="1" ht="14.45" customHeight="1" x14ac:dyDescent="0.25">
      <c r="A16" s="38"/>
      <c r="B16" s="38" t="s">
        <v>216</v>
      </c>
      <c r="C16" s="62" t="s">
        <v>177</v>
      </c>
      <c r="D16" s="62" t="s">
        <v>211</v>
      </c>
      <c r="E16" s="62" t="s">
        <v>179</v>
      </c>
      <c r="F16" s="77" t="s">
        <v>169</v>
      </c>
      <c r="G16" s="77" t="s">
        <v>174</v>
      </c>
      <c r="H16" s="62" t="s">
        <v>94</v>
      </c>
      <c r="I16" s="77" t="s">
        <v>11</v>
      </c>
      <c r="J16" s="38" t="s">
        <v>37</v>
      </c>
      <c r="K16" s="6">
        <v>431000</v>
      </c>
      <c r="L16" s="78">
        <f t="shared" si="10"/>
        <v>56030</v>
      </c>
      <c r="M16" s="79">
        <v>174</v>
      </c>
      <c r="N16" s="79">
        <v>56</v>
      </c>
      <c r="O16" s="191">
        <f t="shared" si="4"/>
        <v>0.32183908045977011</v>
      </c>
      <c r="P16" s="80">
        <f t="shared" si="14"/>
        <v>138713</v>
      </c>
      <c r="Q16" s="80">
        <f t="shared" si="15"/>
        <v>18033</v>
      </c>
      <c r="R16" s="159">
        <f t="shared" si="16"/>
        <v>-8.2673280527023607E-7</v>
      </c>
      <c r="S16" s="113">
        <v>0.13</v>
      </c>
      <c r="T16" s="86">
        <v>44853</v>
      </c>
      <c r="U16" s="64">
        <v>2</v>
      </c>
      <c r="V16" s="64"/>
      <c r="W16" s="64"/>
      <c r="X16" s="15">
        <v>1</v>
      </c>
      <c r="Y16" s="15" t="str">
        <f>VLOOKUP(B16,[1]Sheet1!$C$2:$D$906,2,0)</f>
        <v>8399050482</v>
      </c>
    </row>
    <row r="17" spans="1:29" s="15" customFormat="1" ht="14.45" customHeight="1" x14ac:dyDescent="0.25">
      <c r="A17" s="38"/>
      <c r="B17" s="38" t="s">
        <v>216</v>
      </c>
      <c r="C17" s="62" t="s">
        <v>177</v>
      </c>
      <c r="D17" s="62" t="s">
        <v>211</v>
      </c>
      <c r="E17" s="62" t="s">
        <v>179</v>
      </c>
      <c r="F17" s="77" t="s">
        <v>169</v>
      </c>
      <c r="G17" s="77" t="s">
        <v>174</v>
      </c>
      <c r="H17" s="174" t="s">
        <v>281</v>
      </c>
      <c r="I17" s="77" t="s">
        <v>11</v>
      </c>
      <c r="J17" s="38" t="s">
        <v>37</v>
      </c>
      <c r="K17" s="6">
        <f>431000/21*13</f>
        <v>266809.52380952379</v>
      </c>
      <c r="L17" s="78">
        <f t="shared" si="10"/>
        <v>34685</v>
      </c>
      <c r="M17" s="79">
        <v>174</v>
      </c>
      <c r="N17" s="79">
        <v>56</v>
      </c>
      <c r="O17" s="191">
        <f t="shared" si="4"/>
        <v>0.32183908045977011</v>
      </c>
      <c r="P17" s="80">
        <f t="shared" si="14"/>
        <v>85870</v>
      </c>
      <c r="Q17" s="80">
        <f t="shared" si="15"/>
        <v>11163</v>
      </c>
      <c r="R17" s="159">
        <f t="shared" si="16"/>
        <v>-1.0052086218403922E-6</v>
      </c>
      <c r="S17" s="113">
        <v>0.13</v>
      </c>
      <c r="T17" s="86">
        <v>44853</v>
      </c>
      <c r="U17" s="64">
        <v>2</v>
      </c>
      <c r="V17" s="64"/>
      <c r="W17" s="64"/>
      <c r="X17" s="15">
        <v>1</v>
      </c>
      <c r="Y17" s="15" t="str">
        <f>VLOOKUP(B17,[1]Sheet1!$C$2:$D$906,2,0)</f>
        <v>8399050482</v>
      </c>
      <c r="AA17" t="str">
        <f>IF(VLOOKUP(LEFT(Y17,10),'Havi béradatok'!$B:$E,2,0)=D17,"EGYEZIK","HIBÁS")</f>
        <v>EGYEZIK</v>
      </c>
      <c r="AB17">
        <f>(VLOOKUP(LEFT(Y17,10),'Havi béradatok'!$B:$E,3,0)-K17)</f>
        <v>228890.47619047621</v>
      </c>
      <c r="AC17" s="3">
        <f>(VLOOKUP(LEFT(Y17,10),'Havi béradatok'!$B:$E,4,0)-L17)</f>
        <v>29756</v>
      </c>
    </row>
    <row r="18" spans="1:29" s="15" customFormat="1" ht="14.45" customHeight="1" x14ac:dyDescent="0.25">
      <c r="A18" s="38"/>
      <c r="B18" s="38" t="s">
        <v>216</v>
      </c>
      <c r="C18" s="62" t="s">
        <v>177</v>
      </c>
      <c r="D18" s="62" t="s">
        <v>211</v>
      </c>
      <c r="E18" s="62" t="s">
        <v>179</v>
      </c>
      <c r="F18" s="77" t="s">
        <v>169</v>
      </c>
      <c r="G18" s="77" t="s">
        <v>174</v>
      </c>
      <c r="H18" s="174" t="s">
        <v>280</v>
      </c>
      <c r="I18" s="77" t="s">
        <v>11</v>
      </c>
      <c r="J18" s="38" t="s">
        <v>37</v>
      </c>
      <c r="K18" s="6">
        <f>431000/21*8</f>
        <v>164190.47619047618</v>
      </c>
      <c r="L18" s="78">
        <f t="shared" ref="L18" si="17">ROUND(K18*S18,0)</f>
        <v>21345</v>
      </c>
      <c r="M18" s="79">
        <v>174</v>
      </c>
      <c r="N18" s="79">
        <v>56</v>
      </c>
      <c r="O18" s="191">
        <f t="shared" ref="O18" si="18">N18/M18</f>
        <v>0.32183908045977011</v>
      </c>
      <c r="P18" s="80">
        <f t="shared" ref="P18" si="19">ROUND(K18*N18/M18,0)</f>
        <v>52843</v>
      </c>
      <c r="Q18" s="80">
        <f t="shared" ref="Q18" si="20">ROUND(P18*S18,0)</f>
        <v>6870</v>
      </c>
      <c r="R18" s="159">
        <f t="shared" ref="R18" si="21">N18/M18-P18/K18</f>
        <v>-5.3670960342699914E-7</v>
      </c>
      <c r="S18" s="113">
        <v>0.13</v>
      </c>
      <c r="T18" s="86">
        <v>44853</v>
      </c>
      <c r="U18" s="64"/>
      <c r="V18" s="64"/>
      <c r="W18" s="64"/>
      <c r="X18" s="15">
        <v>1</v>
      </c>
      <c r="Y18" s="15" t="str">
        <f>VLOOKUP(B18,[1]Sheet1!$C$2:$D$906,2,0)</f>
        <v>8399050482</v>
      </c>
      <c r="AA18" t="str">
        <f>IF(VLOOKUP(LEFT(Y18,10),'Havi béradatok'!$B:$E,2,0)=D18,"EGYEZIK","HIBÁS")</f>
        <v>EGYEZIK</v>
      </c>
      <c r="AB18">
        <f>(VLOOKUP(LEFT(Y18,10),'Havi béradatok'!$B:$E,3,0)-K18)</f>
        <v>331509.52380952379</v>
      </c>
      <c r="AC18" s="3">
        <f>(VLOOKUP(LEFT(Y18,10),'Havi béradatok'!$B:$E,4,0)-L18)</f>
        <v>43096</v>
      </c>
    </row>
    <row r="19" spans="1:29" s="15" customFormat="1" ht="14.45" customHeight="1" x14ac:dyDescent="0.25">
      <c r="A19" s="38"/>
      <c r="B19" s="38" t="s">
        <v>216</v>
      </c>
      <c r="C19" s="62" t="s">
        <v>177</v>
      </c>
      <c r="D19" s="62" t="s">
        <v>211</v>
      </c>
      <c r="E19" s="62" t="s">
        <v>179</v>
      </c>
      <c r="F19" s="77" t="s">
        <v>169</v>
      </c>
      <c r="G19" s="77" t="s">
        <v>174</v>
      </c>
      <c r="H19" s="62" t="s">
        <v>117</v>
      </c>
      <c r="I19" s="77" t="s">
        <v>11</v>
      </c>
      <c r="J19" s="38" t="s">
        <v>37</v>
      </c>
      <c r="K19" s="6">
        <v>495700</v>
      </c>
      <c r="L19" s="78">
        <f t="shared" si="10"/>
        <v>64441</v>
      </c>
      <c r="M19" s="79">
        <v>174</v>
      </c>
      <c r="N19" s="79">
        <v>56</v>
      </c>
      <c r="O19" s="191">
        <f t="shared" si="4"/>
        <v>0.32183908045977011</v>
      </c>
      <c r="P19" s="80">
        <f t="shared" si="14"/>
        <v>159536</v>
      </c>
      <c r="Q19" s="80">
        <f t="shared" si="15"/>
        <v>20740</v>
      </c>
      <c r="R19" s="159">
        <f t="shared" si="16"/>
        <v>-7.4201350003244571E-7</v>
      </c>
      <c r="S19" s="113">
        <v>0.13</v>
      </c>
      <c r="T19" s="86">
        <v>44579</v>
      </c>
      <c r="U19" s="64"/>
      <c r="V19" s="64"/>
      <c r="W19" s="64"/>
      <c r="X19" s="15">
        <v>1</v>
      </c>
      <c r="Y19" s="15" t="str">
        <f>VLOOKUP(B19,[1]Sheet1!$C$2:$D$906,2,0)</f>
        <v>8399050482</v>
      </c>
      <c r="AA19" t="str">
        <f>IF(VLOOKUP(LEFT(Y19,10),'Havi béradatok'!$B:$E,2,0)=D19,"EGYEZIK","HIBÁS")</f>
        <v>EGYEZIK</v>
      </c>
      <c r="AB19">
        <f>(VLOOKUP(LEFT(Y19,10),'Havi béradatok'!$B:$E,3,0)-K19)</f>
        <v>0</v>
      </c>
      <c r="AC19" s="3">
        <f>(VLOOKUP(LEFT(Y19,10),'Havi béradatok'!$B:$E,4,0)-L19)</f>
        <v>0</v>
      </c>
    </row>
    <row r="20" spans="1:29" s="15" customFormat="1" ht="14.45" customHeight="1" x14ac:dyDescent="0.25">
      <c r="A20" s="38"/>
      <c r="B20" s="38" t="s">
        <v>216</v>
      </c>
      <c r="C20" s="62" t="s">
        <v>177</v>
      </c>
      <c r="D20" s="62" t="s">
        <v>211</v>
      </c>
      <c r="E20" s="62" t="s">
        <v>179</v>
      </c>
      <c r="F20" s="77" t="s">
        <v>169</v>
      </c>
      <c r="G20" s="77" t="s">
        <v>174</v>
      </c>
      <c r="H20" s="62" t="s">
        <v>118</v>
      </c>
      <c r="I20" s="77" t="s">
        <v>11</v>
      </c>
      <c r="J20" s="38" t="s">
        <v>37</v>
      </c>
      <c r="K20" s="6">
        <v>495700</v>
      </c>
      <c r="L20" s="78">
        <f t="shared" si="10"/>
        <v>64441</v>
      </c>
      <c r="M20" s="79">
        <v>174</v>
      </c>
      <c r="N20" s="79">
        <v>56</v>
      </c>
      <c r="O20" s="191">
        <f t="shared" si="4"/>
        <v>0.32183908045977011</v>
      </c>
      <c r="P20" s="80">
        <f t="shared" si="14"/>
        <v>159536</v>
      </c>
      <c r="Q20" s="80">
        <f t="shared" si="15"/>
        <v>20740</v>
      </c>
      <c r="R20" s="159">
        <f t="shared" si="16"/>
        <v>-7.4201350003244571E-7</v>
      </c>
      <c r="S20" s="113">
        <v>0.13</v>
      </c>
      <c r="T20" s="86">
        <v>44579</v>
      </c>
      <c r="U20" s="64"/>
      <c r="V20" s="64"/>
      <c r="W20" s="64"/>
      <c r="X20" s="15">
        <v>1</v>
      </c>
      <c r="Y20" s="15" t="str">
        <f>VLOOKUP(B20,[1]Sheet1!$C$2:$D$906,2,0)</f>
        <v>8399050482</v>
      </c>
      <c r="AA20" t="str">
        <f>IF(VLOOKUP(LEFT(Y20,10),'Havi béradatok'!$B:$E,2,0)=D20,"EGYEZIK","HIBÁS")</f>
        <v>EGYEZIK</v>
      </c>
      <c r="AB20">
        <f>(VLOOKUP(LEFT(Y20,10),'Havi béradatok'!$B:$E,3,0)-K20)</f>
        <v>0</v>
      </c>
      <c r="AC20" s="3">
        <f>(VLOOKUP(LEFT(Y20,10),'Havi béradatok'!$B:$E,4,0)-L20)</f>
        <v>0</v>
      </c>
    </row>
    <row r="21" spans="1:29" s="15" customFormat="1" ht="14.45" customHeight="1" x14ac:dyDescent="0.25">
      <c r="A21" s="38"/>
      <c r="B21" s="38" t="s">
        <v>216</v>
      </c>
      <c r="C21" s="62" t="s">
        <v>177</v>
      </c>
      <c r="D21" s="62" t="s">
        <v>211</v>
      </c>
      <c r="E21" s="62" t="s">
        <v>179</v>
      </c>
      <c r="F21" s="77" t="s">
        <v>169</v>
      </c>
      <c r="G21" s="77" t="s">
        <v>174</v>
      </c>
      <c r="H21" s="62" t="s">
        <v>119</v>
      </c>
      <c r="I21" s="77" t="s">
        <v>11</v>
      </c>
      <c r="J21" s="38" t="s">
        <v>37</v>
      </c>
      <c r="K21" s="6">
        <v>495700</v>
      </c>
      <c r="L21" s="78">
        <f t="shared" si="10"/>
        <v>64441</v>
      </c>
      <c r="M21" s="79">
        <v>174</v>
      </c>
      <c r="N21" s="79">
        <v>56</v>
      </c>
      <c r="O21" s="191">
        <f t="shared" si="4"/>
        <v>0.32183908045977011</v>
      </c>
      <c r="P21" s="80">
        <f t="shared" ref="P21:P24" si="22">ROUND(K21*N21/M21,0)</f>
        <v>159536</v>
      </c>
      <c r="Q21" s="80">
        <f t="shared" ref="Q21:Q24" si="23">ROUND(P21*S21,0)</f>
        <v>20740</v>
      </c>
      <c r="R21" s="159">
        <f t="shared" ref="R21:R24" si="24">N21/M21-P21/K21</f>
        <v>-7.4201350003244571E-7</v>
      </c>
      <c r="S21" s="113">
        <v>0.13</v>
      </c>
      <c r="T21" s="86">
        <v>44977</v>
      </c>
      <c r="U21" s="64"/>
      <c r="V21" s="64"/>
      <c r="W21" s="64"/>
      <c r="X21" s="15">
        <v>1</v>
      </c>
      <c r="Y21" s="15" t="str">
        <f>VLOOKUP(B21,[1]Sheet1!$C$2:$D$906,2,0)</f>
        <v>8399050482</v>
      </c>
      <c r="AA21" t="str">
        <f>IF(VLOOKUP(LEFT(Y21,10),'Havi béradatok'!$B:$E,2,0)=D21,"EGYEZIK","HIBÁS")</f>
        <v>EGYEZIK</v>
      </c>
      <c r="AB21">
        <f>(VLOOKUP(LEFT(Y21,10),'Havi béradatok'!$B:$E,3,0)-K21)</f>
        <v>0</v>
      </c>
      <c r="AC21" s="3">
        <f>(VLOOKUP(LEFT(Y21,10),'Havi béradatok'!$B:$E,4,0)-L21)</f>
        <v>0</v>
      </c>
    </row>
    <row r="22" spans="1:29" s="15" customFormat="1" ht="14.45" hidden="1" customHeight="1" x14ac:dyDescent="0.25">
      <c r="A22" s="38"/>
      <c r="B22" s="38" t="s">
        <v>216</v>
      </c>
      <c r="C22" s="62" t="s">
        <v>177</v>
      </c>
      <c r="D22" s="62" t="s">
        <v>211</v>
      </c>
      <c r="E22" s="62" t="s">
        <v>179</v>
      </c>
      <c r="F22" s="77" t="s">
        <v>169</v>
      </c>
      <c r="G22" s="77" t="s">
        <v>174</v>
      </c>
      <c r="H22" s="62" t="s">
        <v>120</v>
      </c>
      <c r="I22" s="77" t="s">
        <v>12</v>
      </c>
      <c r="J22" s="38" t="s">
        <v>37</v>
      </c>
      <c r="K22" s="6">
        <v>495700</v>
      </c>
      <c r="L22" s="78">
        <f t="shared" si="10"/>
        <v>64441</v>
      </c>
      <c r="M22" s="79">
        <v>174</v>
      </c>
      <c r="N22" s="79">
        <v>56</v>
      </c>
      <c r="O22" s="191">
        <f t="shared" si="4"/>
        <v>0.32183908045977011</v>
      </c>
      <c r="P22" s="80">
        <f t="shared" si="22"/>
        <v>159536</v>
      </c>
      <c r="Q22" s="80">
        <f t="shared" si="23"/>
        <v>20740</v>
      </c>
      <c r="R22" s="159">
        <f t="shared" si="24"/>
        <v>-7.4201350003244571E-7</v>
      </c>
      <c r="S22" s="113">
        <v>0.13</v>
      </c>
      <c r="T22" s="86">
        <v>44977</v>
      </c>
      <c r="U22" s="64"/>
      <c r="V22" s="64"/>
      <c r="W22" s="64"/>
      <c r="X22" s="15">
        <v>1</v>
      </c>
      <c r="Y22" s="15" t="str">
        <f>VLOOKUP(B22,[1]Sheet1!$C$2:$D$906,2,0)</f>
        <v>8399050482</v>
      </c>
    </row>
    <row r="23" spans="1:29" s="15" customFormat="1" ht="14.45" hidden="1" customHeight="1" x14ac:dyDescent="0.25">
      <c r="A23" s="38"/>
      <c r="B23" s="38" t="s">
        <v>216</v>
      </c>
      <c r="C23" s="62" t="s">
        <v>177</v>
      </c>
      <c r="D23" s="62" t="s">
        <v>211</v>
      </c>
      <c r="E23" s="62" t="s">
        <v>179</v>
      </c>
      <c r="F23" s="77" t="s">
        <v>169</v>
      </c>
      <c r="G23" s="77" t="s">
        <v>174</v>
      </c>
      <c r="H23" s="62" t="s">
        <v>121</v>
      </c>
      <c r="I23" s="77" t="s">
        <v>12</v>
      </c>
      <c r="J23" s="38" t="s">
        <v>37</v>
      </c>
      <c r="K23" s="6">
        <v>495700</v>
      </c>
      <c r="L23" s="78">
        <f t="shared" si="10"/>
        <v>64441</v>
      </c>
      <c r="M23" s="79">
        <v>174</v>
      </c>
      <c r="N23" s="79">
        <v>56</v>
      </c>
      <c r="O23" s="191">
        <f t="shared" si="4"/>
        <v>0.32183908045977011</v>
      </c>
      <c r="P23" s="80">
        <f t="shared" si="22"/>
        <v>159536</v>
      </c>
      <c r="Q23" s="80">
        <f t="shared" si="23"/>
        <v>20740</v>
      </c>
      <c r="R23" s="159">
        <f t="shared" si="24"/>
        <v>-7.4201350003244571E-7</v>
      </c>
      <c r="S23" s="113">
        <v>0.13</v>
      </c>
      <c r="T23" s="86">
        <v>44977</v>
      </c>
      <c r="U23" s="64"/>
      <c r="V23" s="64"/>
      <c r="W23" s="64"/>
      <c r="X23" s="15">
        <v>1</v>
      </c>
      <c r="Y23" s="15" t="str">
        <f>VLOOKUP(B23,[1]Sheet1!$C$2:$D$906,2,0)</f>
        <v>8399050482</v>
      </c>
    </row>
    <row r="24" spans="1:29" s="15" customFormat="1" ht="14.45" hidden="1" customHeight="1" x14ac:dyDescent="0.25">
      <c r="A24" s="38"/>
      <c r="B24" s="38" t="s">
        <v>216</v>
      </c>
      <c r="C24" s="62" t="s">
        <v>177</v>
      </c>
      <c r="D24" s="62" t="s">
        <v>211</v>
      </c>
      <c r="E24" s="62" t="s">
        <v>179</v>
      </c>
      <c r="F24" s="77" t="s">
        <v>169</v>
      </c>
      <c r="G24" s="77" t="s">
        <v>174</v>
      </c>
      <c r="H24" s="62" t="s">
        <v>122</v>
      </c>
      <c r="I24" s="77" t="s">
        <v>12</v>
      </c>
      <c r="J24" s="38" t="s">
        <v>37</v>
      </c>
      <c r="K24" s="6">
        <v>495700</v>
      </c>
      <c r="L24" s="78">
        <f t="shared" si="10"/>
        <v>64441</v>
      </c>
      <c r="M24" s="79">
        <v>174</v>
      </c>
      <c r="N24" s="79">
        <v>56</v>
      </c>
      <c r="O24" s="191">
        <f t="shared" si="4"/>
        <v>0.32183908045977011</v>
      </c>
      <c r="P24" s="80">
        <f t="shared" si="22"/>
        <v>159536</v>
      </c>
      <c r="Q24" s="80">
        <f t="shared" si="23"/>
        <v>20740</v>
      </c>
      <c r="R24" s="159">
        <f t="shared" si="24"/>
        <v>-7.4201350003244571E-7</v>
      </c>
      <c r="S24" s="113">
        <v>0.13</v>
      </c>
      <c r="T24" s="86">
        <v>44977</v>
      </c>
      <c r="U24" s="64"/>
      <c r="V24" s="64"/>
      <c r="W24" s="64"/>
      <c r="X24" s="15">
        <v>1</v>
      </c>
      <c r="Y24" s="15" t="str">
        <f>VLOOKUP(B24,[1]Sheet1!$C$2:$D$906,2,0)</f>
        <v>8399050482</v>
      </c>
    </row>
    <row r="25" spans="1:29" s="15" customFormat="1" ht="14.45" customHeight="1" x14ac:dyDescent="0.25">
      <c r="A25" s="38"/>
      <c r="B25" s="38" t="s">
        <v>192</v>
      </c>
      <c r="C25" s="62" t="s">
        <v>177</v>
      </c>
      <c r="D25" s="62" t="s">
        <v>203</v>
      </c>
      <c r="E25" s="62" t="s">
        <v>183</v>
      </c>
      <c r="F25" s="77" t="s">
        <v>166</v>
      </c>
      <c r="G25" s="77" t="s">
        <v>172</v>
      </c>
      <c r="H25" s="62" t="s">
        <v>85</v>
      </c>
      <c r="I25" s="77" t="s">
        <v>11</v>
      </c>
      <c r="J25" s="38" t="s">
        <v>37</v>
      </c>
      <c r="K25" s="6">
        <v>382000</v>
      </c>
      <c r="L25" s="78">
        <f t="shared" si="10"/>
        <v>49660</v>
      </c>
      <c r="M25" s="79">
        <v>174</v>
      </c>
      <c r="N25" s="79">
        <v>128</v>
      </c>
      <c r="O25" s="191">
        <f t="shared" si="4"/>
        <v>0.73563218390804597</v>
      </c>
      <c r="P25" s="80">
        <f t="shared" ref="P25:P27" si="25">ROUND(K25*N25/M25,0)</f>
        <v>281011</v>
      </c>
      <c r="Q25" s="80">
        <f t="shared" ref="Q25:Q27" si="26">ROUND(P25*S25,0)</f>
        <v>36531</v>
      </c>
      <c r="R25" s="159">
        <f t="shared" ref="R25:R33" si="27">N25/M25-P25/K25</f>
        <v>1.2938556899211306E-6</v>
      </c>
      <c r="S25" s="113">
        <v>0.13</v>
      </c>
      <c r="T25" s="86">
        <v>44599</v>
      </c>
      <c r="U25" s="64">
        <v>1</v>
      </c>
      <c r="V25" s="64"/>
      <c r="W25" s="64"/>
      <c r="X25" s="15">
        <v>1</v>
      </c>
      <c r="Y25" s="15">
        <v>8459421406</v>
      </c>
    </row>
    <row r="26" spans="1:29" s="15" customFormat="1" ht="14.45" customHeight="1" x14ac:dyDescent="0.25">
      <c r="A26" s="38"/>
      <c r="B26" s="38" t="s">
        <v>192</v>
      </c>
      <c r="C26" s="62" t="s">
        <v>177</v>
      </c>
      <c r="D26" s="62" t="s">
        <v>203</v>
      </c>
      <c r="E26" s="62" t="s">
        <v>183</v>
      </c>
      <c r="F26" s="77" t="s">
        <v>166</v>
      </c>
      <c r="G26" s="77" t="s">
        <v>172</v>
      </c>
      <c r="H26" s="62" t="s">
        <v>86</v>
      </c>
      <c r="I26" s="77" t="s">
        <v>11</v>
      </c>
      <c r="J26" s="38" t="s">
        <v>37</v>
      </c>
      <c r="K26" s="6">
        <v>382000</v>
      </c>
      <c r="L26" s="78">
        <f t="shared" si="10"/>
        <v>49660</v>
      </c>
      <c r="M26" s="79">
        <v>174</v>
      </c>
      <c r="N26" s="79">
        <v>128</v>
      </c>
      <c r="O26" s="191">
        <f t="shared" si="4"/>
        <v>0.73563218390804597</v>
      </c>
      <c r="P26" s="80">
        <f t="shared" si="25"/>
        <v>281011</v>
      </c>
      <c r="Q26" s="80">
        <f t="shared" si="26"/>
        <v>36531</v>
      </c>
      <c r="R26" s="159">
        <f t="shared" si="27"/>
        <v>1.2938556899211306E-6</v>
      </c>
      <c r="S26" s="113">
        <v>0.13</v>
      </c>
      <c r="T26" s="86">
        <v>44599</v>
      </c>
      <c r="U26" s="64">
        <v>1</v>
      </c>
      <c r="V26" s="64"/>
      <c r="W26" s="64"/>
      <c r="X26" s="15">
        <v>1</v>
      </c>
      <c r="Y26" s="15">
        <v>8459421406</v>
      </c>
    </row>
    <row r="27" spans="1:29" s="15" customFormat="1" ht="14.45" customHeight="1" x14ac:dyDescent="0.25">
      <c r="A27" s="38"/>
      <c r="B27" s="38" t="s">
        <v>192</v>
      </c>
      <c r="C27" s="62" t="s">
        <v>177</v>
      </c>
      <c r="D27" s="62" t="s">
        <v>203</v>
      </c>
      <c r="E27" s="62" t="s">
        <v>183</v>
      </c>
      <c r="F27" s="77" t="s">
        <v>166</v>
      </c>
      <c r="G27" s="77" t="s">
        <v>172</v>
      </c>
      <c r="H27" s="62" t="s">
        <v>87</v>
      </c>
      <c r="I27" s="77" t="s">
        <v>11</v>
      </c>
      <c r="J27" s="38" t="s">
        <v>37</v>
      </c>
      <c r="K27" s="6">
        <v>382000</v>
      </c>
      <c r="L27" s="78">
        <f t="shared" si="10"/>
        <v>49660</v>
      </c>
      <c r="M27" s="79">
        <v>174</v>
      </c>
      <c r="N27" s="79">
        <v>128</v>
      </c>
      <c r="O27" s="191">
        <f t="shared" si="4"/>
        <v>0.73563218390804597</v>
      </c>
      <c r="P27" s="80">
        <f t="shared" si="25"/>
        <v>281011</v>
      </c>
      <c r="Q27" s="80">
        <f t="shared" si="26"/>
        <v>36531</v>
      </c>
      <c r="R27" s="159">
        <f t="shared" si="27"/>
        <v>1.2938556899211306E-6</v>
      </c>
      <c r="S27" s="113">
        <v>0.13</v>
      </c>
      <c r="T27" s="86">
        <v>44599</v>
      </c>
      <c r="U27" s="64">
        <v>1</v>
      </c>
      <c r="V27" s="64"/>
      <c r="W27" s="64"/>
      <c r="X27" s="15">
        <v>1</v>
      </c>
      <c r="Y27" s="15">
        <v>8459421406</v>
      </c>
    </row>
    <row r="28" spans="1:29" s="15" customFormat="1" ht="14.45" customHeight="1" x14ac:dyDescent="0.25">
      <c r="A28" s="38"/>
      <c r="B28" s="38" t="s">
        <v>193</v>
      </c>
      <c r="C28" s="62" t="s">
        <v>177</v>
      </c>
      <c r="D28" s="62" t="s">
        <v>209</v>
      </c>
      <c r="E28" s="62" t="s">
        <v>179</v>
      </c>
      <c r="F28" s="77" t="s">
        <v>169</v>
      </c>
      <c r="G28" s="77" t="s">
        <v>174</v>
      </c>
      <c r="H28" s="62" t="s">
        <v>86</v>
      </c>
      <c r="I28" s="77" t="s">
        <v>11</v>
      </c>
      <c r="J28" s="38" t="s">
        <v>37</v>
      </c>
      <c r="K28" s="6">
        <v>182000</v>
      </c>
      <c r="L28" s="78">
        <f t="shared" si="10"/>
        <v>23660</v>
      </c>
      <c r="M28" s="79">
        <v>87</v>
      </c>
      <c r="N28" s="79">
        <v>24</v>
      </c>
      <c r="O28" s="191">
        <f t="shared" si="4"/>
        <v>0.27586206896551724</v>
      </c>
      <c r="P28" s="80">
        <f t="shared" ref="P28:P54" si="28">ROUND(K28*N28/M28,0)</f>
        <v>50207</v>
      </c>
      <c r="Q28" s="80">
        <f t="shared" ref="Q28:Q54" si="29">ROUND(P28*S28,0)</f>
        <v>6527</v>
      </c>
      <c r="R28" s="159">
        <f t="shared" si="27"/>
        <v>-5.6839712014866706E-7</v>
      </c>
      <c r="S28" s="113">
        <v>0.13</v>
      </c>
      <c r="T28" s="86">
        <v>44608</v>
      </c>
      <c r="U28" s="64">
        <v>1</v>
      </c>
      <c r="V28" s="64"/>
      <c r="W28" s="64"/>
      <c r="X28" s="15">
        <v>1</v>
      </c>
      <c r="Y28" s="15">
        <v>8399572616</v>
      </c>
    </row>
    <row r="29" spans="1:29" s="15" customFormat="1" ht="14.45" customHeight="1" x14ac:dyDescent="0.25">
      <c r="A29" s="38"/>
      <c r="B29" s="38" t="s">
        <v>193</v>
      </c>
      <c r="C29" s="62" t="s">
        <v>177</v>
      </c>
      <c r="D29" s="62" t="s">
        <v>209</v>
      </c>
      <c r="E29" s="62" t="s">
        <v>179</v>
      </c>
      <c r="F29" s="77" t="s">
        <v>169</v>
      </c>
      <c r="G29" s="77" t="s">
        <v>174</v>
      </c>
      <c r="H29" s="62" t="s">
        <v>87</v>
      </c>
      <c r="I29" s="77" t="s">
        <v>11</v>
      </c>
      <c r="J29" s="38" t="s">
        <v>37</v>
      </c>
      <c r="K29" s="6">
        <v>182000</v>
      </c>
      <c r="L29" s="78">
        <f t="shared" si="10"/>
        <v>23660</v>
      </c>
      <c r="M29" s="79">
        <v>87</v>
      </c>
      <c r="N29" s="79">
        <v>24</v>
      </c>
      <c r="O29" s="191">
        <f t="shared" si="4"/>
        <v>0.27586206896551724</v>
      </c>
      <c r="P29" s="80">
        <f t="shared" si="28"/>
        <v>50207</v>
      </c>
      <c r="Q29" s="80">
        <f t="shared" si="29"/>
        <v>6527</v>
      </c>
      <c r="R29" s="159">
        <f t="shared" si="27"/>
        <v>-5.6839712014866706E-7</v>
      </c>
      <c r="S29" s="113">
        <v>0.13</v>
      </c>
      <c r="T29" s="86">
        <v>44608</v>
      </c>
      <c r="U29" s="64">
        <v>1</v>
      </c>
      <c r="V29" s="64"/>
      <c r="W29" s="64"/>
      <c r="X29" s="15">
        <v>1</v>
      </c>
      <c r="Y29" s="15">
        <v>8399572616</v>
      </c>
    </row>
    <row r="30" spans="1:29" s="15" customFormat="1" ht="14.45" customHeight="1" x14ac:dyDescent="0.25">
      <c r="A30" s="38"/>
      <c r="B30" s="38" t="s">
        <v>193</v>
      </c>
      <c r="C30" s="62" t="s">
        <v>177</v>
      </c>
      <c r="D30" s="62" t="s">
        <v>209</v>
      </c>
      <c r="E30" s="62" t="s">
        <v>179</v>
      </c>
      <c r="F30" s="77" t="s">
        <v>169</v>
      </c>
      <c r="G30" s="77" t="s">
        <v>174</v>
      </c>
      <c r="H30" s="62" t="s">
        <v>88</v>
      </c>
      <c r="I30" s="77" t="s">
        <v>11</v>
      </c>
      <c r="J30" s="38" t="s">
        <v>37</v>
      </c>
      <c r="K30" s="6">
        <v>182000</v>
      </c>
      <c r="L30" s="78">
        <f t="shared" si="10"/>
        <v>23660</v>
      </c>
      <c r="M30" s="79">
        <v>87</v>
      </c>
      <c r="N30" s="79">
        <v>24</v>
      </c>
      <c r="O30" s="191">
        <f t="shared" si="4"/>
        <v>0.27586206896551724</v>
      </c>
      <c r="P30" s="80">
        <f t="shared" si="28"/>
        <v>50207</v>
      </c>
      <c r="Q30" s="80">
        <f t="shared" si="29"/>
        <v>6527</v>
      </c>
      <c r="R30" s="159">
        <f t="shared" si="27"/>
        <v>-5.6839712014866706E-7</v>
      </c>
      <c r="S30" s="113">
        <v>0.13</v>
      </c>
      <c r="T30" s="86">
        <v>44608</v>
      </c>
      <c r="U30" s="64">
        <v>1</v>
      </c>
      <c r="V30" s="64"/>
      <c r="W30" s="64"/>
      <c r="X30" s="15">
        <v>1</v>
      </c>
      <c r="Y30" s="15">
        <v>8399572616</v>
      </c>
    </row>
    <row r="31" spans="1:29" s="15" customFormat="1" ht="14.45" customHeight="1" x14ac:dyDescent="0.25">
      <c r="A31" s="38"/>
      <c r="B31" s="38" t="s">
        <v>193</v>
      </c>
      <c r="C31" s="62" t="s">
        <v>177</v>
      </c>
      <c r="D31" s="62" t="s">
        <v>209</v>
      </c>
      <c r="E31" s="62" t="s">
        <v>179</v>
      </c>
      <c r="F31" s="77" t="s">
        <v>169</v>
      </c>
      <c r="G31" s="77" t="s">
        <v>174</v>
      </c>
      <c r="H31" s="62" t="s">
        <v>89</v>
      </c>
      <c r="I31" s="77" t="s">
        <v>11</v>
      </c>
      <c r="J31" s="38" t="s">
        <v>37</v>
      </c>
      <c r="K31" s="6">
        <v>182000</v>
      </c>
      <c r="L31" s="78">
        <f t="shared" si="10"/>
        <v>23660</v>
      </c>
      <c r="M31" s="79">
        <v>87</v>
      </c>
      <c r="N31" s="79">
        <v>24</v>
      </c>
      <c r="O31" s="191">
        <f t="shared" si="4"/>
        <v>0.27586206896551724</v>
      </c>
      <c r="P31" s="80">
        <f t="shared" si="28"/>
        <v>50207</v>
      </c>
      <c r="Q31" s="80">
        <f t="shared" si="29"/>
        <v>6527</v>
      </c>
      <c r="R31" s="159">
        <f t="shared" si="27"/>
        <v>-5.6839712014866706E-7</v>
      </c>
      <c r="S31" s="113">
        <v>0.13</v>
      </c>
      <c r="T31" s="86">
        <v>44608</v>
      </c>
      <c r="U31" s="64">
        <v>2</v>
      </c>
      <c r="V31" s="64"/>
      <c r="W31" s="64"/>
      <c r="X31" s="15">
        <v>1</v>
      </c>
      <c r="Y31" s="15">
        <v>8399572616</v>
      </c>
    </row>
    <row r="32" spans="1:29" s="15" customFormat="1" ht="14.45" customHeight="1" x14ac:dyDescent="0.25">
      <c r="A32" s="38"/>
      <c r="B32" s="38" t="s">
        <v>193</v>
      </c>
      <c r="C32" s="62" t="s">
        <v>177</v>
      </c>
      <c r="D32" s="62" t="s">
        <v>209</v>
      </c>
      <c r="E32" s="62" t="s">
        <v>179</v>
      </c>
      <c r="F32" s="77" t="s">
        <v>169</v>
      </c>
      <c r="G32" s="77" t="s">
        <v>174</v>
      </c>
      <c r="H32" s="62" t="s">
        <v>90</v>
      </c>
      <c r="I32" s="77" t="s">
        <v>11</v>
      </c>
      <c r="J32" s="38" t="s">
        <v>37</v>
      </c>
      <c r="K32" s="6">
        <v>182000</v>
      </c>
      <c r="L32" s="78">
        <f t="shared" si="10"/>
        <v>23660</v>
      </c>
      <c r="M32" s="79">
        <v>87</v>
      </c>
      <c r="N32" s="79">
        <v>24</v>
      </c>
      <c r="O32" s="191">
        <f t="shared" si="4"/>
        <v>0.27586206896551724</v>
      </c>
      <c r="P32" s="80">
        <f t="shared" si="28"/>
        <v>50207</v>
      </c>
      <c r="Q32" s="80">
        <f t="shared" si="29"/>
        <v>6527</v>
      </c>
      <c r="R32" s="159">
        <f t="shared" si="27"/>
        <v>-5.6839712014866706E-7</v>
      </c>
      <c r="S32" s="113">
        <v>0.13</v>
      </c>
      <c r="T32" s="86">
        <v>44608</v>
      </c>
      <c r="U32" s="64">
        <v>2</v>
      </c>
      <c r="V32" s="64"/>
      <c r="W32" s="64"/>
      <c r="X32" s="15">
        <v>1</v>
      </c>
      <c r="Y32" s="15">
        <v>8399572616</v>
      </c>
    </row>
    <row r="33" spans="1:29" s="15" customFormat="1" ht="14.45" customHeight="1" x14ac:dyDescent="0.25">
      <c r="A33" s="38"/>
      <c r="B33" s="38" t="s">
        <v>193</v>
      </c>
      <c r="C33" s="62" t="s">
        <v>177</v>
      </c>
      <c r="D33" s="62" t="s">
        <v>209</v>
      </c>
      <c r="E33" s="62" t="s">
        <v>179</v>
      </c>
      <c r="F33" s="77" t="s">
        <v>169</v>
      </c>
      <c r="G33" s="77" t="s">
        <v>174</v>
      </c>
      <c r="H33" s="62" t="s">
        <v>91</v>
      </c>
      <c r="I33" s="77" t="s">
        <v>11</v>
      </c>
      <c r="J33" s="38" t="s">
        <v>37</v>
      </c>
      <c r="K33" s="6">
        <v>182000</v>
      </c>
      <c r="L33" s="78">
        <f t="shared" si="10"/>
        <v>23660</v>
      </c>
      <c r="M33" s="79">
        <v>87</v>
      </c>
      <c r="N33" s="79">
        <v>24</v>
      </c>
      <c r="O33" s="191">
        <f t="shared" si="4"/>
        <v>0.27586206896551724</v>
      </c>
      <c r="P33" s="80">
        <f t="shared" si="28"/>
        <v>50207</v>
      </c>
      <c r="Q33" s="80">
        <f t="shared" si="29"/>
        <v>6527</v>
      </c>
      <c r="R33" s="159">
        <f t="shared" si="27"/>
        <v>-5.6839712014866706E-7</v>
      </c>
      <c r="S33" s="113">
        <v>0.13</v>
      </c>
      <c r="T33" s="86">
        <v>44608</v>
      </c>
      <c r="U33" s="64">
        <v>2</v>
      </c>
      <c r="V33" s="64"/>
      <c r="W33" s="64"/>
      <c r="X33" s="15">
        <v>1</v>
      </c>
      <c r="Y33" s="15">
        <v>8399572616</v>
      </c>
    </row>
    <row r="34" spans="1:29" s="15" customFormat="1" ht="14.45" customHeight="1" x14ac:dyDescent="0.25">
      <c r="A34" s="38"/>
      <c r="B34" s="38" t="s">
        <v>193</v>
      </c>
      <c r="C34" s="62" t="s">
        <v>177</v>
      </c>
      <c r="D34" s="62" t="s">
        <v>209</v>
      </c>
      <c r="E34" s="62" t="s">
        <v>179</v>
      </c>
      <c r="F34" s="77" t="s">
        <v>169</v>
      </c>
      <c r="G34" s="77" t="s">
        <v>174</v>
      </c>
      <c r="H34" s="62" t="s">
        <v>92</v>
      </c>
      <c r="I34" s="77" t="s">
        <v>11</v>
      </c>
      <c r="J34" s="38" t="s">
        <v>37</v>
      </c>
      <c r="K34" s="6">
        <v>182000</v>
      </c>
      <c r="L34" s="78">
        <f t="shared" si="10"/>
        <v>23660</v>
      </c>
      <c r="M34" s="79">
        <v>87</v>
      </c>
      <c r="N34" s="79">
        <v>24</v>
      </c>
      <c r="O34" s="191">
        <f t="shared" si="4"/>
        <v>0.27586206896551724</v>
      </c>
      <c r="P34" s="80">
        <f t="shared" ref="P34:P44" si="30">ROUND(K34*N34/M34,0)</f>
        <v>50207</v>
      </c>
      <c r="Q34" s="80">
        <f t="shared" ref="Q34:Q44" si="31">ROUND(P34*S34,0)</f>
        <v>6527</v>
      </c>
      <c r="R34" s="159">
        <f t="shared" ref="R34:R40" si="32">N34/M34-P34/K34</f>
        <v>-5.6839712014866706E-7</v>
      </c>
      <c r="S34" s="113">
        <v>0.13</v>
      </c>
      <c r="T34" s="86">
        <v>44761</v>
      </c>
      <c r="U34" s="64">
        <v>2</v>
      </c>
      <c r="V34" s="64"/>
      <c r="W34" s="64"/>
      <c r="X34" s="15">
        <v>1</v>
      </c>
      <c r="Y34" s="15">
        <v>8399572616</v>
      </c>
    </row>
    <row r="35" spans="1:29" s="15" customFormat="1" ht="14.45" customHeight="1" x14ac:dyDescent="0.25">
      <c r="A35" s="38"/>
      <c r="B35" s="38" t="s">
        <v>193</v>
      </c>
      <c r="C35" s="62" t="s">
        <v>177</v>
      </c>
      <c r="D35" s="62" t="s">
        <v>209</v>
      </c>
      <c r="E35" s="62" t="s">
        <v>179</v>
      </c>
      <c r="F35" s="77" t="s">
        <v>169</v>
      </c>
      <c r="G35" s="77" t="s">
        <v>174</v>
      </c>
      <c r="H35" s="62" t="s">
        <v>93</v>
      </c>
      <c r="I35" s="77" t="s">
        <v>11</v>
      </c>
      <c r="J35" s="38" t="s">
        <v>37</v>
      </c>
      <c r="K35" s="6">
        <v>350000</v>
      </c>
      <c r="L35" s="78">
        <f t="shared" si="10"/>
        <v>45500</v>
      </c>
      <c r="M35" s="79">
        <v>130</v>
      </c>
      <c r="N35" s="79">
        <v>82</v>
      </c>
      <c r="O35" s="191">
        <f t="shared" si="4"/>
        <v>0.63076923076923075</v>
      </c>
      <c r="P35" s="80">
        <f t="shared" si="30"/>
        <v>220769</v>
      </c>
      <c r="Q35" s="80">
        <f t="shared" si="31"/>
        <v>28700</v>
      </c>
      <c r="R35" s="159">
        <f t="shared" si="32"/>
        <v>6.5934065929251773E-7</v>
      </c>
      <c r="S35" s="113">
        <v>0.13</v>
      </c>
      <c r="T35" s="86">
        <v>44825</v>
      </c>
      <c r="U35" s="64">
        <v>2</v>
      </c>
      <c r="V35" s="64"/>
      <c r="W35" s="64"/>
      <c r="X35" s="15">
        <v>1</v>
      </c>
      <c r="Y35" s="15">
        <v>8399572616</v>
      </c>
    </row>
    <row r="36" spans="1:29" s="15" customFormat="1" ht="14.45" customHeight="1" x14ac:dyDescent="0.25">
      <c r="A36" s="38"/>
      <c r="B36" s="38" t="s">
        <v>193</v>
      </c>
      <c r="C36" s="62" t="s">
        <v>177</v>
      </c>
      <c r="D36" s="62" t="s">
        <v>209</v>
      </c>
      <c r="E36" s="62" t="s">
        <v>179</v>
      </c>
      <c r="F36" s="77" t="s">
        <v>169</v>
      </c>
      <c r="G36" s="77" t="s">
        <v>174</v>
      </c>
      <c r="H36" s="62" t="s">
        <v>94</v>
      </c>
      <c r="I36" s="77" t="s">
        <v>11</v>
      </c>
      <c r="J36" s="38" t="s">
        <v>37</v>
      </c>
      <c r="K36" s="6">
        <v>350000</v>
      </c>
      <c r="L36" s="78">
        <f t="shared" si="10"/>
        <v>45500</v>
      </c>
      <c r="M36" s="79">
        <v>130</v>
      </c>
      <c r="N36" s="79">
        <v>82</v>
      </c>
      <c r="O36" s="191">
        <f t="shared" si="4"/>
        <v>0.63076923076923075</v>
      </c>
      <c r="P36" s="80">
        <f t="shared" si="30"/>
        <v>220769</v>
      </c>
      <c r="Q36" s="80">
        <f t="shared" si="31"/>
        <v>28700</v>
      </c>
      <c r="R36" s="159">
        <f t="shared" si="32"/>
        <v>6.5934065929251773E-7</v>
      </c>
      <c r="S36" s="113">
        <v>0.13</v>
      </c>
      <c r="T36" s="86">
        <v>44825</v>
      </c>
      <c r="U36" s="64">
        <v>2</v>
      </c>
      <c r="V36" s="64"/>
      <c r="W36" s="64"/>
      <c r="X36" s="15">
        <v>1</v>
      </c>
      <c r="Y36" s="15">
        <v>8399572616</v>
      </c>
    </row>
    <row r="37" spans="1:29" s="15" customFormat="1" ht="14.45" customHeight="1" x14ac:dyDescent="0.25">
      <c r="A37" s="38"/>
      <c r="B37" s="38" t="s">
        <v>193</v>
      </c>
      <c r="C37" s="62" t="s">
        <v>177</v>
      </c>
      <c r="D37" s="62" t="s">
        <v>209</v>
      </c>
      <c r="E37" s="62" t="s">
        <v>179</v>
      </c>
      <c r="F37" s="77" t="s">
        <v>169</v>
      </c>
      <c r="G37" s="77" t="s">
        <v>174</v>
      </c>
      <c r="H37" s="174" t="s">
        <v>281</v>
      </c>
      <c r="I37" s="77" t="s">
        <v>11</v>
      </c>
      <c r="J37" s="38" t="s">
        <v>37</v>
      </c>
      <c r="K37" s="6">
        <f>350000/21*13</f>
        <v>216666.66666666669</v>
      </c>
      <c r="L37" s="78">
        <f t="shared" si="10"/>
        <v>28167</v>
      </c>
      <c r="M37" s="79">
        <v>130</v>
      </c>
      <c r="N37" s="79">
        <v>82</v>
      </c>
      <c r="O37" s="191">
        <f t="shared" si="4"/>
        <v>0.63076923076923075</v>
      </c>
      <c r="P37" s="80">
        <f t="shared" si="30"/>
        <v>136667</v>
      </c>
      <c r="Q37" s="80">
        <f t="shared" si="31"/>
        <v>17767</v>
      </c>
      <c r="R37" s="159">
        <f t="shared" si="32"/>
        <v>-1.5384615383862155E-6</v>
      </c>
      <c r="S37" s="113">
        <v>0.13</v>
      </c>
      <c r="T37" s="86">
        <v>44825</v>
      </c>
      <c r="U37" s="64">
        <v>2</v>
      </c>
      <c r="V37" s="64"/>
      <c r="W37" s="64"/>
      <c r="X37" s="15">
        <v>1</v>
      </c>
      <c r="Y37" s="189">
        <v>8399572616</v>
      </c>
      <c r="AA37" t="str">
        <f>IF(VLOOKUP(LEFT(Y37,10),'Havi béradatok'!$B:$E,2,0)=D37,"EGYEZIK","HIBÁS")</f>
        <v>EGYEZIK</v>
      </c>
      <c r="AB37">
        <f>(VLOOKUP(LEFT(Y37,10),'Havi béradatok'!$B:$E,3,0)-K37)</f>
        <v>53333.333333333314</v>
      </c>
      <c r="AC37" s="3">
        <f>(VLOOKUP(LEFT(Y37,10),'Havi béradatok'!$B:$E,4,0)-L37)</f>
        <v>6933</v>
      </c>
    </row>
    <row r="38" spans="1:29" s="15" customFormat="1" ht="14.45" customHeight="1" x14ac:dyDescent="0.25">
      <c r="A38" s="38"/>
      <c r="B38" s="38" t="s">
        <v>193</v>
      </c>
      <c r="C38" s="62" t="s">
        <v>177</v>
      </c>
      <c r="D38" s="62" t="s">
        <v>209</v>
      </c>
      <c r="E38" s="62" t="s">
        <v>179</v>
      </c>
      <c r="F38" s="77" t="s">
        <v>169</v>
      </c>
      <c r="G38" s="77" t="s">
        <v>174</v>
      </c>
      <c r="H38" s="174" t="s">
        <v>280</v>
      </c>
      <c r="I38" s="77" t="s">
        <v>11</v>
      </c>
      <c r="J38" s="38" t="s">
        <v>37</v>
      </c>
      <c r="K38" s="6">
        <f>350000/21*8</f>
        <v>133333.33333333334</v>
      </c>
      <c r="L38" s="78">
        <f t="shared" ref="L38" si="33">ROUND(K38*S38,0)</f>
        <v>17333</v>
      </c>
      <c r="M38" s="79">
        <v>130</v>
      </c>
      <c r="N38" s="79">
        <v>82</v>
      </c>
      <c r="O38" s="191">
        <f t="shared" ref="O38" si="34">N38/M38</f>
        <v>0.63076923076923075</v>
      </c>
      <c r="P38" s="80">
        <f t="shared" ref="P38" si="35">ROUND(K38*N38/M38,0)</f>
        <v>84103</v>
      </c>
      <c r="Q38" s="80">
        <f t="shared" ref="Q38" si="36">ROUND(P38*S38,0)</f>
        <v>10933</v>
      </c>
      <c r="R38" s="159">
        <f t="shared" ref="R38" si="37">N38/M38-P38/K38</f>
        <v>-3.2692307692094857E-6</v>
      </c>
      <c r="S38" s="113">
        <v>0.13</v>
      </c>
      <c r="T38" s="86">
        <v>44825</v>
      </c>
      <c r="U38" s="64"/>
      <c r="V38" s="64"/>
      <c r="W38" s="64"/>
      <c r="X38" s="15">
        <v>1</v>
      </c>
      <c r="Y38" s="189">
        <v>8399572616</v>
      </c>
      <c r="AA38" t="str">
        <f>IF(VLOOKUP(LEFT(Y38,10),'Havi béradatok'!$B:$E,2,0)=D38,"EGYEZIK","HIBÁS")</f>
        <v>EGYEZIK</v>
      </c>
      <c r="AB38">
        <f>(VLOOKUP(LEFT(Y38,10),'Havi béradatok'!$B:$E,3,0)-K38)</f>
        <v>136666.66666666666</v>
      </c>
      <c r="AC38" s="3">
        <f>(VLOOKUP(LEFT(Y38,10),'Havi béradatok'!$B:$E,4,0)-L38)</f>
        <v>17767</v>
      </c>
    </row>
    <row r="39" spans="1:29" s="15" customFormat="1" ht="14.45" customHeight="1" x14ac:dyDescent="0.25">
      <c r="A39" s="38"/>
      <c r="B39" s="38" t="s">
        <v>193</v>
      </c>
      <c r="C39" s="62" t="s">
        <v>177</v>
      </c>
      <c r="D39" s="62" t="s">
        <v>209</v>
      </c>
      <c r="E39" s="62" t="s">
        <v>179</v>
      </c>
      <c r="F39" s="77" t="s">
        <v>169</v>
      </c>
      <c r="G39" s="77" t="s">
        <v>174</v>
      </c>
      <c r="H39" s="174" t="s">
        <v>117</v>
      </c>
      <c r="I39" s="77" t="s">
        <v>11</v>
      </c>
      <c r="J39" s="38" t="s">
        <v>37</v>
      </c>
      <c r="K39" s="6">
        <v>350000</v>
      </c>
      <c r="L39" s="78">
        <f t="shared" si="10"/>
        <v>45500</v>
      </c>
      <c r="M39" s="79">
        <v>130</v>
      </c>
      <c r="N39" s="79">
        <v>82</v>
      </c>
      <c r="O39" s="191">
        <f t="shared" si="4"/>
        <v>0.63076923076923075</v>
      </c>
      <c r="P39" s="80">
        <f t="shared" si="30"/>
        <v>220769</v>
      </c>
      <c r="Q39" s="80">
        <f t="shared" si="31"/>
        <v>28700</v>
      </c>
      <c r="R39" s="159">
        <f t="shared" si="32"/>
        <v>6.5934065929251773E-7</v>
      </c>
      <c r="S39" s="113">
        <v>0.13</v>
      </c>
      <c r="T39" s="86">
        <v>44825</v>
      </c>
      <c r="U39" s="64"/>
      <c r="V39" s="64"/>
      <c r="W39" s="64"/>
      <c r="X39" s="15">
        <v>1</v>
      </c>
      <c r="Y39" s="15">
        <v>8399572616</v>
      </c>
      <c r="AA39" t="str">
        <f>IF(VLOOKUP(LEFT(Y39,10),'Havi béradatok'!$B:$E,2,0)=D39,"EGYEZIK","HIBÁS")</f>
        <v>EGYEZIK</v>
      </c>
      <c r="AB39">
        <f>(VLOOKUP(LEFT(Y39,10),'Havi béradatok'!$B:$E,3,0)-K39)</f>
        <v>-80000</v>
      </c>
      <c r="AC39" s="3">
        <f>(VLOOKUP(LEFT(Y39,10),'Havi béradatok'!$B:$E,4,0)-L39)</f>
        <v>-10400</v>
      </c>
    </row>
    <row r="40" spans="1:29" s="15" customFormat="1" ht="14.45" customHeight="1" x14ac:dyDescent="0.25">
      <c r="A40" s="38"/>
      <c r="B40" s="38" t="s">
        <v>193</v>
      </c>
      <c r="C40" s="62" t="s">
        <v>177</v>
      </c>
      <c r="D40" s="62" t="s">
        <v>209</v>
      </c>
      <c r="E40" s="62" t="s">
        <v>179</v>
      </c>
      <c r="F40" s="77" t="s">
        <v>169</v>
      </c>
      <c r="G40" s="77" t="s">
        <v>174</v>
      </c>
      <c r="H40" s="174" t="s">
        <v>118</v>
      </c>
      <c r="I40" s="77" t="s">
        <v>11</v>
      </c>
      <c r="J40" s="38" t="s">
        <v>37</v>
      </c>
      <c r="K40" s="6">
        <v>350000</v>
      </c>
      <c r="L40" s="78">
        <f t="shared" si="10"/>
        <v>45500</v>
      </c>
      <c r="M40" s="79">
        <v>130</v>
      </c>
      <c r="N40" s="79">
        <v>82</v>
      </c>
      <c r="O40" s="191">
        <f t="shared" si="4"/>
        <v>0.63076923076923075</v>
      </c>
      <c r="P40" s="80">
        <f t="shared" si="30"/>
        <v>220769</v>
      </c>
      <c r="Q40" s="80">
        <f t="shared" si="31"/>
        <v>28700</v>
      </c>
      <c r="R40" s="159">
        <f t="shared" si="32"/>
        <v>6.5934065929251773E-7</v>
      </c>
      <c r="S40" s="113">
        <v>0.13</v>
      </c>
      <c r="T40" s="86">
        <v>44825</v>
      </c>
      <c r="U40" s="64"/>
      <c r="V40" s="64"/>
      <c r="W40" s="64"/>
      <c r="X40" s="15">
        <v>1</v>
      </c>
      <c r="Y40" s="15">
        <v>8399572616</v>
      </c>
      <c r="AA40" t="str">
        <f>IF(VLOOKUP(LEFT(Y40,10),'Havi béradatok'!$B:$E,2,0)=D40,"EGYEZIK","HIBÁS")</f>
        <v>EGYEZIK</v>
      </c>
      <c r="AB40">
        <f>(VLOOKUP(LEFT(Y40,10),'Havi béradatok'!$B:$E,3,0)-K40)</f>
        <v>-80000</v>
      </c>
      <c r="AC40" s="3">
        <f>(VLOOKUP(LEFT(Y40,10),'Havi béradatok'!$B:$E,4,0)-L40)</f>
        <v>-10400</v>
      </c>
    </row>
    <row r="41" spans="1:29" s="15" customFormat="1" ht="14.45" customHeight="1" x14ac:dyDescent="0.25">
      <c r="A41" s="38"/>
      <c r="B41" s="38" t="s">
        <v>193</v>
      </c>
      <c r="C41" s="62" t="s">
        <v>177</v>
      </c>
      <c r="D41" s="62" t="s">
        <v>209</v>
      </c>
      <c r="E41" s="62" t="s">
        <v>179</v>
      </c>
      <c r="F41" s="77" t="s">
        <v>169</v>
      </c>
      <c r="G41" s="77" t="s">
        <v>174</v>
      </c>
      <c r="H41" s="174" t="s">
        <v>119</v>
      </c>
      <c r="I41" s="77" t="s">
        <v>11</v>
      </c>
      <c r="J41" s="38" t="s">
        <v>37</v>
      </c>
      <c r="K41" s="6">
        <v>270000</v>
      </c>
      <c r="L41" s="78">
        <f t="shared" si="10"/>
        <v>35100</v>
      </c>
      <c r="M41" s="79">
        <v>130</v>
      </c>
      <c r="N41" s="79">
        <v>130</v>
      </c>
      <c r="O41" s="191">
        <f t="shared" si="4"/>
        <v>1</v>
      </c>
      <c r="P41" s="80">
        <f t="shared" si="30"/>
        <v>270000</v>
      </c>
      <c r="Q41" s="80">
        <f t="shared" si="31"/>
        <v>35100</v>
      </c>
      <c r="R41" s="159">
        <f t="shared" ref="R41:R44" si="38">N41/M41-P41/K41</f>
        <v>0</v>
      </c>
      <c r="S41" s="113">
        <v>0.13</v>
      </c>
      <c r="T41" s="86">
        <v>44977</v>
      </c>
      <c r="U41" s="64"/>
      <c r="V41" s="64"/>
      <c r="W41" s="64"/>
      <c r="X41" s="15">
        <v>1</v>
      </c>
      <c r="Y41" s="15">
        <v>8399572616</v>
      </c>
      <c r="AA41" t="str">
        <f>IF(VLOOKUP(LEFT(Y41,10),'Havi béradatok'!$B:$E,2,0)=D41,"EGYEZIK","HIBÁS")</f>
        <v>EGYEZIK</v>
      </c>
      <c r="AB41">
        <f>(VLOOKUP(LEFT(Y41,10),'Havi béradatok'!$B:$E,3,0)-K41)</f>
        <v>0</v>
      </c>
      <c r="AC41" s="3">
        <f>(VLOOKUP(LEFT(Y41,10),'Havi béradatok'!$B:$E,4,0)-L41)</f>
        <v>0</v>
      </c>
    </row>
    <row r="42" spans="1:29" s="15" customFormat="1" ht="14.45" hidden="1" customHeight="1" x14ac:dyDescent="0.25">
      <c r="A42" s="38"/>
      <c r="B42" s="38" t="s">
        <v>193</v>
      </c>
      <c r="C42" s="62" t="s">
        <v>177</v>
      </c>
      <c r="D42" s="62" t="s">
        <v>209</v>
      </c>
      <c r="E42" s="62" t="s">
        <v>179</v>
      </c>
      <c r="F42" s="77" t="s">
        <v>169</v>
      </c>
      <c r="G42" s="77" t="s">
        <v>174</v>
      </c>
      <c r="H42" s="174" t="s">
        <v>120</v>
      </c>
      <c r="I42" s="77" t="s">
        <v>12</v>
      </c>
      <c r="J42" s="38" t="s">
        <v>37</v>
      </c>
      <c r="K42" s="6">
        <v>270000</v>
      </c>
      <c r="L42" s="78">
        <f t="shared" si="10"/>
        <v>35100</v>
      </c>
      <c r="M42" s="79">
        <v>130</v>
      </c>
      <c r="N42" s="79">
        <v>130</v>
      </c>
      <c r="O42" s="191">
        <f t="shared" si="4"/>
        <v>1</v>
      </c>
      <c r="P42" s="80">
        <f t="shared" si="30"/>
        <v>270000</v>
      </c>
      <c r="Q42" s="80">
        <f t="shared" si="31"/>
        <v>35100</v>
      </c>
      <c r="R42" s="159">
        <f t="shared" si="38"/>
        <v>0</v>
      </c>
      <c r="S42" s="113">
        <v>0.13</v>
      </c>
      <c r="T42" s="86">
        <v>44977</v>
      </c>
      <c r="U42" s="64"/>
      <c r="V42" s="64"/>
      <c r="W42" s="64"/>
      <c r="X42" s="15">
        <v>1</v>
      </c>
      <c r="Y42" s="15">
        <v>8399572616</v>
      </c>
    </row>
    <row r="43" spans="1:29" s="15" customFormat="1" ht="14.45" hidden="1" customHeight="1" x14ac:dyDescent="0.25">
      <c r="A43" s="38"/>
      <c r="B43" s="38" t="s">
        <v>193</v>
      </c>
      <c r="C43" s="62" t="s">
        <v>177</v>
      </c>
      <c r="D43" s="62" t="s">
        <v>209</v>
      </c>
      <c r="E43" s="62" t="s">
        <v>179</v>
      </c>
      <c r="F43" s="77" t="s">
        <v>169</v>
      </c>
      <c r="G43" s="77" t="s">
        <v>174</v>
      </c>
      <c r="H43" s="174" t="s">
        <v>121</v>
      </c>
      <c r="I43" s="77" t="s">
        <v>12</v>
      </c>
      <c r="J43" s="38" t="s">
        <v>37</v>
      </c>
      <c r="K43" s="6">
        <v>270000</v>
      </c>
      <c r="L43" s="78">
        <f t="shared" si="10"/>
        <v>35100</v>
      </c>
      <c r="M43" s="79">
        <v>130</v>
      </c>
      <c r="N43" s="79">
        <v>130</v>
      </c>
      <c r="O43" s="191">
        <f t="shared" si="4"/>
        <v>1</v>
      </c>
      <c r="P43" s="80">
        <f t="shared" si="30"/>
        <v>270000</v>
      </c>
      <c r="Q43" s="80">
        <f t="shared" si="31"/>
        <v>35100</v>
      </c>
      <c r="R43" s="159">
        <f t="shared" si="38"/>
        <v>0</v>
      </c>
      <c r="S43" s="113">
        <v>0.13</v>
      </c>
      <c r="T43" s="86">
        <v>44977</v>
      </c>
      <c r="U43" s="64"/>
      <c r="V43" s="64"/>
      <c r="W43" s="64"/>
      <c r="X43" s="15">
        <v>1</v>
      </c>
      <c r="Y43" s="15">
        <v>8399572616</v>
      </c>
    </row>
    <row r="44" spans="1:29" s="15" customFormat="1" ht="14.45" hidden="1" customHeight="1" x14ac:dyDescent="0.25">
      <c r="A44" s="38"/>
      <c r="B44" s="38" t="s">
        <v>193</v>
      </c>
      <c r="C44" s="62" t="s">
        <v>177</v>
      </c>
      <c r="D44" s="62" t="s">
        <v>209</v>
      </c>
      <c r="E44" s="62" t="s">
        <v>179</v>
      </c>
      <c r="F44" s="77" t="s">
        <v>169</v>
      </c>
      <c r="G44" s="77" t="s">
        <v>174</v>
      </c>
      <c r="H44" s="174" t="s">
        <v>122</v>
      </c>
      <c r="I44" s="77" t="s">
        <v>12</v>
      </c>
      <c r="J44" s="38" t="s">
        <v>37</v>
      </c>
      <c r="K44" s="6">
        <v>270000</v>
      </c>
      <c r="L44" s="78">
        <f t="shared" si="10"/>
        <v>35100</v>
      </c>
      <c r="M44" s="79">
        <v>130</v>
      </c>
      <c r="N44" s="79">
        <v>130</v>
      </c>
      <c r="O44" s="191">
        <f t="shared" si="4"/>
        <v>1</v>
      </c>
      <c r="P44" s="80">
        <f t="shared" si="30"/>
        <v>270000</v>
      </c>
      <c r="Q44" s="80">
        <f t="shared" si="31"/>
        <v>35100</v>
      </c>
      <c r="R44" s="159">
        <f t="shared" si="38"/>
        <v>0</v>
      </c>
      <c r="S44" s="113">
        <v>0.13</v>
      </c>
      <c r="T44" s="86">
        <v>44977</v>
      </c>
      <c r="U44" s="64"/>
      <c r="V44" s="64"/>
      <c r="W44" s="64"/>
      <c r="X44" s="15">
        <v>1</v>
      </c>
      <c r="Y44" s="15">
        <v>8399572616</v>
      </c>
    </row>
    <row r="45" spans="1:29" s="15" customFormat="1" ht="14.45" customHeight="1" x14ac:dyDescent="0.25">
      <c r="A45" s="38"/>
      <c r="B45" s="38" t="s">
        <v>194</v>
      </c>
      <c r="C45" s="62" t="s">
        <v>177</v>
      </c>
      <c r="D45" s="62" t="s">
        <v>206</v>
      </c>
      <c r="E45" s="62" t="s">
        <v>183</v>
      </c>
      <c r="F45" s="77" t="s">
        <v>166</v>
      </c>
      <c r="G45" s="77" t="s">
        <v>172</v>
      </c>
      <c r="H45" s="62" t="s">
        <v>86</v>
      </c>
      <c r="I45" s="77" t="s">
        <v>11</v>
      </c>
      <c r="J45" s="38" t="s">
        <v>37</v>
      </c>
      <c r="K45" s="6">
        <v>200000</v>
      </c>
      <c r="L45" s="78">
        <f t="shared" si="10"/>
        <v>26000</v>
      </c>
      <c r="M45" s="79">
        <v>44</v>
      </c>
      <c r="N45" s="79">
        <v>44</v>
      </c>
      <c r="O45" s="191">
        <f t="shared" si="4"/>
        <v>1</v>
      </c>
      <c r="P45" s="80">
        <f t="shared" si="28"/>
        <v>200000</v>
      </c>
      <c r="Q45" s="80">
        <f t="shared" si="29"/>
        <v>26000</v>
      </c>
      <c r="R45" s="159">
        <f t="shared" ref="R45:R54" si="39">N45/M45-P45/K45</f>
        <v>0</v>
      </c>
      <c r="S45" s="113">
        <v>0.13</v>
      </c>
      <c r="T45" s="86">
        <v>44608</v>
      </c>
      <c r="U45" s="64">
        <v>1</v>
      </c>
      <c r="V45" s="64"/>
      <c r="W45" s="64"/>
      <c r="X45" s="15">
        <v>1</v>
      </c>
      <c r="Y45" s="15" t="str">
        <f>VLOOKUP(B45,[1]Sheet1!$C$2:$D$906,2,0)</f>
        <v>8396372314</v>
      </c>
    </row>
    <row r="46" spans="1:29" s="15" customFormat="1" ht="14.45" customHeight="1" x14ac:dyDescent="0.25">
      <c r="A46" s="38"/>
      <c r="B46" s="38" t="s">
        <v>194</v>
      </c>
      <c r="C46" s="62" t="s">
        <v>177</v>
      </c>
      <c r="D46" s="62" t="s">
        <v>206</v>
      </c>
      <c r="E46" s="62" t="s">
        <v>183</v>
      </c>
      <c r="F46" s="77" t="s">
        <v>166</v>
      </c>
      <c r="G46" s="77" t="s">
        <v>172</v>
      </c>
      <c r="H46" s="62" t="s">
        <v>87</v>
      </c>
      <c r="I46" s="77" t="s">
        <v>11</v>
      </c>
      <c r="J46" s="38" t="s">
        <v>37</v>
      </c>
      <c r="K46" s="6">
        <v>200000</v>
      </c>
      <c r="L46" s="78">
        <f t="shared" si="10"/>
        <v>26000</v>
      </c>
      <c r="M46" s="79">
        <v>44</v>
      </c>
      <c r="N46" s="79">
        <v>44</v>
      </c>
      <c r="O46" s="191">
        <f t="shared" si="4"/>
        <v>1</v>
      </c>
      <c r="P46" s="80">
        <f t="shared" si="28"/>
        <v>200000</v>
      </c>
      <c r="Q46" s="80">
        <f t="shared" si="29"/>
        <v>26000</v>
      </c>
      <c r="R46" s="159">
        <f t="shared" si="39"/>
        <v>0</v>
      </c>
      <c r="S46" s="113">
        <v>0.13</v>
      </c>
      <c r="T46" s="86">
        <v>44608</v>
      </c>
      <c r="U46" s="64">
        <v>1</v>
      </c>
      <c r="V46" s="64"/>
      <c r="W46" s="64"/>
      <c r="X46" s="15">
        <v>1</v>
      </c>
      <c r="Y46" s="15" t="str">
        <f>VLOOKUP(B46,[1]Sheet1!$C$2:$D$906,2,0)</f>
        <v>8396372314</v>
      </c>
    </row>
    <row r="47" spans="1:29" s="15" customFormat="1" ht="14.45" customHeight="1" x14ac:dyDescent="0.25">
      <c r="A47" s="38"/>
      <c r="B47" s="38" t="s">
        <v>194</v>
      </c>
      <c r="C47" s="62" t="s">
        <v>177</v>
      </c>
      <c r="D47" s="62" t="s">
        <v>206</v>
      </c>
      <c r="E47" s="62" t="s">
        <v>183</v>
      </c>
      <c r="F47" s="77" t="s">
        <v>166</v>
      </c>
      <c r="G47" s="77" t="s">
        <v>172</v>
      </c>
      <c r="H47" s="62" t="s">
        <v>88</v>
      </c>
      <c r="I47" s="77" t="s">
        <v>11</v>
      </c>
      <c r="J47" s="38" t="s">
        <v>37</v>
      </c>
      <c r="K47" s="6">
        <v>200000</v>
      </c>
      <c r="L47" s="78">
        <f t="shared" si="10"/>
        <v>26000</v>
      </c>
      <c r="M47" s="79">
        <v>44</v>
      </c>
      <c r="N47" s="79">
        <v>44</v>
      </c>
      <c r="O47" s="191">
        <f t="shared" si="4"/>
        <v>1</v>
      </c>
      <c r="P47" s="80">
        <f t="shared" si="28"/>
        <v>200000</v>
      </c>
      <c r="Q47" s="80">
        <f t="shared" si="29"/>
        <v>26000</v>
      </c>
      <c r="R47" s="159">
        <f t="shared" si="39"/>
        <v>0</v>
      </c>
      <c r="S47" s="113">
        <v>0.13</v>
      </c>
      <c r="T47" s="86">
        <v>44608</v>
      </c>
      <c r="U47" s="64">
        <v>1</v>
      </c>
      <c r="V47" s="64"/>
      <c r="W47" s="64"/>
      <c r="X47" s="15">
        <v>1</v>
      </c>
      <c r="Y47" s="15" t="str">
        <f>VLOOKUP(B47,[1]Sheet1!$C$2:$D$906,2,0)</f>
        <v>8396372314</v>
      </c>
    </row>
    <row r="48" spans="1:29" s="15" customFormat="1" ht="14.45" customHeight="1" x14ac:dyDescent="0.25">
      <c r="A48" s="38"/>
      <c r="B48" s="38" t="s">
        <v>194</v>
      </c>
      <c r="C48" s="62" t="s">
        <v>177</v>
      </c>
      <c r="D48" s="62" t="s">
        <v>206</v>
      </c>
      <c r="E48" s="62" t="s">
        <v>183</v>
      </c>
      <c r="F48" s="77" t="s">
        <v>166</v>
      </c>
      <c r="G48" s="77" t="s">
        <v>172</v>
      </c>
      <c r="H48" s="62" t="s">
        <v>89</v>
      </c>
      <c r="I48" s="77" t="s">
        <v>11</v>
      </c>
      <c r="J48" s="38" t="s">
        <v>37</v>
      </c>
      <c r="K48" s="6">
        <v>200000</v>
      </c>
      <c r="L48" s="78">
        <f t="shared" si="10"/>
        <v>26000</v>
      </c>
      <c r="M48" s="79">
        <v>44</v>
      </c>
      <c r="N48" s="79">
        <v>44</v>
      </c>
      <c r="O48" s="191">
        <f t="shared" si="4"/>
        <v>1</v>
      </c>
      <c r="P48" s="80">
        <f t="shared" si="28"/>
        <v>200000</v>
      </c>
      <c r="Q48" s="80">
        <f t="shared" si="29"/>
        <v>26000</v>
      </c>
      <c r="R48" s="159">
        <f t="shared" si="39"/>
        <v>0</v>
      </c>
      <c r="S48" s="113">
        <v>0.13</v>
      </c>
      <c r="T48" s="86">
        <v>44608</v>
      </c>
      <c r="U48" s="64">
        <v>2</v>
      </c>
      <c r="V48" s="64"/>
      <c r="W48" s="64"/>
      <c r="X48" s="15">
        <v>1</v>
      </c>
      <c r="Y48" s="15" t="str">
        <f>VLOOKUP(B48,[1]Sheet1!$C$2:$D$906,2,0)</f>
        <v>8396372314</v>
      </c>
    </row>
    <row r="49" spans="1:29" s="15" customFormat="1" ht="14.45" customHeight="1" x14ac:dyDescent="0.25">
      <c r="A49" s="38"/>
      <c r="B49" s="38" t="s">
        <v>194</v>
      </c>
      <c r="C49" s="62" t="s">
        <v>177</v>
      </c>
      <c r="D49" s="62" t="s">
        <v>206</v>
      </c>
      <c r="E49" s="62" t="s">
        <v>183</v>
      </c>
      <c r="F49" s="77" t="s">
        <v>166</v>
      </c>
      <c r="G49" s="77" t="s">
        <v>172</v>
      </c>
      <c r="H49" s="62" t="s">
        <v>90</v>
      </c>
      <c r="I49" s="77" t="s">
        <v>11</v>
      </c>
      <c r="J49" s="38" t="s">
        <v>37</v>
      </c>
      <c r="K49" s="6">
        <v>200000</v>
      </c>
      <c r="L49" s="78">
        <f t="shared" si="10"/>
        <v>26000</v>
      </c>
      <c r="M49" s="79">
        <v>44</v>
      </c>
      <c r="N49" s="79">
        <v>44</v>
      </c>
      <c r="O49" s="191">
        <f t="shared" si="4"/>
        <v>1</v>
      </c>
      <c r="P49" s="80">
        <f t="shared" si="28"/>
        <v>200000</v>
      </c>
      <c r="Q49" s="80">
        <f t="shared" si="29"/>
        <v>26000</v>
      </c>
      <c r="R49" s="159">
        <f t="shared" si="39"/>
        <v>0</v>
      </c>
      <c r="S49" s="113">
        <v>0.13</v>
      </c>
      <c r="T49" s="86">
        <v>44608</v>
      </c>
      <c r="U49" s="64">
        <v>2</v>
      </c>
      <c r="V49" s="64"/>
      <c r="W49" s="64"/>
      <c r="X49" s="15">
        <v>1</v>
      </c>
      <c r="Y49" s="15" t="str">
        <f>VLOOKUP(B49,[1]Sheet1!$C$2:$D$906,2,0)</f>
        <v>8396372314</v>
      </c>
    </row>
    <row r="50" spans="1:29" s="15" customFormat="1" ht="14.45" customHeight="1" x14ac:dyDescent="0.25">
      <c r="A50" s="38"/>
      <c r="B50" s="38" t="s">
        <v>194</v>
      </c>
      <c r="C50" s="62" t="s">
        <v>177</v>
      </c>
      <c r="D50" s="62" t="s">
        <v>206</v>
      </c>
      <c r="E50" s="62" t="s">
        <v>183</v>
      </c>
      <c r="F50" s="77" t="s">
        <v>166</v>
      </c>
      <c r="G50" s="77" t="s">
        <v>172</v>
      </c>
      <c r="H50" s="62" t="s">
        <v>91</v>
      </c>
      <c r="I50" s="77" t="s">
        <v>11</v>
      </c>
      <c r="J50" s="38" t="s">
        <v>37</v>
      </c>
      <c r="K50" s="6">
        <v>200000</v>
      </c>
      <c r="L50" s="78">
        <f t="shared" si="10"/>
        <v>26000</v>
      </c>
      <c r="M50" s="79">
        <v>44</v>
      </c>
      <c r="N50" s="79">
        <v>44</v>
      </c>
      <c r="O50" s="191">
        <f t="shared" si="4"/>
        <v>1</v>
      </c>
      <c r="P50" s="80">
        <f t="shared" si="28"/>
        <v>200000</v>
      </c>
      <c r="Q50" s="80">
        <f t="shared" si="29"/>
        <v>26000</v>
      </c>
      <c r="R50" s="159">
        <f t="shared" si="39"/>
        <v>0</v>
      </c>
      <c r="S50" s="113">
        <v>0.13</v>
      </c>
      <c r="T50" s="86">
        <v>44608</v>
      </c>
      <c r="U50" s="64">
        <v>2</v>
      </c>
      <c r="V50" s="64"/>
      <c r="W50" s="64"/>
      <c r="X50" s="15">
        <v>1</v>
      </c>
      <c r="Y50" s="15" t="str">
        <f>VLOOKUP(B50,[1]Sheet1!$C$2:$D$906,2,0)</f>
        <v>8396372314</v>
      </c>
    </row>
    <row r="51" spans="1:29" s="15" customFormat="1" ht="14.45" customHeight="1" x14ac:dyDescent="0.25">
      <c r="A51" s="38"/>
      <c r="B51" s="38" t="s">
        <v>194</v>
      </c>
      <c r="C51" s="62" t="s">
        <v>177</v>
      </c>
      <c r="D51" s="62" t="s">
        <v>206</v>
      </c>
      <c r="E51" s="62" t="s">
        <v>183</v>
      </c>
      <c r="F51" s="77" t="s">
        <v>166</v>
      </c>
      <c r="G51" s="77" t="s">
        <v>172</v>
      </c>
      <c r="H51" s="62" t="s">
        <v>92</v>
      </c>
      <c r="I51" s="77" t="s">
        <v>11</v>
      </c>
      <c r="J51" s="38" t="s">
        <v>37</v>
      </c>
      <c r="K51" s="6">
        <v>200000</v>
      </c>
      <c r="L51" s="78">
        <f t="shared" si="10"/>
        <v>26000</v>
      </c>
      <c r="M51" s="79">
        <v>44</v>
      </c>
      <c r="N51" s="79">
        <v>44</v>
      </c>
      <c r="O51" s="191">
        <f t="shared" si="4"/>
        <v>1</v>
      </c>
      <c r="P51" s="80">
        <f t="shared" si="28"/>
        <v>200000</v>
      </c>
      <c r="Q51" s="80">
        <f t="shared" si="29"/>
        <v>26000</v>
      </c>
      <c r="R51" s="159">
        <f t="shared" si="39"/>
        <v>0</v>
      </c>
      <c r="S51" s="113">
        <v>0.13</v>
      </c>
      <c r="T51" s="86">
        <v>44608</v>
      </c>
      <c r="U51" s="64">
        <v>2</v>
      </c>
      <c r="V51" s="64"/>
      <c r="W51" s="64"/>
      <c r="X51" s="15">
        <v>1</v>
      </c>
      <c r="Y51" s="15" t="str">
        <f>VLOOKUP(B51,[1]Sheet1!$C$2:$D$906,2,0)</f>
        <v>8396372314</v>
      </c>
    </row>
    <row r="52" spans="1:29" s="15" customFormat="1" ht="14.45" customHeight="1" x14ac:dyDescent="0.25">
      <c r="A52" s="38"/>
      <c r="B52" s="38" t="s">
        <v>194</v>
      </c>
      <c r="C52" s="62" t="s">
        <v>177</v>
      </c>
      <c r="D52" s="62" t="s">
        <v>206</v>
      </c>
      <c r="E52" s="62" t="s">
        <v>183</v>
      </c>
      <c r="F52" s="77" t="s">
        <v>166</v>
      </c>
      <c r="G52" s="77" t="s">
        <v>172</v>
      </c>
      <c r="H52" s="62" t="s">
        <v>93</v>
      </c>
      <c r="I52" s="77" t="s">
        <v>11</v>
      </c>
      <c r="J52" s="38" t="s">
        <v>37</v>
      </c>
      <c r="K52" s="6">
        <v>550000</v>
      </c>
      <c r="L52" s="78">
        <f t="shared" si="10"/>
        <v>71500</v>
      </c>
      <c r="M52" s="79">
        <v>130</v>
      </c>
      <c r="N52" s="79">
        <v>130</v>
      </c>
      <c r="O52" s="191">
        <f t="shared" si="4"/>
        <v>1</v>
      </c>
      <c r="P52" s="80">
        <f t="shared" si="28"/>
        <v>550000</v>
      </c>
      <c r="Q52" s="80">
        <f t="shared" si="29"/>
        <v>71500</v>
      </c>
      <c r="R52" s="159">
        <f t="shared" si="39"/>
        <v>0</v>
      </c>
      <c r="S52" s="113">
        <v>0.13</v>
      </c>
      <c r="T52" s="86">
        <v>44819</v>
      </c>
      <c r="U52" s="64">
        <v>2</v>
      </c>
      <c r="V52" s="64"/>
      <c r="W52" s="64"/>
      <c r="X52" s="15">
        <v>1</v>
      </c>
      <c r="Y52" s="15" t="str">
        <f>VLOOKUP(B52,[1]Sheet1!$C$2:$D$906,2,0)</f>
        <v>8396372314</v>
      </c>
    </row>
    <row r="53" spans="1:29" s="15" customFormat="1" ht="14.45" customHeight="1" x14ac:dyDescent="0.25">
      <c r="A53" s="38"/>
      <c r="B53" s="38" t="s">
        <v>194</v>
      </c>
      <c r="C53" s="62" t="s">
        <v>177</v>
      </c>
      <c r="D53" s="62" t="s">
        <v>206</v>
      </c>
      <c r="E53" s="62" t="s">
        <v>183</v>
      </c>
      <c r="F53" s="77" t="s">
        <v>166</v>
      </c>
      <c r="G53" s="77" t="s">
        <v>172</v>
      </c>
      <c r="H53" s="62" t="s">
        <v>94</v>
      </c>
      <c r="I53" s="77" t="s">
        <v>11</v>
      </c>
      <c r="J53" s="38" t="s">
        <v>37</v>
      </c>
      <c r="K53" s="6">
        <v>550000</v>
      </c>
      <c r="L53" s="78">
        <f t="shared" si="10"/>
        <v>71500</v>
      </c>
      <c r="M53" s="79">
        <v>130</v>
      </c>
      <c r="N53" s="79">
        <v>130</v>
      </c>
      <c r="O53" s="191">
        <f t="shared" si="4"/>
        <v>1</v>
      </c>
      <c r="P53" s="80">
        <f t="shared" si="28"/>
        <v>550000</v>
      </c>
      <c r="Q53" s="80">
        <f t="shared" si="29"/>
        <v>71500</v>
      </c>
      <c r="R53" s="159">
        <f t="shared" si="39"/>
        <v>0</v>
      </c>
      <c r="S53" s="113">
        <v>0.13</v>
      </c>
      <c r="T53" s="86">
        <v>44819</v>
      </c>
      <c r="U53" s="64">
        <v>2</v>
      </c>
      <c r="V53" s="64"/>
      <c r="W53" s="64"/>
      <c r="X53" s="15">
        <v>1</v>
      </c>
      <c r="Y53" s="15" t="str">
        <f>VLOOKUP(B53,[1]Sheet1!$C$2:$D$906,2,0)</f>
        <v>8396372314</v>
      </c>
    </row>
    <row r="54" spans="1:29" s="15" customFormat="1" ht="14.45" customHeight="1" x14ac:dyDescent="0.25">
      <c r="A54" s="38"/>
      <c r="B54" s="38" t="s">
        <v>194</v>
      </c>
      <c r="C54" s="62" t="s">
        <v>177</v>
      </c>
      <c r="D54" s="62" t="s">
        <v>206</v>
      </c>
      <c r="E54" s="62" t="s">
        <v>183</v>
      </c>
      <c r="F54" s="77" t="s">
        <v>166</v>
      </c>
      <c r="G54" s="77" t="s">
        <v>172</v>
      </c>
      <c r="H54" s="174" t="s">
        <v>281</v>
      </c>
      <c r="I54" s="77" t="s">
        <v>11</v>
      </c>
      <c r="J54" s="38" t="s">
        <v>37</v>
      </c>
      <c r="K54" s="6">
        <f>550000/21*13</f>
        <v>340476.19047619047</v>
      </c>
      <c r="L54" s="78">
        <f t="shared" si="10"/>
        <v>44262</v>
      </c>
      <c r="M54" s="79">
        <v>130</v>
      </c>
      <c r="N54" s="79">
        <v>130</v>
      </c>
      <c r="O54" s="191">
        <f t="shared" si="4"/>
        <v>1</v>
      </c>
      <c r="P54" s="80">
        <f t="shared" si="28"/>
        <v>340476</v>
      </c>
      <c r="Q54" s="80">
        <f t="shared" si="29"/>
        <v>44262</v>
      </c>
      <c r="R54" s="159">
        <f t="shared" si="39"/>
        <v>5.5944055943335513E-7</v>
      </c>
      <c r="S54" s="113">
        <v>0.13</v>
      </c>
      <c r="T54" s="86">
        <v>44819</v>
      </c>
      <c r="U54" s="64">
        <v>2</v>
      </c>
      <c r="V54" s="64"/>
      <c r="W54" s="64"/>
      <c r="X54" s="15">
        <v>1</v>
      </c>
      <c r="Y54" s="15" t="str">
        <f>VLOOKUP(B54,[1]Sheet1!$C$2:$D$906,2,0)</f>
        <v>8396372314</v>
      </c>
      <c r="AA54" t="str">
        <f>IF(VLOOKUP(LEFT(Y54,10),'Havi béradatok'!$B:$E,2,0)=D54,"EGYEZIK","HIBÁS")</f>
        <v>EGYEZIK</v>
      </c>
      <c r="AB54">
        <f>(VLOOKUP(LEFT(Y54,10),'Havi béradatok'!$B:$E,3,0)-K54)</f>
        <v>209523.80952380953</v>
      </c>
      <c r="AC54" s="3">
        <f>(VLOOKUP(LEFT(Y54,10),'Havi béradatok'!$B:$E,4,0)-L54)</f>
        <v>27238</v>
      </c>
    </row>
    <row r="55" spans="1:29" s="15" customFormat="1" ht="14.45" customHeight="1" x14ac:dyDescent="0.25">
      <c r="A55" s="38"/>
      <c r="B55" s="38" t="s">
        <v>194</v>
      </c>
      <c r="C55" s="62" t="s">
        <v>177</v>
      </c>
      <c r="D55" s="62" t="s">
        <v>206</v>
      </c>
      <c r="E55" s="62" t="s">
        <v>183</v>
      </c>
      <c r="F55" s="77" t="s">
        <v>166</v>
      </c>
      <c r="G55" s="77" t="s">
        <v>172</v>
      </c>
      <c r="H55" s="174" t="s">
        <v>280</v>
      </c>
      <c r="I55" s="77" t="s">
        <v>11</v>
      </c>
      <c r="J55" s="38" t="s">
        <v>37</v>
      </c>
      <c r="K55" s="6">
        <f>550000/21*8</f>
        <v>209523.80952380953</v>
      </c>
      <c r="L55" s="78">
        <f t="shared" ref="L55" si="40">ROUND(K55*S55,0)</f>
        <v>27238</v>
      </c>
      <c r="M55" s="79">
        <v>130</v>
      </c>
      <c r="N55" s="79">
        <v>130</v>
      </c>
      <c r="O55" s="191">
        <f t="shared" ref="O55" si="41">N55/M55</f>
        <v>1</v>
      </c>
      <c r="P55" s="80">
        <f t="shared" ref="P55" si="42">ROUND(K55*N55/M55,0)</f>
        <v>209524</v>
      </c>
      <c r="Q55" s="80">
        <f t="shared" ref="Q55" si="43">ROUND(P55*S55,0)</f>
        <v>27238</v>
      </c>
      <c r="R55" s="159">
        <f t="shared" ref="R55" si="44">N55/M55-P55/K55</f>
        <v>-9.0909090899593537E-7</v>
      </c>
      <c r="S55" s="113">
        <v>0.13</v>
      </c>
      <c r="T55" s="86">
        <v>44819</v>
      </c>
      <c r="U55" s="64"/>
      <c r="V55" s="64"/>
      <c r="W55" s="64"/>
      <c r="X55" s="15">
        <v>1</v>
      </c>
      <c r="Y55" s="15" t="str">
        <f>VLOOKUP(B55,[1]Sheet1!$C$2:$D$906,2,0)</f>
        <v>8396372314</v>
      </c>
      <c r="AA55" t="str">
        <f>IF(VLOOKUP(LEFT(Y55,10),'Havi béradatok'!$B:$E,2,0)=D55,"EGYEZIK","HIBÁS")</f>
        <v>EGYEZIK</v>
      </c>
      <c r="AB55">
        <f>(VLOOKUP(LEFT(Y55,10),'Havi béradatok'!$B:$E,3,0)-K55)</f>
        <v>340476.19047619047</v>
      </c>
      <c r="AC55" s="3">
        <f>(VLOOKUP(LEFT(Y55,10),'Havi béradatok'!$B:$E,4,0)-L55)</f>
        <v>44262</v>
      </c>
    </row>
    <row r="56" spans="1:29" s="15" customFormat="1" ht="14.45" customHeight="1" x14ac:dyDescent="0.25">
      <c r="A56" s="38"/>
      <c r="B56" s="173" t="s">
        <v>194</v>
      </c>
      <c r="C56" s="62" t="s">
        <v>177</v>
      </c>
      <c r="D56" s="62" t="s">
        <v>206</v>
      </c>
      <c r="E56" s="62" t="s">
        <v>183</v>
      </c>
      <c r="F56" s="77" t="s">
        <v>166</v>
      </c>
      <c r="G56" s="77" t="s">
        <v>172</v>
      </c>
      <c r="H56" s="62" t="s">
        <v>117</v>
      </c>
      <c r="I56" s="77" t="s">
        <v>11</v>
      </c>
      <c r="J56" s="38" t="s">
        <v>37</v>
      </c>
      <c r="K56" s="6">
        <v>550000</v>
      </c>
      <c r="L56" s="78">
        <f t="shared" si="10"/>
        <v>71500</v>
      </c>
      <c r="M56" s="79">
        <v>130</v>
      </c>
      <c r="N56" s="79">
        <v>130</v>
      </c>
      <c r="O56" s="191">
        <f t="shared" si="4"/>
        <v>1</v>
      </c>
      <c r="P56" s="80">
        <f t="shared" ref="P56:P61" si="45">ROUND(K56*N56/M56,0)</f>
        <v>550000</v>
      </c>
      <c r="Q56" s="80">
        <f t="shared" ref="Q56:Q61" si="46">ROUND(P56*S56,0)</f>
        <v>71500</v>
      </c>
      <c r="R56" s="159">
        <f t="shared" ref="R56:R61" si="47">N56/M56-P56/K56</f>
        <v>0</v>
      </c>
      <c r="S56" s="113">
        <v>0.13</v>
      </c>
      <c r="T56" s="86">
        <v>44904</v>
      </c>
      <c r="U56" s="64"/>
      <c r="V56" s="64"/>
      <c r="W56" s="64"/>
      <c r="X56" s="15">
        <v>1</v>
      </c>
      <c r="Y56" s="15" t="str">
        <f>VLOOKUP(B56,[1]Sheet1!$C$2:$D$906,2,0)</f>
        <v>8396372314</v>
      </c>
      <c r="AA56" t="str">
        <f>IF(VLOOKUP(LEFT(Y56,10),'Havi béradatok'!$B:$E,2,0)=D56,"EGYEZIK","HIBÁS")</f>
        <v>EGYEZIK</v>
      </c>
      <c r="AB56">
        <f>(VLOOKUP(LEFT(Y56,10),'Havi béradatok'!$B:$E,3,0)-K56)</f>
        <v>0</v>
      </c>
      <c r="AC56" s="3">
        <f>(VLOOKUP(LEFT(Y56,10),'Havi béradatok'!$B:$E,4,0)-L56)</f>
        <v>0</v>
      </c>
    </row>
    <row r="57" spans="1:29" s="15" customFormat="1" ht="14.45" customHeight="1" x14ac:dyDescent="0.25">
      <c r="A57" s="38"/>
      <c r="B57" s="173" t="s">
        <v>194</v>
      </c>
      <c r="C57" s="62" t="s">
        <v>177</v>
      </c>
      <c r="D57" s="62" t="s">
        <v>206</v>
      </c>
      <c r="E57" s="62" t="s">
        <v>183</v>
      </c>
      <c r="F57" s="77" t="s">
        <v>166</v>
      </c>
      <c r="G57" s="77" t="s">
        <v>172</v>
      </c>
      <c r="H57" s="62" t="s">
        <v>118</v>
      </c>
      <c r="I57" s="77" t="s">
        <v>11</v>
      </c>
      <c r="J57" s="38" t="s">
        <v>37</v>
      </c>
      <c r="K57" s="6">
        <v>550000</v>
      </c>
      <c r="L57" s="78">
        <f t="shared" si="10"/>
        <v>71500</v>
      </c>
      <c r="M57" s="79">
        <v>130</v>
      </c>
      <c r="N57" s="79">
        <v>130</v>
      </c>
      <c r="O57" s="191">
        <f t="shared" si="4"/>
        <v>1</v>
      </c>
      <c r="P57" s="80">
        <f t="shared" si="45"/>
        <v>550000</v>
      </c>
      <c r="Q57" s="80">
        <f t="shared" si="46"/>
        <v>71500</v>
      </c>
      <c r="R57" s="159">
        <f t="shared" si="47"/>
        <v>0</v>
      </c>
      <c r="S57" s="113">
        <v>0.13</v>
      </c>
      <c r="T57" s="86">
        <v>44904</v>
      </c>
      <c r="U57" s="64"/>
      <c r="V57" s="64"/>
      <c r="W57" s="64"/>
      <c r="X57" s="15">
        <v>1</v>
      </c>
      <c r="Y57" s="15" t="str">
        <f>VLOOKUP(B57,[1]Sheet1!$C$2:$D$906,2,0)</f>
        <v>8396372314</v>
      </c>
      <c r="AA57" t="str">
        <f>IF(VLOOKUP(LEFT(Y57,10),'Havi béradatok'!$B:$E,2,0)=D57,"EGYEZIK","HIBÁS")</f>
        <v>EGYEZIK</v>
      </c>
      <c r="AB57">
        <f>(VLOOKUP(LEFT(Y57,10),'Havi béradatok'!$B:$E,3,0)-K57)</f>
        <v>0</v>
      </c>
      <c r="AC57" s="3">
        <f>(VLOOKUP(LEFT(Y57,10),'Havi béradatok'!$B:$E,4,0)-L57)</f>
        <v>0</v>
      </c>
    </row>
    <row r="58" spans="1:29" s="15" customFormat="1" ht="14.45" customHeight="1" x14ac:dyDescent="0.25">
      <c r="A58" s="38"/>
      <c r="B58" s="173" t="s">
        <v>194</v>
      </c>
      <c r="C58" s="62" t="s">
        <v>177</v>
      </c>
      <c r="D58" s="62" t="s">
        <v>206</v>
      </c>
      <c r="E58" s="62" t="s">
        <v>183</v>
      </c>
      <c r="F58" s="77" t="s">
        <v>166</v>
      </c>
      <c r="G58" s="77" t="s">
        <v>172</v>
      </c>
      <c r="H58" s="62" t="s">
        <v>119</v>
      </c>
      <c r="I58" s="77" t="s">
        <v>11</v>
      </c>
      <c r="J58" s="38" t="s">
        <v>37</v>
      </c>
      <c r="K58" s="6">
        <v>550000</v>
      </c>
      <c r="L58" s="78">
        <f t="shared" si="10"/>
        <v>71500</v>
      </c>
      <c r="M58" s="79">
        <v>130</v>
      </c>
      <c r="N58" s="79">
        <v>130</v>
      </c>
      <c r="O58" s="191">
        <f t="shared" si="4"/>
        <v>1</v>
      </c>
      <c r="P58" s="80">
        <f t="shared" si="45"/>
        <v>550000</v>
      </c>
      <c r="Q58" s="80">
        <f t="shared" si="46"/>
        <v>71500</v>
      </c>
      <c r="R58" s="159">
        <f t="shared" si="47"/>
        <v>0</v>
      </c>
      <c r="S58" s="113">
        <v>0.13</v>
      </c>
      <c r="T58" s="86">
        <v>44904</v>
      </c>
      <c r="U58" s="64"/>
      <c r="V58" s="64"/>
      <c r="W58" s="64"/>
      <c r="X58" s="15">
        <v>1</v>
      </c>
      <c r="Y58" s="15" t="str">
        <f>VLOOKUP(B58,[1]Sheet1!$C$2:$D$906,2,0)</f>
        <v>8396372314</v>
      </c>
      <c r="AA58" t="str">
        <f>IF(VLOOKUP(LEFT(Y58,10),'Havi béradatok'!$B:$E,2,0)=D58,"EGYEZIK","HIBÁS")</f>
        <v>EGYEZIK</v>
      </c>
      <c r="AB58">
        <f>(VLOOKUP(LEFT(Y58,10),'Havi béradatok'!$B:$E,3,0)-K58)</f>
        <v>0</v>
      </c>
      <c r="AC58" s="3">
        <f>(VLOOKUP(LEFT(Y58,10),'Havi béradatok'!$B:$E,4,0)-L58)</f>
        <v>0</v>
      </c>
    </row>
    <row r="59" spans="1:29" s="15" customFormat="1" ht="14.45" hidden="1" customHeight="1" x14ac:dyDescent="0.25">
      <c r="A59" s="38"/>
      <c r="B59" s="173" t="s">
        <v>194</v>
      </c>
      <c r="C59" s="62" t="s">
        <v>177</v>
      </c>
      <c r="D59" s="62" t="s">
        <v>206</v>
      </c>
      <c r="E59" s="62" t="s">
        <v>183</v>
      </c>
      <c r="F59" s="77" t="s">
        <v>166</v>
      </c>
      <c r="G59" s="77" t="s">
        <v>172</v>
      </c>
      <c r="H59" s="62" t="s">
        <v>120</v>
      </c>
      <c r="I59" s="77" t="s">
        <v>12</v>
      </c>
      <c r="J59" s="38" t="s">
        <v>37</v>
      </c>
      <c r="K59" s="6">
        <v>550000</v>
      </c>
      <c r="L59" s="78">
        <f t="shared" si="10"/>
        <v>71500</v>
      </c>
      <c r="M59" s="79">
        <v>130</v>
      </c>
      <c r="N59" s="79">
        <v>130</v>
      </c>
      <c r="O59" s="191">
        <f t="shared" si="4"/>
        <v>1</v>
      </c>
      <c r="P59" s="80">
        <f t="shared" si="45"/>
        <v>550000</v>
      </c>
      <c r="Q59" s="80">
        <f t="shared" si="46"/>
        <v>71500</v>
      </c>
      <c r="R59" s="159">
        <f t="shared" si="47"/>
        <v>0</v>
      </c>
      <c r="S59" s="113">
        <v>0.13</v>
      </c>
      <c r="T59" s="86">
        <v>44904</v>
      </c>
      <c r="U59" s="64"/>
      <c r="V59" s="64"/>
      <c r="W59" s="64"/>
      <c r="X59" s="15">
        <v>1</v>
      </c>
      <c r="Y59" s="15" t="str">
        <f>VLOOKUP(B59,[1]Sheet1!$C$2:$D$906,2,0)</f>
        <v>8396372314</v>
      </c>
    </row>
    <row r="60" spans="1:29" s="15" customFormat="1" ht="14.45" hidden="1" customHeight="1" x14ac:dyDescent="0.25">
      <c r="A60" s="38"/>
      <c r="B60" s="173" t="s">
        <v>194</v>
      </c>
      <c r="C60" s="62" t="s">
        <v>177</v>
      </c>
      <c r="D60" s="62" t="s">
        <v>206</v>
      </c>
      <c r="E60" s="62" t="s">
        <v>183</v>
      </c>
      <c r="F60" s="77" t="s">
        <v>166</v>
      </c>
      <c r="G60" s="77" t="s">
        <v>172</v>
      </c>
      <c r="H60" s="62" t="s">
        <v>121</v>
      </c>
      <c r="I60" s="77" t="s">
        <v>12</v>
      </c>
      <c r="J60" s="38" t="s">
        <v>37</v>
      </c>
      <c r="K60" s="6">
        <v>550000</v>
      </c>
      <c r="L60" s="78">
        <f t="shared" si="10"/>
        <v>71500</v>
      </c>
      <c r="M60" s="79">
        <v>130</v>
      </c>
      <c r="N60" s="79">
        <v>130</v>
      </c>
      <c r="O60" s="191">
        <f t="shared" si="4"/>
        <v>1</v>
      </c>
      <c r="P60" s="80">
        <f t="shared" si="45"/>
        <v>550000</v>
      </c>
      <c r="Q60" s="80">
        <f t="shared" si="46"/>
        <v>71500</v>
      </c>
      <c r="R60" s="159">
        <f t="shared" si="47"/>
        <v>0</v>
      </c>
      <c r="S60" s="113">
        <v>0.13</v>
      </c>
      <c r="T60" s="86">
        <v>44904</v>
      </c>
      <c r="U60" s="64"/>
      <c r="V60" s="64"/>
      <c r="W60" s="64"/>
      <c r="X60" s="15">
        <v>1</v>
      </c>
      <c r="Y60" s="15" t="str">
        <f>VLOOKUP(B60,[1]Sheet1!$C$2:$D$906,2,0)</f>
        <v>8396372314</v>
      </c>
    </row>
    <row r="61" spans="1:29" s="15" customFormat="1" ht="14.45" hidden="1" customHeight="1" x14ac:dyDescent="0.25">
      <c r="A61" s="38"/>
      <c r="B61" s="173" t="s">
        <v>194</v>
      </c>
      <c r="C61" s="62" t="s">
        <v>177</v>
      </c>
      <c r="D61" s="62" t="s">
        <v>206</v>
      </c>
      <c r="E61" s="62" t="s">
        <v>183</v>
      </c>
      <c r="F61" s="77" t="s">
        <v>166</v>
      </c>
      <c r="G61" s="77" t="s">
        <v>172</v>
      </c>
      <c r="H61" s="62" t="s">
        <v>122</v>
      </c>
      <c r="I61" s="77" t="s">
        <v>12</v>
      </c>
      <c r="J61" s="38" t="s">
        <v>37</v>
      </c>
      <c r="K61" s="6">
        <v>550000</v>
      </c>
      <c r="L61" s="78">
        <f t="shared" si="10"/>
        <v>71500</v>
      </c>
      <c r="M61" s="79">
        <v>130</v>
      </c>
      <c r="N61" s="79">
        <v>130</v>
      </c>
      <c r="O61" s="191">
        <f t="shared" si="4"/>
        <v>1</v>
      </c>
      <c r="P61" s="80">
        <f t="shared" si="45"/>
        <v>550000</v>
      </c>
      <c r="Q61" s="80">
        <f t="shared" si="46"/>
        <v>71500</v>
      </c>
      <c r="R61" s="159">
        <f t="shared" si="47"/>
        <v>0</v>
      </c>
      <c r="S61" s="113">
        <v>0.13</v>
      </c>
      <c r="T61" s="86">
        <v>44904</v>
      </c>
      <c r="U61" s="64"/>
      <c r="V61" s="64"/>
      <c r="W61" s="64"/>
      <c r="X61" s="15">
        <v>1</v>
      </c>
      <c r="Y61" s="15" t="str">
        <f>VLOOKUP(B61,[1]Sheet1!$C$2:$D$906,2,0)</f>
        <v>8396372314</v>
      </c>
    </row>
    <row r="62" spans="1:29" s="15" customFormat="1" ht="14.45" customHeight="1" x14ac:dyDescent="0.25">
      <c r="A62" s="38"/>
      <c r="B62" s="38" t="s">
        <v>200</v>
      </c>
      <c r="C62" s="62" t="s">
        <v>177</v>
      </c>
      <c r="D62" s="62" t="s">
        <v>213</v>
      </c>
      <c r="E62" s="62" t="s">
        <v>183</v>
      </c>
      <c r="F62" s="77" t="s">
        <v>166</v>
      </c>
      <c r="G62" s="77" t="s">
        <v>172</v>
      </c>
      <c r="H62" s="62" t="s">
        <v>87</v>
      </c>
      <c r="I62" s="77" t="s">
        <v>11</v>
      </c>
      <c r="J62" s="38" t="s">
        <v>37</v>
      </c>
      <c r="K62" s="6">
        <v>512800</v>
      </c>
      <c r="L62" s="78">
        <f t="shared" si="10"/>
        <v>66664</v>
      </c>
      <c r="M62" s="79">
        <v>174</v>
      </c>
      <c r="N62" s="79">
        <v>174</v>
      </c>
      <c r="O62" s="191">
        <f t="shared" si="4"/>
        <v>1</v>
      </c>
      <c r="P62" s="80">
        <f t="shared" ref="P62:P70" si="48">ROUND(K62*N62/M62,0)</f>
        <v>512800</v>
      </c>
      <c r="Q62" s="80">
        <f t="shared" ref="Q62:Q70" si="49">ROUND(P62*S62,0)</f>
        <v>66664</v>
      </c>
      <c r="R62" s="159">
        <f t="shared" ref="R62:R70" si="50">N62/M62-P62/K62</f>
        <v>0</v>
      </c>
      <c r="S62" s="113">
        <v>0.13</v>
      </c>
      <c r="T62" s="86">
        <v>44629</v>
      </c>
      <c r="U62" s="64">
        <v>1</v>
      </c>
      <c r="V62" s="64"/>
      <c r="W62" s="64"/>
      <c r="X62" s="15">
        <v>1</v>
      </c>
      <c r="Y62" s="15" t="str">
        <f>VLOOKUP(B62,[1]Sheet1!$C$2:$D$906,2,0)</f>
        <v>8426043291</v>
      </c>
    </row>
    <row r="63" spans="1:29" s="15" customFormat="1" ht="14.45" customHeight="1" x14ac:dyDescent="0.25">
      <c r="A63" s="38"/>
      <c r="B63" s="38" t="s">
        <v>200</v>
      </c>
      <c r="C63" s="62" t="s">
        <v>177</v>
      </c>
      <c r="D63" s="62" t="s">
        <v>213</v>
      </c>
      <c r="E63" s="62" t="s">
        <v>183</v>
      </c>
      <c r="F63" s="77" t="s">
        <v>166</v>
      </c>
      <c r="G63" s="77" t="s">
        <v>172</v>
      </c>
      <c r="H63" s="62" t="s">
        <v>88</v>
      </c>
      <c r="I63" s="77" t="s">
        <v>11</v>
      </c>
      <c r="J63" s="38" t="s">
        <v>37</v>
      </c>
      <c r="K63" s="6">
        <v>414902</v>
      </c>
      <c r="L63" s="78">
        <f t="shared" si="10"/>
        <v>53937</v>
      </c>
      <c r="M63" s="79">
        <v>174</v>
      </c>
      <c r="N63" s="79">
        <v>174</v>
      </c>
      <c r="O63" s="191">
        <f t="shared" si="4"/>
        <v>1</v>
      </c>
      <c r="P63" s="80">
        <f t="shared" si="48"/>
        <v>414902</v>
      </c>
      <c r="Q63" s="80">
        <f t="shared" si="49"/>
        <v>53937</v>
      </c>
      <c r="R63" s="159">
        <f t="shared" si="50"/>
        <v>0</v>
      </c>
      <c r="S63" s="113">
        <v>0.13</v>
      </c>
      <c r="T63" s="86">
        <v>44629</v>
      </c>
      <c r="U63" s="64">
        <v>1</v>
      </c>
      <c r="V63" s="64"/>
      <c r="W63" s="64"/>
      <c r="X63" s="15">
        <v>1</v>
      </c>
      <c r="Y63" s="15" t="str">
        <f>VLOOKUP(B63,[1]Sheet1!$C$2:$D$906,2,0)</f>
        <v>8426043291</v>
      </c>
    </row>
    <row r="64" spans="1:29" s="15" customFormat="1" ht="14.45" customHeight="1" x14ac:dyDescent="0.25">
      <c r="A64" s="38"/>
      <c r="B64" s="38" t="s">
        <v>200</v>
      </c>
      <c r="C64" s="62" t="s">
        <v>177</v>
      </c>
      <c r="D64" s="62" t="s">
        <v>213</v>
      </c>
      <c r="E64" s="62" t="s">
        <v>183</v>
      </c>
      <c r="F64" s="77" t="s">
        <v>166</v>
      </c>
      <c r="G64" s="77" t="s">
        <v>172</v>
      </c>
      <c r="H64" s="62" t="s">
        <v>89</v>
      </c>
      <c r="I64" s="77" t="s">
        <v>11</v>
      </c>
      <c r="J64" s="38" t="s">
        <v>37</v>
      </c>
      <c r="K64" s="6">
        <v>512800</v>
      </c>
      <c r="L64" s="78">
        <f t="shared" si="10"/>
        <v>66664</v>
      </c>
      <c r="M64" s="79">
        <v>174</v>
      </c>
      <c r="N64" s="79">
        <v>174</v>
      </c>
      <c r="O64" s="191">
        <f t="shared" si="4"/>
        <v>1</v>
      </c>
      <c r="P64" s="80">
        <f t="shared" si="48"/>
        <v>512800</v>
      </c>
      <c r="Q64" s="80">
        <f>ROUND(P64*S64,0)</f>
        <v>66664</v>
      </c>
      <c r="R64" s="159">
        <f t="shared" si="50"/>
        <v>0</v>
      </c>
      <c r="S64" s="113">
        <v>0.13</v>
      </c>
      <c r="T64" s="86">
        <v>44629</v>
      </c>
      <c r="U64" s="64">
        <v>2</v>
      </c>
      <c r="V64" s="64"/>
      <c r="W64" s="64"/>
      <c r="X64" s="15">
        <v>1</v>
      </c>
      <c r="Y64" s="15" t="str">
        <f>VLOOKUP(B64,[1]Sheet1!$C$2:$D$906,2,0)</f>
        <v>8426043291</v>
      </c>
    </row>
    <row r="65" spans="1:29" s="15" customFormat="1" ht="14.45" customHeight="1" x14ac:dyDescent="0.25">
      <c r="A65" s="38"/>
      <c r="B65" s="38" t="s">
        <v>200</v>
      </c>
      <c r="C65" s="62" t="s">
        <v>177</v>
      </c>
      <c r="D65" s="62" t="s">
        <v>213</v>
      </c>
      <c r="E65" s="62" t="s">
        <v>183</v>
      </c>
      <c r="F65" s="77" t="s">
        <v>166</v>
      </c>
      <c r="G65" s="77" t="s">
        <v>172</v>
      </c>
      <c r="H65" s="62" t="s">
        <v>90</v>
      </c>
      <c r="I65" s="77" t="s">
        <v>11</v>
      </c>
      <c r="J65" s="38" t="s">
        <v>37</v>
      </c>
      <c r="K65" s="6">
        <v>512800</v>
      </c>
      <c r="L65" s="78">
        <f t="shared" si="10"/>
        <v>66664</v>
      </c>
      <c r="M65" s="79">
        <v>174</v>
      </c>
      <c r="N65" s="79">
        <v>174</v>
      </c>
      <c r="O65" s="191">
        <f t="shared" si="4"/>
        <v>1</v>
      </c>
      <c r="P65" s="80">
        <f t="shared" si="48"/>
        <v>512800</v>
      </c>
      <c r="Q65" s="80">
        <f t="shared" si="49"/>
        <v>66664</v>
      </c>
      <c r="R65" s="159">
        <f t="shared" si="50"/>
        <v>0</v>
      </c>
      <c r="S65" s="113">
        <v>0.13</v>
      </c>
      <c r="T65" s="86">
        <v>44629</v>
      </c>
      <c r="U65" s="64">
        <v>2</v>
      </c>
      <c r="V65" s="64"/>
      <c r="W65" s="64"/>
      <c r="X65" s="15">
        <v>1</v>
      </c>
      <c r="Y65" s="15" t="str">
        <f>VLOOKUP(B65,[1]Sheet1!$C$2:$D$906,2,0)</f>
        <v>8426043291</v>
      </c>
    </row>
    <row r="66" spans="1:29" s="15" customFormat="1" ht="14.45" customHeight="1" x14ac:dyDescent="0.25">
      <c r="A66" s="38"/>
      <c r="B66" s="38" t="s">
        <v>200</v>
      </c>
      <c r="C66" s="62" t="s">
        <v>177</v>
      </c>
      <c r="D66" s="62" t="s">
        <v>213</v>
      </c>
      <c r="E66" s="62" t="s">
        <v>183</v>
      </c>
      <c r="F66" s="77" t="s">
        <v>166</v>
      </c>
      <c r="G66" s="77" t="s">
        <v>172</v>
      </c>
      <c r="H66" s="62" t="s">
        <v>91</v>
      </c>
      <c r="I66" s="77" t="s">
        <v>11</v>
      </c>
      <c r="J66" s="38" t="s">
        <v>37</v>
      </c>
      <c r="K66" s="177">
        <v>356731</v>
      </c>
      <c r="L66" s="78">
        <f t="shared" si="10"/>
        <v>46375</v>
      </c>
      <c r="M66" s="79">
        <v>174</v>
      </c>
      <c r="N66" s="79">
        <v>174</v>
      </c>
      <c r="O66" s="191">
        <f t="shared" si="4"/>
        <v>1</v>
      </c>
      <c r="P66" s="80">
        <f t="shared" si="48"/>
        <v>356731</v>
      </c>
      <c r="Q66" s="80">
        <f t="shared" si="49"/>
        <v>46375</v>
      </c>
      <c r="R66" s="159">
        <f t="shared" si="50"/>
        <v>0</v>
      </c>
      <c r="S66" s="113">
        <v>0.13</v>
      </c>
      <c r="T66" s="86">
        <v>44629</v>
      </c>
      <c r="U66" s="64">
        <v>2</v>
      </c>
      <c r="V66" s="64"/>
      <c r="W66" s="64"/>
      <c r="X66" s="15">
        <v>1</v>
      </c>
      <c r="Y66" s="15" t="str">
        <f>VLOOKUP(B66,[1]Sheet1!$C$2:$D$906,2,0)</f>
        <v>8426043291</v>
      </c>
    </row>
    <row r="67" spans="1:29" s="15" customFormat="1" ht="14.45" customHeight="1" x14ac:dyDescent="0.25">
      <c r="A67" s="38"/>
      <c r="B67" s="38" t="s">
        <v>200</v>
      </c>
      <c r="C67" s="62" t="s">
        <v>177</v>
      </c>
      <c r="D67" s="62" t="s">
        <v>213</v>
      </c>
      <c r="E67" s="62" t="s">
        <v>183</v>
      </c>
      <c r="F67" s="77" t="s">
        <v>166</v>
      </c>
      <c r="G67" s="77" t="s">
        <v>172</v>
      </c>
      <c r="H67" s="62" t="s">
        <v>92</v>
      </c>
      <c r="I67" s="77" t="s">
        <v>11</v>
      </c>
      <c r="J67" s="38" t="s">
        <v>37</v>
      </c>
      <c r="K67" s="6">
        <v>349636</v>
      </c>
      <c r="L67" s="78">
        <f t="shared" si="10"/>
        <v>45453</v>
      </c>
      <c r="M67" s="79">
        <v>174</v>
      </c>
      <c r="N67" s="79">
        <v>174</v>
      </c>
      <c r="O67" s="191">
        <f t="shared" si="4"/>
        <v>1</v>
      </c>
      <c r="P67" s="80">
        <f t="shared" si="48"/>
        <v>349636</v>
      </c>
      <c r="Q67" s="80">
        <f t="shared" si="49"/>
        <v>45453</v>
      </c>
      <c r="R67" s="159">
        <f t="shared" si="50"/>
        <v>0</v>
      </c>
      <c r="S67" s="113">
        <v>0.13</v>
      </c>
      <c r="T67" s="86">
        <v>44629</v>
      </c>
      <c r="U67" s="64">
        <v>2</v>
      </c>
      <c r="V67" s="64"/>
      <c r="W67" s="64"/>
      <c r="X67" s="15">
        <v>1</v>
      </c>
      <c r="Y67" s="15" t="str">
        <f>VLOOKUP(B67,[1]Sheet1!$C$2:$D$906,2,0)</f>
        <v>8426043291</v>
      </c>
    </row>
    <row r="68" spans="1:29" s="15" customFormat="1" ht="14.45" customHeight="1" x14ac:dyDescent="0.25">
      <c r="A68" s="38"/>
      <c r="B68" s="38" t="s">
        <v>200</v>
      </c>
      <c r="C68" s="62" t="s">
        <v>177</v>
      </c>
      <c r="D68" s="62" t="s">
        <v>213</v>
      </c>
      <c r="E68" s="62" t="s">
        <v>183</v>
      </c>
      <c r="F68" s="77" t="s">
        <v>166</v>
      </c>
      <c r="G68" s="77" t="s">
        <v>172</v>
      </c>
      <c r="H68" s="62" t="s">
        <v>93</v>
      </c>
      <c r="I68" s="77" t="s">
        <v>11</v>
      </c>
      <c r="J68" s="38" t="s">
        <v>37</v>
      </c>
      <c r="K68" s="6">
        <v>512800</v>
      </c>
      <c r="L68" s="78">
        <f t="shared" si="10"/>
        <v>66664</v>
      </c>
      <c r="M68" s="79">
        <v>174</v>
      </c>
      <c r="N68" s="79">
        <v>174</v>
      </c>
      <c r="O68" s="191">
        <f t="shared" si="4"/>
        <v>1</v>
      </c>
      <c r="P68" s="80">
        <f t="shared" si="48"/>
        <v>512800</v>
      </c>
      <c r="Q68" s="80">
        <f t="shared" si="49"/>
        <v>66664</v>
      </c>
      <c r="R68" s="159">
        <f t="shared" si="50"/>
        <v>0</v>
      </c>
      <c r="S68" s="113">
        <v>0.13</v>
      </c>
      <c r="T68" s="86">
        <v>44629</v>
      </c>
      <c r="U68" s="64">
        <v>2</v>
      </c>
      <c r="V68" s="64"/>
      <c r="W68" s="64"/>
      <c r="X68" s="15">
        <v>1</v>
      </c>
      <c r="Y68" s="15" t="str">
        <f>VLOOKUP(B68,[1]Sheet1!$C$2:$D$906,2,0)</f>
        <v>8426043291</v>
      </c>
    </row>
    <row r="69" spans="1:29" s="15" customFormat="1" ht="14.45" customHeight="1" x14ac:dyDescent="0.25">
      <c r="A69" s="38"/>
      <c r="B69" s="38" t="s">
        <v>200</v>
      </c>
      <c r="C69" s="62" t="s">
        <v>177</v>
      </c>
      <c r="D69" s="62" t="s">
        <v>213</v>
      </c>
      <c r="E69" s="62" t="s">
        <v>183</v>
      </c>
      <c r="F69" s="77" t="s">
        <v>166</v>
      </c>
      <c r="G69" s="77" t="s">
        <v>172</v>
      </c>
      <c r="H69" s="62" t="s">
        <v>94</v>
      </c>
      <c r="I69" s="77" t="s">
        <v>11</v>
      </c>
      <c r="J69" s="38" t="s">
        <v>37</v>
      </c>
      <c r="K69" s="6">
        <v>512800</v>
      </c>
      <c r="L69" s="78">
        <f t="shared" si="10"/>
        <v>66664</v>
      </c>
      <c r="M69" s="79">
        <v>174</v>
      </c>
      <c r="N69" s="79">
        <v>174</v>
      </c>
      <c r="O69" s="191">
        <f t="shared" si="4"/>
        <v>1</v>
      </c>
      <c r="P69" s="80">
        <f t="shared" si="48"/>
        <v>512800</v>
      </c>
      <c r="Q69" s="80">
        <f t="shared" si="49"/>
        <v>66664</v>
      </c>
      <c r="R69" s="159">
        <f t="shared" si="50"/>
        <v>0</v>
      </c>
      <c r="S69" s="113">
        <v>0.13</v>
      </c>
      <c r="T69" s="86">
        <v>44629</v>
      </c>
      <c r="U69" s="64">
        <v>2</v>
      </c>
      <c r="V69" s="64"/>
      <c r="W69" s="64"/>
      <c r="X69" s="15">
        <v>1</v>
      </c>
      <c r="Y69" s="15" t="str">
        <f>VLOOKUP(B69,[1]Sheet1!$C$2:$D$906,2,0)</f>
        <v>8426043291</v>
      </c>
    </row>
    <row r="70" spans="1:29" s="15" customFormat="1" ht="14.45" customHeight="1" x14ac:dyDescent="0.25">
      <c r="A70" s="38"/>
      <c r="B70" s="38" t="s">
        <v>200</v>
      </c>
      <c r="C70" s="62" t="s">
        <v>177</v>
      </c>
      <c r="D70" s="62" t="s">
        <v>213</v>
      </c>
      <c r="E70" s="62" t="s">
        <v>183</v>
      </c>
      <c r="F70" s="77" t="s">
        <v>166</v>
      </c>
      <c r="G70" s="77" t="s">
        <v>172</v>
      </c>
      <c r="H70" s="174" t="s">
        <v>281</v>
      </c>
      <c r="I70" s="77" t="s">
        <v>11</v>
      </c>
      <c r="J70" s="38" t="s">
        <v>37</v>
      </c>
      <c r="K70" s="6">
        <f>512800/21*13</f>
        <v>317447.61904761905</v>
      </c>
      <c r="L70" s="78">
        <f t="shared" si="10"/>
        <v>41268</v>
      </c>
      <c r="M70" s="79">
        <v>174</v>
      </c>
      <c r="N70" s="79">
        <v>174</v>
      </c>
      <c r="O70" s="191">
        <f t="shared" si="4"/>
        <v>1</v>
      </c>
      <c r="P70" s="80">
        <f t="shared" si="48"/>
        <v>317448</v>
      </c>
      <c r="Q70" s="80">
        <f t="shared" si="49"/>
        <v>41268</v>
      </c>
      <c r="R70" s="159">
        <f t="shared" si="50"/>
        <v>-1.2000480018592441E-6</v>
      </c>
      <c r="S70" s="113">
        <v>0.13</v>
      </c>
      <c r="T70" s="86">
        <v>44629</v>
      </c>
      <c r="U70" s="64">
        <v>2</v>
      </c>
      <c r="V70" s="64"/>
      <c r="W70" s="64"/>
      <c r="X70" s="15">
        <v>1</v>
      </c>
      <c r="Y70" s="15" t="str">
        <f>VLOOKUP(B70,[1]Sheet1!$C$2:$D$906,2,0)</f>
        <v>8426043291</v>
      </c>
      <c r="AA70" t="str">
        <f>IF(VLOOKUP(LEFT(Y70,10),'Havi béradatok'!$B:$E,2,0)=D70,"EGYEZIK","HIBÁS")</f>
        <v>EGYEZIK</v>
      </c>
      <c r="AB70">
        <f>(VLOOKUP(LEFT(Y70,10),'Havi béradatok'!$B:$E,3,0)-K70)</f>
        <v>221852.38095238095</v>
      </c>
      <c r="AC70" s="3">
        <f>(VLOOKUP(LEFT(Y70,10),'Havi béradatok'!$B:$E,4,0)-L70)</f>
        <v>28841</v>
      </c>
    </row>
    <row r="71" spans="1:29" s="15" customFormat="1" ht="14.45" customHeight="1" x14ac:dyDescent="0.25">
      <c r="A71" s="38"/>
      <c r="B71" s="38" t="s">
        <v>200</v>
      </c>
      <c r="C71" s="62" t="s">
        <v>177</v>
      </c>
      <c r="D71" s="62" t="s">
        <v>213</v>
      </c>
      <c r="E71" s="62" t="s">
        <v>183</v>
      </c>
      <c r="F71" s="77" t="s">
        <v>166</v>
      </c>
      <c r="G71" s="77" t="s">
        <v>172</v>
      </c>
      <c r="H71" s="174" t="s">
        <v>280</v>
      </c>
      <c r="I71" s="77" t="s">
        <v>11</v>
      </c>
      <c r="J71" s="38" t="s">
        <v>37</v>
      </c>
      <c r="K71" s="6">
        <f>512800/21*8</f>
        <v>195352.38095238095</v>
      </c>
      <c r="L71" s="78">
        <f t="shared" ref="L71" si="51">ROUND(K71*S71,0)</f>
        <v>25396</v>
      </c>
      <c r="M71" s="79">
        <v>174</v>
      </c>
      <c r="N71" s="79">
        <v>174</v>
      </c>
      <c r="O71" s="191">
        <f t="shared" ref="O71" si="52">N71/M71</f>
        <v>1</v>
      </c>
      <c r="P71" s="80">
        <f t="shared" ref="P71" si="53">ROUND(K71*N71/M71,0)</f>
        <v>195352</v>
      </c>
      <c r="Q71" s="80">
        <f t="shared" ref="Q71" si="54">ROUND(P71*S71,0)</f>
        <v>25396</v>
      </c>
      <c r="R71" s="159">
        <f t="shared" ref="R71" si="55">N71/M71-P71/K71</f>
        <v>1.9500780030767828E-6</v>
      </c>
      <c r="S71" s="113">
        <v>0.13</v>
      </c>
      <c r="T71" s="86">
        <v>44629</v>
      </c>
      <c r="U71" s="64"/>
      <c r="V71" s="64"/>
      <c r="W71" s="64"/>
      <c r="X71" s="15">
        <v>1</v>
      </c>
      <c r="Y71" s="15" t="str">
        <f>VLOOKUP(B71,[1]Sheet1!$C$2:$D$906,2,0)</f>
        <v>8426043291</v>
      </c>
      <c r="AA71" t="str">
        <f>IF(VLOOKUP(LEFT(Y71,10),'Havi béradatok'!$B:$E,2,0)=D71,"EGYEZIK","HIBÁS")</f>
        <v>EGYEZIK</v>
      </c>
      <c r="AB71">
        <f>(VLOOKUP(LEFT(Y71,10),'Havi béradatok'!$B:$E,3,0)-K71)</f>
        <v>343947.61904761905</v>
      </c>
      <c r="AC71" s="3">
        <f>(VLOOKUP(LEFT(Y71,10),'Havi béradatok'!$B:$E,4,0)-L71)</f>
        <v>44713</v>
      </c>
    </row>
    <row r="72" spans="1:29" s="15" customFormat="1" ht="14.45" customHeight="1" x14ac:dyDescent="0.25">
      <c r="A72" s="38"/>
      <c r="B72" s="38" t="s">
        <v>200</v>
      </c>
      <c r="C72" s="62" t="s">
        <v>177</v>
      </c>
      <c r="D72" s="62" t="s">
        <v>213</v>
      </c>
      <c r="E72" s="62" t="s">
        <v>183</v>
      </c>
      <c r="F72" s="77" t="s">
        <v>166</v>
      </c>
      <c r="G72" s="77" t="s">
        <v>172</v>
      </c>
      <c r="H72" s="62" t="s">
        <v>117</v>
      </c>
      <c r="I72" s="77" t="s">
        <v>11</v>
      </c>
      <c r="J72" s="38" t="s">
        <v>37</v>
      </c>
      <c r="K72" s="6">
        <v>512800</v>
      </c>
      <c r="L72" s="78">
        <f t="shared" si="10"/>
        <v>66664</v>
      </c>
      <c r="M72" s="79">
        <v>174</v>
      </c>
      <c r="N72" s="79">
        <v>174</v>
      </c>
      <c r="O72" s="191">
        <f t="shared" si="4"/>
        <v>1</v>
      </c>
      <c r="P72" s="80">
        <f t="shared" ref="P72:P77" si="56">ROUND(K72*N72/M72,0)</f>
        <v>512800</v>
      </c>
      <c r="Q72" s="80">
        <f t="shared" ref="Q72:Q77" si="57">ROUND(P72*S72,0)</f>
        <v>66664</v>
      </c>
      <c r="R72" s="159">
        <f t="shared" ref="R72:R77" si="58">N72/M72-P72/K72</f>
        <v>0</v>
      </c>
      <c r="S72" s="113">
        <v>0.13</v>
      </c>
      <c r="T72" s="86">
        <v>44936</v>
      </c>
      <c r="U72" s="64"/>
      <c r="V72" s="64"/>
      <c r="W72" s="64"/>
      <c r="X72" s="15">
        <v>1</v>
      </c>
      <c r="Y72" s="15" t="str">
        <f>VLOOKUP(B72,[1]Sheet1!$C$2:$D$906,2,0)</f>
        <v>8426043291</v>
      </c>
      <c r="AA72" t="str">
        <f>IF(VLOOKUP(LEFT(Y72,10),'Havi béradatok'!$B:$E,2,0)=D72,"EGYEZIK","HIBÁS")</f>
        <v>EGYEZIK</v>
      </c>
      <c r="AB72">
        <f>(VLOOKUP(LEFT(Y72,10),'Havi béradatok'!$B:$E,3,0)-K72)</f>
        <v>26500</v>
      </c>
      <c r="AC72" s="3">
        <f>(VLOOKUP(LEFT(Y72,10),'Havi béradatok'!$B:$E,4,0)-L72)</f>
        <v>3445</v>
      </c>
    </row>
    <row r="73" spans="1:29" s="15" customFormat="1" ht="14.25" customHeight="1" x14ac:dyDescent="0.25">
      <c r="A73" s="38"/>
      <c r="B73" s="38" t="s">
        <v>200</v>
      </c>
      <c r="C73" s="62" t="s">
        <v>177</v>
      </c>
      <c r="D73" s="62" t="s">
        <v>213</v>
      </c>
      <c r="E73" s="62" t="s">
        <v>183</v>
      </c>
      <c r="F73" s="77" t="s">
        <v>166</v>
      </c>
      <c r="G73" s="77" t="s">
        <v>172</v>
      </c>
      <c r="H73" s="62" t="s">
        <v>118</v>
      </c>
      <c r="I73" s="77" t="s">
        <v>11</v>
      </c>
      <c r="J73" s="38" t="s">
        <v>37</v>
      </c>
      <c r="K73" s="6">
        <v>539300</v>
      </c>
      <c r="L73" s="78">
        <f t="shared" si="10"/>
        <v>70109</v>
      </c>
      <c r="M73" s="79">
        <v>174</v>
      </c>
      <c r="N73" s="79">
        <v>174</v>
      </c>
      <c r="O73" s="191">
        <f t="shared" si="4"/>
        <v>1</v>
      </c>
      <c r="P73" s="80">
        <f t="shared" si="56"/>
        <v>539300</v>
      </c>
      <c r="Q73" s="80">
        <f t="shared" si="57"/>
        <v>70109</v>
      </c>
      <c r="R73" s="159">
        <f t="shared" si="58"/>
        <v>0</v>
      </c>
      <c r="S73" s="113">
        <v>0.13</v>
      </c>
      <c r="T73" s="86">
        <v>44936</v>
      </c>
      <c r="U73" s="64"/>
      <c r="V73" s="64"/>
      <c r="W73" s="64"/>
      <c r="X73" s="15">
        <v>1</v>
      </c>
      <c r="Y73" s="15" t="str">
        <f>VLOOKUP(B73,[1]Sheet1!$C$2:$D$906,2,0)</f>
        <v>8426043291</v>
      </c>
      <c r="AA73" t="str">
        <f>IF(VLOOKUP(LEFT(Y73,10),'Havi béradatok'!$B:$E,2,0)=D73,"EGYEZIK","HIBÁS")</f>
        <v>EGYEZIK</v>
      </c>
      <c r="AB73">
        <f>(VLOOKUP(LEFT(Y73,10),'Havi béradatok'!$B:$E,3,0)-K73)</f>
        <v>0</v>
      </c>
      <c r="AC73" s="3">
        <f>(VLOOKUP(LEFT(Y73,10),'Havi béradatok'!$B:$E,4,0)-L73)</f>
        <v>0</v>
      </c>
    </row>
    <row r="74" spans="1:29" s="15" customFormat="1" ht="14.45" customHeight="1" x14ac:dyDescent="0.25">
      <c r="A74" s="38"/>
      <c r="B74" s="38" t="s">
        <v>200</v>
      </c>
      <c r="C74" s="62" t="s">
        <v>177</v>
      </c>
      <c r="D74" s="62" t="s">
        <v>213</v>
      </c>
      <c r="E74" s="62" t="s">
        <v>183</v>
      </c>
      <c r="F74" s="77" t="s">
        <v>166</v>
      </c>
      <c r="G74" s="77" t="s">
        <v>172</v>
      </c>
      <c r="H74" s="62" t="s">
        <v>119</v>
      </c>
      <c r="I74" s="77" t="s">
        <v>11</v>
      </c>
      <c r="J74" s="38" t="s">
        <v>37</v>
      </c>
      <c r="K74" s="6">
        <v>539300</v>
      </c>
      <c r="L74" s="78">
        <f t="shared" si="10"/>
        <v>70109</v>
      </c>
      <c r="M74" s="79">
        <v>174</v>
      </c>
      <c r="N74" s="79">
        <v>104</v>
      </c>
      <c r="O74" s="191">
        <f t="shared" si="4"/>
        <v>0.5977011494252874</v>
      </c>
      <c r="P74" s="80">
        <f t="shared" si="56"/>
        <v>322340</v>
      </c>
      <c r="Q74" s="80">
        <f t="shared" si="57"/>
        <v>41904</v>
      </c>
      <c r="R74" s="159">
        <f t="shared" si="58"/>
        <v>4.2626563601100287E-7</v>
      </c>
      <c r="S74" s="113">
        <v>0.13</v>
      </c>
      <c r="T74" s="86">
        <v>44977</v>
      </c>
      <c r="U74" s="64"/>
      <c r="V74" s="64"/>
      <c r="W74" s="64"/>
      <c r="X74" s="15">
        <v>1</v>
      </c>
      <c r="Y74" s="15" t="str">
        <f>VLOOKUP(B74,[1]Sheet1!$C$2:$D$906,2,0)</f>
        <v>8426043291</v>
      </c>
      <c r="AA74" t="str">
        <f>IF(VLOOKUP(LEFT(Y74,10),'Havi béradatok'!$B:$E,2,0)=D74,"EGYEZIK","HIBÁS")</f>
        <v>EGYEZIK</v>
      </c>
      <c r="AB74">
        <f>(VLOOKUP(LEFT(Y74,10),'Havi béradatok'!$B:$E,3,0)-K74)</f>
        <v>0</v>
      </c>
      <c r="AC74" s="3">
        <f>(VLOOKUP(LEFT(Y74,10),'Havi béradatok'!$B:$E,4,0)-L74)</f>
        <v>0</v>
      </c>
    </row>
    <row r="75" spans="1:29" s="15" customFormat="1" ht="14.45" hidden="1" customHeight="1" x14ac:dyDescent="0.25">
      <c r="A75" s="38"/>
      <c r="B75" s="38" t="s">
        <v>200</v>
      </c>
      <c r="C75" s="62" t="s">
        <v>177</v>
      </c>
      <c r="D75" s="62" t="s">
        <v>213</v>
      </c>
      <c r="E75" s="62" t="s">
        <v>183</v>
      </c>
      <c r="F75" s="77" t="s">
        <v>166</v>
      </c>
      <c r="G75" s="77" t="s">
        <v>172</v>
      </c>
      <c r="H75" s="62" t="s">
        <v>120</v>
      </c>
      <c r="I75" s="77" t="s">
        <v>12</v>
      </c>
      <c r="J75" s="38" t="s">
        <v>37</v>
      </c>
      <c r="K75" s="6">
        <v>539300</v>
      </c>
      <c r="L75" s="78">
        <f t="shared" si="10"/>
        <v>70109</v>
      </c>
      <c r="M75" s="79">
        <v>174</v>
      </c>
      <c r="N75" s="79">
        <v>104</v>
      </c>
      <c r="O75" s="191">
        <f t="shared" si="4"/>
        <v>0.5977011494252874</v>
      </c>
      <c r="P75" s="80">
        <f t="shared" si="56"/>
        <v>322340</v>
      </c>
      <c r="Q75" s="80">
        <f t="shared" si="57"/>
        <v>41904</v>
      </c>
      <c r="R75" s="159">
        <f t="shared" si="58"/>
        <v>4.2626563601100287E-7</v>
      </c>
      <c r="S75" s="113">
        <v>0.13</v>
      </c>
      <c r="T75" s="86">
        <v>44977</v>
      </c>
      <c r="U75" s="64"/>
      <c r="V75" s="64"/>
      <c r="W75" s="64"/>
      <c r="X75" s="15">
        <v>1</v>
      </c>
      <c r="Y75" s="15" t="str">
        <f>VLOOKUP(B75,[1]Sheet1!$C$2:$D$906,2,0)</f>
        <v>8426043291</v>
      </c>
    </row>
    <row r="76" spans="1:29" s="15" customFormat="1" ht="14.45" hidden="1" customHeight="1" x14ac:dyDescent="0.25">
      <c r="A76" s="38"/>
      <c r="B76" s="38" t="s">
        <v>200</v>
      </c>
      <c r="C76" s="62" t="s">
        <v>177</v>
      </c>
      <c r="D76" s="62" t="s">
        <v>213</v>
      </c>
      <c r="E76" s="62" t="s">
        <v>183</v>
      </c>
      <c r="F76" s="77" t="s">
        <v>166</v>
      </c>
      <c r="G76" s="77" t="s">
        <v>172</v>
      </c>
      <c r="H76" s="62" t="s">
        <v>121</v>
      </c>
      <c r="I76" s="77" t="s">
        <v>12</v>
      </c>
      <c r="J76" s="38" t="s">
        <v>37</v>
      </c>
      <c r="K76" s="6">
        <v>539300</v>
      </c>
      <c r="L76" s="78">
        <f t="shared" si="10"/>
        <v>70109</v>
      </c>
      <c r="M76" s="79">
        <v>174</v>
      </c>
      <c r="N76" s="79">
        <v>104</v>
      </c>
      <c r="O76" s="191">
        <f t="shared" si="4"/>
        <v>0.5977011494252874</v>
      </c>
      <c r="P76" s="80">
        <f t="shared" si="56"/>
        <v>322340</v>
      </c>
      <c r="Q76" s="80">
        <f t="shared" si="57"/>
        <v>41904</v>
      </c>
      <c r="R76" s="159">
        <f t="shared" si="58"/>
        <v>4.2626563601100287E-7</v>
      </c>
      <c r="S76" s="113">
        <v>0.13</v>
      </c>
      <c r="T76" s="86">
        <v>44977</v>
      </c>
      <c r="U76" s="64"/>
      <c r="V76" s="64"/>
      <c r="W76" s="64"/>
      <c r="X76" s="15">
        <v>1</v>
      </c>
      <c r="Y76" s="15" t="str">
        <f>VLOOKUP(B76,[1]Sheet1!$C$2:$D$906,2,0)</f>
        <v>8426043291</v>
      </c>
    </row>
    <row r="77" spans="1:29" s="15" customFormat="1" ht="14.45" hidden="1" customHeight="1" x14ac:dyDescent="0.25">
      <c r="A77" s="38"/>
      <c r="B77" s="38" t="s">
        <v>200</v>
      </c>
      <c r="C77" s="62" t="s">
        <v>177</v>
      </c>
      <c r="D77" s="62" t="s">
        <v>213</v>
      </c>
      <c r="E77" s="62" t="s">
        <v>183</v>
      </c>
      <c r="F77" s="77" t="s">
        <v>166</v>
      </c>
      <c r="G77" s="77" t="s">
        <v>172</v>
      </c>
      <c r="H77" s="62" t="s">
        <v>122</v>
      </c>
      <c r="I77" s="77" t="s">
        <v>12</v>
      </c>
      <c r="J77" s="38" t="s">
        <v>37</v>
      </c>
      <c r="K77" s="6">
        <v>539300</v>
      </c>
      <c r="L77" s="78">
        <f t="shared" si="10"/>
        <v>70109</v>
      </c>
      <c r="M77" s="79">
        <v>174</v>
      </c>
      <c r="N77" s="79">
        <v>104</v>
      </c>
      <c r="O77" s="191">
        <f t="shared" si="4"/>
        <v>0.5977011494252874</v>
      </c>
      <c r="P77" s="80">
        <f t="shared" si="56"/>
        <v>322340</v>
      </c>
      <c r="Q77" s="80">
        <f t="shared" si="57"/>
        <v>41904</v>
      </c>
      <c r="R77" s="159">
        <f t="shared" si="58"/>
        <v>4.2626563601100287E-7</v>
      </c>
      <c r="S77" s="113">
        <v>0.13</v>
      </c>
      <c r="T77" s="86">
        <v>44977</v>
      </c>
      <c r="U77" s="64"/>
      <c r="V77" s="64"/>
      <c r="W77" s="64"/>
      <c r="X77" s="15">
        <v>1</v>
      </c>
      <c r="Y77" s="15" t="str">
        <f>VLOOKUP(B77,[1]Sheet1!$C$2:$D$906,2,0)</f>
        <v>8426043291</v>
      </c>
    </row>
    <row r="78" spans="1:29" s="15" customFormat="1" ht="14.45" customHeight="1" x14ac:dyDescent="0.25">
      <c r="A78" s="38"/>
      <c r="B78" s="38" t="s">
        <v>188</v>
      </c>
      <c r="C78" s="62" t="s">
        <v>177</v>
      </c>
      <c r="D78" s="62" t="s">
        <v>204</v>
      </c>
      <c r="E78" s="62" t="s">
        <v>183</v>
      </c>
      <c r="F78" s="77" t="s">
        <v>166</v>
      </c>
      <c r="G78" s="77" t="s">
        <v>172</v>
      </c>
      <c r="H78" s="62" t="s">
        <v>85</v>
      </c>
      <c r="I78" s="77" t="s">
        <v>11</v>
      </c>
      <c r="J78" s="38" t="s">
        <v>37</v>
      </c>
      <c r="K78" s="6">
        <v>830000</v>
      </c>
      <c r="L78" s="78">
        <f t="shared" ref="L78:L184" si="59">ROUND(K78*S78,0)</f>
        <v>107900</v>
      </c>
      <c r="M78" s="79">
        <v>174</v>
      </c>
      <c r="N78" s="79">
        <v>31</v>
      </c>
      <c r="O78" s="191">
        <f t="shared" si="4"/>
        <v>0.17816091954022989</v>
      </c>
      <c r="P78" s="80">
        <f t="shared" ref="P78:P104" si="60">ROUND(K78*N78/M78,0)</f>
        <v>147874</v>
      </c>
      <c r="Q78" s="80">
        <f t="shared" ref="Q78:Q97" si="61">ROUND(P78*S78,0)</f>
        <v>19224</v>
      </c>
      <c r="R78" s="159">
        <f t="shared" ref="R78:R97" si="62">N78/M78-P78/K78</f>
        <v>-5.26242902643137E-7</v>
      </c>
      <c r="S78" s="113">
        <v>0.13</v>
      </c>
      <c r="T78" s="86">
        <v>44585</v>
      </c>
      <c r="U78" s="64">
        <v>1</v>
      </c>
      <c r="V78" s="64"/>
      <c r="W78" s="64"/>
      <c r="X78" s="15">
        <v>1</v>
      </c>
      <c r="Y78" s="15">
        <v>8405671307</v>
      </c>
    </row>
    <row r="79" spans="1:29" s="15" customFormat="1" ht="14.45" customHeight="1" x14ac:dyDescent="0.25">
      <c r="A79" s="38"/>
      <c r="B79" s="38" t="s">
        <v>188</v>
      </c>
      <c r="C79" s="62" t="s">
        <v>177</v>
      </c>
      <c r="D79" s="62" t="s">
        <v>204</v>
      </c>
      <c r="E79" s="62" t="s">
        <v>183</v>
      </c>
      <c r="F79" s="77" t="s">
        <v>166</v>
      </c>
      <c r="G79" s="77" t="s">
        <v>172</v>
      </c>
      <c r="H79" s="62" t="s">
        <v>86</v>
      </c>
      <c r="I79" s="77" t="s">
        <v>11</v>
      </c>
      <c r="J79" s="38" t="s">
        <v>37</v>
      </c>
      <c r="K79" s="6">
        <v>1060000</v>
      </c>
      <c r="L79" s="78">
        <f t="shared" si="59"/>
        <v>137800</v>
      </c>
      <c r="M79" s="79">
        <v>174</v>
      </c>
      <c r="N79" s="79">
        <v>23</v>
      </c>
      <c r="O79" s="191">
        <f t="shared" si="4"/>
        <v>0.13218390804597702</v>
      </c>
      <c r="P79" s="80">
        <f t="shared" si="60"/>
        <v>140115</v>
      </c>
      <c r="Q79" s="80">
        <f t="shared" si="61"/>
        <v>18215</v>
      </c>
      <c r="R79" s="159">
        <f t="shared" si="62"/>
        <v>-5.4218173922704338E-8</v>
      </c>
      <c r="S79" s="113">
        <v>0.13</v>
      </c>
      <c r="T79" s="86">
        <v>44608</v>
      </c>
      <c r="U79" s="64">
        <v>1</v>
      </c>
      <c r="V79" s="64"/>
      <c r="W79" s="64"/>
      <c r="X79" s="15">
        <v>1</v>
      </c>
      <c r="Y79" s="15">
        <v>8405671307</v>
      </c>
    </row>
    <row r="80" spans="1:29" s="15" customFormat="1" ht="14.45" customHeight="1" x14ac:dyDescent="0.25">
      <c r="A80" s="38"/>
      <c r="B80" s="38" t="s">
        <v>188</v>
      </c>
      <c r="C80" s="62" t="s">
        <v>177</v>
      </c>
      <c r="D80" s="62" t="s">
        <v>204</v>
      </c>
      <c r="E80" s="62" t="s">
        <v>183</v>
      </c>
      <c r="F80" s="77" t="s">
        <v>166</v>
      </c>
      <c r="G80" s="77" t="s">
        <v>172</v>
      </c>
      <c r="H80" s="62" t="s">
        <v>87</v>
      </c>
      <c r="I80" s="77" t="s">
        <v>11</v>
      </c>
      <c r="J80" s="38" t="s">
        <v>37</v>
      </c>
      <c r="K80" s="6">
        <v>1060000</v>
      </c>
      <c r="L80" s="78">
        <f t="shared" si="59"/>
        <v>137800</v>
      </c>
      <c r="M80" s="79">
        <v>174</v>
      </c>
      <c r="N80" s="79">
        <v>23</v>
      </c>
      <c r="O80" s="191">
        <f t="shared" si="4"/>
        <v>0.13218390804597702</v>
      </c>
      <c r="P80" s="80">
        <f t="shared" si="60"/>
        <v>140115</v>
      </c>
      <c r="Q80" s="80">
        <f t="shared" si="61"/>
        <v>18215</v>
      </c>
      <c r="R80" s="159">
        <f t="shared" si="62"/>
        <v>-5.4218173922704338E-8</v>
      </c>
      <c r="S80" s="113">
        <v>0.13</v>
      </c>
      <c r="T80" s="86">
        <v>44608</v>
      </c>
      <c r="U80" s="64">
        <v>1</v>
      </c>
      <c r="V80" s="64"/>
      <c r="W80" s="64"/>
      <c r="X80" s="15">
        <v>1</v>
      </c>
      <c r="Y80" s="15">
        <v>8405671307</v>
      </c>
    </row>
    <row r="81" spans="1:29" s="15" customFormat="1" ht="14.45" customHeight="1" x14ac:dyDescent="0.25">
      <c r="A81" s="38"/>
      <c r="B81" s="38" t="s">
        <v>188</v>
      </c>
      <c r="C81" s="62" t="s">
        <v>177</v>
      </c>
      <c r="D81" s="62" t="s">
        <v>204</v>
      </c>
      <c r="E81" s="62" t="s">
        <v>183</v>
      </c>
      <c r="F81" s="77" t="s">
        <v>166</v>
      </c>
      <c r="G81" s="77" t="s">
        <v>172</v>
      </c>
      <c r="H81" s="62" t="s">
        <v>88</v>
      </c>
      <c r="I81" s="77" t="s">
        <v>11</v>
      </c>
      <c r="J81" s="38" t="s">
        <v>37</v>
      </c>
      <c r="K81" s="6">
        <v>1060000</v>
      </c>
      <c r="L81" s="78">
        <f t="shared" si="59"/>
        <v>137800</v>
      </c>
      <c r="M81" s="79">
        <v>174</v>
      </c>
      <c r="N81" s="79">
        <v>23</v>
      </c>
      <c r="O81" s="191">
        <f t="shared" ref="O81:O161" si="63">N81/M81</f>
        <v>0.13218390804597702</v>
      </c>
      <c r="P81" s="80">
        <f t="shared" si="60"/>
        <v>140115</v>
      </c>
      <c r="Q81" s="80">
        <f t="shared" si="61"/>
        <v>18215</v>
      </c>
      <c r="R81" s="159">
        <f t="shared" si="62"/>
        <v>-5.4218173922704338E-8</v>
      </c>
      <c r="S81" s="113">
        <v>0.13</v>
      </c>
      <c r="T81" s="86">
        <v>44608</v>
      </c>
      <c r="U81" s="64">
        <v>1</v>
      </c>
      <c r="V81" s="64"/>
      <c r="W81" s="64"/>
      <c r="X81" s="15">
        <v>1</v>
      </c>
      <c r="Y81" s="15">
        <v>8405671307</v>
      </c>
    </row>
    <row r="82" spans="1:29" s="15" customFormat="1" ht="14.45" customHeight="1" x14ac:dyDescent="0.25">
      <c r="A82" s="38"/>
      <c r="B82" s="38" t="s">
        <v>188</v>
      </c>
      <c r="C82" s="62" t="s">
        <v>177</v>
      </c>
      <c r="D82" s="62" t="s">
        <v>204</v>
      </c>
      <c r="E82" s="62" t="s">
        <v>183</v>
      </c>
      <c r="F82" s="77" t="s">
        <v>166</v>
      </c>
      <c r="G82" s="77" t="s">
        <v>172</v>
      </c>
      <c r="H82" s="62" t="s">
        <v>89</v>
      </c>
      <c r="I82" s="77" t="s">
        <v>11</v>
      </c>
      <c r="J82" s="38" t="s">
        <v>37</v>
      </c>
      <c r="K82" s="6">
        <v>1071000</v>
      </c>
      <c r="L82" s="78">
        <f t="shared" si="59"/>
        <v>139230</v>
      </c>
      <c r="M82" s="79">
        <v>174</v>
      </c>
      <c r="N82" s="79">
        <v>23</v>
      </c>
      <c r="O82" s="191">
        <f t="shared" si="63"/>
        <v>0.13218390804597702</v>
      </c>
      <c r="P82" s="80">
        <f t="shared" si="60"/>
        <v>141569</v>
      </c>
      <c r="Q82" s="80">
        <f t="shared" si="61"/>
        <v>18404</v>
      </c>
      <c r="R82" s="159">
        <f t="shared" si="62"/>
        <v>-3.2196786764471241E-8</v>
      </c>
      <c r="S82" s="113">
        <v>0.13</v>
      </c>
      <c r="T82" s="86">
        <v>44692</v>
      </c>
      <c r="U82" s="64">
        <v>2</v>
      </c>
      <c r="V82" s="64"/>
      <c r="W82" s="64"/>
      <c r="X82" s="15">
        <v>1</v>
      </c>
      <c r="Y82" s="15">
        <v>8405671307</v>
      </c>
    </row>
    <row r="83" spans="1:29" s="15" customFormat="1" ht="14.45" customHeight="1" x14ac:dyDescent="0.25">
      <c r="A83" s="38"/>
      <c r="B83" s="38" t="s">
        <v>188</v>
      </c>
      <c r="C83" s="62" t="s">
        <v>177</v>
      </c>
      <c r="D83" s="62" t="s">
        <v>204</v>
      </c>
      <c r="E83" s="62" t="s">
        <v>183</v>
      </c>
      <c r="F83" s="77" t="s">
        <v>166</v>
      </c>
      <c r="G83" s="77" t="s">
        <v>172</v>
      </c>
      <c r="H83" s="62" t="s">
        <v>90</v>
      </c>
      <c r="I83" s="77" t="s">
        <v>11</v>
      </c>
      <c r="J83" s="38" t="s">
        <v>37</v>
      </c>
      <c r="K83" s="6">
        <v>1071000</v>
      </c>
      <c r="L83" s="78">
        <f t="shared" si="59"/>
        <v>139230</v>
      </c>
      <c r="M83" s="79">
        <v>174</v>
      </c>
      <c r="N83" s="79">
        <v>23</v>
      </c>
      <c r="O83" s="191">
        <f t="shared" si="63"/>
        <v>0.13218390804597702</v>
      </c>
      <c r="P83" s="80">
        <f t="shared" si="60"/>
        <v>141569</v>
      </c>
      <c r="Q83" s="80">
        <f t="shared" si="61"/>
        <v>18404</v>
      </c>
      <c r="R83" s="159">
        <f t="shared" si="62"/>
        <v>-3.2196786764471241E-8</v>
      </c>
      <c r="S83" s="113">
        <v>0.13</v>
      </c>
      <c r="T83" s="86">
        <v>44692</v>
      </c>
      <c r="U83" s="64">
        <v>2</v>
      </c>
      <c r="V83" s="64"/>
      <c r="W83" s="64"/>
      <c r="X83" s="15">
        <v>1</v>
      </c>
      <c r="Y83" s="15">
        <v>8405671307</v>
      </c>
    </row>
    <row r="84" spans="1:29" s="15" customFormat="1" ht="14.45" customHeight="1" x14ac:dyDescent="0.25">
      <c r="A84" s="38"/>
      <c r="B84" s="38" t="s">
        <v>188</v>
      </c>
      <c r="C84" s="62" t="s">
        <v>177</v>
      </c>
      <c r="D84" s="62" t="s">
        <v>204</v>
      </c>
      <c r="E84" s="62" t="s">
        <v>183</v>
      </c>
      <c r="F84" s="77" t="s">
        <v>166</v>
      </c>
      <c r="G84" s="77" t="s">
        <v>172</v>
      </c>
      <c r="H84" s="62" t="s">
        <v>91</v>
      </c>
      <c r="I84" s="77" t="s">
        <v>11</v>
      </c>
      <c r="J84" s="38" t="s">
        <v>37</v>
      </c>
      <c r="K84" s="6">
        <v>1071000</v>
      </c>
      <c r="L84" s="78">
        <f t="shared" si="59"/>
        <v>139230</v>
      </c>
      <c r="M84" s="79">
        <v>174</v>
      </c>
      <c r="N84" s="79">
        <v>23</v>
      </c>
      <c r="O84" s="191">
        <f t="shared" si="63"/>
        <v>0.13218390804597702</v>
      </c>
      <c r="P84" s="80">
        <f t="shared" si="60"/>
        <v>141569</v>
      </c>
      <c r="Q84" s="80">
        <f t="shared" si="61"/>
        <v>18404</v>
      </c>
      <c r="R84" s="159">
        <f t="shared" si="62"/>
        <v>-3.2196786764471241E-8</v>
      </c>
      <c r="S84" s="113">
        <v>0.13</v>
      </c>
      <c r="T84" s="86">
        <v>44692</v>
      </c>
      <c r="U84" s="64">
        <v>2</v>
      </c>
      <c r="V84" s="64"/>
      <c r="W84" s="64"/>
      <c r="X84" s="15">
        <v>1</v>
      </c>
      <c r="Y84" s="15">
        <v>8405671307</v>
      </c>
    </row>
    <row r="85" spans="1:29" s="15" customFormat="1" ht="14.45" customHeight="1" x14ac:dyDescent="0.25">
      <c r="A85" s="38"/>
      <c r="B85" s="38" t="s">
        <v>188</v>
      </c>
      <c r="C85" s="62" t="s">
        <v>177</v>
      </c>
      <c r="D85" s="62" t="s">
        <v>204</v>
      </c>
      <c r="E85" s="62" t="s">
        <v>183</v>
      </c>
      <c r="F85" s="77" t="s">
        <v>166</v>
      </c>
      <c r="G85" s="77" t="s">
        <v>172</v>
      </c>
      <c r="H85" s="62" t="s">
        <v>92</v>
      </c>
      <c r="I85" s="77" t="s">
        <v>11</v>
      </c>
      <c r="J85" s="38" t="s">
        <v>37</v>
      </c>
      <c r="K85" s="6">
        <v>1040000</v>
      </c>
      <c r="L85" s="78">
        <f t="shared" si="59"/>
        <v>135200</v>
      </c>
      <c r="M85" s="79">
        <v>174</v>
      </c>
      <c r="N85" s="79">
        <v>24</v>
      </c>
      <c r="O85" s="191">
        <f t="shared" si="63"/>
        <v>0.13793103448275862</v>
      </c>
      <c r="P85" s="80">
        <f t="shared" si="60"/>
        <v>143448</v>
      </c>
      <c r="Q85" s="80">
        <f t="shared" si="61"/>
        <v>18648</v>
      </c>
      <c r="R85" s="159">
        <f t="shared" si="62"/>
        <v>2.6525198940086092E-7</v>
      </c>
      <c r="S85" s="113">
        <v>0.13</v>
      </c>
      <c r="T85" s="86"/>
      <c r="U85" s="64">
        <v>2</v>
      </c>
      <c r="V85" s="64"/>
      <c r="W85" s="64"/>
      <c r="X85" s="15">
        <v>1</v>
      </c>
      <c r="Y85" s="15">
        <v>8405671307</v>
      </c>
    </row>
    <row r="86" spans="1:29" s="15" customFormat="1" ht="14.45" customHeight="1" x14ac:dyDescent="0.25">
      <c r="A86" s="38"/>
      <c r="B86" s="38" t="s">
        <v>188</v>
      </c>
      <c r="C86" s="62" t="s">
        <v>177</v>
      </c>
      <c r="D86" s="62" t="s">
        <v>204</v>
      </c>
      <c r="E86" s="62" t="s">
        <v>183</v>
      </c>
      <c r="F86" s="77" t="s">
        <v>166</v>
      </c>
      <c r="G86" s="77" t="s">
        <v>172</v>
      </c>
      <c r="H86" s="62" t="s">
        <v>93</v>
      </c>
      <c r="I86" s="77" t="s">
        <v>11</v>
      </c>
      <c r="J86" s="38" t="s">
        <v>37</v>
      </c>
      <c r="K86" s="6">
        <v>1100000</v>
      </c>
      <c r="L86" s="78">
        <f t="shared" si="59"/>
        <v>143000</v>
      </c>
      <c r="M86" s="79">
        <v>174</v>
      </c>
      <c r="N86" s="79">
        <v>23</v>
      </c>
      <c r="O86" s="191">
        <f t="shared" si="63"/>
        <v>0.13218390804597702</v>
      </c>
      <c r="P86" s="80">
        <f t="shared" si="60"/>
        <v>145402</v>
      </c>
      <c r="Q86" s="80">
        <f t="shared" si="61"/>
        <v>18902</v>
      </c>
      <c r="R86" s="159">
        <f t="shared" si="62"/>
        <v>2.7168234065233499E-7</v>
      </c>
      <c r="S86" s="113">
        <v>0.13</v>
      </c>
      <c r="T86" s="86">
        <v>44820</v>
      </c>
      <c r="U86" s="64">
        <v>2</v>
      </c>
      <c r="V86" s="64"/>
      <c r="W86" s="64"/>
      <c r="X86" s="15">
        <v>1</v>
      </c>
      <c r="Y86" s="15">
        <v>8405671307</v>
      </c>
    </row>
    <row r="87" spans="1:29" s="15" customFormat="1" ht="14.45" customHeight="1" x14ac:dyDescent="0.25">
      <c r="A87" s="38"/>
      <c r="B87" s="38" t="s">
        <v>188</v>
      </c>
      <c r="C87" s="62" t="s">
        <v>177</v>
      </c>
      <c r="D87" s="62" t="s">
        <v>204</v>
      </c>
      <c r="E87" s="62" t="s">
        <v>183</v>
      </c>
      <c r="F87" s="77" t="s">
        <v>166</v>
      </c>
      <c r="G87" s="77" t="s">
        <v>172</v>
      </c>
      <c r="H87" s="62" t="s">
        <v>94</v>
      </c>
      <c r="I87" s="77" t="s">
        <v>11</v>
      </c>
      <c r="J87" s="38" t="s">
        <v>37</v>
      </c>
      <c r="K87" s="6">
        <v>1070000</v>
      </c>
      <c r="L87" s="78">
        <f t="shared" si="59"/>
        <v>139100</v>
      </c>
      <c r="M87" s="79">
        <v>174</v>
      </c>
      <c r="N87" s="79">
        <v>24</v>
      </c>
      <c r="O87" s="191">
        <f t="shared" si="63"/>
        <v>0.13793103448275862</v>
      </c>
      <c r="P87" s="80">
        <f t="shared" si="60"/>
        <v>147586</v>
      </c>
      <c r="Q87" s="80">
        <f t="shared" si="61"/>
        <v>19186</v>
      </c>
      <c r="R87" s="159">
        <f t="shared" si="62"/>
        <v>1.9336126327873515E-7</v>
      </c>
      <c r="S87" s="113">
        <v>0.13</v>
      </c>
      <c r="T87" s="86">
        <v>44820</v>
      </c>
      <c r="U87" s="64">
        <v>2</v>
      </c>
      <c r="V87" s="64"/>
      <c r="W87" s="64"/>
      <c r="X87" s="15">
        <v>1</v>
      </c>
      <c r="Y87" s="15">
        <v>8405671307</v>
      </c>
    </row>
    <row r="88" spans="1:29" s="15" customFormat="1" ht="14.45" customHeight="1" x14ac:dyDescent="0.25">
      <c r="A88" s="38"/>
      <c r="B88" s="38" t="s">
        <v>188</v>
      </c>
      <c r="C88" s="62" t="s">
        <v>177</v>
      </c>
      <c r="D88" s="62" t="s">
        <v>204</v>
      </c>
      <c r="E88" s="62" t="s">
        <v>183</v>
      </c>
      <c r="F88" s="77" t="s">
        <v>166</v>
      </c>
      <c r="G88" s="77" t="s">
        <v>172</v>
      </c>
      <c r="H88" s="174" t="s">
        <v>281</v>
      </c>
      <c r="I88" s="77" t="s">
        <v>11</v>
      </c>
      <c r="J88" s="38" t="s">
        <v>37</v>
      </c>
      <c r="K88" s="6">
        <f>1070000/21*13</f>
        <v>662380.95238095243</v>
      </c>
      <c r="L88" s="78">
        <f t="shared" si="59"/>
        <v>86110</v>
      </c>
      <c r="M88" s="79">
        <v>174</v>
      </c>
      <c r="N88" s="79">
        <v>24</v>
      </c>
      <c r="O88" s="191">
        <f t="shared" si="63"/>
        <v>0.13793103448275862</v>
      </c>
      <c r="P88" s="80">
        <f t="shared" si="60"/>
        <v>91363</v>
      </c>
      <c r="Q88" s="80">
        <f t="shared" si="61"/>
        <v>11877</v>
      </c>
      <c r="R88" s="159">
        <f t="shared" si="62"/>
        <v>-1.6609236719311582E-7</v>
      </c>
      <c r="S88" s="113">
        <v>0.13</v>
      </c>
      <c r="T88" s="86">
        <v>44820</v>
      </c>
      <c r="U88" s="64">
        <v>2</v>
      </c>
      <c r="V88" s="64"/>
      <c r="W88" s="64"/>
      <c r="X88" s="15">
        <v>1</v>
      </c>
      <c r="Y88" s="15">
        <v>8405671307</v>
      </c>
      <c r="AA88" t="str">
        <f>IF(VLOOKUP(LEFT(Y88,10),'Havi béradatok'!$B:$E,2,0)=D88,"EGYEZIK","HIBÁS")</f>
        <v>EGYEZIK</v>
      </c>
      <c r="AB88">
        <f>(VLOOKUP(LEFT(Y88,10),'Havi béradatok'!$B:$E,3,0)-K88)</f>
        <v>407619.04761904757</v>
      </c>
      <c r="AC88" s="3">
        <f>(VLOOKUP(LEFT(Y88,10),'Havi béradatok'!$B:$E,4,0)-L88)</f>
        <v>52990</v>
      </c>
    </row>
    <row r="89" spans="1:29" s="15" customFormat="1" ht="14.45" customHeight="1" x14ac:dyDescent="0.25">
      <c r="A89" s="38"/>
      <c r="B89" s="38" t="s">
        <v>188</v>
      </c>
      <c r="C89" s="62" t="s">
        <v>177</v>
      </c>
      <c r="D89" s="62" t="s">
        <v>204</v>
      </c>
      <c r="E89" s="62" t="s">
        <v>183</v>
      </c>
      <c r="F89" s="77" t="s">
        <v>166</v>
      </c>
      <c r="G89" s="77" t="s">
        <v>172</v>
      </c>
      <c r="H89" s="174" t="s">
        <v>280</v>
      </c>
      <c r="I89" s="77" t="s">
        <v>11</v>
      </c>
      <c r="J89" s="38" t="s">
        <v>37</v>
      </c>
      <c r="K89" s="6">
        <f>1070000/21*8</f>
        <v>407619.04761904763</v>
      </c>
      <c r="L89" s="78">
        <f t="shared" ref="L89" si="64">ROUND(K89*S89,0)</f>
        <v>52990</v>
      </c>
      <c r="M89" s="79">
        <v>174</v>
      </c>
      <c r="N89" s="79">
        <v>24</v>
      </c>
      <c r="O89" s="191">
        <f t="shared" ref="O89" si="65">N89/M89</f>
        <v>0.13793103448275862</v>
      </c>
      <c r="P89" s="80">
        <f t="shared" ref="P89" si="66">ROUND(K89*N89/M89,0)</f>
        <v>56223</v>
      </c>
      <c r="Q89" s="80">
        <f t="shared" ref="Q89" si="67">ROUND(P89*S89,0)</f>
        <v>7309</v>
      </c>
      <c r="R89" s="159">
        <f t="shared" ref="R89" si="68">N89/M89-P89/K89</f>
        <v>7.7747341281630966E-7</v>
      </c>
      <c r="S89" s="113">
        <v>0.13</v>
      </c>
      <c r="T89" s="86">
        <v>44820</v>
      </c>
      <c r="U89" s="64"/>
      <c r="V89" s="64"/>
      <c r="W89" s="64"/>
      <c r="X89" s="15">
        <v>1</v>
      </c>
      <c r="Y89" s="15">
        <v>8405671307</v>
      </c>
      <c r="AA89" t="str">
        <f>IF(VLOOKUP(LEFT(Y89,10),'Havi béradatok'!$B:$E,2,0)=D89,"EGYEZIK","HIBÁS")</f>
        <v>EGYEZIK</v>
      </c>
      <c r="AB89">
        <f>(VLOOKUP(LEFT(Y89,10),'Havi béradatok'!$B:$E,3,0)-K89)</f>
        <v>662380.95238095243</v>
      </c>
      <c r="AC89" s="3">
        <f>(VLOOKUP(LEFT(Y89,10),'Havi béradatok'!$B:$E,4,0)-L89)</f>
        <v>86110</v>
      </c>
    </row>
    <row r="90" spans="1:29" s="15" customFormat="1" ht="14.45" customHeight="1" x14ac:dyDescent="0.25">
      <c r="A90" s="38"/>
      <c r="B90" s="38" t="s">
        <v>188</v>
      </c>
      <c r="C90" s="62" t="s">
        <v>177</v>
      </c>
      <c r="D90" s="62" t="s">
        <v>204</v>
      </c>
      <c r="E90" s="62" t="s">
        <v>183</v>
      </c>
      <c r="F90" s="77" t="s">
        <v>166</v>
      </c>
      <c r="G90" s="77" t="s">
        <v>172</v>
      </c>
      <c r="H90" s="174" t="s">
        <v>117</v>
      </c>
      <c r="I90" s="77" t="s">
        <v>11</v>
      </c>
      <c r="J90" s="38" t="s">
        <v>37</v>
      </c>
      <c r="K90" s="6">
        <v>1070000</v>
      </c>
      <c r="L90" s="78">
        <f t="shared" ref="L90:L95" si="69">ROUND(K90*S90,0)</f>
        <v>139100</v>
      </c>
      <c r="M90" s="79">
        <v>174</v>
      </c>
      <c r="N90" s="79">
        <v>36</v>
      </c>
      <c r="O90" s="191">
        <f t="shared" si="63"/>
        <v>0.20689655172413793</v>
      </c>
      <c r="P90" s="80">
        <f t="shared" ref="P90:P95" si="70">ROUND(K90*N90/M90,0)</f>
        <v>221379</v>
      </c>
      <c r="Q90" s="80">
        <f t="shared" ref="Q90:Q95" si="71">ROUND(P90*S90,0)</f>
        <v>28779</v>
      </c>
      <c r="R90" s="159">
        <f t="shared" ref="R90:R94" si="72">N90/M90-P90/K90</f>
        <v>2.900418949458583E-7</v>
      </c>
      <c r="S90" s="113">
        <v>0.13</v>
      </c>
      <c r="T90" s="86">
        <v>44936</v>
      </c>
      <c r="U90" s="64"/>
      <c r="V90" s="64"/>
      <c r="W90" s="64"/>
      <c r="X90" s="15">
        <v>1</v>
      </c>
      <c r="Y90" s="15">
        <v>8405671307</v>
      </c>
      <c r="AA90" t="str">
        <f>IF(VLOOKUP(LEFT(Y90,10),'Havi béradatok'!$B:$E,2,0)=D90,"EGYEZIK","HIBÁS")</f>
        <v>EGYEZIK</v>
      </c>
      <c r="AB90">
        <f>(VLOOKUP(LEFT(Y90,10),'Havi béradatok'!$B:$E,3,0)-K90)</f>
        <v>0</v>
      </c>
      <c r="AC90" s="3">
        <f>(VLOOKUP(LEFT(Y90,10),'Havi béradatok'!$B:$E,4,0)-L90)</f>
        <v>0</v>
      </c>
    </row>
    <row r="91" spans="1:29" s="15" customFormat="1" ht="14.45" customHeight="1" x14ac:dyDescent="0.25">
      <c r="A91" s="38"/>
      <c r="B91" s="38" t="s">
        <v>188</v>
      </c>
      <c r="C91" s="62" t="s">
        <v>177</v>
      </c>
      <c r="D91" s="62" t="s">
        <v>204</v>
      </c>
      <c r="E91" s="62" t="s">
        <v>183</v>
      </c>
      <c r="F91" s="77" t="s">
        <v>166</v>
      </c>
      <c r="G91" s="77" t="s">
        <v>172</v>
      </c>
      <c r="H91" s="174" t="s">
        <v>118</v>
      </c>
      <c r="I91" s="77" t="s">
        <v>11</v>
      </c>
      <c r="J91" s="38" t="s">
        <v>37</v>
      </c>
      <c r="K91" s="6">
        <v>1070000</v>
      </c>
      <c r="L91" s="78">
        <f t="shared" si="69"/>
        <v>139100</v>
      </c>
      <c r="M91" s="79">
        <v>174</v>
      </c>
      <c r="N91" s="79">
        <v>36</v>
      </c>
      <c r="O91" s="191">
        <f t="shared" si="63"/>
        <v>0.20689655172413793</v>
      </c>
      <c r="P91" s="80">
        <f t="shared" si="70"/>
        <v>221379</v>
      </c>
      <c r="Q91" s="80">
        <f t="shared" si="71"/>
        <v>28779</v>
      </c>
      <c r="R91" s="159">
        <f t="shared" si="72"/>
        <v>2.900418949458583E-7</v>
      </c>
      <c r="S91" s="113">
        <v>0.13</v>
      </c>
      <c r="T91" s="86">
        <v>44936</v>
      </c>
      <c r="U91" s="64"/>
      <c r="V91" s="64"/>
      <c r="W91" s="64"/>
      <c r="X91" s="15">
        <v>1</v>
      </c>
      <c r="Y91" s="15">
        <v>8405671307</v>
      </c>
      <c r="AA91" t="str">
        <f>IF(VLOOKUP(LEFT(Y91,10),'Havi béradatok'!$B:$E,2,0)=D91,"EGYEZIK","HIBÁS")</f>
        <v>EGYEZIK</v>
      </c>
      <c r="AB91">
        <f>(VLOOKUP(LEFT(Y91,10),'Havi béradatok'!$B:$E,3,0)-K91)</f>
        <v>0</v>
      </c>
      <c r="AC91" s="3">
        <f>(VLOOKUP(LEFT(Y91,10),'Havi béradatok'!$B:$E,4,0)-L91)</f>
        <v>0</v>
      </c>
    </row>
    <row r="92" spans="1:29" s="15" customFormat="1" ht="14.45" customHeight="1" x14ac:dyDescent="0.25">
      <c r="A92" s="38"/>
      <c r="B92" s="38" t="s">
        <v>188</v>
      </c>
      <c r="C92" s="62" t="s">
        <v>177</v>
      </c>
      <c r="D92" s="62" t="s">
        <v>204</v>
      </c>
      <c r="E92" s="62" t="s">
        <v>183</v>
      </c>
      <c r="F92" s="77" t="s">
        <v>166</v>
      </c>
      <c r="G92" s="77" t="s">
        <v>172</v>
      </c>
      <c r="H92" s="174" t="s">
        <v>119</v>
      </c>
      <c r="I92" s="77" t="s">
        <v>11</v>
      </c>
      <c r="J92" s="38" t="s">
        <v>37</v>
      </c>
      <c r="K92" s="6">
        <v>1070000</v>
      </c>
      <c r="L92" s="78">
        <f t="shared" si="69"/>
        <v>139100</v>
      </c>
      <c r="M92" s="79">
        <v>174</v>
      </c>
      <c r="N92" s="79">
        <v>36</v>
      </c>
      <c r="O92" s="191">
        <f t="shared" si="63"/>
        <v>0.20689655172413793</v>
      </c>
      <c r="P92" s="80">
        <f t="shared" si="70"/>
        <v>221379</v>
      </c>
      <c r="Q92" s="80">
        <f t="shared" si="71"/>
        <v>28779</v>
      </c>
      <c r="R92" s="159">
        <f t="shared" si="72"/>
        <v>2.900418949458583E-7</v>
      </c>
      <c r="S92" s="113">
        <v>0.13</v>
      </c>
      <c r="T92" s="86">
        <v>44936</v>
      </c>
      <c r="U92" s="64"/>
      <c r="V92" s="64"/>
      <c r="W92" s="64"/>
      <c r="X92" s="15">
        <v>1</v>
      </c>
      <c r="Y92" s="15">
        <v>8405671307</v>
      </c>
      <c r="AA92" t="str">
        <f>IF(VLOOKUP(LEFT(Y92,10),'Havi béradatok'!$B:$E,2,0)=D92,"EGYEZIK","HIBÁS")</f>
        <v>EGYEZIK</v>
      </c>
      <c r="AB92">
        <f>(VLOOKUP(LEFT(Y92,10),'Havi béradatok'!$B:$E,3,0)-K92)</f>
        <v>0</v>
      </c>
      <c r="AC92" s="3">
        <f>(VLOOKUP(LEFT(Y92,10),'Havi béradatok'!$B:$E,4,0)-L92)</f>
        <v>0</v>
      </c>
    </row>
    <row r="93" spans="1:29" s="15" customFormat="1" ht="14.45" hidden="1" customHeight="1" x14ac:dyDescent="0.25">
      <c r="A93" s="38"/>
      <c r="B93" s="38" t="s">
        <v>188</v>
      </c>
      <c r="C93" s="62" t="s">
        <v>177</v>
      </c>
      <c r="D93" s="62" t="s">
        <v>204</v>
      </c>
      <c r="E93" s="62" t="s">
        <v>183</v>
      </c>
      <c r="F93" s="77" t="s">
        <v>166</v>
      </c>
      <c r="G93" s="77" t="s">
        <v>172</v>
      </c>
      <c r="H93" s="174" t="s">
        <v>120</v>
      </c>
      <c r="I93" s="77" t="s">
        <v>12</v>
      </c>
      <c r="J93" s="38" t="s">
        <v>37</v>
      </c>
      <c r="K93" s="6">
        <v>1070000</v>
      </c>
      <c r="L93" s="78">
        <f t="shared" si="69"/>
        <v>139100</v>
      </c>
      <c r="M93" s="79">
        <v>174</v>
      </c>
      <c r="N93" s="79">
        <v>32</v>
      </c>
      <c r="O93" s="191">
        <f t="shared" si="63"/>
        <v>0.18390804597701149</v>
      </c>
      <c r="P93" s="80">
        <f t="shared" si="70"/>
        <v>196782</v>
      </c>
      <c r="Q93" s="80">
        <f t="shared" si="71"/>
        <v>25582</v>
      </c>
      <c r="R93" s="159">
        <f t="shared" si="72"/>
        <v>-3.6523794177956148E-7</v>
      </c>
      <c r="S93" s="113">
        <v>0.13</v>
      </c>
      <c r="T93" s="86">
        <v>44995</v>
      </c>
      <c r="U93" s="64"/>
      <c r="V93" s="64"/>
      <c r="W93" s="64"/>
      <c r="X93" s="15">
        <v>1</v>
      </c>
      <c r="Y93" s="15">
        <v>8405671307</v>
      </c>
    </row>
    <row r="94" spans="1:29" s="15" customFormat="1" ht="14.45" hidden="1" customHeight="1" x14ac:dyDescent="0.25">
      <c r="A94" s="38"/>
      <c r="B94" s="38" t="s">
        <v>188</v>
      </c>
      <c r="C94" s="62" t="s">
        <v>177</v>
      </c>
      <c r="D94" s="62" t="s">
        <v>204</v>
      </c>
      <c r="E94" s="62" t="s">
        <v>183</v>
      </c>
      <c r="F94" s="77" t="s">
        <v>166</v>
      </c>
      <c r="G94" s="77" t="s">
        <v>172</v>
      </c>
      <c r="H94" s="174" t="s">
        <v>121</v>
      </c>
      <c r="I94" s="77" t="s">
        <v>12</v>
      </c>
      <c r="J94" s="38" t="s">
        <v>37</v>
      </c>
      <c r="K94" s="6">
        <v>1070000</v>
      </c>
      <c r="L94" s="78">
        <f t="shared" si="69"/>
        <v>139100</v>
      </c>
      <c r="M94" s="79">
        <v>174</v>
      </c>
      <c r="N94" s="79">
        <v>32</v>
      </c>
      <c r="O94" s="191">
        <f t="shared" si="63"/>
        <v>0.18390804597701149</v>
      </c>
      <c r="P94" s="80">
        <f t="shared" si="70"/>
        <v>196782</v>
      </c>
      <c r="Q94" s="80">
        <f t="shared" si="71"/>
        <v>25582</v>
      </c>
      <c r="R94" s="159">
        <f t="shared" si="72"/>
        <v>-3.6523794177956148E-7</v>
      </c>
      <c r="S94" s="113">
        <v>0.13</v>
      </c>
      <c r="T94" s="86">
        <v>44995</v>
      </c>
      <c r="U94" s="64"/>
      <c r="V94" s="64"/>
      <c r="W94" s="64"/>
      <c r="X94" s="15">
        <v>1</v>
      </c>
      <c r="Y94" s="15">
        <v>8405671307</v>
      </c>
    </row>
    <row r="95" spans="1:29" s="15" customFormat="1" ht="14.45" hidden="1" customHeight="1" x14ac:dyDescent="0.25">
      <c r="A95" s="38"/>
      <c r="B95" s="38" t="s">
        <v>188</v>
      </c>
      <c r="C95" s="62" t="s">
        <v>177</v>
      </c>
      <c r="D95" s="62" t="s">
        <v>204</v>
      </c>
      <c r="E95" s="62" t="s">
        <v>183</v>
      </c>
      <c r="F95" s="77" t="s">
        <v>166</v>
      </c>
      <c r="G95" s="77" t="s">
        <v>172</v>
      </c>
      <c r="H95" s="174" t="s">
        <v>122</v>
      </c>
      <c r="I95" s="77" t="s">
        <v>12</v>
      </c>
      <c r="J95" s="38" t="s">
        <v>37</v>
      </c>
      <c r="K95" s="6">
        <v>1070000</v>
      </c>
      <c r="L95" s="78">
        <f t="shared" si="69"/>
        <v>139100</v>
      </c>
      <c r="M95" s="79">
        <v>174</v>
      </c>
      <c r="N95" s="79">
        <v>32</v>
      </c>
      <c r="O95" s="191">
        <f t="shared" si="63"/>
        <v>0.18390804597701149</v>
      </c>
      <c r="P95" s="80">
        <f t="shared" si="70"/>
        <v>196782</v>
      </c>
      <c r="Q95" s="80">
        <f t="shared" si="71"/>
        <v>25582</v>
      </c>
      <c r="R95" s="159">
        <f t="shared" ref="R95" si="73">N95/M95-P95/K95</f>
        <v>-3.6523794177956148E-7</v>
      </c>
      <c r="S95" s="113">
        <v>0.13</v>
      </c>
      <c r="T95" s="86">
        <v>44995</v>
      </c>
      <c r="U95" s="64"/>
      <c r="V95" s="64"/>
      <c r="W95" s="64"/>
      <c r="X95" s="15">
        <v>1</v>
      </c>
      <c r="Y95" s="15">
        <v>8405671307</v>
      </c>
    </row>
    <row r="96" spans="1:29" s="15" customFormat="1" ht="14.45" customHeight="1" x14ac:dyDescent="0.25">
      <c r="A96" s="38"/>
      <c r="B96" s="38" t="s">
        <v>224</v>
      </c>
      <c r="C96" s="62" t="s">
        <v>177</v>
      </c>
      <c r="D96" s="62" t="s">
        <v>245</v>
      </c>
      <c r="E96" s="62" t="s">
        <v>183</v>
      </c>
      <c r="F96" s="77" t="s">
        <v>166</v>
      </c>
      <c r="G96" s="77" t="s">
        <v>172</v>
      </c>
      <c r="H96" s="62" t="s">
        <v>92</v>
      </c>
      <c r="I96" s="77" t="s">
        <v>11</v>
      </c>
      <c r="J96" s="38" t="s">
        <v>37</v>
      </c>
      <c r="K96" s="6">
        <v>748200</v>
      </c>
      <c r="L96" s="78">
        <f t="shared" si="59"/>
        <v>97266</v>
      </c>
      <c r="M96" s="79">
        <v>174</v>
      </c>
      <c r="N96" s="79">
        <v>35</v>
      </c>
      <c r="O96" s="191">
        <f t="shared" si="63"/>
        <v>0.20114942528735633</v>
      </c>
      <c r="P96" s="80">
        <f t="shared" si="60"/>
        <v>150500</v>
      </c>
      <c r="Q96" s="80">
        <f t="shared" si="61"/>
        <v>19565</v>
      </c>
      <c r="R96" s="159">
        <f t="shared" si="62"/>
        <v>0</v>
      </c>
      <c r="S96" s="113">
        <v>0.13</v>
      </c>
      <c r="T96" s="86"/>
      <c r="U96" s="64">
        <v>2</v>
      </c>
      <c r="V96" s="64"/>
      <c r="W96" s="64"/>
      <c r="X96" s="15">
        <v>1</v>
      </c>
      <c r="Y96" s="15" t="str">
        <f>VLOOKUP(B96,[1]Sheet1!$C$2:$D$906,2,0)</f>
        <v>8462721202</v>
      </c>
    </row>
    <row r="97" spans="1:29" s="15" customFormat="1" ht="14.45" customHeight="1" x14ac:dyDescent="0.25">
      <c r="A97" s="38"/>
      <c r="B97" s="38" t="s">
        <v>224</v>
      </c>
      <c r="C97" s="62" t="s">
        <v>177</v>
      </c>
      <c r="D97" s="62" t="s">
        <v>245</v>
      </c>
      <c r="E97" s="62" t="s">
        <v>183</v>
      </c>
      <c r="F97" s="77" t="s">
        <v>166</v>
      </c>
      <c r="G97" s="77" t="s">
        <v>172</v>
      </c>
      <c r="H97" s="62" t="s">
        <v>93</v>
      </c>
      <c r="I97" s="77" t="s">
        <v>11</v>
      </c>
      <c r="J97" s="38" t="s">
        <v>37</v>
      </c>
      <c r="K97" s="6">
        <v>748200</v>
      </c>
      <c r="L97" s="78">
        <f t="shared" si="59"/>
        <v>97266</v>
      </c>
      <c r="M97" s="79">
        <v>174</v>
      </c>
      <c r="N97" s="79">
        <v>35</v>
      </c>
      <c r="O97" s="191">
        <f t="shared" si="63"/>
        <v>0.20114942528735633</v>
      </c>
      <c r="P97" s="80">
        <f t="shared" si="60"/>
        <v>150500</v>
      </c>
      <c r="Q97" s="80">
        <f t="shared" si="61"/>
        <v>19565</v>
      </c>
      <c r="R97" s="159">
        <f t="shared" si="62"/>
        <v>0</v>
      </c>
      <c r="S97" s="113">
        <v>0.13</v>
      </c>
      <c r="T97" s="86"/>
      <c r="U97" s="64">
        <v>2</v>
      </c>
      <c r="V97" s="64"/>
      <c r="W97" s="64"/>
      <c r="X97" s="15">
        <v>1</v>
      </c>
      <c r="Y97" s="15" t="str">
        <f>VLOOKUP(B97,[1]Sheet1!$C$2:$D$906,2,0)</f>
        <v>8462721202</v>
      </c>
    </row>
    <row r="98" spans="1:29" s="15" customFormat="1" ht="14.45" customHeight="1" x14ac:dyDescent="0.25">
      <c r="A98" s="38"/>
      <c r="B98" s="38" t="s">
        <v>224</v>
      </c>
      <c r="C98" s="62" t="s">
        <v>177</v>
      </c>
      <c r="D98" s="62" t="s">
        <v>245</v>
      </c>
      <c r="E98" s="62" t="s">
        <v>183</v>
      </c>
      <c r="F98" s="77" t="s">
        <v>166</v>
      </c>
      <c r="G98" s="77" t="s">
        <v>172</v>
      </c>
      <c r="H98" s="62" t="s">
        <v>94</v>
      </c>
      <c r="I98" s="77" t="s">
        <v>11</v>
      </c>
      <c r="J98" s="38" t="s">
        <v>37</v>
      </c>
      <c r="K98" s="6">
        <v>573200</v>
      </c>
      <c r="L98" s="78">
        <f t="shared" si="59"/>
        <v>74516</v>
      </c>
      <c r="M98" s="79">
        <v>174</v>
      </c>
      <c r="N98" s="79">
        <v>46</v>
      </c>
      <c r="O98" s="191">
        <f t="shared" si="63"/>
        <v>0.26436781609195403</v>
      </c>
      <c r="P98" s="80">
        <f t="shared" si="60"/>
        <v>151536</v>
      </c>
      <c r="Q98" s="80">
        <f t="shared" ref="Q98:Q104" si="74">ROUND(P98*S98,0)</f>
        <v>19700</v>
      </c>
      <c r="R98" s="159">
        <f t="shared" ref="R98:R104" si="75">N98/M98-P98/K98</f>
        <v>-6.4168892521809795E-7</v>
      </c>
      <c r="S98" s="113">
        <v>0.13</v>
      </c>
      <c r="T98" s="86">
        <v>44847</v>
      </c>
      <c r="U98" s="64">
        <v>2</v>
      </c>
      <c r="V98" s="64"/>
      <c r="W98" s="64"/>
      <c r="X98" s="15">
        <v>1</v>
      </c>
      <c r="Y98" s="15" t="str">
        <f>VLOOKUP(B98,[1]Sheet1!$C$2:$D$906,2,0)</f>
        <v>8462721202</v>
      </c>
    </row>
    <row r="99" spans="1:29" s="15" customFormat="1" ht="14.45" customHeight="1" x14ac:dyDescent="0.25">
      <c r="A99" s="38"/>
      <c r="B99" s="38" t="s">
        <v>224</v>
      </c>
      <c r="C99" s="62" t="s">
        <v>177</v>
      </c>
      <c r="D99" s="62" t="s">
        <v>245</v>
      </c>
      <c r="E99" s="62" t="s">
        <v>183</v>
      </c>
      <c r="F99" s="77" t="s">
        <v>166</v>
      </c>
      <c r="G99" s="77" t="s">
        <v>172</v>
      </c>
      <c r="H99" s="174" t="s">
        <v>281</v>
      </c>
      <c r="I99" s="77" t="s">
        <v>11</v>
      </c>
      <c r="J99" s="38" t="s">
        <v>37</v>
      </c>
      <c r="K99" s="6">
        <f>573200/21*13</f>
        <v>354838.09523809527</v>
      </c>
      <c r="L99" s="78">
        <f t="shared" si="59"/>
        <v>46129</v>
      </c>
      <c r="M99" s="79">
        <v>174</v>
      </c>
      <c r="N99" s="79">
        <v>46</v>
      </c>
      <c r="O99" s="191">
        <f t="shared" si="63"/>
        <v>0.26436781609195403</v>
      </c>
      <c r="P99" s="80">
        <f t="shared" si="60"/>
        <v>93808</v>
      </c>
      <c r="Q99" s="80">
        <f t="shared" si="74"/>
        <v>12195</v>
      </c>
      <c r="R99" s="159">
        <f t="shared" si="75"/>
        <v>-6.4168892521809795E-7</v>
      </c>
      <c r="S99" s="113">
        <v>0.13</v>
      </c>
      <c r="T99" s="86">
        <v>44847</v>
      </c>
      <c r="U99" s="64">
        <v>2</v>
      </c>
      <c r="V99" s="64"/>
      <c r="W99" s="64"/>
      <c r="X99" s="15">
        <v>1</v>
      </c>
      <c r="Y99" s="15" t="str">
        <f>VLOOKUP(B99,[1]Sheet1!$C$2:$D$906,2,0)</f>
        <v>8462721202</v>
      </c>
      <c r="AA99" t="str">
        <f>IF(VLOOKUP(LEFT(Y99,10),'Havi béradatok'!$B:$E,2,0)=D99,"EGYEZIK","HIBÁS")</f>
        <v>EGYEZIK</v>
      </c>
      <c r="AB99">
        <f>(VLOOKUP(LEFT(Y99,10),'Havi béradatok'!$B:$E,3,0)-K99)</f>
        <v>231160.90476190473</v>
      </c>
      <c r="AC99" s="3">
        <f>(VLOOKUP(LEFT(Y99,10),'Havi béradatok'!$B:$E,4,0)-L99)</f>
        <v>30051</v>
      </c>
    </row>
    <row r="100" spans="1:29" s="15" customFormat="1" ht="14.45" customHeight="1" x14ac:dyDescent="0.25">
      <c r="A100" s="38"/>
      <c r="B100" s="38" t="s">
        <v>224</v>
      </c>
      <c r="C100" s="62" t="s">
        <v>177</v>
      </c>
      <c r="D100" s="62" t="s">
        <v>245</v>
      </c>
      <c r="E100" s="62" t="s">
        <v>183</v>
      </c>
      <c r="F100" s="77" t="s">
        <v>166</v>
      </c>
      <c r="G100" s="77" t="s">
        <v>172</v>
      </c>
      <c r="H100" s="174" t="s">
        <v>280</v>
      </c>
      <c r="I100" s="77" t="s">
        <v>11</v>
      </c>
      <c r="J100" s="38" t="s">
        <v>37</v>
      </c>
      <c r="K100" s="6">
        <f>573200/21*8</f>
        <v>218361.90476190476</v>
      </c>
      <c r="L100" s="78">
        <f t="shared" ref="L100" si="76">ROUND(K100*S100,0)</f>
        <v>28387</v>
      </c>
      <c r="M100" s="79">
        <v>174</v>
      </c>
      <c r="N100" s="79">
        <v>46</v>
      </c>
      <c r="O100" s="191">
        <f t="shared" ref="O100" si="77">N100/M100</f>
        <v>0.26436781609195403</v>
      </c>
      <c r="P100" s="80">
        <f t="shared" ref="P100" si="78">ROUND(K100*N100/M100,0)</f>
        <v>57728</v>
      </c>
      <c r="Q100" s="80">
        <f t="shared" ref="Q100" si="79">ROUND(P100*S100,0)</f>
        <v>7505</v>
      </c>
      <c r="R100" s="159">
        <f t="shared" ref="R100" si="80">N100/M100-P100/K100</f>
        <v>-6.4168892521809795E-7</v>
      </c>
      <c r="S100" s="113">
        <v>0.13</v>
      </c>
      <c r="T100" s="86">
        <v>44847</v>
      </c>
      <c r="U100" s="64"/>
      <c r="V100" s="64"/>
      <c r="W100" s="64"/>
      <c r="X100" s="15">
        <v>1</v>
      </c>
      <c r="Y100" s="15" t="str">
        <f>VLOOKUP(B100,[1]Sheet1!$C$2:$D$906,2,0)</f>
        <v>8462721202</v>
      </c>
      <c r="AA100" t="str">
        <f>IF(VLOOKUP(LEFT(Y100,10),'Havi béradatok'!$B:$E,2,0)=D100,"EGYEZIK","HIBÁS")</f>
        <v>EGYEZIK</v>
      </c>
      <c r="AB100">
        <f>(VLOOKUP(LEFT(Y100,10),'Havi béradatok'!$B:$E,3,0)-K100)</f>
        <v>367637.09523809527</v>
      </c>
      <c r="AC100" s="3">
        <f>(VLOOKUP(LEFT(Y100,10),'Havi béradatok'!$B:$E,4,0)-L100)</f>
        <v>47793</v>
      </c>
    </row>
    <row r="101" spans="1:29" s="15" customFormat="1" ht="14.25" customHeight="1" x14ac:dyDescent="0.25">
      <c r="A101" s="38"/>
      <c r="B101" s="38" t="s">
        <v>224</v>
      </c>
      <c r="C101" s="62" t="s">
        <v>177</v>
      </c>
      <c r="D101" s="62" t="s">
        <v>245</v>
      </c>
      <c r="E101" s="62" t="s">
        <v>183</v>
      </c>
      <c r="F101" s="77" t="s">
        <v>166</v>
      </c>
      <c r="G101" s="77" t="s">
        <v>172</v>
      </c>
      <c r="H101" s="174" t="s">
        <v>117</v>
      </c>
      <c r="I101" s="77" t="s">
        <v>11</v>
      </c>
      <c r="J101" s="38" t="s">
        <v>37</v>
      </c>
      <c r="K101" s="6">
        <v>586000</v>
      </c>
      <c r="L101" s="78">
        <f t="shared" si="59"/>
        <v>76180</v>
      </c>
      <c r="M101" s="79">
        <v>174</v>
      </c>
      <c r="N101" s="79">
        <v>46</v>
      </c>
      <c r="O101" s="191">
        <f t="shared" si="63"/>
        <v>0.26436781609195403</v>
      </c>
      <c r="P101" s="80">
        <f t="shared" si="60"/>
        <v>154920</v>
      </c>
      <c r="Q101" s="80">
        <f t="shared" si="74"/>
        <v>20140</v>
      </c>
      <c r="R101" s="159">
        <f t="shared" si="75"/>
        <v>-7.8459063984626098E-7</v>
      </c>
      <c r="S101" s="113">
        <v>0.13</v>
      </c>
      <c r="T101" s="86">
        <v>44942</v>
      </c>
      <c r="U101" s="64"/>
      <c r="V101" s="64"/>
      <c r="W101" s="64"/>
      <c r="X101" s="15">
        <v>1</v>
      </c>
      <c r="Y101" s="15" t="str">
        <f>VLOOKUP(B101,[1]Sheet1!$C$2:$D$906,2,0)</f>
        <v>8462721202</v>
      </c>
      <c r="AA101" t="str">
        <f>IF(VLOOKUP(LEFT(Y101,10),'Havi béradatok'!$B:$E,2,0)=D101,"EGYEZIK","HIBÁS")</f>
        <v>EGYEZIK</v>
      </c>
      <c r="AB101">
        <f>(VLOOKUP(LEFT(Y101,10),'Havi béradatok'!$B:$E,3,0)-K101)</f>
        <v>-1</v>
      </c>
      <c r="AC101" s="3">
        <f>(VLOOKUP(LEFT(Y101,10),'Havi béradatok'!$B:$E,4,0)-L101)</f>
        <v>0</v>
      </c>
    </row>
    <row r="102" spans="1:29" s="15" customFormat="1" ht="14.45" customHeight="1" x14ac:dyDescent="0.25">
      <c r="A102" s="38"/>
      <c r="B102" s="38" t="s">
        <v>224</v>
      </c>
      <c r="C102" s="62" t="s">
        <v>177</v>
      </c>
      <c r="D102" s="62" t="s">
        <v>245</v>
      </c>
      <c r="E102" s="62" t="s">
        <v>183</v>
      </c>
      <c r="F102" s="77" t="s">
        <v>166</v>
      </c>
      <c r="G102" s="77" t="s">
        <v>172</v>
      </c>
      <c r="H102" s="174" t="s">
        <v>118</v>
      </c>
      <c r="I102" s="77" t="s">
        <v>11</v>
      </c>
      <c r="J102" s="38" t="s">
        <v>37</v>
      </c>
      <c r="K102" s="6">
        <v>586000</v>
      </c>
      <c r="L102" s="78">
        <f t="shared" si="59"/>
        <v>76180</v>
      </c>
      <c r="M102" s="79">
        <v>174</v>
      </c>
      <c r="N102" s="79">
        <v>46</v>
      </c>
      <c r="O102" s="191">
        <f t="shared" si="63"/>
        <v>0.26436781609195403</v>
      </c>
      <c r="P102" s="80">
        <f t="shared" si="60"/>
        <v>154920</v>
      </c>
      <c r="Q102" s="80">
        <f t="shared" si="74"/>
        <v>20140</v>
      </c>
      <c r="R102" s="159">
        <f t="shared" si="75"/>
        <v>-7.8459063984626098E-7</v>
      </c>
      <c r="S102" s="113">
        <v>0.13</v>
      </c>
      <c r="T102" s="86">
        <v>44942</v>
      </c>
      <c r="U102" s="64"/>
      <c r="V102" s="64"/>
      <c r="W102" s="64"/>
      <c r="X102" s="15">
        <v>1</v>
      </c>
      <c r="Y102" s="15" t="str">
        <f>VLOOKUP(B102,[1]Sheet1!$C$2:$D$906,2,0)</f>
        <v>8462721202</v>
      </c>
      <c r="AA102" t="str">
        <f>IF(VLOOKUP(LEFT(Y102,10),'Havi béradatok'!$B:$E,2,0)=D102,"EGYEZIK","HIBÁS")</f>
        <v>EGYEZIK</v>
      </c>
      <c r="AB102">
        <f>(VLOOKUP(LEFT(Y102,10),'Havi béradatok'!$B:$E,3,0)-K102)</f>
        <v>-1</v>
      </c>
      <c r="AC102" s="3">
        <f>(VLOOKUP(LEFT(Y102,10),'Havi béradatok'!$B:$E,4,0)-L102)</f>
        <v>0</v>
      </c>
    </row>
    <row r="103" spans="1:29" s="15" customFormat="1" ht="14.45" customHeight="1" x14ac:dyDescent="0.25">
      <c r="A103" s="38"/>
      <c r="B103" s="38" t="s">
        <v>224</v>
      </c>
      <c r="C103" s="62" t="s">
        <v>177</v>
      </c>
      <c r="D103" s="62" t="s">
        <v>245</v>
      </c>
      <c r="E103" s="62" t="s">
        <v>183</v>
      </c>
      <c r="F103" s="77" t="s">
        <v>166</v>
      </c>
      <c r="G103" s="77" t="s">
        <v>172</v>
      </c>
      <c r="H103" s="174" t="s">
        <v>119</v>
      </c>
      <c r="I103" s="77" t="s">
        <v>11</v>
      </c>
      <c r="J103" s="38" t="s">
        <v>37</v>
      </c>
      <c r="K103" s="6">
        <v>586000</v>
      </c>
      <c r="L103" s="78">
        <f t="shared" si="59"/>
        <v>76180</v>
      </c>
      <c r="M103" s="79">
        <v>174</v>
      </c>
      <c r="N103" s="79">
        <v>46</v>
      </c>
      <c r="O103" s="191">
        <f t="shared" si="63"/>
        <v>0.26436781609195403</v>
      </c>
      <c r="P103" s="80">
        <f t="shared" si="60"/>
        <v>154920</v>
      </c>
      <c r="Q103" s="80">
        <f t="shared" si="74"/>
        <v>20140</v>
      </c>
      <c r="R103" s="159">
        <f t="shared" si="75"/>
        <v>-7.8459063984626098E-7</v>
      </c>
      <c r="S103" s="113">
        <v>0.13</v>
      </c>
      <c r="T103" s="86">
        <v>44942</v>
      </c>
      <c r="U103" s="64"/>
      <c r="V103" s="64"/>
      <c r="W103" s="64"/>
      <c r="X103" s="15">
        <v>1</v>
      </c>
      <c r="Y103" s="15" t="str">
        <f>VLOOKUP(B103,[1]Sheet1!$C$2:$D$906,2,0)</f>
        <v>8462721202</v>
      </c>
      <c r="AA103" t="str">
        <f>IF(VLOOKUP(LEFT(Y103,10),'Havi béradatok'!$B:$E,2,0)=D103,"EGYEZIK","HIBÁS")</f>
        <v>EGYEZIK</v>
      </c>
      <c r="AB103">
        <f>(VLOOKUP(LEFT(Y103,10),'Havi béradatok'!$B:$E,3,0)-K103)</f>
        <v>-1</v>
      </c>
      <c r="AC103" s="3">
        <f>(VLOOKUP(LEFT(Y103,10),'Havi béradatok'!$B:$E,4,0)-L103)</f>
        <v>0</v>
      </c>
    </row>
    <row r="104" spans="1:29" s="15" customFormat="1" ht="14.45" hidden="1" customHeight="1" x14ac:dyDescent="0.25">
      <c r="A104" s="38"/>
      <c r="B104" s="38" t="s">
        <v>224</v>
      </c>
      <c r="C104" s="62" t="s">
        <v>177</v>
      </c>
      <c r="D104" s="62" t="s">
        <v>245</v>
      </c>
      <c r="E104" s="62" t="s">
        <v>183</v>
      </c>
      <c r="F104" s="77" t="s">
        <v>166</v>
      </c>
      <c r="G104" s="77" t="s">
        <v>172</v>
      </c>
      <c r="H104" s="174" t="s">
        <v>120</v>
      </c>
      <c r="I104" s="77" t="s">
        <v>12</v>
      </c>
      <c r="J104" s="38" t="s">
        <v>37</v>
      </c>
      <c r="K104" s="6">
        <v>586000</v>
      </c>
      <c r="L104" s="78">
        <f t="shared" si="59"/>
        <v>76180</v>
      </c>
      <c r="M104" s="79">
        <v>174</v>
      </c>
      <c r="N104" s="79">
        <v>46</v>
      </c>
      <c r="O104" s="191">
        <f t="shared" si="63"/>
        <v>0.26436781609195403</v>
      </c>
      <c r="P104" s="80">
        <f t="shared" si="60"/>
        <v>154920</v>
      </c>
      <c r="Q104" s="80">
        <f t="shared" si="74"/>
        <v>20140</v>
      </c>
      <c r="R104" s="159">
        <f t="shared" si="75"/>
        <v>-7.8459063984626098E-7</v>
      </c>
      <c r="S104" s="113">
        <v>0.13</v>
      </c>
      <c r="T104" s="86">
        <v>44942</v>
      </c>
      <c r="U104" s="64"/>
      <c r="V104" s="64"/>
      <c r="W104" s="64"/>
      <c r="X104" s="15">
        <v>1</v>
      </c>
      <c r="Y104" s="15" t="str">
        <f>VLOOKUP(B104,[1]Sheet1!$C$2:$D$906,2,0)</f>
        <v>8462721202</v>
      </c>
    </row>
    <row r="105" spans="1:29" s="15" customFormat="1" ht="14.45" hidden="1" customHeight="1" x14ac:dyDescent="0.25">
      <c r="A105" s="38"/>
      <c r="B105" s="173" t="s">
        <v>224</v>
      </c>
      <c r="C105" s="62" t="s">
        <v>177</v>
      </c>
      <c r="D105" s="62" t="s">
        <v>245</v>
      </c>
      <c r="E105" s="62" t="s">
        <v>183</v>
      </c>
      <c r="F105" s="77" t="s">
        <v>166</v>
      </c>
      <c r="G105" s="77" t="s">
        <v>172</v>
      </c>
      <c r="H105" s="174" t="s">
        <v>121</v>
      </c>
      <c r="I105" s="77" t="s">
        <v>12</v>
      </c>
      <c r="J105" s="38" t="s">
        <v>37</v>
      </c>
      <c r="K105" s="6">
        <v>586000</v>
      </c>
      <c r="L105" s="78">
        <f t="shared" ref="L105:L110" si="81">ROUND(K105*S105,0)</f>
        <v>76180</v>
      </c>
      <c r="M105" s="79">
        <v>174</v>
      </c>
      <c r="N105" s="79">
        <v>22</v>
      </c>
      <c r="O105" s="191">
        <f t="shared" ref="O105:O110" si="82">N105/M105</f>
        <v>0.12643678160919541</v>
      </c>
      <c r="P105" s="80">
        <f t="shared" ref="P105:P110" si="83">ROUND(K105*N105/M105,0)</f>
        <v>74092</v>
      </c>
      <c r="Q105" s="80">
        <f t="shared" ref="Q105:Q110" si="84">ROUND(P105*S105,0)</f>
        <v>9632</v>
      </c>
      <c r="R105" s="159">
        <f t="shared" ref="R105:R110" si="85">N105/M105-P105/K105</f>
        <v>-7.8459063967972753E-8</v>
      </c>
      <c r="S105" s="113">
        <v>0.13</v>
      </c>
      <c r="T105" s="86">
        <v>45034</v>
      </c>
      <c r="U105" s="64"/>
      <c r="V105" s="64"/>
      <c r="W105" s="64"/>
      <c r="X105" s="15">
        <v>1</v>
      </c>
      <c r="Y105" s="15" t="str">
        <f>VLOOKUP(B105,[1]Sheet1!$C$2:$D$906,2,0)</f>
        <v>8462721202</v>
      </c>
    </row>
    <row r="106" spans="1:29" s="15" customFormat="1" ht="14.45" hidden="1" customHeight="1" x14ac:dyDescent="0.25">
      <c r="A106" s="38"/>
      <c r="B106" s="173" t="s">
        <v>224</v>
      </c>
      <c r="C106" s="62" t="s">
        <v>177</v>
      </c>
      <c r="D106" s="62" t="s">
        <v>245</v>
      </c>
      <c r="E106" s="62" t="s">
        <v>183</v>
      </c>
      <c r="F106" s="77" t="s">
        <v>166</v>
      </c>
      <c r="G106" s="77" t="s">
        <v>172</v>
      </c>
      <c r="H106" s="174" t="s">
        <v>122</v>
      </c>
      <c r="I106" s="77" t="s">
        <v>12</v>
      </c>
      <c r="J106" s="38" t="s">
        <v>37</v>
      </c>
      <c r="K106" s="6">
        <v>586000</v>
      </c>
      <c r="L106" s="78">
        <f t="shared" si="81"/>
        <v>76180</v>
      </c>
      <c r="M106" s="79">
        <v>174</v>
      </c>
      <c r="N106" s="79">
        <v>22</v>
      </c>
      <c r="O106" s="191">
        <f t="shared" si="82"/>
        <v>0.12643678160919541</v>
      </c>
      <c r="P106" s="80">
        <f t="shared" si="83"/>
        <v>74092</v>
      </c>
      <c r="Q106" s="80">
        <f t="shared" si="84"/>
        <v>9632</v>
      </c>
      <c r="R106" s="159">
        <f t="shared" si="85"/>
        <v>-7.8459063967972753E-8</v>
      </c>
      <c r="S106" s="113">
        <v>0.13</v>
      </c>
      <c r="T106" s="86">
        <v>45034</v>
      </c>
      <c r="U106" s="64"/>
      <c r="V106" s="64"/>
      <c r="W106" s="64"/>
      <c r="X106" s="15">
        <v>1</v>
      </c>
      <c r="Y106" s="15" t="str">
        <f>VLOOKUP(B106,[1]Sheet1!$C$2:$D$906,2,0)</f>
        <v>8462721202</v>
      </c>
    </row>
    <row r="107" spans="1:29" s="15" customFormat="1" ht="14.45" hidden="1" customHeight="1" x14ac:dyDescent="0.25">
      <c r="A107" s="38"/>
      <c r="B107" s="173" t="s">
        <v>224</v>
      </c>
      <c r="C107" s="62" t="s">
        <v>177</v>
      </c>
      <c r="D107" s="62" t="s">
        <v>245</v>
      </c>
      <c r="E107" s="62" t="s">
        <v>183</v>
      </c>
      <c r="F107" s="77" t="s">
        <v>166</v>
      </c>
      <c r="G107" s="77" t="s">
        <v>172</v>
      </c>
      <c r="H107" s="174" t="s">
        <v>123</v>
      </c>
      <c r="I107" s="77" t="s">
        <v>12</v>
      </c>
      <c r="J107" s="38" t="s">
        <v>37</v>
      </c>
      <c r="K107" s="6">
        <v>586000</v>
      </c>
      <c r="L107" s="78">
        <f t="shared" si="81"/>
        <v>76180</v>
      </c>
      <c r="M107" s="79">
        <v>174</v>
      </c>
      <c r="N107" s="79">
        <v>22</v>
      </c>
      <c r="O107" s="191">
        <f t="shared" si="82"/>
        <v>0.12643678160919541</v>
      </c>
      <c r="P107" s="80">
        <f t="shared" si="83"/>
        <v>74092</v>
      </c>
      <c r="Q107" s="80">
        <f t="shared" si="84"/>
        <v>9632</v>
      </c>
      <c r="R107" s="159">
        <f t="shared" si="85"/>
        <v>-7.8459063967972753E-8</v>
      </c>
      <c r="S107" s="113">
        <v>0.13</v>
      </c>
      <c r="T107" s="86">
        <v>45034</v>
      </c>
      <c r="U107" s="64"/>
      <c r="V107" s="64"/>
      <c r="W107" s="64"/>
      <c r="X107" s="15">
        <v>1</v>
      </c>
      <c r="Y107" s="15" t="str">
        <f>VLOOKUP(B107,[1]Sheet1!$C$2:$D$906,2,0)</f>
        <v>8462721202</v>
      </c>
    </row>
    <row r="108" spans="1:29" s="15" customFormat="1" ht="14.45" hidden="1" customHeight="1" x14ac:dyDescent="0.25">
      <c r="A108" s="38"/>
      <c r="B108" s="173" t="s">
        <v>224</v>
      </c>
      <c r="C108" s="62" t="s">
        <v>177</v>
      </c>
      <c r="D108" s="62" t="s">
        <v>245</v>
      </c>
      <c r="E108" s="62" t="s">
        <v>183</v>
      </c>
      <c r="F108" s="77" t="s">
        <v>166</v>
      </c>
      <c r="G108" s="77" t="s">
        <v>172</v>
      </c>
      <c r="H108" s="174" t="s">
        <v>124</v>
      </c>
      <c r="I108" s="77" t="s">
        <v>12</v>
      </c>
      <c r="J108" s="38" t="s">
        <v>37</v>
      </c>
      <c r="K108" s="6">
        <v>586000</v>
      </c>
      <c r="L108" s="78">
        <f t="shared" si="81"/>
        <v>76180</v>
      </c>
      <c r="M108" s="79">
        <v>174</v>
      </c>
      <c r="N108" s="79">
        <v>22</v>
      </c>
      <c r="O108" s="191">
        <f t="shared" si="82"/>
        <v>0.12643678160919541</v>
      </c>
      <c r="P108" s="80">
        <f t="shared" si="83"/>
        <v>74092</v>
      </c>
      <c r="Q108" s="80">
        <f t="shared" si="84"/>
        <v>9632</v>
      </c>
      <c r="R108" s="159">
        <f t="shared" si="85"/>
        <v>-7.8459063967972753E-8</v>
      </c>
      <c r="S108" s="113">
        <v>0.13</v>
      </c>
      <c r="T108" s="86">
        <v>45034</v>
      </c>
      <c r="U108" s="64"/>
      <c r="V108" s="64"/>
      <c r="W108" s="64"/>
      <c r="X108" s="15">
        <v>1</v>
      </c>
      <c r="Y108" s="15" t="str">
        <f>VLOOKUP(B108,[1]Sheet1!$C$2:$D$906,2,0)</f>
        <v>8462721202</v>
      </c>
    </row>
    <row r="109" spans="1:29" s="15" customFormat="1" ht="14.45" hidden="1" customHeight="1" x14ac:dyDescent="0.25">
      <c r="A109" s="38"/>
      <c r="B109" s="173" t="s">
        <v>224</v>
      </c>
      <c r="C109" s="62" t="s">
        <v>177</v>
      </c>
      <c r="D109" s="62" t="s">
        <v>245</v>
      </c>
      <c r="E109" s="62" t="s">
        <v>183</v>
      </c>
      <c r="F109" s="77" t="s">
        <v>166</v>
      </c>
      <c r="G109" s="77" t="s">
        <v>172</v>
      </c>
      <c r="H109" s="174" t="s">
        <v>225</v>
      </c>
      <c r="I109" s="77" t="s">
        <v>12</v>
      </c>
      <c r="J109" s="38" t="s">
        <v>37</v>
      </c>
      <c r="K109" s="6">
        <v>586000</v>
      </c>
      <c r="L109" s="78">
        <f t="shared" si="81"/>
        <v>76180</v>
      </c>
      <c r="M109" s="79">
        <v>174</v>
      </c>
      <c r="N109" s="79">
        <v>22</v>
      </c>
      <c r="O109" s="191">
        <f t="shared" si="82"/>
        <v>0.12643678160919541</v>
      </c>
      <c r="P109" s="80">
        <f t="shared" si="83"/>
        <v>74092</v>
      </c>
      <c r="Q109" s="80">
        <f t="shared" si="84"/>
        <v>9632</v>
      </c>
      <c r="R109" s="159">
        <f t="shared" si="85"/>
        <v>-7.8459063967972753E-8</v>
      </c>
      <c r="S109" s="113">
        <v>0.13</v>
      </c>
      <c r="T109" s="86">
        <v>45034</v>
      </c>
      <c r="U109" s="64"/>
      <c r="V109" s="64"/>
      <c r="W109" s="64"/>
      <c r="X109" s="15">
        <v>1</v>
      </c>
      <c r="Y109" s="15" t="str">
        <f>VLOOKUP(B109,[1]Sheet1!$C$2:$D$906,2,0)</f>
        <v>8462721202</v>
      </c>
    </row>
    <row r="110" spans="1:29" s="15" customFormat="1" ht="14.45" hidden="1" customHeight="1" x14ac:dyDescent="0.25">
      <c r="A110" s="38"/>
      <c r="B110" s="173" t="s">
        <v>224</v>
      </c>
      <c r="C110" s="62" t="s">
        <v>177</v>
      </c>
      <c r="D110" s="62" t="s">
        <v>245</v>
      </c>
      <c r="E110" s="62" t="s">
        <v>183</v>
      </c>
      <c r="F110" s="77" t="s">
        <v>166</v>
      </c>
      <c r="G110" s="77" t="s">
        <v>172</v>
      </c>
      <c r="H110" s="174" t="s">
        <v>226</v>
      </c>
      <c r="I110" s="77" t="s">
        <v>12</v>
      </c>
      <c r="J110" s="38" t="s">
        <v>37</v>
      </c>
      <c r="K110" s="6">
        <v>586000</v>
      </c>
      <c r="L110" s="78">
        <f t="shared" si="81"/>
        <v>76180</v>
      </c>
      <c r="M110" s="79">
        <v>174</v>
      </c>
      <c r="N110" s="79">
        <v>22</v>
      </c>
      <c r="O110" s="191">
        <f t="shared" si="82"/>
        <v>0.12643678160919541</v>
      </c>
      <c r="P110" s="80">
        <f t="shared" si="83"/>
        <v>74092</v>
      </c>
      <c r="Q110" s="80">
        <f t="shared" si="84"/>
        <v>9632</v>
      </c>
      <c r="R110" s="159">
        <f t="shared" si="85"/>
        <v>-7.8459063967972753E-8</v>
      </c>
      <c r="S110" s="113">
        <v>0.13</v>
      </c>
      <c r="T110" s="86">
        <v>45034</v>
      </c>
      <c r="U110" s="64"/>
      <c r="V110" s="64"/>
      <c r="W110" s="64"/>
      <c r="X110" s="15">
        <v>1</v>
      </c>
      <c r="Y110" s="15" t="str">
        <f>VLOOKUP(B110,[1]Sheet1!$C$2:$D$906,2,0)</f>
        <v>8462721202</v>
      </c>
    </row>
    <row r="111" spans="1:29" s="15" customFormat="1" ht="14.45" customHeight="1" x14ac:dyDescent="0.25">
      <c r="A111" s="38"/>
      <c r="B111" s="38" t="s">
        <v>199</v>
      </c>
      <c r="C111" s="62" t="s">
        <v>177</v>
      </c>
      <c r="D111" s="62" t="s">
        <v>206</v>
      </c>
      <c r="E111" s="62" t="s">
        <v>183</v>
      </c>
      <c r="F111" s="77" t="s">
        <v>166</v>
      </c>
      <c r="G111" s="77" t="s">
        <v>172</v>
      </c>
      <c r="H111" s="62" t="s">
        <v>86</v>
      </c>
      <c r="I111" s="77" t="s">
        <v>11</v>
      </c>
      <c r="J111" s="38" t="s">
        <v>37</v>
      </c>
      <c r="K111" s="6">
        <v>1346300</v>
      </c>
      <c r="L111" s="78">
        <f t="shared" si="59"/>
        <v>175019</v>
      </c>
      <c r="M111" s="79">
        <v>174</v>
      </c>
      <c r="N111" s="79">
        <v>18</v>
      </c>
      <c r="O111" s="191">
        <f t="shared" si="63"/>
        <v>0.10344827586206896</v>
      </c>
      <c r="P111" s="80">
        <f t="shared" ref="P111:P116" si="86">ROUND(K111*N111/M111,0)</f>
        <v>139272</v>
      </c>
      <c r="Q111" s="80">
        <f t="shared" ref="Q111:Q116" si="87">ROUND(P111*S111,0)</f>
        <v>18105</v>
      </c>
      <c r="R111" s="159">
        <f t="shared" ref="R111:R116" si="88">N111/M111-P111/K111</f>
        <v>3.0735579249763223E-7</v>
      </c>
      <c r="S111" s="113">
        <v>0.13</v>
      </c>
      <c r="T111" s="86">
        <v>44629</v>
      </c>
      <c r="U111" s="64">
        <v>1</v>
      </c>
      <c r="V111" s="64"/>
      <c r="W111" s="64"/>
      <c r="X111" s="15">
        <v>1</v>
      </c>
      <c r="Y111" s="15" t="str">
        <f>VLOOKUP(B111,[1]Sheet1!$C$2:$D$906,2,0)</f>
        <v>8438731872</v>
      </c>
    </row>
    <row r="112" spans="1:29" s="15" customFormat="1" ht="14.45" customHeight="1" x14ac:dyDescent="0.25">
      <c r="A112" s="38"/>
      <c r="B112" s="38" t="s">
        <v>199</v>
      </c>
      <c r="C112" s="62" t="s">
        <v>177</v>
      </c>
      <c r="D112" s="62" t="s">
        <v>206</v>
      </c>
      <c r="E112" s="62" t="s">
        <v>183</v>
      </c>
      <c r="F112" s="77" t="s">
        <v>166</v>
      </c>
      <c r="G112" s="77" t="s">
        <v>172</v>
      </c>
      <c r="H112" s="62" t="s">
        <v>87</v>
      </c>
      <c r="I112" s="77" t="s">
        <v>11</v>
      </c>
      <c r="J112" s="38" t="s">
        <v>37</v>
      </c>
      <c r="K112" s="6">
        <v>1346300</v>
      </c>
      <c r="L112" s="78">
        <f t="shared" si="59"/>
        <v>175019</v>
      </c>
      <c r="M112" s="79">
        <v>174</v>
      </c>
      <c r="N112" s="79">
        <v>18</v>
      </c>
      <c r="O112" s="191">
        <f t="shared" si="63"/>
        <v>0.10344827586206896</v>
      </c>
      <c r="P112" s="80">
        <f t="shared" si="86"/>
        <v>139272</v>
      </c>
      <c r="Q112" s="80">
        <f t="shared" si="87"/>
        <v>18105</v>
      </c>
      <c r="R112" s="159">
        <f t="shared" si="88"/>
        <v>3.0735579249763223E-7</v>
      </c>
      <c r="S112" s="113">
        <v>0.13</v>
      </c>
      <c r="T112" s="86">
        <v>44629</v>
      </c>
      <c r="U112" s="64">
        <v>1</v>
      </c>
      <c r="V112" s="64"/>
      <c r="W112" s="64"/>
      <c r="X112" s="15">
        <v>1</v>
      </c>
      <c r="Y112" s="15" t="str">
        <f>VLOOKUP(B112,[1]Sheet1!$C$2:$D$906,2,0)</f>
        <v>8438731872</v>
      </c>
    </row>
    <row r="113" spans="1:29" s="15" customFormat="1" ht="14.45" customHeight="1" x14ac:dyDescent="0.25">
      <c r="A113" s="38"/>
      <c r="B113" s="38" t="s">
        <v>199</v>
      </c>
      <c r="C113" s="62" t="s">
        <v>177</v>
      </c>
      <c r="D113" s="62" t="s">
        <v>206</v>
      </c>
      <c r="E113" s="62" t="s">
        <v>183</v>
      </c>
      <c r="F113" s="77" t="s">
        <v>166</v>
      </c>
      <c r="G113" s="77" t="s">
        <v>172</v>
      </c>
      <c r="H113" s="62" t="s">
        <v>88</v>
      </c>
      <c r="I113" s="77" t="s">
        <v>11</v>
      </c>
      <c r="J113" s="38" t="s">
        <v>37</v>
      </c>
      <c r="K113" s="6">
        <v>1416300</v>
      </c>
      <c r="L113" s="78">
        <f t="shared" si="59"/>
        <v>184119</v>
      </c>
      <c r="M113" s="79">
        <v>174</v>
      </c>
      <c r="N113" s="79">
        <v>18</v>
      </c>
      <c r="O113" s="191">
        <f t="shared" si="63"/>
        <v>0.10344827586206896</v>
      </c>
      <c r="P113" s="80">
        <f t="shared" si="86"/>
        <v>146514</v>
      </c>
      <c r="Q113" s="80">
        <f t="shared" si="87"/>
        <v>19047</v>
      </c>
      <c r="R113" s="159">
        <f t="shared" si="88"/>
        <v>-1.4608243431579737E-7</v>
      </c>
      <c r="S113" s="113">
        <v>0.13</v>
      </c>
      <c r="T113" s="86">
        <v>44629</v>
      </c>
      <c r="U113" s="64">
        <v>1</v>
      </c>
      <c r="V113" s="64"/>
      <c r="W113" s="64"/>
      <c r="X113" s="15">
        <v>1</v>
      </c>
      <c r="Y113" s="15" t="str">
        <f>VLOOKUP(B113,[1]Sheet1!$C$2:$D$906,2,0)</f>
        <v>8438731872</v>
      </c>
    </row>
    <row r="114" spans="1:29" s="15" customFormat="1" ht="14.45" customHeight="1" x14ac:dyDescent="0.25">
      <c r="A114" s="38"/>
      <c r="B114" s="38" t="s">
        <v>199</v>
      </c>
      <c r="C114" s="62" t="s">
        <v>177</v>
      </c>
      <c r="D114" s="62" t="s">
        <v>206</v>
      </c>
      <c r="E114" s="62" t="s">
        <v>183</v>
      </c>
      <c r="F114" s="77" t="s">
        <v>166</v>
      </c>
      <c r="G114" s="77" t="s">
        <v>172</v>
      </c>
      <c r="H114" s="62" t="s">
        <v>89</v>
      </c>
      <c r="I114" s="77" t="s">
        <v>11</v>
      </c>
      <c r="J114" s="38" t="s">
        <v>37</v>
      </c>
      <c r="K114" s="6">
        <v>1346300</v>
      </c>
      <c r="L114" s="78">
        <f t="shared" si="59"/>
        <v>175019</v>
      </c>
      <c r="M114" s="79">
        <v>174</v>
      </c>
      <c r="N114" s="79">
        <v>18</v>
      </c>
      <c r="O114" s="191">
        <f t="shared" si="63"/>
        <v>0.10344827586206896</v>
      </c>
      <c r="P114" s="80">
        <f t="shared" si="86"/>
        <v>139272</v>
      </c>
      <c r="Q114" s="80">
        <f t="shared" si="87"/>
        <v>18105</v>
      </c>
      <c r="R114" s="159">
        <f t="shared" si="88"/>
        <v>3.0735579249763223E-7</v>
      </c>
      <c r="S114" s="113">
        <v>0.13</v>
      </c>
      <c r="T114" s="86">
        <v>44705</v>
      </c>
      <c r="U114" s="64">
        <v>2</v>
      </c>
      <c r="V114" s="64"/>
      <c r="W114" s="64"/>
      <c r="X114" s="15">
        <v>1</v>
      </c>
      <c r="Y114" s="15" t="str">
        <f>VLOOKUP(B114,[1]Sheet1!$C$2:$D$906,2,0)</f>
        <v>8438731872</v>
      </c>
    </row>
    <row r="115" spans="1:29" s="15" customFormat="1" ht="14.45" customHeight="1" x14ac:dyDescent="0.25">
      <c r="A115" s="38"/>
      <c r="B115" s="38" t="s">
        <v>199</v>
      </c>
      <c r="C115" s="62" t="s">
        <v>177</v>
      </c>
      <c r="D115" s="62" t="s">
        <v>206</v>
      </c>
      <c r="E115" s="62" t="s">
        <v>183</v>
      </c>
      <c r="F115" s="77" t="s">
        <v>166</v>
      </c>
      <c r="G115" s="77" t="s">
        <v>172</v>
      </c>
      <c r="H115" s="62" t="s">
        <v>90</v>
      </c>
      <c r="I115" s="77" t="s">
        <v>11</v>
      </c>
      <c r="J115" s="38" t="s">
        <v>37</v>
      </c>
      <c r="K115" s="6">
        <v>1346300</v>
      </c>
      <c r="L115" s="78">
        <f t="shared" si="59"/>
        <v>175019</v>
      </c>
      <c r="M115" s="79">
        <v>174</v>
      </c>
      <c r="N115" s="79">
        <v>18</v>
      </c>
      <c r="O115" s="191">
        <f t="shared" si="63"/>
        <v>0.10344827586206896</v>
      </c>
      <c r="P115" s="80">
        <f t="shared" si="86"/>
        <v>139272</v>
      </c>
      <c r="Q115" s="80">
        <f t="shared" si="87"/>
        <v>18105</v>
      </c>
      <c r="R115" s="159">
        <f t="shared" si="88"/>
        <v>3.0735579249763223E-7</v>
      </c>
      <c r="S115" s="113">
        <v>0.13</v>
      </c>
      <c r="T115" s="86">
        <v>44705</v>
      </c>
      <c r="U115" s="64">
        <v>2</v>
      </c>
      <c r="V115" s="64"/>
      <c r="W115" s="64"/>
      <c r="X115" s="15">
        <v>1</v>
      </c>
      <c r="Y115" s="15" t="str">
        <f>VLOOKUP(B115,[1]Sheet1!$C$2:$D$906,2,0)</f>
        <v>8438731872</v>
      </c>
    </row>
    <row r="116" spans="1:29" s="15" customFormat="1" ht="14.45" customHeight="1" x14ac:dyDescent="0.25">
      <c r="A116" s="38"/>
      <c r="B116" s="38" t="s">
        <v>199</v>
      </c>
      <c r="C116" s="62" t="s">
        <v>177</v>
      </c>
      <c r="D116" s="62" t="s">
        <v>206</v>
      </c>
      <c r="E116" s="62" t="s">
        <v>183</v>
      </c>
      <c r="F116" s="77" t="s">
        <v>166</v>
      </c>
      <c r="G116" s="77" t="s">
        <v>172</v>
      </c>
      <c r="H116" s="62" t="s">
        <v>91</v>
      </c>
      <c r="I116" s="77" t="s">
        <v>11</v>
      </c>
      <c r="J116" s="38" t="s">
        <v>37</v>
      </c>
      <c r="K116" s="6">
        <v>1346300</v>
      </c>
      <c r="L116" s="78">
        <f t="shared" si="59"/>
        <v>175019</v>
      </c>
      <c r="M116" s="79">
        <v>174</v>
      </c>
      <c r="N116" s="79">
        <v>18</v>
      </c>
      <c r="O116" s="191">
        <f t="shared" si="63"/>
        <v>0.10344827586206896</v>
      </c>
      <c r="P116" s="80">
        <f t="shared" si="86"/>
        <v>139272</v>
      </c>
      <c r="Q116" s="80">
        <f t="shared" si="87"/>
        <v>18105</v>
      </c>
      <c r="R116" s="159">
        <f t="shared" si="88"/>
        <v>3.0735579249763223E-7</v>
      </c>
      <c r="S116" s="113">
        <v>0.13</v>
      </c>
      <c r="T116" s="86">
        <v>44705</v>
      </c>
      <c r="U116" s="64">
        <v>2</v>
      </c>
      <c r="V116" s="64"/>
      <c r="W116" s="64"/>
      <c r="X116" s="15">
        <v>1</v>
      </c>
      <c r="Y116" s="15" t="str">
        <f>VLOOKUP(B116,[1]Sheet1!$C$2:$D$906,2,0)</f>
        <v>8438731872</v>
      </c>
    </row>
    <row r="117" spans="1:29" s="15" customFormat="1" ht="14.45" customHeight="1" x14ac:dyDescent="0.25">
      <c r="A117" s="38"/>
      <c r="B117" s="38" t="s">
        <v>199</v>
      </c>
      <c r="C117" s="62" t="s">
        <v>177</v>
      </c>
      <c r="D117" s="62" t="s">
        <v>206</v>
      </c>
      <c r="E117" s="62" t="s">
        <v>183</v>
      </c>
      <c r="F117" s="77" t="s">
        <v>166</v>
      </c>
      <c r="G117" s="77" t="s">
        <v>172</v>
      </c>
      <c r="H117" s="62" t="s">
        <v>92</v>
      </c>
      <c r="I117" s="77" t="s">
        <v>11</v>
      </c>
      <c r="J117" s="38" t="s">
        <v>37</v>
      </c>
      <c r="K117" s="6">
        <v>1346300</v>
      </c>
      <c r="L117" s="78">
        <f t="shared" si="59"/>
        <v>175019</v>
      </c>
      <c r="M117" s="79">
        <v>174</v>
      </c>
      <c r="N117" s="79">
        <v>18</v>
      </c>
      <c r="O117" s="191">
        <f t="shared" si="63"/>
        <v>0.10344827586206896</v>
      </c>
      <c r="P117" s="80">
        <f t="shared" ref="P117:P126" si="89">ROUND(K117*N117/M117,0)</f>
        <v>139272</v>
      </c>
      <c r="Q117" s="80">
        <f t="shared" ref="Q117:Q126" si="90">ROUND(P117*S117,0)</f>
        <v>18105</v>
      </c>
      <c r="R117" s="159">
        <f t="shared" ref="R117:R120" si="91">N117/M117-P117/K117</f>
        <v>3.0735579249763223E-7</v>
      </c>
      <c r="S117" s="113">
        <v>0.13</v>
      </c>
      <c r="T117" s="86"/>
      <c r="U117" s="64">
        <v>2</v>
      </c>
      <c r="V117" s="64"/>
      <c r="W117" s="64"/>
      <c r="X117" s="15">
        <v>1</v>
      </c>
      <c r="Y117" s="15" t="str">
        <f>VLOOKUP(B117,[1]Sheet1!$C$2:$D$906,2,0)</f>
        <v>8438731872</v>
      </c>
    </row>
    <row r="118" spans="1:29" s="15" customFormat="1" ht="14.45" customHeight="1" x14ac:dyDescent="0.25">
      <c r="A118" s="38"/>
      <c r="B118" s="38" t="s">
        <v>199</v>
      </c>
      <c r="C118" s="62" t="s">
        <v>177</v>
      </c>
      <c r="D118" s="62" t="s">
        <v>206</v>
      </c>
      <c r="E118" s="62" t="s">
        <v>183</v>
      </c>
      <c r="F118" s="77" t="s">
        <v>166</v>
      </c>
      <c r="G118" s="77" t="s">
        <v>172</v>
      </c>
      <c r="H118" s="62" t="s">
        <v>93</v>
      </c>
      <c r="I118" s="77" t="s">
        <v>11</v>
      </c>
      <c r="J118" s="38" t="s">
        <v>37</v>
      </c>
      <c r="K118" s="6">
        <v>1346300</v>
      </c>
      <c r="L118" s="78">
        <f t="shared" si="59"/>
        <v>175019</v>
      </c>
      <c r="M118" s="79">
        <v>174</v>
      </c>
      <c r="N118" s="79">
        <v>18</v>
      </c>
      <c r="O118" s="191">
        <f t="shared" si="63"/>
        <v>0.10344827586206896</v>
      </c>
      <c r="P118" s="80">
        <f t="shared" si="89"/>
        <v>139272</v>
      </c>
      <c r="Q118" s="80">
        <f t="shared" si="90"/>
        <v>18105</v>
      </c>
      <c r="R118" s="159">
        <f t="shared" si="91"/>
        <v>3.0735579249763223E-7</v>
      </c>
      <c r="S118" s="113">
        <v>0.13</v>
      </c>
      <c r="T118" s="86"/>
      <c r="U118" s="64">
        <v>2</v>
      </c>
      <c r="V118" s="64"/>
      <c r="W118" s="64"/>
      <c r="X118" s="15">
        <v>1</v>
      </c>
      <c r="Y118" s="15" t="str">
        <f>VLOOKUP(B118,[1]Sheet1!$C$2:$D$906,2,0)</f>
        <v>8438731872</v>
      </c>
    </row>
    <row r="119" spans="1:29" s="15" customFormat="1" ht="14.45" customHeight="1" x14ac:dyDescent="0.25">
      <c r="A119" s="38"/>
      <c r="B119" s="38" t="s">
        <v>199</v>
      </c>
      <c r="C119" s="62" t="s">
        <v>177</v>
      </c>
      <c r="D119" s="62" t="s">
        <v>206</v>
      </c>
      <c r="E119" s="62" t="s">
        <v>183</v>
      </c>
      <c r="F119" s="77" t="s">
        <v>166</v>
      </c>
      <c r="G119" s="77" t="s">
        <v>172</v>
      </c>
      <c r="H119" s="62" t="s">
        <v>94</v>
      </c>
      <c r="I119" s="77" t="s">
        <v>11</v>
      </c>
      <c r="J119" s="38" t="s">
        <v>37</v>
      </c>
      <c r="K119" s="6">
        <v>1346300</v>
      </c>
      <c r="L119" s="78">
        <f t="shared" si="59"/>
        <v>175019</v>
      </c>
      <c r="M119" s="79">
        <v>174</v>
      </c>
      <c r="N119" s="79">
        <v>18</v>
      </c>
      <c r="O119" s="191">
        <f t="shared" si="63"/>
        <v>0.10344827586206896</v>
      </c>
      <c r="P119" s="80">
        <f t="shared" si="89"/>
        <v>139272</v>
      </c>
      <c r="Q119" s="80">
        <f t="shared" si="90"/>
        <v>18105</v>
      </c>
      <c r="R119" s="159">
        <f t="shared" si="91"/>
        <v>3.0735579249763223E-7</v>
      </c>
      <c r="S119" s="113">
        <v>0.13</v>
      </c>
      <c r="T119" s="86"/>
      <c r="U119" s="64">
        <v>2</v>
      </c>
      <c r="V119" s="64"/>
      <c r="W119" s="64"/>
      <c r="X119" s="15">
        <v>1</v>
      </c>
      <c r="Y119" s="15" t="str">
        <f>VLOOKUP(B119,[1]Sheet1!$C$2:$D$906,2,0)</f>
        <v>8438731872</v>
      </c>
    </row>
    <row r="120" spans="1:29" s="15" customFormat="1" ht="14.45" customHeight="1" x14ac:dyDescent="0.25">
      <c r="A120" s="38"/>
      <c r="B120" s="38" t="s">
        <v>199</v>
      </c>
      <c r="C120" s="62" t="s">
        <v>177</v>
      </c>
      <c r="D120" s="62" t="s">
        <v>206</v>
      </c>
      <c r="E120" s="62" t="s">
        <v>183</v>
      </c>
      <c r="F120" s="77" t="s">
        <v>166</v>
      </c>
      <c r="G120" s="77" t="s">
        <v>172</v>
      </c>
      <c r="H120" s="174" t="s">
        <v>281</v>
      </c>
      <c r="I120" s="77" t="s">
        <v>11</v>
      </c>
      <c r="J120" s="38" t="s">
        <v>37</v>
      </c>
      <c r="K120" s="6">
        <f>1346300/21*13</f>
        <v>833423.80952380947</v>
      </c>
      <c r="L120" s="78">
        <f t="shared" si="59"/>
        <v>108345</v>
      </c>
      <c r="M120" s="79">
        <v>174</v>
      </c>
      <c r="N120" s="79">
        <v>18</v>
      </c>
      <c r="O120" s="191">
        <f t="shared" si="63"/>
        <v>0.10344827586206896</v>
      </c>
      <c r="P120" s="80">
        <f t="shared" si="89"/>
        <v>86216</v>
      </c>
      <c r="Q120" s="80">
        <f t="shared" si="90"/>
        <v>11208</v>
      </c>
      <c r="R120" s="159">
        <f t="shared" si="91"/>
        <v>3.0735579249763223E-7</v>
      </c>
      <c r="S120" s="113">
        <v>0.13</v>
      </c>
      <c r="T120" s="86"/>
      <c r="U120" s="64">
        <v>2</v>
      </c>
      <c r="V120" s="64"/>
      <c r="W120" s="64"/>
      <c r="X120" s="15">
        <v>1</v>
      </c>
      <c r="Y120" s="15" t="str">
        <f>VLOOKUP(B120,[1]Sheet1!$C$2:$D$906,2,0)</f>
        <v>8438731872</v>
      </c>
      <c r="AA120" t="str">
        <f>IF(VLOOKUP(LEFT(Y120,10),'Havi béradatok'!$B:$E,2,0)=D120,"EGYEZIK","HIBÁS")</f>
        <v>EGYEZIK</v>
      </c>
      <c r="AB120">
        <f>(VLOOKUP(LEFT(Y120,10),'Havi béradatok'!$B:$E,3,0)-K120)</f>
        <v>593676.19047619053</v>
      </c>
      <c r="AC120" s="3">
        <f>(VLOOKUP(LEFT(Y120,10),'Havi béradatok'!$B:$E,4,0)-L120)</f>
        <v>77178</v>
      </c>
    </row>
    <row r="121" spans="1:29" s="15" customFormat="1" ht="14.45" customHeight="1" x14ac:dyDescent="0.25">
      <c r="A121" s="38"/>
      <c r="B121" s="38" t="s">
        <v>199</v>
      </c>
      <c r="C121" s="62" t="s">
        <v>177</v>
      </c>
      <c r="D121" s="62" t="s">
        <v>206</v>
      </c>
      <c r="E121" s="62" t="s">
        <v>183</v>
      </c>
      <c r="F121" s="77" t="s">
        <v>166</v>
      </c>
      <c r="G121" s="77" t="s">
        <v>172</v>
      </c>
      <c r="H121" s="174" t="s">
        <v>280</v>
      </c>
      <c r="I121" s="77" t="s">
        <v>11</v>
      </c>
      <c r="J121" s="38" t="s">
        <v>37</v>
      </c>
      <c r="K121" s="6">
        <f>1346300/21*8</f>
        <v>512876.19047619047</v>
      </c>
      <c r="L121" s="78">
        <f t="shared" ref="L121" si="92">ROUND(K121*S121,0)</f>
        <v>66674</v>
      </c>
      <c r="M121" s="79">
        <v>174</v>
      </c>
      <c r="N121" s="79">
        <v>18</v>
      </c>
      <c r="O121" s="191">
        <f t="shared" ref="O121" si="93">N121/M121</f>
        <v>0.10344827586206896</v>
      </c>
      <c r="P121" s="80">
        <f t="shared" ref="P121" si="94">ROUND(K121*N121/M121,0)</f>
        <v>53056</v>
      </c>
      <c r="Q121" s="80">
        <f t="shared" ref="Q121" si="95">ROUND(P121*S121,0)</f>
        <v>6897</v>
      </c>
      <c r="R121" s="159">
        <f t="shared" ref="R121" si="96">N121/M121-P121/K121</f>
        <v>3.0735579249763223E-7</v>
      </c>
      <c r="S121" s="113">
        <v>0.13</v>
      </c>
      <c r="T121" s="86"/>
      <c r="U121" s="64"/>
      <c r="V121" s="64"/>
      <c r="W121" s="64"/>
      <c r="X121" s="15">
        <v>1</v>
      </c>
      <c r="Y121" s="15" t="str">
        <f>VLOOKUP(B121,[1]Sheet1!$C$2:$D$906,2,0)</f>
        <v>8438731872</v>
      </c>
      <c r="AA121" t="str">
        <f>IF(VLOOKUP(LEFT(Y121,10),'Havi béradatok'!$B:$E,2,0)=D121,"EGYEZIK","HIBÁS")</f>
        <v>EGYEZIK</v>
      </c>
      <c r="AB121">
        <f>(VLOOKUP(LEFT(Y121,10),'Havi béradatok'!$B:$E,3,0)-K121)</f>
        <v>914223.80952380947</v>
      </c>
      <c r="AC121" s="3">
        <f>(VLOOKUP(LEFT(Y121,10),'Havi béradatok'!$B:$E,4,0)-L121)</f>
        <v>118849</v>
      </c>
    </row>
    <row r="122" spans="1:29" s="15" customFormat="1" ht="14.45" customHeight="1" x14ac:dyDescent="0.25">
      <c r="A122" s="38"/>
      <c r="B122" s="38" t="s">
        <v>199</v>
      </c>
      <c r="C122" s="62" t="s">
        <v>177</v>
      </c>
      <c r="D122" s="62" t="s">
        <v>206</v>
      </c>
      <c r="E122" s="62" t="s">
        <v>183</v>
      </c>
      <c r="F122" s="77" t="s">
        <v>166</v>
      </c>
      <c r="G122" s="77" t="s">
        <v>172</v>
      </c>
      <c r="H122" s="174" t="s">
        <v>117</v>
      </c>
      <c r="I122" s="77" t="s">
        <v>11</v>
      </c>
      <c r="J122" s="38" t="s">
        <v>37</v>
      </c>
      <c r="K122" s="6">
        <v>1427100</v>
      </c>
      <c r="L122" s="78">
        <f t="shared" si="59"/>
        <v>185523</v>
      </c>
      <c r="M122" s="79">
        <v>174</v>
      </c>
      <c r="N122" s="79">
        <v>24</v>
      </c>
      <c r="O122" s="191">
        <f t="shared" si="63"/>
        <v>0.13793103448275862</v>
      </c>
      <c r="P122" s="80">
        <f t="shared" si="89"/>
        <v>196841</v>
      </c>
      <c r="Q122" s="80">
        <f t="shared" si="90"/>
        <v>25589</v>
      </c>
      <c r="R122" s="159">
        <f t="shared" ref="R122:R125" si="97">N122/M122-P122/K122</f>
        <v>2.6579100612100781E-7</v>
      </c>
      <c r="S122" s="113">
        <v>0.13</v>
      </c>
      <c r="T122" s="86">
        <v>44929</v>
      </c>
      <c r="U122" s="64"/>
      <c r="V122" s="64"/>
      <c r="W122" s="64"/>
      <c r="X122" s="15">
        <v>1</v>
      </c>
      <c r="Y122" s="15" t="str">
        <f>VLOOKUP(B122,[1]Sheet1!$C$2:$D$906,2,0)</f>
        <v>8438731872</v>
      </c>
      <c r="AA122" t="str">
        <f>IF(VLOOKUP(LEFT(Y122,10),'Havi béradatok'!$B:$E,2,0)=D122,"EGYEZIK","HIBÁS")</f>
        <v>EGYEZIK</v>
      </c>
      <c r="AB122">
        <f>(VLOOKUP(LEFT(Y122,10),'Havi béradatok'!$B:$E,3,0)-K122)</f>
        <v>0</v>
      </c>
      <c r="AC122" s="3">
        <f>(VLOOKUP(LEFT(Y122,10),'Havi béradatok'!$B:$E,4,0)-L122)</f>
        <v>0</v>
      </c>
    </row>
    <row r="123" spans="1:29" s="15" customFormat="1" ht="14.45" customHeight="1" x14ac:dyDescent="0.25">
      <c r="A123" s="38"/>
      <c r="B123" s="38" t="s">
        <v>199</v>
      </c>
      <c r="C123" s="62" t="s">
        <v>177</v>
      </c>
      <c r="D123" s="62" t="s">
        <v>206</v>
      </c>
      <c r="E123" s="62" t="s">
        <v>183</v>
      </c>
      <c r="F123" s="77" t="s">
        <v>166</v>
      </c>
      <c r="G123" s="77" t="s">
        <v>172</v>
      </c>
      <c r="H123" s="174" t="s">
        <v>118</v>
      </c>
      <c r="I123" s="77" t="s">
        <v>11</v>
      </c>
      <c r="J123" s="38" t="s">
        <v>37</v>
      </c>
      <c r="K123" s="6">
        <v>1427100</v>
      </c>
      <c r="L123" s="78">
        <f t="shared" si="59"/>
        <v>185523</v>
      </c>
      <c r="M123" s="79">
        <v>174</v>
      </c>
      <c r="N123" s="79">
        <v>24</v>
      </c>
      <c r="O123" s="191">
        <f t="shared" si="63"/>
        <v>0.13793103448275862</v>
      </c>
      <c r="P123" s="80">
        <f t="shared" si="89"/>
        <v>196841</v>
      </c>
      <c r="Q123" s="80">
        <f t="shared" si="90"/>
        <v>25589</v>
      </c>
      <c r="R123" s="159">
        <f t="shared" si="97"/>
        <v>2.6579100612100781E-7</v>
      </c>
      <c r="S123" s="113">
        <v>0.13</v>
      </c>
      <c r="T123" s="86">
        <v>44929</v>
      </c>
      <c r="U123" s="64"/>
      <c r="V123" s="64"/>
      <c r="W123" s="64"/>
      <c r="X123" s="15">
        <v>1</v>
      </c>
      <c r="Y123" s="15" t="str">
        <f>VLOOKUP(B123,[1]Sheet1!$C$2:$D$906,2,0)</f>
        <v>8438731872</v>
      </c>
      <c r="AA123" t="str">
        <f>IF(VLOOKUP(LEFT(Y123,10),'Havi béradatok'!$B:$E,2,0)=D123,"EGYEZIK","HIBÁS")</f>
        <v>EGYEZIK</v>
      </c>
      <c r="AB123">
        <f>(VLOOKUP(LEFT(Y123,10),'Havi béradatok'!$B:$E,3,0)-K123)</f>
        <v>0</v>
      </c>
      <c r="AC123" s="3">
        <f>(VLOOKUP(LEFT(Y123,10),'Havi béradatok'!$B:$E,4,0)-L123)</f>
        <v>0</v>
      </c>
    </row>
    <row r="124" spans="1:29" s="15" customFormat="1" ht="14.45" customHeight="1" x14ac:dyDescent="0.25">
      <c r="A124" s="38"/>
      <c r="B124" s="38" t="s">
        <v>199</v>
      </c>
      <c r="C124" s="62" t="s">
        <v>177</v>
      </c>
      <c r="D124" s="62" t="s">
        <v>206</v>
      </c>
      <c r="E124" s="62" t="s">
        <v>183</v>
      </c>
      <c r="F124" s="77" t="s">
        <v>166</v>
      </c>
      <c r="G124" s="77" t="s">
        <v>172</v>
      </c>
      <c r="H124" s="174" t="s">
        <v>119</v>
      </c>
      <c r="I124" s="77" t="s">
        <v>11</v>
      </c>
      <c r="J124" s="38" t="s">
        <v>37</v>
      </c>
      <c r="K124" s="6">
        <v>1427100</v>
      </c>
      <c r="L124" s="78">
        <f t="shared" si="59"/>
        <v>185523</v>
      </c>
      <c r="M124" s="79">
        <v>174</v>
      </c>
      <c r="N124" s="79">
        <v>24</v>
      </c>
      <c r="O124" s="191">
        <f t="shared" si="63"/>
        <v>0.13793103448275862</v>
      </c>
      <c r="P124" s="80">
        <f t="shared" si="89"/>
        <v>196841</v>
      </c>
      <c r="Q124" s="80">
        <f t="shared" si="90"/>
        <v>25589</v>
      </c>
      <c r="R124" s="159">
        <f t="shared" si="97"/>
        <v>2.6579100612100781E-7</v>
      </c>
      <c r="S124" s="113">
        <v>0.13</v>
      </c>
      <c r="T124" s="86">
        <v>44967</v>
      </c>
      <c r="U124" s="64"/>
      <c r="V124" s="64"/>
      <c r="W124" s="64"/>
      <c r="X124" s="15">
        <v>1</v>
      </c>
      <c r="Y124" s="15" t="str">
        <f>VLOOKUP(B124,[1]Sheet1!$C$2:$D$906,2,0)</f>
        <v>8438731872</v>
      </c>
      <c r="AA124" t="str">
        <f>IF(VLOOKUP(LEFT(Y124,10),'Havi béradatok'!$B:$E,2,0)=D124,"EGYEZIK","HIBÁS")</f>
        <v>EGYEZIK</v>
      </c>
      <c r="AB124">
        <f>(VLOOKUP(LEFT(Y124,10),'Havi béradatok'!$B:$E,3,0)-K124)</f>
        <v>0</v>
      </c>
      <c r="AC124" s="3">
        <f>(VLOOKUP(LEFT(Y124,10),'Havi béradatok'!$B:$E,4,0)-L124)</f>
        <v>0</v>
      </c>
    </row>
    <row r="125" spans="1:29" s="15" customFormat="1" ht="14.45" hidden="1" customHeight="1" x14ac:dyDescent="0.25">
      <c r="A125" s="38"/>
      <c r="B125" s="38" t="s">
        <v>199</v>
      </c>
      <c r="C125" s="62" t="s">
        <v>177</v>
      </c>
      <c r="D125" s="62" t="s">
        <v>206</v>
      </c>
      <c r="E125" s="62" t="s">
        <v>183</v>
      </c>
      <c r="F125" s="77" t="s">
        <v>166</v>
      </c>
      <c r="G125" s="77" t="s">
        <v>172</v>
      </c>
      <c r="H125" s="174" t="s">
        <v>120</v>
      </c>
      <c r="I125" s="77" t="s">
        <v>12</v>
      </c>
      <c r="J125" s="38" t="s">
        <v>37</v>
      </c>
      <c r="K125" s="6">
        <v>1427100</v>
      </c>
      <c r="L125" s="78">
        <f t="shared" si="59"/>
        <v>185523</v>
      </c>
      <c r="M125" s="79">
        <v>174</v>
      </c>
      <c r="N125" s="79">
        <v>24</v>
      </c>
      <c r="O125" s="191">
        <f t="shared" si="63"/>
        <v>0.13793103448275862</v>
      </c>
      <c r="P125" s="80">
        <f t="shared" si="89"/>
        <v>196841</v>
      </c>
      <c r="Q125" s="80">
        <f t="shared" si="90"/>
        <v>25589</v>
      </c>
      <c r="R125" s="159">
        <f t="shared" si="97"/>
        <v>2.6579100612100781E-7</v>
      </c>
      <c r="S125" s="113">
        <v>0.13</v>
      </c>
      <c r="T125" s="86">
        <v>44967</v>
      </c>
      <c r="U125" s="64"/>
      <c r="V125" s="64"/>
      <c r="W125" s="64"/>
      <c r="X125" s="15">
        <v>1</v>
      </c>
      <c r="Y125" s="15" t="str">
        <f>VLOOKUP(B125,[1]Sheet1!$C$2:$D$906,2,0)</f>
        <v>8438731872</v>
      </c>
    </row>
    <row r="126" spans="1:29" s="15" customFormat="1" ht="14.45" hidden="1" customHeight="1" x14ac:dyDescent="0.25">
      <c r="A126" s="38"/>
      <c r="B126" s="38" t="s">
        <v>199</v>
      </c>
      <c r="C126" s="62" t="s">
        <v>177</v>
      </c>
      <c r="D126" s="62" t="s">
        <v>206</v>
      </c>
      <c r="E126" s="62" t="s">
        <v>183</v>
      </c>
      <c r="F126" s="77" t="s">
        <v>166</v>
      </c>
      <c r="G126" s="77" t="s">
        <v>172</v>
      </c>
      <c r="H126" s="174" t="s">
        <v>121</v>
      </c>
      <c r="I126" s="77" t="s">
        <v>12</v>
      </c>
      <c r="J126" s="38" t="s">
        <v>37</v>
      </c>
      <c r="K126" s="6">
        <v>1427100</v>
      </c>
      <c r="L126" s="78">
        <f t="shared" si="59"/>
        <v>185523</v>
      </c>
      <c r="M126" s="79">
        <v>174</v>
      </c>
      <c r="N126" s="79">
        <v>24</v>
      </c>
      <c r="O126" s="191">
        <f t="shared" si="63"/>
        <v>0.13793103448275862</v>
      </c>
      <c r="P126" s="80">
        <f t="shared" si="89"/>
        <v>196841</v>
      </c>
      <c r="Q126" s="80">
        <f t="shared" si="90"/>
        <v>25589</v>
      </c>
      <c r="R126" s="159">
        <f t="shared" ref="R126" si="98">N126/M126-P126/K126</f>
        <v>2.6579100612100781E-7</v>
      </c>
      <c r="S126" s="113">
        <v>0.13</v>
      </c>
      <c r="T126" s="86">
        <v>44967</v>
      </c>
      <c r="U126" s="64"/>
      <c r="V126" s="64"/>
      <c r="W126" s="64"/>
      <c r="X126" s="15">
        <v>1</v>
      </c>
      <c r="Y126" s="15" t="str">
        <f>VLOOKUP(B126,[1]Sheet1!$C$2:$D$906,2,0)</f>
        <v>8438731872</v>
      </c>
    </row>
    <row r="127" spans="1:29" s="15" customFormat="1" ht="14.45" customHeight="1" x14ac:dyDescent="0.25">
      <c r="A127" s="38"/>
      <c r="B127" s="38" t="s">
        <v>189</v>
      </c>
      <c r="C127" s="62" t="s">
        <v>177</v>
      </c>
      <c r="D127" s="62" t="s">
        <v>203</v>
      </c>
      <c r="E127" s="62" t="s">
        <v>179</v>
      </c>
      <c r="F127" s="77" t="s">
        <v>169</v>
      </c>
      <c r="G127" s="77" t="s">
        <v>174</v>
      </c>
      <c r="H127" s="62" t="s">
        <v>85</v>
      </c>
      <c r="I127" s="77" t="s">
        <v>11</v>
      </c>
      <c r="J127" s="38" t="s">
        <v>37</v>
      </c>
      <c r="K127" s="6">
        <v>480000</v>
      </c>
      <c r="L127" s="78">
        <f t="shared" si="59"/>
        <v>62400</v>
      </c>
      <c r="M127" s="79">
        <v>174</v>
      </c>
      <c r="N127" s="79">
        <v>138</v>
      </c>
      <c r="O127" s="191">
        <f t="shared" si="63"/>
        <v>0.7931034482758621</v>
      </c>
      <c r="P127" s="80">
        <f t="shared" ref="P127:P130" si="99">ROUND(K127*N127/M127,0)</f>
        <v>380690</v>
      </c>
      <c r="Q127" s="80">
        <f t="shared" ref="Q127:Q130" si="100">ROUND(P127*S127,0)</f>
        <v>49490</v>
      </c>
      <c r="R127" s="159">
        <f t="shared" ref="R127:R129" si="101">N127/M127-P127/K127</f>
        <v>-7.1839080462154925E-7</v>
      </c>
      <c r="S127" s="113">
        <v>0.13</v>
      </c>
      <c r="T127" s="86">
        <v>44585</v>
      </c>
      <c r="U127" s="64">
        <v>1</v>
      </c>
      <c r="V127" s="64"/>
      <c r="W127" s="64"/>
      <c r="X127" s="15">
        <v>1</v>
      </c>
      <c r="Y127" s="15" t="str">
        <f>VLOOKUP(B127,[1]Sheet1!$C$2:$D$906,2,0)</f>
        <v>8430140549</v>
      </c>
    </row>
    <row r="128" spans="1:29" s="15" customFormat="1" ht="14.45" hidden="1" customHeight="1" x14ac:dyDescent="0.25">
      <c r="A128" s="38"/>
      <c r="B128" s="173" t="s">
        <v>189</v>
      </c>
      <c r="C128" s="62" t="s">
        <v>177</v>
      </c>
      <c r="D128" s="62" t="s">
        <v>203</v>
      </c>
      <c r="E128" s="62" t="s">
        <v>183</v>
      </c>
      <c r="F128" s="77" t="s">
        <v>166</v>
      </c>
      <c r="G128" s="77" t="s">
        <v>172</v>
      </c>
      <c r="H128" s="174" t="s">
        <v>120</v>
      </c>
      <c r="I128" s="77" t="s">
        <v>12</v>
      </c>
      <c r="J128" s="38" t="s">
        <v>37</v>
      </c>
      <c r="K128" s="6">
        <v>535000</v>
      </c>
      <c r="L128" s="78">
        <f t="shared" si="59"/>
        <v>69550</v>
      </c>
      <c r="M128" s="79">
        <v>174</v>
      </c>
      <c r="N128" s="79">
        <v>113</v>
      </c>
      <c r="O128" s="191">
        <f t="shared" si="63"/>
        <v>0.64942528735632188</v>
      </c>
      <c r="P128" s="80">
        <f t="shared" si="99"/>
        <v>347443</v>
      </c>
      <c r="Q128" s="80">
        <f t="shared" si="100"/>
        <v>45168</v>
      </c>
      <c r="R128" s="159">
        <f t="shared" si="101"/>
        <v>-8.8086797722652932E-7</v>
      </c>
      <c r="S128" s="113">
        <v>0.13</v>
      </c>
      <c r="T128" s="86">
        <v>45002</v>
      </c>
      <c r="U128" s="64"/>
      <c r="V128" s="64"/>
      <c r="W128" s="64"/>
      <c r="X128" s="15">
        <v>1</v>
      </c>
      <c r="Y128" s="15">
        <v>8430140549</v>
      </c>
    </row>
    <row r="129" spans="1:29" s="15" customFormat="1" ht="14.45" hidden="1" customHeight="1" x14ac:dyDescent="0.25">
      <c r="A129" s="38"/>
      <c r="B129" s="173" t="s">
        <v>189</v>
      </c>
      <c r="C129" s="62" t="s">
        <v>177</v>
      </c>
      <c r="D129" s="62" t="s">
        <v>203</v>
      </c>
      <c r="E129" s="62" t="s">
        <v>183</v>
      </c>
      <c r="F129" s="77" t="s">
        <v>166</v>
      </c>
      <c r="G129" s="77" t="s">
        <v>172</v>
      </c>
      <c r="H129" s="174" t="s">
        <v>121</v>
      </c>
      <c r="I129" s="77" t="s">
        <v>12</v>
      </c>
      <c r="J129" s="38" t="s">
        <v>37</v>
      </c>
      <c r="K129" s="6">
        <v>535000</v>
      </c>
      <c r="L129" s="78">
        <f t="shared" si="59"/>
        <v>69550</v>
      </c>
      <c r="M129" s="79">
        <v>174</v>
      </c>
      <c r="N129" s="79">
        <v>113</v>
      </c>
      <c r="O129" s="191">
        <f t="shared" si="63"/>
        <v>0.64942528735632188</v>
      </c>
      <c r="P129" s="80">
        <f t="shared" si="99"/>
        <v>347443</v>
      </c>
      <c r="Q129" s="80">
        <f t="shared" si="100"/>
        <v>45168</v>
      </c>
      <c r="R129" s="159">
        <f t="shared" si="101"/>
        <v>-8.8086797722652932E-7</v>
      </c>
      <c r="S129" s="113">
        <v>0.13</v>
      </c>
      <c r="T129" s="86">
        <v>45002</v>
      </c>
      <c r="U129" s="64"/>
      <c r="V129" s="64"/>
      <c r="W129" s="64"/>
      <c r="X129" s="15">
        <v>1</v>
      </c>
      <c r="Y129" s="15">
        <v>8430140549</v>
      </c>
    </row>
    <row r="130" spans="1:29" s="15" customFormat="1" ht="14.45" hidden="1" customHeight="1" x14ac:dyDescent="0.25">
      <c r="A130" s="38"/>
      <c r="B130" s="173" t="s">
        <v>189</v>
      </c>
      <c r="C130" s="62" t="s">
        <v>177</v>
      </c>
      <c r="D130" s="62" t="s">
        <v>203</v>
      </c>
      <c r="E130" s="62" t="s">
        <v>183</v>
      </c>
      <c r="F130" s="77" t="s">
        <v>166</v>
      </c>
      <c r="G130" s="77" t="s">
        <v>172</v>
      </c>
      <c r="H130" s="174" t="s">
        <v>122</v>
      </c>
      <c r="I130" s="77" t="s">
        <v>12</v>
      </c>
      <c r="J130" s="38" t="s">
        <v>37</v>
      </c>
      <c r="K130" s="6">
        <v>535000</v>
      </c>
      <c r="L130" s="78">
        <f t="shared" si="59"/>
        <v>69550</v>
      </c>
      <c r="M130" s="79">
        <v>174</v>
      </c>
      <c r="N130" s="79">
        <v>113</v>
      </c>
      <c r="O130" s="191">
        <f t="shared" si="63"/>
        <v>0.64942528735632188</v>
      </c>
      <c r="P130" s="80">
        <f t="shared" si="99"/>
        <v>347443</v>
      </c>
      <c r="Q130" s="80">
        <f t="shared" si="100"/>
        <v>45168</v>
      </c>
      <c r="R130" s="159">
        <f t="shared" ref="R130" si="102">N130/M130-P130/K130</f>
        <v>-8.8086797722652932E-7</v>
      </c>
      <c r="S130" s="113">
        <v>0.13</v>
      </c>
      <c r="T130" s="86">
        <v>45002</v>
      </c>
      <c r="U130" s="64"/>
      <c r="V130" s="64"/>
      <c r="W130" s="64"/>
      <c r="X130" s="15">
        <v>1</v>
      </c>
      <c r="Y130" s="15">
        <v>8430140549</v>
      </c>
    </row>
    <row r="131" spans="1:29" s="15" customFormat="1" ht="14.45" customHeight="1" x14ac:dyDescent="0.25">
      <c r="A131" s="38"/>
      <c r="B131" s="38" t="s">
        <v>190</v>
      </c>
      <c r="C131" s="62" t="s">
        <v>177</v>
      </c>
      <c r="D131" s="62" t="s">
        <v>203</v>
      </c>
      <c r="E131" s="62" t="s">
        <v>183</v>
      </c>
      <c r="F131" s="77" t="s">
        <v>166</v>
      </c>
      <c r="G131" s="77" t="s">
        <v>172</v>
      </c>
      <c r="H131" s="62" t="s">
        <v>85</v>
      </c>
      <c r="I131" s="77" t="s">
        <v>11</v>
      </c>
      <c r="J131" s="38" t="s">
        <v>37</v>
      </c>
      <c r="K131" s="6">
        <v>112500</v>
      </c>
      <c r="L131" s="78">
        <f t="shared" si="59"/>
        <v>14625</v>
      </c>
      <c r="M131" s="79">
        <v>44</v>
      </c>
      <c r="N131" s="79">
        <v>44</v>
      </c>
      <c r="O131" s="191">
        <f t="shared" si="63"/>
        <v>1</v>
      </c>
      <c r="P131" s="80">
        <f t="shared" ref="P131:P152" si="103">ROUND(K131*N131/M131,0)</f>
        <v>112500</v>
      </c>
      <c r="Q131" s="80">
        <f t="shared" ref="Q131:Q152" si="104">ROUND(P131*S131,0)</f>
        <v>14625</v>
      </c>
      <c r="R131" s="159">
        <f t="shared" ref="R131:R152" si="105">N131/M131-P131/K131</f>
        <v>0</v>
      </c>
      <c r="S131" s="113">
        <v>0.13</v>
      </c>
      <c r="T131" s="86">
        <v>44585</v>
      </c>
      <c r="U131" s="64">
        <v>1</v>
      </c>
      <c r="V131" s="64"/>
      <c r="W131" s="64"/>
      <c r="X131" s="15">
        <v>1</v>
      </c>
      <c r="Y131" s="15" t="str">
        <f>VLOOKUP(B131,[1]Sheet1!$C$2:$D$906,2,0)</f>
        <v>8477941602</v>
      </c>
    </row>
    <row r="132" spans="1:29" s="15" customFormat="1" ht="14.45" customHeight="1" x14ac:dyDescent="0.25">
      <c r="A132" s="38"/>
      <c r="B132" s="38" t="s">
        <v>190</v>
      </c>
      <c r="C132" s="62" t="s">
        <v>177</v>
      </c>
      <c r="D132" s="62" t="s">
        <v>203</v>
      </c>
      <c r="E132" s="62" t="s">
        <v>183</v>
      </c>
      <c r="F132" s="77" t="s">
        <v>166</v>
      </c>
      <c r="G132" s="77" t="s">
        <v>172</v>
      </c>
      <c r="H132" s="62" t="s">
        <v>86</v>
      </c>
      <c r="I132" s="77" t="s">
        <v>11</v>
      </c>
      <c r="J132" s="38" t="s">
        <v>37</v>
      </c>
      <c r="K132" s="6">
        <v>112500</v>
      </c>
      <c r="L132" s="78">
        <f t="shared" si="59"/>
        <v>14625</v>
      </c>
      <c r="M132" s="79">
        <v>44</v>
      </c>
      <c r="N132" s="79">
        <v>44</v>
      </c>
      <c r="O132" s="191">
        <f t="shared" si="63"/>
        <v>1</v>
      </c>
      <c r="P132" s="80">
        <f t="shared" si="103"/>
        <v>112500</v>
      </c>
      <c r="Q132" s="80">
        <f t="shared" si="104"/>
        <v>14625</v>
      </c>
      <c r="R132" s="159">
        <f t="shared" si="105"/>
        <v>0</v>
      </c>
      <c r="S132" s="113">
        <v>0.13</v>
      </c>
      <c r="T132" s="86">
        <v>44585</v>
      </c>
      <c r="U132" s="64">
        <v>1</v>
      </c>
      <c r="V132" s="64"/>
      <c r="W132" s="64"/>
      <c r="X132" s="15">
        <v>1</v>
      </c>
      <c r="Y132" s="15" t="str">
        <f>VLOOKUP(B132,[1]Sheet1!$C$2:$D$906,2,0)</f>
        <v>8477941602</v>
      </c>
    </row>
    <row r="133" spans="1:29" s="15" customFormat="1" ht="14.45" customHeight="1" x14ac:dyDescent="0.25">
      <c r="A133" s="38"/>
      <c r="B133" s="38" t="s">
        <v>190</v>
      </c>
      <c r="C133" s="62" t="s">
        <v>177</v>
      </c>
      <c r="D133" s="62" t="s">
        <v>203</v>
      </c>
      <c r="E133" s="62" t="s">
        <v>183</v>
      </c>
      <c r="F133" s="77" t="s">
        <v>166</v>
      </c>
      <c r="G133" s="77" t="s">
        <v>172</v>
      </c>
      <c r="H133" s="62" t="s">
        <v>87</v>
      </c>
      <c r="I133" s="77" t="s">
        <v>11</v>
      </c>
      <c r="J133" s="38" t="s">
        <v>37</v>
      </c>
      <c r="K133" s="6">
        <v>112500</v>
      </c>
      <c r="L133" s="78">
        <f t="shared" si="59"/>
        <v>14625</v>
      </c>
      <c r="M133" s="79">
        <v>44</v>
      </c>
      <c r="N133" s="79">
        <v>44</v>
      </c>
      <c r="O133" s="191">
        <f t="shared" si="63"/>
        <v>1</v>
      </c>
      <c r="P133" s="80">
        <f t="shared" si="103"/>
        <v>112500</v>
      </c>
      <c r="Q133" s="80">
        <f t="shared" si="104"/>
        <v>14625</v>
      </c>
      <c r="R133" s="159">
        <f t="shared" si="105"/>
        <v>0</v>
      </c>
      <c r="S133" s="113">
        <v>0.13</v>
      </c>
      <c r="T133" s="86">
        <v>44585</v>
      </c>
      <c r="U133" s="64">
        <v>1</v>
      </c>
      <c r="V133" s="64"/>
      <c r="W133" s="64"/>
      <c r="X133" s="15">
        <v>1</v>
      </c>
      <c r="Y133" s="15" t="str">
        <f>VLOOKUP(B133,[1]Sheet1!$C$2:$D$906,2,0)</f>
        <v>8477941602</v>
      </c>
    </row>
    <row r="134" spans="1:29" s="15" customFormat="1" ht="14.45" customHeight="1" x14ac:dyDescent="0.25">
      <c r="A134" s="38"/>
      <c r="B134" s="38" t="s">
        <v>190</v>
      </c>
      <c r="C134" s="62" t="s">
        <v>177</v>
      </c>
      <c r="D134" s="62" t="s">
        <v>203</v>
      </c>
      <c r="E134" s="62" t="s">
        <v>183</v>
      </c>
      <c r="F134" s="77" t="s">
        <v>166</v>
      </c>
      <c r="G134" s="77" t="s">
        <v>172</v>
      </c>
      <c r="H134" s="62" t="s">
        <v>88</v>
      </c>
      <c r="I134" s="77" t="s">
        <v>11</v>
      </c>
      <c r="J134" s="38" t="s">
        <v>37</v>
      </c>
      <c r="K134" s="6">
        <v>112500</v>
      </c>
      <c r="L134" s="78">
        <f t="shared" si="59"/>
        <v>14625</v>
      </c>
      <c r="M134" s="79">
        <v>44</v>
      </c>
      <c r="N134" s="79">
        <v>44</v>
      </c>
      <c r="O134" s="191">
        <f t="shared" si="63"/>
        <v>1</v>
      </c>
      <c r="P134" s="80">
        <f t="shared" si="103"/>
        <v>112500</v>
      </c>
      <c r="Q134" s="80">
        <f t="shared" si="104"/>
        <v>14625</v>
      </c>
      <c r="R134" s="159">
        <f t="shared" si="105"/>
        <v>0</v>
      </c>
      <c r="S134" s="113">
        <v>0.13</v>
      </c>
      <c r="T134" s="86">
        <v>44585</v>
      </c>
      <c r="U134" s="64">
        <v>1</v>
      </c>
      <c r="V134" s="64"/>
      <c r="W134" s="64"/>
      <c r="X134" s="15">
        <v>1</v>
      </c>
      <c r="Y134" s="15" t="str">
        <f>VLOOKUP(B134,[1]Sheet1!$C$2:$D$906,2,0)</f>
        <v>8477941602</v>
      </c>
    </row>
    <row r="135" spans="1:29" s="15" customFormat="1" ht="14.45" customHeight="1" x14ac:dyDescent="0.25">
      <c r="A135" s="38"/>
      <c r="B135" s="38" t="s">
        <v>190</v>
      </c>
      <c r="C135" s="62" t="s">
        <v>177</v>
      </c>
      <c r="D135" s="62" t="s">
        <v>203</v>
      </c>
      <c r="E135" s="62" t="s">
        <v>183</v>
      </c>
      <c r="F135" s="77" t="s">
        <v>166</v>
      </c>
      <c r="G135" s="77" t="s">
        <v>172</v>
      </c>
      <c r="H135" s="62" t="s">
        <v>89</v>
      </c>
      <c r="I135" s="77" t="s">
        <v>11</v>
      </c>
      <c r="J135" s="38" t="s">
        <v>37</v>
      </c>
      <c r="K135" s="6">
        <v>112500</v>
      </c>
      <c r="L135" s="78">
        <f t="shared" si="59"/>
        <v>14625</v>
      </c>
      <c r="M135" s="79">
        <v>44</v>
      </c>
      <c r="N135" s="79">
        <v>44</v>
      </c>
      <c r="O135" s="191">
        <f t="shared" si="63"/>
        <v>1</v>
      </c>
      <c r="P135" s="80">
        <f t="shared" si="103"/>
        <v>112500</v>
      </c>
      <c r="Q135" s="80">
        <f t="shared" si="104"/>
        <v>14625</v>
      </c>
      <c r="R135" s="159">
        <f t="shared" si="105"/>
        <v>0</v>
      </c>
      <c r="S135" s="113">
        <v>0.13</v>
      </c>
      <c r="T135" s="86">
        <v>44585</v>
      </c>
      <c r="U135" s="64">
        <v>2</v>
      </c>
      <c r="V135" s="64"/>
      <c r="W135" s="64"/>
      <c r="X135" s="15">
        <v>1</v>
      </c>
      <c r="Y135" s="15" t="str">
        <f>VLOOKUP(B135,[1]Sheet1!$C$2:$D$906,2,0)</f>
        <v>8477941602</v>
      </c>
    </row>
    <row r="136" spans="1:29" s="15" customFormat="1" ht="14.45" customHeight="1" x14ac:dyDescent="0.25">
      <c r="A136" s="38"/>
      <c r="B136" s="38" t="s">
        <v>190</v>
      </c>
      <c r="C136" s="62" t="s">
        <v>177</v>
      </c>
      <c r="D136" s="62" t="s">
        <v>203</v>
      </c>
      <c r="E136" s="62" t="s">
        <v>183</v>
      </c>
      <c r="F136" s="77" t="s">
        <v>166</v>
      </c>
      <c r="G136" s="77" t="s">
        <v>172</v>
      </c>
      <c r="H136" s="62" t="s">
        <v>90</v>
      </c>
      <c r="I136" s="77" t="s">
        <v>11</v>
      </c>
      <c r="J136" s="38" t="s">
        <v>37</v>
      </c>
      <c r="K136" s="6">
        <v>282500</v>
      </c>
      <c r="L136" s="78">
        <f t="shared" si="59"/>
        <v>36725</v>
      </c>
      <c r="M136" s="79">
        <v>130</v>
      </c>
      <c r="N136" s="79">
        <v>130</v>
      </c>
      <c r="O136" s="191">
        <f t="shared" si="63"/>
        <v>1</v>
      </c>
      <c r="P136" s="80">
        <f t="shared" ref="P136:P141" si="106">ROUND(K136*N136/M136,0)</f>
        <v>282500</v>
      </c>
      <c r="Q136" s="80">
        <f t="shared" ref="Q136:Q141" si="107">ROUND(P136*S136,0)</f>
        <v>36725</v>
      </c>
      <c r="R136" s="159">
        <f t="shared" ref="R136:R141" si="108">N136/M136-P136/K136</f>
        <v>0</v>
      </c>
      <c r="S136" s="113">
        <v>0.13</v>
      </c>
      <c r="T136" s="86"/>
      <c r="U136" s="64">
        <v>2</v>
      </c>
      <c r="V136" s="64"/>
      <c r="W136" s="64"/>
      <c r="X136" s="15">
        <v>1</v>
      </c>
      <c r="Y136" s="15" t="str">
        <f>VLOOKUP(B136,[1]Sheet1!$C$2:$D$906,2,0)</f>
        <v>8477941602</v>
      </c>
    </row>
    <row r="137" spans="1:29" s="15" customFormat="1" ht="14.45" customHeight="1" x14ac:dyDescent="0.25">
      <c r="A137" s="38"/>
      <c r="B137" s="38" t="s">
        <v>190</v>
      </c>
      <c r="C137" s="62" t="s">
        <v>177</v>
      </c>
      <c r="D137" s="62" t="s">
        <v>203</v>
      </c>
      <c r="E137" s="62" t="s">
        <v>183</v>
      </c>
      <c r="F137" s="77" t="s">
        <v>166</v>
      </c>
      <c r="G137" s="77" t="s">
        <v>172</v>
      </c>
      <c r="H137" s="62" t="s">
        <v>91</v>
      </c>
      <c r="I137" s="77" t="s">
        <v>11</v>
      </c>
      <c r="J137" s="38" t="s">
        <v>37</v>
      </c>
      <c r="K137" s="6">
        <v>282500</v>
      </c>
      <c r="L137" s="78">
        <f t="shared" si="59"/>
        <v>36725</v>
      </c>
      <c r="M137" s="79">
        <v>130</v>
      </c>
      <c r="N137" s="79">
        <v>130</v>
      </c>
      <c r="O137" s="191">
        <f t="shared" si="63"/>
        <v>1</v>
      </c>
      <c r="P137" s="80">
        <f t="shared" si="106"/>
        <v>282500</v>
      </c>
      <c r="Q137" s="80">
        <f t="shared" si="107"/>
        <v>36725</v>
      </c>
      <c r="R137" s="159">
        <f t="shared" si="108"/>
        <v>0</v>
      </c>
      <c r="S137" s="113">
        <v>0.13</v>
      </c>
      <c r="T137" s="86"/>
      <c r="U137" s="64">
        <v>2</v>
      </c>
      <c r="V137" s="64"/>
      <c r="W137" s="64"/>
      <c r="X137" s="15">
        <v>1</v>
      </c>
      <c r="Y137" s="15" t="str">
        <f>VLOOKUP(B137,[1]Sheet1!$C$2:$D$906,2,0)</f>
        <v>8477941602</v>
      </c>
    </row>
    <row r="138" spans="1:29" s="15" customFormat="1" ht="14.45" customHeight="1" x14ac:dyDescent="0.25">
      <c r="A138" s="38"/>
      <c r="B138" s="38" t="s">
        <v>190</v>
      </c>
      <c r="C138" s="62" t="s">
        <v>177</v>
      </c>
      <c r="D138" s="62" t="s">
        <v>203</v>
      </c>
      <c r="E138" s="62" t="s">
        <v>183</v>
      </c>
      <c r="F138" s="77" t="s">
        <v>166</v>
      </c>
      <c r="G138" s="77" t="s">
        <v>172</v>
      </c>
      <c r="H138" s="62" t="s">
        <v>92</v>
      </c>
      <c r="I138" s="77" t="s">
        <v>11</v>
      </c>
      <c r="J138" s="38" t="s">
        <v>37</v>
      </c>
      <c r="K138" s="6">
        <v>282500</v>
      </c>
      <c r="L138" s="78">
        <f t="shared" si="59"/>
        <v>36725</v>
      </c>
      <c r="M138" s="79">
        <v>130</v>
      </c>
      <c r="N138" s="79">
        <v>130</v>
      </c>
      <c r="O138" s="191">
        <f t="shared" si="63"/>
        <v>1</v>
      </c>
      <c r="P138" s="80">
        <f t="shared" si="106"/>
        <v>282500</v>
      </c>
      <c r="Q138" s="80">
        <f t="shared" si="107"/>
        <v>36725</v>
      </c>
      <c r="R138" s="159">
        <f t="shared" si="108"/>
        <v>0</v>
      </c>
      <c r="S138" s="113">
        <v>0.13</v>
      </c>
      <c r="T138" s="86"/>
      <c r="U138" s="64">
        <v>2</v>
      </c>
      <c r="V138" s="64"/>
      <c r="W138" s="64"/>
      <c r="X138" s="15">
        <v>1</v>
      </c>
      <c r="Y138" s="15" t="str">
        <f>VLOOKUP(B138,[1]Sheet1!$C$2:$D$906,2,0)</f>
        <v>8477941602</v>
      </c>
    </row>
    <row r="139" spans="1:29" s="15" customFormat="1" ht="14.45" customHeight="1" x14ac:dyDescent="0.25">
      <c r="A139" s="38"/>
      <c r="B139" s="38" t="s">
        <v>190</v>
      </c>
      <c r="C139" s="62" t="s">
        <v>177</v>
      </c>
      <c r="D139" s="62" t="s">
        <v>203</v>
      </c>
      <c r="E139" s="62" t="s">
        <v>183</v>
      </c>
      <c r="F139" s="77" t="s">
        <v>166</v>
      </c>
      <c r="G139" s="77" t="s">
        <v>172</v>
      </c>
      <c r="H139" s="62" t="s">
        <v>93</v>
      </c>
      <c r="I139" s="77" t="s">
        <v>11</v>
      </c>
      <c r="J139" s="38" t="s">
        <v>37</v>
      </c>
      <c r="K139" s="6">
        <v>282500</v>
      </c>
      <c r="L139" s="78">
        <f t="shared" si="59"/>
        <v>36725</v>
      </c>
      <c r="M139" s="79">
        <v>130</v>
      </c>
      <c r="N139" s="79">
        <v>130</v>
      </c>
      <c r="O139" s="191">
        <f t="shared" si="63"/>
        <v>1</v>
      </c>
      <c r="P139" s="80">
        <f t="shared" si="106"/>
        <v>282500</v>
      </c>
      <c r="Q139" s="80">
        <f t="shared" si="107"/>
        <v>36725</v>
      </c>
      <c r="R139" s="159">
        <f t="shared" si="108"/>
        <v>0</v>
      </c>
      <c r="S139" s="113">
        <v>0.13</v>
      </c>
      <c r="T139" s="86"/>
      <c r="U139" s="64">
        <v>2</v>
      </c>
      <c r="V139" s="64"/>
      <c r="W139" s="64"/>
      <c r="X139" s="15">
        <v>1</v>
      </c>
      <c r="Y139" s="15" t="str">
        <f>VLOOKUP(B139,[1]Sheet1!$C$2:$D$906,2,0)</f>
        <v>8477941602</v>
      </c>
    </row>
    <row r="140" spans="1:29" s="15" customFormat="1" ht="14.45" customHeight="1" x14ac:dyDescent="0.25">
      <c r="A140" s="38"/>
      <c r="B140" s="38" t="s">
        <v>190</v>
      </c>
      <c r="C140" s="62" t="s">
        <v>177</v>
      </c>
      <c r="D140" s="62" t="s">
        <v>203</v>
      </c>
      <c r="E140" s="62" t="s">
        <v>183</v>
      </c>
      <c r="F140" s="77" t="s">
        <v>166</v>
      </c>
      <c r="G140" s="77" t="s">
        <v>172</v>
      </c>
      <c r="H140" s="62" t="s">
        <v>94</v>
      </c>
      <c r="I140" s="77" t="s">
        <v>11</v>
      </c>
      <c r="J140" s="38" t="s">
        <v>37</v>
      </c>
      <c r="K140" s="6">
        <v>282500</v>
      </c>
      <c r="L140" s="78">
        <f t="shared" si="59"/>
        <v>36725</v>
      </c>
      <c r="M140" s="79">
        <v>130</v>
      </c>
      <c r="N140" s="79">
        <v>130</v>
      </c>
      <c r="O140" s="191">
        <f t="shared" si="63"/>
        <v>1</v>
      </c>
      <c r="P140" s="80">
        <f t="shared" si="106"/>
        <v>282500</v>
      </c>
      <c r="Q140" s="80">
        <f t="shared" si="107"/>
        <v>36725</v>
      </c>
      <c r="R140" s="159">
        <f t="shared" si="108"/>
        <v>0</v>
      </c>
      <c r="S140" s="113">
        <v>0.13</v>
      </c>
      <c r="T140" s="86"/>
      <c r="U140" s="64">
        <v>2</v>
      </c>
      <c r="V140" s="64"/>
      <c r="W140" s="64"/>
      <c r="X140" s="15">
        <v>1</v>
      </c>
      <c r="Y140" s="15" t="str">
        <f>VLOOKUP(B140,[1]Sheet1!$C$2:$D$906,2,0)</f>
        <v>8477941602</v>
      </c>
    </row>
    <row r="141" spans="1:29" s="15" customFormat="1" ht="14.45" customHeight="1" x14ac:dyDescent="0.25">
      <c r="A141" s="38"/>
      <c r="B141" s="38" t="s">
        <v>190</v>
      </c>
      <c r="C141" s="62" t="s">
        <v>177</v>
      </c>
      <c r="D141" s="62" t="s">
        <v>203</v>
      </c>
      <c r="E141" s="62" t="s">
        <v>183</v>
      </c>
      <c r="F141" s="77" t="s">
        <v>166</v>
      </c>
      <c r="G141" s="77" t="s">
        <v>172</v>
      </c>
      <c r="H141" s="174" t="s">
        <v>281</v>
      </c>
      <c r="I141" s="77" t="s">
        <v>11</v>
      </c>
      <c r="J141" s="38" t="s">
        <v>37</v>
      </c>
      <c r="K141" s="6">
        <f>282500/21*13</f>
        <v>174880.95238095237</v>
      </c>
      <c r="L141" s="78">
        <f t="shared" si="59"/>
        <v>22735</v>
      </c>
      <c r="M141" s="79">
        <v>130</v>
      </c>
      <c r="N141" s="79">
        <v>130</v>
      </c>
      <c r="O141" s="191">
        <f t="shared" si="63"/>
        <v>1</v>
      </c>
      <c r="P141" s="80">
        <f t="shared" si="106"/>
        <v>174881</v>
      </c>
      <c r="Q141" s="80">
        <f t="shared" si="107"/>
        <v>22735</v>
      </c>
      <c r="R141" s="159">
        <f t="shared" si="108"/>
        <v>-2.7229407772999537E-7</v>
      </c>
      <c r="S141" s="113">
        <v>0.13</v>
      </c>
      <c r="T141" s="86"/>
      <c r="U141" s="64">
        <v>2</v>
      </c>
      <c r="V141" s="64"/>
      <c r="W141" s="64"/>
      <c r="X141" s="15">
        <v>1</v>
      </c>
      <c r="Y141" s="15" t="str">
        <f>VLOOKUP(B141,[1]Sheet1!$C$2:$D$906,2,0)</f>
        <v>8477941602</v>
      </c>
      <c r="AA141" t="e">
        <f>IF(VLOOKUP(LEFT(Y141,10),'Havi béradatok'!$B:$E,2,0)=D141,"EGYEZIK","HIBÁS")</f>
        <v>#N/A</v>
      </c>
      <c r="AB141" t="e">
        <f>(VLOOKUP(LEFT(Y141,10),'Havi béradatok'!$B:$E,3,0)-K141)</f>
        <v>#N/A</v>
      </c>
      <c r="AC141" s="3" t="e">
        <f>(VLOOKUP(LEFT(Y141,10),'Havi béradatok'!$B:$E,4,0)-L141)</f>
        <v>#N/A</v>
      </c>
    </row>
    <row r="142" spans="1:29" s="15" customFormat="1" ht="14.45" customHeight="1" x14ac:dyDescent="0.25">
      <c r="A142" s="38"/>
      <c r="B142" s="38" t="s">
        <v>190</v>
      </c>
      <c r="C142" s="62" t="s">
        <v>177</v>
      </c>
      <c r="D142" s="62" t="s">
        <v>203</v>
      </c>
      <c r="E142" s="62" t="s">
        <v>183</v>
      </c>
      <c r="F142" s="77" t="s">
        <v>166</v>
      </c>
      <c r="G142" s="77" t="s">
        <v>172</v>
      </c>
      <c r="H142" s="174" t="s">
        <v>280</v>
      </c>
      <c r="I142" s="77" t="s">
        <v>11</v>
      </c>
      <c r="J142" s="38" t="s">
        <v>37</v>
      </c>
      <c r="K142" s="6">
        <f>282500/21*8</f>
        <v>107619.04761904762</v>
      </c>
      <c r="L142" s="78">
        <f t="shared" ref="L142" si="109">ROUND(K142*S142,0)</f>
        <v>13990</v>
      </c>
      <c r="M142" s="79">
        <v>130</v>
      </c>
      <c r="N142" s="79">
        <v>130</v>
      </c>
      <c r="O142" s="191">
        <f t="shared" ref="O142" si="110">N142/M142</f>
        <v>1</v>
      </c>
      <c r="P142" s="80">
        <f t="shared" ref="P142" si="111">ROUND(K142*N142/M142,0)</f>
        <v>107619</v>
      </c>
      <c r="Q142" s="80">
        <f t="shared" ref="Q142" si="112">ROUND(P142*S142,0)</f>
        <v>13990</v>
      </c>
      <c r="R142" s="159">
        <f t="shared" ref="R142" si="113">N142/M142-P142/K142</f>
        <v>4.4247787611695344E-7</v>
      </c>
      <c r="S142" s="113">
        <v>0.13</v>
      </c>
      <c r="T142" s="86"/>
      <c r="U142" s="64"/>
      <c r="V142" s="64"/>
      <c r="W142" s="64"/>
      <c r="X142" s="15">
        <v>1</v>
      </c>
      <c r="Y142" s="15" t="str">
        <f>VLOOKUP(B142,[1]Sheet1!$C$2:$D$906,2,0)</f>
        <v>8477941602</v>
      </c>
      <c r="AA142" t="e">
        <f>IF(VLOOKUP(LEFT(Y142,10),'Havi béradatok'!$B:$E,2,0)=D142,"EGYEZIK","HIBÁS")</f>
        <v>#N/A</v>
      </c>
      <c r="AB142" t="e">
        <f>(VLOOKUP(LEFT(Y142,10),'Havi béradatok'!$B:$E,3,0)-K142)</f>
        <v>#N/A</v>
      </c>
      <c r="AC142" s="3" t="e">
        <f>(VLOOKUP(LEFT(Y142,10),'Havi béradatok'!$B:$E,4,0)-L142)</f>
        <v>#N/A</v>
      </c>
    </row>
    <row r="143" spans="1:29" s="15" customFormat="1" ht="14.45" customHeight="1" x14ac:dyDescent="0.25">
      <c r="A143" s="38"/>
      <c r="B143" s="38" t="s">
        <v>195</v>
      </c>
      <c r="C143" s="62" t="s">
        <v>177</v>
      </c>
      <c r="D143" s="62" t="s">
        <v>211</v>
      </c>
      <c r="E143" s="62" t="s">
        <v>179</v>
      </c>
      <c r="F143" s="77" t="s">
        <v>169</v>
      </c>
      <c r="G143" s="77" t="s">
        <v>174</v>
      </c>
      <c r="H143" s="62" t="s">
        <v>86</v>
      </c>
      <c r="I143" s="77" t="s">
        <v>11</v>
      </c>
      <c r="J143" s="38" t="s">
        <v>37</v>
      </c>
      <c r="K143" s="6">
        <v>320000</v>
      </c>
      <c r="L143" s="78">
        <f t="shared" si="59"/>
        <v>41600</v>
      </c>
      <c r="M143" s="79">
        <v>174</v>
      </c>
      <c r="N143" s="79">
        <v>174</v>
      </c>
      <c r="O143" s="191">
        <f t="shared" si="63"/>
        <v>1</v>
      </c>
      <c r="P143" s="80">
        <f t="shared" si="103"/>
        <v>320000</v>
      </c>
      <c r="Q143" s="80">
        <f t="shared" si="104"/>
        <v>41600</v>
      </c>
      <c r="R143" s="159">
        <f t="shared" si="105"/>
        <v>0</v>
      </c>
      <c r="S143" s="113">
        <v>0.13</v>
      </c>
      <c r="T143" s="86">
        <v>44608</v>
      </c>
      <c r="U143" s="64">
        <v>1</v>
      </c>
      <c r="V143" s="64"/>
      <c r="W143" s="64"/>
      <c r="X143" s="15">
        <v>1</v>
      </c>
      <c r="Y143" s="15" t="str">
        <f>VLOOKUP(B143,[1]Sheet1!$C$2:$D$906,2,0)</f>
        <v>8354163245</v>
      </c>
    </row>
    <row r="144" spans="1:29" s="15" customFormat="1" ht="14.45" customHeight="1" x14ac:dyDescent="0.25">
      <c r="A144" s="38"/>
      <c r="B144" s="38" t="s">
        <v>195</v>
      </c>
      <c r="C144" s="62" t="s">
        <v>177</v>
      </c>
      <c r="D144" s="62" t="s">
        <v>211</v>
      </c>
      <c r="E144" s="62" t="s">
        <v>179</v>
      </c>
      <c r="F144" s="77" t="s">
        <v>169</v>
      </c>
      <c r="G144" s="77" t="s">
        <v>174</v>
      </c>
      <c r="H144" s="62" t="s">
        <v>87</v>
      </c>
      <c r="I144" s="77" t="s">
        <v>11</v>
      </c>
      <c r="J144" s="38" t="s">
        <v>37</v>
      </c>
      <c r="K144" s="6">
        <v>320000</v>
      </c>
      <c r="L144" s="78">
        <f t="shared" si="59"/>
        <v>41600</v>
      </c>
      <c r="M144" s="79">
        <v>174</v>
      </c>
      <c r="N144" s="79">
        <v>174</v>
      </c>
      <c r="O144" s="191">
        <f t="shared" si="63"/>
        <v>1</v>
      </c>
      <c r="P144" s="80">
        <f t="shared" si="103"/>
        <v>320000</v>
      </c>
      <c r="Q144" s="80">
        <f t="shared" si="104"/>
        <v>41600</v>
      </c>
      <c r="R144" s="159">
        <f t="shared" si="105"/>
        <v>0</v>
      </c>
      <c r="S144" s="113">
        <v>0.13</v>
      </c>
      <c r="T144" s="86">
        <v>44608</v>
      </c>
      <c r="U144" s="64">
        <v>1</v>
      </c>
      <c r="V144" s="64"/>
      <c r="W144" s="64"/>
      <c r="X144" s="15">
        <v>1</v>
      </c>
      <c r="Y144" s="15" t="str">
        <f>VLOOKUP(B144,[1]Sheet1!$C$2:$D$906,2,0)</f>
        <v>8354163245</v>
      </c>
    </row>
    <row r="145" spans="1:29" s="15" customFormat="1" ht="14.45" customHeight="1" x14ac:dyDescent="0.25">
      <c r="A145" s="38"/>
      <c r="B145" s="38" t="s">
        <v>195</v>
      </c>
      <c r="C145" s="62" t="s">
        <v>177</v>
      </c>
      <c r="D145" s="62" t="s">
        <v>211</v>
      </c>
      <c r="E145" s="62" t="s">
        <v>179</v>
      </c>
      <c r="F145" s="77" t="s">
        <v>169</v>
      </c>
      <c r="G145" s="77" t="s">
        <v>174</v>
      </c>
      <c r="H145" s="62" t="s">
        <v>88</v>
      </c>
      <c r="I145" s="77" t="s">
        <v>11</v>
      </c>
      <c r="J145" s="38" t="s">
        <v>37</v>
      </c>
      <c r="K145" s="6">
        <v>320000</v>
      </c>
      <c r="L145" s="78">
        <f t="shared" si="59"/>
        <v>41600</v>
      </c>
      <c r="M145" s="79">
        <v>174</v>
      </c>
      <c r="N145" s="79">
        <v>174</v>
      </c>
      <c r="O145" s="191">
        <f t="shared" si="63"/>
        <v>1</v>
      </c>
      <c r="P145" s="80">
        <f t="shared" si="103"/>
        <v>320000</v>
      </c>
      <c r="Q145" s="80">
        <f t="shared" si="104"/>
        <v>41600</v>
      </c>
      <c r="R145" s="159">
        <f t="shared" si="105"/>
        <v>0</v>
      </c>
      <c r="S145" s="113">
        <v>0.13</v>
      </c>
      <c r="T145" s="86">
        <v>44608</v>
      </c>
      <c r="U145" s="64">
        <v>1</v>
      </c>
      <c r="V145" s="64"/>
      <c r="W145" s="64"/>
      <c r="X145" s="15">
        <v>1</v>
      </c>
      <c r="Y145" s="15" t="str">
        <f>VLOOKUP(B145,[1]Sheet1!$C$2:$D$906,2,0)</f>
        <v>8354163245</v>
      </c>
    </row>
    <row r="146" spans="1:29" s="15" customFormat="1" ht="14.45" customHeight="1" x14ac:dyDescent="0.25">
      <c r="A146" s="38"/>
      <c r="B146" s="38" t="s">
        <v>195</v>
      </c>
      <c r="C146" s="62" t="s">
        <v>177</v>
      </c>
      <c r="D146" s="62" t="s">
        <v>211</v>
      </c>
      <c r="E146" s="62" t="s">
        <v>179</v>
      </c>
      <c r="F146" s="77" t="s">
        <v>169</v>
      </c>
      <c r="G146" s="77" t="s">
        <v>174</v>
      </c>
      <c r="H146" s="62" t="s">
        <v>89</v>
      </c>
      <c r="I146" s="77" t="s">
        <v>11</v>
      </c>
      <c r="J146" s="38" t="s">
        <v>37</v>
      </c>
      <c r="K146" s="6">
        <v>320000</v>
      </c>
      <c r="L146" s="78">
        <f t="shared" si="59"/>
        <v>41600</v>
      </c>
      <c r="M146" s="79">
        <v>174</v>
      </c>
      <c r="N146" s="79">
        <v>174</v>
      </c>
      <c r="O146" s="191">
        <f t="shared" si="63"/>
        <v>1</v>
      </c>
      <c r="P146" s="80">
        <f t="shared" si="103"/>
        <v>320000</v>
      </c>
      <c r="Q146" s="80">
        <f t="shared" si="104"/>
        <v>41600</v>
      </c>
      <c r="R146" s="159">
        <f t="shared" si="105"/>
        <v>0</v>
      </c>
      <c r="S146" s="113">
        <v>0.13</v>
      </c>
      <c r="T146" s="86">
        <v>44608</v>
      </c>
      <c r="U146" s="64">
        <v>2</v>
      </c>
      <c r="V146" s="64"/>
      <c r="W146" s="64"/>
      <c r="X146" s="15">
        <v>1</v>
      </c>
      <c r="Y146" s="15" t="str">
        <f>VLOOKUP(B146,[1]Sheet1!$C$2:$D$906,2,0)</f>
        <v>8354163245</v>
      </c>
    </row>
    <row r="147" spans="1:29" s="15" customFormat="1" ht="14.45" customHeight="1" x14ac:dyDescent="0.25">
      <c r="A147" s="38"/>
      <c r="B147" s="38" t="s">
        <v>195</v>
      </c>
      <c r="C147" s="62" t="s">
        <v>177</v>
      </c>
      <c r="D147" s="62" t="s">
        <v>211</v>
      </c>
      <c r="E147" s="62" t="s">
        <v>179</v>
      </c>
      <c r="F147" s="77" t="s">
        <v>169</v>
      </c>
      <c r="G147" s="77" t="s">
        <v>174</v>
      </c>
      <c r="H147" s="62" t="s">
        <v>90</v>
      </c>
      <c r="I147" s="77" t="s">
        <v>11</v>
      </c>
      <c r="J147" s="38" t="s">
        <v>37</v>
      </c>
      <c r="K147" s="6">
        <v>267000</v>
      </c>
      <c r="L147" s="78">
        <f t="shared" si="59"/>
        <v>34710</v>
      </c>
      <c r="M147" s="79">
        <v>174</v>
      </c>
      <c r="N147" s="79">
        <v>174</v>
      </c>
      <c r="O147" s="191">
        <f t="shared" si="63"/>
        <v>1</v>
      </c>
      <c r="P147" s="80">
        <f t="shared" si="103"/>
        <v>267000</v>
      </c>
      <c r="Q147" s="80">
        <f t="shared" si="104"/>
        <v>34710</v>
      </c>
      <c r="R147" s="159">
        <f t="shared" si="105"/>
        <v>0</v>
      </c>
      <c r="S147" s="113">
        <v>0.13</v>
      </c>
      <c r="T147" s="86">
        <v>44608</v>
      </c>
      <c r="U147" s="64">
        <v>2</v>
      </c>
      <c r="V147" s="64"/>
      <c r="W147" s="64"/>
      <c r="X147" s="15">
        <v>1</v>
      </c>
      <c r="Y147" s="15" t="str">
        <f>VLOOKUP(B147,[1]Sheet1!$C$2:$D$906,2,0)</f>
        <v>8354163245</v>
      </c>
    </row>
    <row r="148" spans="1:29" s="15" customFormat="1" ht="14.45" customHeight="1" x14ac:dyDescent="0.25">
      <c r="A148" s="38"/>
      <c r="B148" s="38" t="s">
        <v>195</v>
      </c>
      <c r="C148" s="62" t="s">
        <v>177</v>
      </c>
      <c r="D148" s="62" t="s">
        <v>211</v>
      </c>
      <c r="E148" s="62" t="s">
        <v>179</v>
      </c>
      <c r="F148" s="77" t="s">
        <v>169</v>
      </c>
      <c r="G148" s="77" t="s">
        <v>174</v>
      </c>
      <c r="H148" s="62" t="s">
        <v>91</v>
      </c>
      <c r="I148" s="77" t="s">
        <v>11</v>
      </c>
      <c r="J148" s="38" t="s">
        <v>37</v>
      </c>
      <c r="K148" s="6">
        <v>307477</v>
      </c>
      <c r="L148" s="78">
        <f t="shared" si="59"/>
        <v>39972</v>
      </c>
      <c r="M148" s="79">
        <v>174</v>
      </c>
      <c r="N148" s="79">
        <v>174</v>
      </c>
      <c r="O148" s="191">
        <f t="shared" si="63"/>
        <v>1</v>
      </c>
      <c r="P148" s="80">
        <f t="shared" si="103"/>
        <v>307477</v>
      </c>
      <c r="Q148" s="80">
        <f t="shared" si="104"/>
        <v>39972</v>
      </c>
      <c r="R148" s="159">
        <f t="shared" si="105"/>
        <v>0</v>
      </c>
      <c r="S148" s="113">
        <v>0.13</v>
      </c>
      <c r="T148" s="86">
        <v>44608</v>
      </c>
      <c r="U148" s="64">
        <v>2</v>
      </c>
      <c r="V148" s="64"/>
      <c r="W148" s="64"/>
      <c r="X148" s="15">
        <v>1</v>
      </c>
      <c r="Y148" s="15" t="str">
        <f>VLOOKUP(B148,[1]Sheet1!$C$2:$D$906,2,0)</f>
        <v>8354163245</v>
      </c>
    </row>
    <row r="149" spans="1:29" s="15" customFormat="1" ht="14.45" customHeight="1" x14ac:dyDescent="0.25">
      <c r="A149" s="38"/>
      <c r="B149" s="38" t="s">
        <v>195</v>
      </c>
      <c r="C149" s="62" t="s">
        <v>177</v>
      </c>
      <c r="D149" s="62" t="s">
        <v>211</v>
      </c>
      <c r="E149" s="62" t="s">
        <v>179</v>
      </c>
      <c r="F149" s="77" t="s">
        <v>169</v>
      </c>
      <c r="G149" s="77" t="s">
        <v>174</v>
      </c>
      <c r="H149" s="62" t="s">
        <v>92</v>
      </c>
      <c r="I149" s="77" t="s">
        <v>11</v>
      </c>
      <c r="J149" s="38" t="s">
        <v>37</v>
      </c>
      <c r="K149" s="6">
        <v>320000</v>
      </c>
      <c r="L149" s="78">
        <f t="shared" si="59"/>
        <v>41600</v>
      </c>
      <c r="M149" s="79">
        <v>174</v>
      </c>
      <c r="N149" s="79">
        <v>174</v>
      </c>
      <c r="O149" s="191">
        <f t="shared" si="63"/>
        <v>1</v>
      </c>
      <c r="P149" s="80">
        <f t="shared" si="103"/>
        <v>320000</v>
      </c>
      <c r="Q149" s="80">
        <f t="shared" si="104"/>
        <v>41600</v>
      </c>
      <c r="R149" s="159">
        <f t="shared" si="105"/>
        <v>0</v>
      </c>
      <c r="S149" s="113">
        <v>0.13</v>
      </c>
      <c r="T149" s="86">
        <v>44608</v>
      </c>
      <c r="U149" s="64">
        <v>2</v>
      </c>
      <c r="V149" s="64"/>
      <c r="W149" s="64"/>
      <c r="X149" s="15">
        <v>1</v>
      </c>
      <c r="Y149" s="15" t="str">
        <f>VLOOKUP(B149,[1]Sheet1!$C$2:$D$906,2,0)</f>
        <v>8354163245</v>
      </c>
    </row>
    <row r="150" spans="1:29" s="15" customFormat="1" ht="14.45" customHeight="1" x14ac:dyDescent="0.25">
      <c r="A150" s="38"/>
      <c r="B150" s="38" t="s">
        <v>195</v>
      </c>
      <c r="C150" s="62" t="s">
        <v>177</v>
      </c>
      <c r="D150" s="62" t="s">
        <v>211</v>
      </c>
      <c r="E150" s="62" t="s">
        <v>179</v>
      </c>
      <c r="F150" s="77" t="s">
        <v>169</v>
      </c>
      <c r="G150" s="77" t="s">
        <v>174</v>
      </c>
      <c r="H150" s="62" t="s">
        <v>93</v>
      </c>
      <c r="I150" s="77" t="s">
        <v>11</v>
      </c>
      <c r="J150" s="38" t="s">
        <v>37</v>
      </c>
      <c r="K150" s="6">
        <v>320000</v>
      </c>
      <c r="L150" s="78">
        <f t="shared" si="59"/>
        <v>41600</v>
      </c>
      <c r="M150" s="79">
        <v>174</v>
      </c>
      <c r="N150" s="79">
        <v>174</v>
      </c>
      <c r="O150" s="191">
        <f t="shared" si="63"/>
        <v>1</v>
      </c>
      <c r="P150" s="80">
        <f t="shared" si="103"/>
        <v>320000</v>
      </c>
      <c r="Q150" s="80">
        <f t="shared" si="104"/>
        <v>41600</v>
      </c>
      <c r="R150" s="159">
        <f t="shared" si="105"/>
        <v>0</v>
      </c>
      <c r="S150" s="113">
        <v>0.13</v>
      </c>
      <c r="T150" s="86">
        <v>44608</v>
      </c>
      <c r="U150" s="64">
        <v>2</v>
      </c>
      <c r="V150" s="64"/>
      <c r="W150" s="64"/>
      <c r="X150" s="15">
        <v>1</v>
      </c>
      <c r="Y150" s="15" t="str">
        <f>VLOOKUP(B150,[1]Sheet1!$C$2:$D$906,2,0)</f>
        <v>8354163245</v>
      </c>
    </row>
    <row r="151" spans="1:29" s="15" customFormat="1" ht="14.45" customHeight="1" x14ac:dyDescent="0.25">
      <c r="A151" s="38"/>
      <c r="B151" s="38" t="s">
        <v>195</v>
      </c>
      <c r="C151" s="62" t="s">
        <v>177</v>
      </c>
      <c r="D151" s="62" t="s">
        <v>211</v>
      </c>
      <c r="E151" s="62" t="s">
        <v>179</v>
      </c>
      <c r="F151" s="77" t="s">
        <v>169</v>
      </c>
      <c r="G151" s="77" t="s">
        <v>174</v>
      </c>
      <c r="H151" s="62" t="s">
        <v>94</v>
      </c>
      <c r="I151" s="77" t="s">
        <v>11</v>
      </c>
      <c r="J151" s="38" t="s">
        <v>37</v>
      </c>
      <c r="K151" s="6">
        <v>231619</v>
      </c>
      <c r="L151" s="78">
        <f t="shared" si="59"/>
        <v>30110</v>
      </c>
      <c r="M151" s="79">
        <v>174</v>
      </c>
      <c r="N151" s="79">
        <v>174</v>
      </c>
      <c r="O151" s="191">
        <f t="shared" si="63"/>
        <v>1</v>
      </c>
      <c r="P151" s="80">
        <f t="shared" si="103"/>
        <v>231619</v>
      </c>
      <c r="Q151" s="80">
        <f t="shared" si="104"/>
        <v>30110</v>
      </c>
      <c r="R151" s="159">
        <f t="shared" si="105"/>
        <v>0</v>
      </c>
      <c r="S151" s="113">
        <v>0.13</v>
      </c>
      <c r="T151" s="86">
        <v>44608</v>
      </c>
      <c r="U151" s="64">
        <v>2</v>
      </c>
      <c r="V151" s="64"/>
      <c r="W151" s="64"/>
      <c r="X151" s="15">
        <v>1</v>
      </c>
      <c r="Y151" s="15" t="str">
        <f>VLOOKUP(B151,[1]Sheet1!$C$2:$D$906,2,0)</f>
        <v>8354163245</v>
      </c>
    </row>
    <row r="152" spans="1:29" s="15" customFormat="1" ht="14.45" customHeight="1" x14ac:dyDescent="0.25">
      <c r="A152" s="38"/>
      <c r="B152" s="38" t="s">
        <v>195</v>
      </c>
      <c r="C152" s="62" t="s">
        <v>177</v>
      </c>
      <c r="D152" s="62" t="s">
        <v>211</v>
      </c>
      <c r="E152" s="62" t="s">
        <v>179</v>
      </c>
      <c r="F152" s="77" t="s">
        <v>169</v>
      </c>
      <c r="G152" s="77" t="s">
        <v>174</v>
      </c>
      <c r="H152" s="174" t="s">
        <v>281</v>
      </c>
      <c r="I152" s="77" t="s">
        <v>11</v>
      </c>
      <c r="J152" s="38" t="s">
        <v>37</v>
      </c>
      <c r="K152" s="6">
        <f>320000/21*13</f>
        <v>198095.23809523811</v>
      </c>
      <c r="L152" s="78">
        <f t="shared" si="59"/>
        <v>25752</v>
      </c>
      <c r="M152" s="79">
        <v>174</v>
      </c>
      <c r="N152" s="79">
        <v>174</v>
      </c>
      <c r="O152" s="191">
        <f t="shared" si="63"/>
        <v>1</v>
      </c>
      <c r="P152" s="80">
        <f t="shared" si="103"/>
        <v>198095</v>
      </c>
      <c r="Q152" s="80">
        <f t="shared" si="104"/>
        <v>25752</v>
      </c>
      <c r="R152" s="159">
        <f t="shared" si="105"/>
        <v>1.2019230769544365E-6</v>
      </c>
      <c r="S152" s="113">
        <v>0.13</v>
      </c>
      <c r="T152" s="86">
        <v>44608</v>
      </c>
      <c r="U152" s="64">
        <v>2</v>
      </c>
      <c r="V152" s="64"/>
      <c r="W152" s="64"/>
      <c r="X152" s="15">
        <v>1</v>
      </c>
      <c r="Y152" s="15" t="str">
        <f>VLOOKUP(B152,[1]Sheet1!$C$2:$D$906,2,0)</f>
        <v>8354163245</v>
      </c>
      <c r="AA152" t="str">
        <f>IF(VLOOKUP(LEFT(Y152,10),'Havi béradatok'!$B:$E,2,0)=D152,"EGYEZIK","HIBÁS")</f>
        <v>EGYEZIK</v>
      </c>
      <c r="AB152">
        <f>(VLOOKUP(LEFT(Y152,10),'Havi béradatok'!$B:$E,3,0)-K152)</f>
        <v>129758.76190476189</v>
      </c>
      <c r="AC152" s="3">
        <f>(VLOOKUP(LEFT(Y152,10),'Havi béradatok'!$B:$E,4,0)-L152)</f>
        <v>16869</v>
      </c>
    </row>
    <row r="153" spans="1:29" s="15" customFormat="1" ht="14.45" customHeight="1" x14ac:dyDescent="0.25">
      <c r="A153" s="38"/>
      <c r="B153" s="38" t="s">
        <v>195</v>
      </c>
      <c r="C153" s="62" t="s">
        <v>177</v>
      </c>
      <c r="D153" s="62" t="s">
        <v>211</v>
      </c>
      <c r="E153" s="62" t="s">
        <v>179</v>
      </c>
      <c r="F153" s="77" t="s">
        <v>169</v>
      </c>
      <c r="G153" s="77" t="s">
        <v>174</v>
      </c>
      <c r="H153" s="174" t="s">
        <v>280</v>
      </c>
      <c r="I153" s="77" t="s">
        <v>11</v>
      </c>
      <c r="J153" s="38" t="s">
        <v>37</v>
      </c>
      <c r="K153" s="6">
        <f>320000/21*8</f>
        <v>121904.76190476191</v>
      </c>
      <c r="L153" s="78">
        <f t="shared" ref="L153" si="114">ROUND(K153*S153,0)</f>
        <v>15848</v>
      </c>
      <c r="M153" s="79">
        <v>174</v>
      </c>
      <c r="N153" s="79">
        <v>174</v>
      </c>
      <c r="O153" s="191">
        <f t="shared" ref="O153" si="115">N153/M153</f>
        <v>1</v>
      </c>
      <c r="P153" s="80">
        <f t="shared" ref="P153" si="116">ROUND(K153*N153/M153,0)</f>
        <v>121905</v>
      </c>
      <c r="Q153" s="80">
        <f t="shared" ref="Q153" si="117">ROUND(P153*S153,0)</f>
        <v>15848</v>
      </c>
      <c r="R153" s="159">
        <f t="shared" ref="R153" si="118">N153/M153-P153/K153</f>
        <v>-1.9531249999538147E-6</v>
      </c>
      <c r="S153" s="113">
        <v>0.13</v>
      </c>
      <c r="T153" s="86">
        <v>44608</v>
      </c>
      <c r="U153" s="64"/>
      <c r="V153" s="64"/>
      <c r="W153" s="64"/>
      <c r="X153" s="15">
        <v>1</v>
      </c>
      <c r="Y153" s="15" t="str">
        <f>VLOOKUP(B153,[1]Sheet1!$C$2:$D$906,2,0)</f>
        <v>8354163245</v>
      </c>
      <c r="AA153" t="str">
        <f>IF(VLOOKUP(LEFT(Y153,10),'Havi béradatok'!$B:$E,2,0)=D153,"EGYEZIK","HIBÁS")</f>
        <v>EGYEZIK</v>
      </c>
      <c r="AB153">
        <f>(VLOOKUP(LEFT(Y153,10),'Havi béradatok'!$B:$E,3,0)-K153)</f>
        <v>205949.23809523811</v>
      </c>
      <c r="AC153" s="3">
        <f>(VLOOKUP(LEFT(Y153,10),'Havi béradatok'!$B:$E,4,0)-L153)</f>
        <v>26773</v>
      </c>
    </row>
    <row r="154" spans="1:29" s="15" customFormat="1" ht="14.45" customHeight="1" x14ac:dyDescent="0.25">
      <c r="A154" s="38"/>
      <c r="B154" s="38" t="s">
        <v>195</v>
      </c>
      <c r="C154" s="62" t="s">
        <v>177</v>
      </c>
      <c r="D154" s="62" t="s">
        <v>211</v>
      </c>
      <c r="E154" s="62" t="s">
        <v>179</v>
      </c>
      <c r="F154" s="77" t="s">
        <v>169</v>
      </c>
      <c r="G154" s="77" t="s">
        <v>174</v>
      </c>
      <c r="H154" s="62" t="s">
        <v>117</v>
      </c>
      <c r="I154" s="77" t="s">
        <v>11</v>
      </c>
      <c r="J154" s="38" t="s">
        <v>37</v>
      </c>
      <c r="K154" s="6">
        <v>320000</v>
      </c>
      <c r="L154" s="78">
        <f t="shared" si="59"/>
        <v>41600</v>
      </c>
      <c r="M154" s="79">
        <v>174</v>
      </c>
      <c r="N154" s="79">
        <v>174</v>
      </c>
      <c r="O154" s="191">
        <f t="shared" si="63"/>
        <v>1</v>
      </c>
      <c r="P154" s="80">
        <f t="shared" ref="P154:P159" si="119">ROUND(K154*N154/M154,0)</f>
        <v>320000</v>
      </c>
      <c r="Q154" s="80">
        <f t="shared" ref="Q154:Q159" si="120">ROUND(P154*S154,0)</f>
        <v>41600</v>
      </c>
      <c r="R154" s="159">
        <f t="shared" ref="R154:R159" si="121">N154/M154-P154/K154</f>
        <v>0</v>
      </c>
      <c r="S154" s="113">
        <v>0.13</v>
      </c>
      <c r="T154" s="86">
        <v>44902</v>
      </c>
      <c r="U154" s="64"/>
      <c r="V154" s="64"/>
      <c r="W154" s="64"/>
      <c r="X154" s="15">
        <v>1</v>
      </c>
      <c r="Y154" s="15" t="str">
        <f>VLOOKUP(B154,[1]Sheet1!$C$2:$D$906,2,0)</f>
        <v>8354163245</v>
      </c>
      <c r="AA154" t="str">
        <f>IF(VLOOKUP(LEFT(Y154,10),'Havi béradatok'!$B:$E,2,0)=D154,"EGYEZIK","HIBÁS")</f>
        <v>EGYEZIK</v>
      </c>
      <c r="AB154">
        <f>(VLOOKUP(LEFT(Y154,10),'Havi béradatok'!$B:$E,3,0)-K154)</f>
        <v>7854</v>
      </c>
      <c r="AC154" s="3">
        <f>(VLOOKUP(LEFT(Y154,10),'Havi béradatok'!$B:$E,4,0)-L154)</f>
        <v>1021</v>
      </c>
    </row>
    <row r="155" spans="1:29" s="15" customFormat="1" ht="14.45" customHeight="1" x14ac:dyDescent="0.25">
      <c r="A155" s="38"/>
      <c r="B155" s="38" t="s">
        <v>195</v>
      </c>
      <c r="C155" s="62" t="s">
        <v>177</v>
      </c>
      <c r="D155" s="62" t="s">
        <v>211</v>
      </c>
      <c r="E155" s="62" t="s">
        <v>179</v>
      </c>
      <c r="F155" s="77" t="s">
        <v>169</v>
      </c>
      <c r="G155" s="77" t="s">
        <v>174</v>
      </c>
      <c r="H155" s="62" t="s">
        <v>118</v>
      </c>
      <c r="I155" s="77" t="s">
        <v>11</v>
      </c>
      <c r="J155" s="38" t="s">
        <v>37</v>
      </c>
      <c r="K155" s="6">
        <v>368000</v>
      </c>
      <c r="L155" s="78">
        <f t="shared" si="59"/>
        <v>47840</v>
      </c>
      <c r="M155" s="79">
        <v>174</v>
      </c>
      <c r="N155" s="79">
        <v>174</v>
      </c>
      <c r="O155" s="191">
        <f t="shared" si="63"/>
        <v>1</v>
      </c>
      <c r="P155" s="80">
        <f t="shared" si="119"/>
        <v>368000</v>
      </c>
      <c r="Q155" s="80">
        <f t="shared" si="120"/>
        <v>47840</v>
      </c>
      <c r="R155" s="159">
        <f t="shared" si="121"/>
        <v>0</v>
      </c>
      <c r="S155" s="113">
        <v>0.13</v>
      </c>
      <c r="T155" s="86">
        <v>44938</v>
      </c>
      <c r="U155" s="64"/>
      <c r="V155" s="64"/>
      <c r="W155" s="64"/>
      <c r="X155" s="15">
        <v>1</v>
      </c>
      <c r="Y155" s="15" t="str">
        <f>VLOOKUP(B155,[1]Sheet1!$C$2:$D$906,2,0)</f>
        <v>8354163245</v>
      </c>
      <c r="AA155" t="str">
        <f>IF(VLOOKUP(LEFT(Y155,10),'Havi béradatok'!$B:$E,2,0)=D155,"EGYEZIK","HIBÁS")</f>
        <v>EGYEZIK</v>
      </c>
      <c r="AB155">
        <f>(VLOOKUP(LEFT(Y155,10),'Havi béradatok'!$B:$E,3,0)-K155)</f>
        <v>-40146</v>
      </c>
      <c r="AC155" s="3">
        <f>(VLOOKUP(LEFT(Y155,10),'Havi béradatok'!$B:$E,4,0)-L155)</f>
        <v>-5219</v>
      </c>
    </row>
    <row r="156" spans="1:29" s="15" customFormat="1" ht="14.45" customHeight="1" x14ac:dyDescent="0.25">
      <c r="A156" s="38"/>
      <c r="B156" s="38" t="s">
        <v>195</v>
      </c>
      <c r="C156" s="62" t="s">
        <v>177</v>
      </c>
      <c r="D156" s="62" t="s">
        <v>211</v>
      </c>
      <c r="E156" s="62" t="s">
        <v>179</v>
      </c>
      <c r="F156" s="77" t="s">
        <v>169</v>
      </c>
      <c r="G156" s="77" t="s">
        <v>174</v>
      </c>
      <c r="H156" s="62" t="s">
        <v>119</v>
      </c>
      <c r="I156" s="77" t="s">
        <v>11</v>
      </c>
      <c r="J156" s="38" t="s">
        <v>37</v>
      </c>
      <c r="K156" s="6">
        <v>327854</v>
      </c>
      <c r="L156" s="78">
        <f t="shared" si="59"/>
        <v>42621</v>
      </c>
      <c r="M156" s="79">
        <v>174</v>
      </c>
      <c r="N156" s="79">
        <v>87</v>
      </c>
      <c r="O156" s="191">
        <f t="shared" si="63"/>
        <v>0.5</v>
      </c>
      <c r="P156" s="80">
        <f>ROUND(K156*N156/M156,0)</f>
        <v>163927</v>
      </c>
      <c r="Q156" s="80">
        <f t="shared" si="120"/>
        <v>21311</v>
      </c>
      <c r="R156" s="159">
        <f t="shared" si="121"/>
        <v>0</v>
      </c>
      <c r="S156" s="113">
        <v>0.13</v>
      </c>
      <c r="T156" s="86">
        <v>44972</v>
      </c>
      <c r="U156" s="64"/>
      <c r="V156" s="64"/>
      <c r="W156" s="64"/>
      <c r="X156" s="15">
        <v>1</v>
      </c>
      <c r="Y156" s="15" t="str">
        <f>VLOOKUP(B156,[1]Sheet1!$C$2:$D$906,2,0)</f>
        <v>8354163245</v>
      </c>
      <c r="AA156" t="str">
        <f>IF(VLOOKUP(LEFT(Y156,10),'Havi béradatok'!$B:$E,2,0)=D156,"EGYEZIK","HIBÁS")</f>
        <v>EGYEZIK</v>
      </c>
      <c r="AB156">
        <f>(VLOOKUP(LEFT(Y156,10),'Havi béradatok'!$B:$E,3,0)-K156)</f>
        <v>0</v>
      </c>
      <c r="AC156" s="3">
        <f>(VLOOKUP(LEFT(Y156,10),'Havi béradatok'!$B:$E,4,0)-L156)</f>
        <v>0</v>
      </c>
    </row>
    <row r="157" spans="1:29" s="15" customFormat="1" ht="14.45" hidden="1" customHeight="1" x14ac:dyDescent="0.25">
      <c r="A157" s="38"/>
      <c r="B157" s="38" t="s">
        <v>195</v>
      </c>
      <c r="C157" s="62" t="s">
        <v>177</v>
      </c>
      <c r="D157" s="62" t="s">
        <v>211</v>
      </c>
      <c r="E157" s="62" t="s">
        <v>179</v>
      </c>
      <c r="F157" s="77" t="s">
        <v>169</v>
      </c>
      <c r="G157" s="77" t="s">
        <v>174</v>
      </c>
      <c r="H157" s="62" t="s">
        <v>120</v>
      </c>
      <c r="I157" s="77" t="s">
        <v>12</v>
      </c>
      <c r="J157" s="38" t="s">
        <v>37</v>
      </c>
      <c r="K157" s="6">
        <v>368000</v>
      </c>
      <c r="L157" s="78">
        <f t="shared" si="59"/>
        <v>47840</v>
      </c>
      <c r="M157" s="79">
        <v>174</v>
      </c>
      <c r="N157" s="79">
        <v>87</v>
      </c>
      <c r="O157" s="191">
        <f t="shared" si="63"/>
        <v>0.5</v>
      </c>
      <c r="P157" s="80">
        <f t="shared" si="119"/>
        <v>184000</v>
      </c>
      <c r="Q157" s="80">
        <f t="shared" si="120"/>
        <v>23920</v>
      </c>
      <c r="R157" s="159">
        <f t="shared" si="121"/>
        <v>0</v>
      </c>
      <c r="S157" s="113">
        <v>0.13</v>
      </c>
      <c r="T157" s="86">
        <v>44972</v>
      </c>
      <c r="U157" s="64"/>
      <c r="V157" s="64"/>
      <c r="W157" s="64"/>
      <c r="X157" s="15">
        <v>1</v>
      </c>
      <c r="Y157" s="15" t="str">
        <f>VLOOKUP(B157,[1]Sheet1!$C$2:$D$906,2,0)</f>
        <v>8354163245</v>
      </c>
    </row>
    <row r="158" spans="1:29" s="15" customFormat="1" ht="14.45" hidden="1" customHeight="1" x14ac:dyDescent="0.25">
      <c r="A158" s="38"/>
      <c r="B158" s="38" t="s">
        <v>195</v>
      </c>
      <c r="C158" s="62" t="s">
        <v>177</v>
      </c>
      <c r="D158" s="62" t="s">
        <v>211</v>
      </c>
      <c r="E158" s="62" t="s">
        <v>179</v>
      </c>
      <c r="F158" s="77" t="s">
        <v>169</v>
      </c>
      <c r="G158" s="77" t="s">
        <v>174</v>
      </c>
      <c r="H158" s="62" t="s">
        <v>121</v>
      </c>
      <c r="I158" s="77" t="s">
        <v>12</v>
      </c>
      <c r="J158" s="38" t="s">
        <v>37</v>
      </c>
      <c r="K158" s="6">
        <v>368000</v>
      </c>
      <c r="L158" s="78">
        <f t="shared" si="59"/>
        <v>47840</v>
      </c>
      <c r="M158" s="79">
        <v>174</v>
      </c>
      <c r="N158" s="79">
        <v>87</v>
      </c>
      <c r="O158" s="191">
        <f t="shared" si="63"/>
        <v>0.5</v>
      </c>
      <c r="P158" s="80">
        <f t="shared" si="119"/>
        <v>184000</v>
      </c>
      <c r="Q158" s="80">
        <f t="shared" si="120"/>
        <v>23920</v>
      </c>
      <c r="R158" s="159">
        <f t="shared" si="121"/>
        <v>0</v>
      </c>
      <c r="S158" s="113">
        <v>0.13</v>
      </c>
      <c r="T158" s="86">
        <v>44972</v>
      </c>
      <c r="U158" s="64"/>
      <c r="V158" s="64"/>
      <c r="W158" s="64"/>
      <c r="X158" s="15">
        <v>1</v>
      </c>
      <c r="Y158" s="15" t="str">
        <f>VLOOKUP(B158,[1]Sheet1!$C$2:$D$906,2,0)</f>
        <v>8354163245</v>
      </c>
    </row>
    <row r="159" spans="1:29" s="15" customFormat="1" ht="14.45" hidden="1" customHeight="1" x14ac:dyDescent="0.25">
      <c r="A159" s="38"/>
      <c r="B159" s="38" t="s">
        <v>195</v>
      </c>
      <c r="C159" s="62" t="s">
        <v>177</v>
      </c>
      <c r="D159" s="62" t="s">
        <v>211</v>
      </c>
      <c r="E159" s="62" t="s">
        <v>179</v>
      </c>
      <c r="F159" s="77" t="s">
        <v>169</v>
      </c>
      <c r="G159" s="77" t="s">
        <v>174</v>
      </c>
      <c r="H159" s="62" t="s">
        <v>122</v>
      </c>
      <c r="I159" s="77" t="s">
        <v>12</v>
      </c>
      <c r="J159" s="38" t="s">
        <v>37</v>
      </c>
      <c r="K159" s="6">
        <v>368000</v>
      </c>
      <c r="L159" s="78">
        <f t="shared" si="59"/>
        <v>47840</v>
      </c>
      <c r="M159" s="79">
        <v>174</v>
      </c>
      <c r="N159" s="79">
        <v>87</v>
      </c>
      <c r="O159" s="191">
        <f t="shared" si="63"/>
        <v>0.5</v>
      </c>
      <c r="P159" s="80">
        <f t="shared" si="119"/>
        <v>184000</v>
      </c>
      <c r="Q159" s="80">
        <f t="shared" si="120"/>
        <v>23920</v>
      </c>
      <c r="R159" s="159">
        <f t="shared" si="121"/>
        <v>0</v>
      </c>
      <c r="S159" s="113">
        <v>0.13</v>
      </c>
      <c r="T159" s="86">
        <v>44972</v>
      </c>
      <c r="U159" s="64"/>
      <c r="V159" s="64"/>
      <c r="W159" s="64"/>
      <c r="X159" s="15">
        <v>1</v>
      </c>
      <c r="Y159" s="15" t="str">
        <f>VLOOKUP(B159,[1]Sheet1!$C$2:$D$906,2,0)</f>
        <v>8354163245</v>
      </c>
    </row>
    <row r="160" spans="1:29" s="15" customFormat="1" ht="14.45" customHeight="1" x14ac:dyDescent="0.25">
      <c r="A160" s="38"/>
      <c r="B160" s="38" t="s">
        <v>198</v>
      </c>
      <c r="C160" s="62" t="s">
        <v>177</v>
      </c>
      <c r="D160" s="62" t="s">
        <v>212</v>
      </c>
      <c r="E160" s="62" t="s">
        <v>179</v>
      </c>
      <c r="F160" s="77" t="s">
        <v>169</v>
      </c>
      <c r="G160" s="77" t="s">
        <v>174</v>
      </c>
      <c r="H160" s="62" t="s">
        <v>86</v>
      </c>
      <c r="I160" s="77" t="s">
        <v>11</v>
      </c>
      <c r="J160" s="38" t="s">
        <v>37</v>
      </c>
      <c r="K160" s="6">
        <v>547300</v>
      </c>
      <c r="L160" s="78">
        <f t="shared" si="59"/>
        <v>71149</v>
      </c>
      <c r="M160" s="79">
        <v>174</v>
      </c>
      <c r="N160" s="79">
        <v>43</v>
      </c>
      <c r="O160" s="191">
        <f t="shared" si="63"/>
        <v>0.2471264367816092</v>
      </c>
      <c r="P160" s="80">
        <v>150000</v>
      </c>
      <c r="Q160" s="80">
        <f t="shared" ref="Q160:Q163" si="122">ROUND(P160*S160,0)</f>
        <v>19500</v>
      </c>
      <c r="R160" s="159">
        <f>N160/M160-P160/K160</f>
        <v>-2.6946283846930902E-2</v>
      </c>
      <c r="S160" s="113">
        <v>0.13</v>
      </c>
      <c r="T160" s="86">
        <v>44620</v>
      </c>
      <c r="U160" s="64">
        <v>1</v>
      </c>
      <c r="V160" s="64" t="s">
        <v>277</v>
      </c>
      <c r="W160" s="64"/>
      <c r="X160" s="15">
        <v>2</v>
      </c>
      <c r="Y160" s="15" t="str">
        <f>VLOOKUP(B160,[1]Sheet1!$C$2:$D$906,2,0)</f>
        <v>8381490405</v>
      </c>
    </row>
    <row r="161" spans="1:29" s="15" customFormat="1" ht="14.45" customHeight="1" x14ac:dyDescent="0.25">
      <c r="A161" s="38"/>
      <c r="B161" s="38" t="s">
        <v>198</v>
      </c>
      <c r="C161" s="62" t="s">
        <v>177</v>
      </c>
      <c r="D161" s="62" t="s">
        <v>212</v>
      </c>
      <c r="E161" s="62" t="s">
        <v>179</v>
      </c>
      <c r="F161" s="77" t="s">
        <v>169</v>
      </c>
      <c r="G161" s="77" t="s">
        <v>174</v>
      </c>
      <c r="H161" s="62" t="s">
        <v>87</v>
      </c>
      <c r="I161" s="77" t="s">
        <v>11</v>
      </c>
      <c r="J161" s="38" t="s">
        <v>37</v>
      </c>
      <c r="K161" s="6">
        <v>547300</v>
      </c>
      <c r="L161" s="78">
        <f t="shared" si="59"/>
        <v>71149</v>
      </c>
      <c r="M161" s="79">
        <v>174</v>
      </c>
      <c r="N161" s="79">
        <v>43</v>
      </c>
      <c r="O161" s="191">
        <f t="shared" si="63"/>
        <v>0.2471264367816092</v>
      </c>
      <c r="P161" s="80">
        <v>150000</v>
      </c>
      <c r="Q161" s="80">
        <f t="shared" si="122"/>
        <v>19500</v>
      </c>
      <c r="R161" s="159">
        <f>N161/M161-P161/K161</f>
        <v>-2.6946283846930902E-2</v>
      </c>
      <c r="S161" s="113">
        <v>0.13</v>
      </c>
      <c r="T161" s="86">
        <v>44620</v>
      </c>
      <c r="U161" s="64">
        <v>1</v>
      </c>
      <c r="V161" s="64"/>
      <c r="W161" s="64"/>
      <c r="X161" s="15">
        <v>2</v>
      </c>
      <c r="Y161" s="15" t="str">
        <f>VLOOKUP(B161,[1]Sheet1!$C$2:$D$906,2,0)</f>
        <v>8381490405</v>
      </c>
    </row>
    <row r="162" spans="1:29" s="15" customFormat="1" ht="14.45" customHeight="1" x14ac:dyDescent="0.25">
      <c r="A162" s="38"/>
      <c r="B162" s="38" t="s">
        <v>198</v>
      </c>
      <c r="C162" s="62" t="s">
        <v>177</v>
      </c>
      <c r="D162" s="62" t="s">
        <v>212</v>
      </c>
      <c r="E162" s="62" t="s">
        <v>179</v>
      </c>
      <c r="F162" s="77" t="s">
        <v>169</v>
      </c>
      <c r="G162" s="77" t="s">
        <v>174</v>
      </c>
      <c r="H162" s="62" t="s">
        <v>88</v>
      </c>
      <c r="I162" s="77" t="s">
        <v>11</v>
      </c>
      <c r="J162" s="38" t="s">
        <v>37</v>
      </c>
      <c r="K162" s="6">
        <v>547300</v>
      </c>
      <c r="L162" s="78">
        <f t="shared" si="59"/>
        <v>71149</v>
      </c>
      <c r="M162" s="79">
        <v>174</v>
      </c>
      <c r="N162" s="79">
        <v>43</v>
      </c>
      <c r="O162" s="191">
        <f t="shared" ref="O162:O233" si="123">N162/M162</f>
        <v>0.2471264367816092</v>
      </c>
      <c r="P162" s="80">
        <v>150000</v>
      </c>
      <c r="Q162" s="80">
        <f t="shared" si="122"/>
        <v>19500</v>
      </c>
      <c r="R162" s="159">
        <f t="shared" ref="R162:R163" si="124">N162/M162-P162/K162</f>
        <v>-2.6946283846930902E-2</v>
      </c>
      <c r="S162" s="113">
        <v>0.13</v>
      </c>
      <c r="T162" s="86">
        <v>44620</v>
      </c>
      <c r="U162" s="64">
        <v>1</v>
      </c>
      <c r="V162" s="64"/>
      <c r="W162" s="64"/>
      <c r="X162" s="15">
        <v>2</v>
      </c>
      <c r="Y162" s="15" t="str">
        <f>VLOOKUP(B162,[1]Sheet1!$C$2:$D$906,2,0)</f>
        <v>8381490405</v>
      </c>
    </row>
    <row r="163" spans="1:29" s="15" customFormat="1" ht="14.45" customHeight="1" x14ac:dyDescent="0.25">
      <c r="A163" s="38"/>
      <c r="B163" s="38" t="s">
        <v>198</v>
      </c>
      <c r="C163" s="62" t="s">
        <v>177</v>
      </c>
      <c r="D163" s="62" t="s">
        <v>212</v>
      </c>
      <c r="E163" s="62" t="s">
        <v>179</v>
      </c>
      <c r="F163" s="77" t="s">
        <v>169</v>
      </c>
      <c r="G163" s="77" t="s">
        <v>174</v>
      </c>
      <c r="H163" s="62" t="s">
        <v>89</v>
      </c>
      <c r="I163" s="77" t="s">
        <v>11</v>
      </c>
      <c r="J163" s="38" t="s">
        <v>37</v>
      </c>
      <c r="K163" s="6">
        <v>547300</v>
      </c>
      <c r="L163" s="78">
        <f t="shared" si="59"/>
        <v>71149</v>
      </c>
      <c r="M163" s="79">
        <v>174</v>
      </c>
      <c r="N163" s="79">
        <v>43</v>
      </c>
      <c r="O163" s="191">
        <f t="shared" si="123"/>
        <v>0.2471264367816092</v>
      </c>
      <c r="P163" s="80">
        <v>150000</v>
      </c>
      <c r="Q163" s="80">
        <f t="shared" si="122"/>
        <v>19500</v>
      </c>
      <c r="R163" s="159">
        <f t="shared" si="124"/>
        <v>-2.6946283846930902E-2</v>
      </c>
      <c r="S163" s="113">
        <v>0.13</v>
      </c>
      <c r="T163" s="86">
        <v>44620</v>
      </c>
      <c r="U163" s="64">
        <v>2</v>
      </c>
      <c r="V163" s="64"/>
      <c r="W163" s="64"/>
      <c r="X163" s="15">
        <v>2</v>
      </c>
      <c r="Y163" s="15" t="str">
        <f>VLOOKUP(B163,[1]Sheet1!$C$2:$D$906,2,0)</f>
        <v>8381490405</v>
      </c>
    </row>
    <row r="164" spans="1:29" s="15" customFormat="1" ht="14.45" customHeight="1" x14ac:dyDescent="0.25">
      <c r="A164" s="38"/>
      <c r="B164" s="38" t="s">
        <v>198</v>
      </c>
      <c r="C164" s="62" t="s">
        <v>177</v>
      </c>
      <c r="D164" s="62" t="s">
        <v>212</v>
      </c>
      <c r="E164" s="62" t="s">
        <v>179</v>
      </c>
      <c r="F164" s="77" t="s">
        <v>169</v>
      </c>
      <c r="G164" s="77" t="s">
        <v>174</v>
      </c>
      <c r="H164" s="62" t="s">
        <v>90</v>
      </c>
      <c r="I164" s="77" t="s">
        <v>11</v>
      </c>
      <c r="J164" s="38" t="s">
        <v>37</v>
      </c>
      <c r="K164" s="6">
        <v>547300</v>
      </c>
      <c r="L164" s="78">
        <f t="shared" si="59"/>
        <v>71149</v>
      </c>
      <c r="M164" s="79">
        <v>174</v>
      </c>
      <c r="N164" s="79">
        <v>48</v>
      </c>
      <c r="O164" s="191">
        <f t="shared" si="123"/>
        <v>0.27586206896551724</v>
      </c>
      <c r="P164" s="80">
        <v>150000</v>
      </c>
      <c r="Q164" s="80">
        <f t="shared" ref="Q164:Q182" si="125">ROUND(P164*S164,0)</f>
        <v>19500</v>
      </c>
      <c r="R164" s="159">
        <f t="shared" ref="R164:R182" si="126">N164/M164-P164/K164</f>
        <v>1.7893483369771368E-3</v>
      </c>
      <c r="S164" s="113">
        <v>0.13</v>
      </c>
      <c r="T164" s="86">
        <v>44728</v>
      </c>
      <c r="U164" s="64">
        <v>2</v>
      </c>
      <c r="V164" s="64"/>
      <c r="W164" s="64"/>
      <c r="X164" s="15">
        <v>2</v>
      </c>
      <c r="Y164" s="15" t="str">
        <f>VLOOKUP(B164,[1]Sheet1!$C$2:$D$906,2,0)</f>
        <v>8381490405</v>
      </c>
    </row>
    <row r="165" spans="1:29" s="15" customFormat="1" ht="14.45" customHeight="1" x14ac:dyDescent="0.25">
      <c r="A165" s="38"/>
      <c r="B165" s="38" t="s">
        <v>198</v>
      </c>
      <c r="C165" s="62" t="s">
        <v>177</v>
      </c>
      <c r="D165" s="62" t="s">
        <v>212</v>
      </c>
      <c r="E165" s="62" t="s">
        <v>179</v>
      </c>
      <c r="F165" s="77" t="s">
        <v>169</v>
      </c>
      <c r="G165" s="77" t="s">
        <v>174</v>
      </c>
      <c r="H165" s="62" t="s">
        <v>91</v>
      </c>
      <c r="I165" s="77" t="s">
        <v>11</v>
      </c>
      <c r="J165" s="38" t="s">
        <v>37</v>
      </c>
      <c r="K165" s="177">
        <v>475913</v>
      </c>
      <c r="L165" s="78">
        <f t="shared" si="59"/>
        <v>61869</v>
      </c>
      <c r="M165" s="79">
        <v>174</v>
      </c>
      <c r="N165" s="79">
        <v>48</v>
      </c>
      <c r="O165" s="191">
        <f t="shared" si="123"/>
        <v>0.27586206896551724</v>
      </c>
      <c r="P165" s="80">
        <v>150000</v>
      </c>
      <c r="Q165" s="80">
        <f t="shared" si="125"/>
        <v>19500</v>
      </c>
      <c r="R165" s="159">
        <f t="shared" si="126"/>
        <v>-3.9321588551718079E-2</v>
      </c>
      <c r="S165" s="113">
        <v>0.13</v>
      </c>
      <c r="T165" s="86">
        <v>44728</v>
      </c>
      <c r="U165" s="64">
        <v>2</v>
      </c>
      <c r="V165" s="64"/>
      <c r="W165" s="64"/>
      <c r="X165" s="15">
        <v>2</v>
      </c>
      <c r="Y165" s="15" t="str">
        <f>VLOOKUP(B165,[1]Sheet1!$C$2:$D$906,2,0)</f>
        <v>8381490405</v>
      </c>
    </row>
    <row r="166" spans="1:29" s="15" customFormat="1" ht="14.45" customHeight="1" x14ac:dyDescent="0.25">
      <c r="A166" s="38"/>
      <c r="B166" s="38" t="s">
        <v>198</v>
      </c>
      <c r="C166" s="62" t="s">
        <v>177</v>
      </c>
      <c r="D166" s="62" t="s">
        <v>212</v>
      </c>
      <c r="E166" s="62" t="s">
        <v>179</v>
      </c>
      <c r="F166" s="77" t="s">
        <v>169</v>
      </c>
      <c r="G166" s="77" t="s">
        <v>174</v>
      </c>
      <c r="H166" s="62" t="s">
        <v>92</v>
      </c>
      <c r="I166" s="77" t="s">
        <v>11</v>
      </c>
      <c r="J166" s="38" t="s">
        <v>37</v>
      </c>
      <c r="K166" s="6">
        <v>547300</v>
      </c>
      <c r="L166" s="78">
        <f t="shared" si="59"/>
        <v>71149</v>
      </c>
      <c r="M166" s="79">
        <v>174</v>
      </c>
      <c r="N166" s="79">
        <v>48</v>
      </c>
      <c r="O166" s="191">
        <f t="shared" si="123"/>
        <v>0.27586206896551724</v>
      </c>
      <c r="P166" s="80">
        <v>150000</v>
      </c>
      <c r="Q166" s="80">
        <f t="shared" si="125"/>
        <v>19500</v>
      </c>
      <c r="R166" s="159">
        <f t="shared" si="126"/>
        <v>1.7893483369771368E-3</v>
      </c>
      <c r="S166" s="113">
        <v>0.13</v>
      </c>
      <c r="T166" s="86">
        <v>44728</v>
      </c>
      <c r="U166" s="64">
        <v>2</v>
      </c>
      <c r="V166" s="64"/>
      <c r="W166" s="64"/>
      <c r="X166" s="15">
        <v>2</v>
      </c>
      <c r="Y166" s="15" t="str">
        <f>VLOOKUP(B166,[1]Sheet1!$C$2:$D$906,2,0)</f>
        <v>8381490405</v>
      </c>
    </row>
    <row r="167" spans="1:29" s="15" customFormat="1" ht="14.45" customHeight="1" x14ac:dyDescent="0.25">
      <c r="A167" s="38"/>
      <c r="B167" s="38" t="s">
        <v>198</v>
      </c>
      <c r="C167" s="62" t="s">
        <v>177</v>
      </c>
      <c r="D167" s="62" t="s">
        <v>212</v>
      </c>
      <c r="E167" s="62" t="s">
        <v>179</v>
      </c>
      <c r="F167" s="77" t="s">
        <v>169</v>
      </c>
      <c r="G167" s="77" t="s">
        <v>174</v>
      </c>
      <c r="H167" s="62" t="s">
        <v>93</v>
      </c>
      <c r="I167" s="77" t="s">
        <v>11</v>
      </c>
      <c r="J167" s="38" t="s">
        <v>37</v>
      </c>
      <c r="K167" s="6">
        <v>547300</v>
      </c>
      <c r="L167" s="78">
        <f t="shared" si="59"/>
        <v>71149</v>
      </c>
      <c r="M167" s="79">
        <v>174</v>
      </c>
      <c r="N167" s="79">
        <v>48</v>
      </c>
      <c r="O167" s="191">
        <f t="shared" si="123"/>
        <v>0.27586206896551724</v>
      </c>
      <c r="P167" s="80">
        <v>150000</v>
      </c>
      <c r="Q167" s="80">
        <f t="shared" si="125"/>
        <v>19500</v>
      </c>
      <c r="R167" s="159">
        <f t="shared" si="126"/>
        <v>1.7893483369771368E-3</v>
      </c>
      <c r="S167" s="113">
        <v>0.13</v>
      </c>
      <c r="T167" s="86">
        <v>44728</v>
      </c>
      <c r="U167" s="64">
        <v>2</v>
      </c>
      <c r="V167" s="64"/>
      <c r="W167" s="64"/>
      <c r="X167" s="15">
        <v>2</v>
      </c>
      <c r="Y167" s="15" t="str">
        <f>VLOOKUP(B167,[1]Sheet1!$C$2:$D$906,2,0)</f>
        <v>8381490405</v>
      </c>
    </row>
    <row r="168" spans="1:29" s="15" customFormat="1" ht="14.45" customHeight="1" x14ac:dyDescent="0.25">
      <c r="A168" s="38"/>
      <c r="B168" s="38" t="s">
        <v>198</v>
      </c>
      <c r="C168" s="62" t="s">
        <v>177</v>
      </c>
      <c r="D168" s="62" t="s">
        <v>212</v>
      </c>
      <c r="E168" s="62" t="s">
        <v>179</v>
      </c>
      <c r="F168" s="77" t="s">
        <v>169</v>
      </c>
      <c r="G168" s="77" t="s">
        <v>174</v>
      </c>
      <c r="H168" s="62" t="s">
        <v>94</v>
      </c>
      <c r="I168" s="77" t="s">
        <v>11</v>
      </c>
      <c r="J168" s="38" t="s">
        <v>37</v>
      </c>
      <c r="K168" s="6">
        <v>547300</v>
      </c>
      <c r="L168" s="78">
        <f t="shared" si="59"/>
        <v>71149</v>
      </c>
      <c r="M168" s="79">
        <v>174</v>
      </c>
      <c r="N168" s="79">
        <v>48</v>
      </c>
      <c r="O168" s="191">
        <f t="shared" si="123"/>
        <v>0.27586206896551724</v>
      </c>
      <c r="P168" s="80">
        <v>150000</v>
      </c>
      <c r="Q168" s="80">
        <f t="shared" si="125"/>
        <v>19500</v>
      </c>
      <c r="R168" s="159">
        <f t="shared" si="126"/>
        <v>1.7893483369771368E-3</v>
      </c>
      <c r="S168" s="113">
        <v>0.13</v>
      </c>
      <c r="T168" s="86">
        <v>44728</v>
      </c>
      <c r="U168" s="64">
        <v>2</v>
      </c>
      <c r="V168" s="64"/>
      <c r="W168" s="64"/>
      <c r="X168" s="15">
        <v>2</v>
      </c>
      <c r="Y168" s="15" t="str">
        <f>VLOOKUP(B168,[1]Sheet1!$C$2:$D$906,2,0)</f>
        <v>8381490405</v>
      </c>
    </row>
    <row r="169" spans="1:29" s="15" customFormat="1" ht="14.45" customHeight="1" x14ac:dyDescent="0.25">
      <c r="A169" s="38"/>
      <c r="B169" s="38" t="s">
        <v>198</v>
      </c>
      <c r="C169" s="62" t="s">
        <v>177</v>
      </c>
      <c r="D169" s="62" t="s">
        <v>212</v>
      </c>
      <c r="E169" s="62" t="s">
        <v>179</v>
      </c>
      <c r="F169" s="77" t="s">
        <v>169</v>
      </c>
      <c r="G169" s="77" t="s">
        <v>174</v>
      </c>
      <c r="H169" s="174" t="s">
        <v>281</v>
      </c>
      <c r="I169" s="77" t="s">
        <v>11</v>
      </c>
      <c r="J169" s="38" t="s">
        <v>37</v>
      </c>
      <c r="K169" s="6">
        <f>547300/21*13</f>
        <v>338804.76190476189</v>
      </c>
      <c r="L169" s="78">
        <f>ROUND(K169*S169,0)</f>
        <v>44045</v>
      </c>
      <c r="M169" s="79">
        <v>174</v>
      </c>
      <c r="N169" s="79">
        <v>48</v>
      </c>
      <c r="O169" s="191">
        <f t="shared" si="123"/>
        <v>0.27586206896551724</v>
      </c>
      <c r="P169" s="80">
        <f>150000/21*13</f>
        <v>92857.142857142855</v>
      </c>
      <c r="Q169" s="80">
        <f>ROUND(P169*S169,0)</f>
        <v>12071</v>
      </c>
      <c r="R169" s="159">
        <f t="shared" si="126"/>
        <v>1.7893483369771368E-3</v>
      </c>
      <c r="S169" s="113">
        <v>0.13</v>
      </c>
      <c r="T169" s="86">
        <v>44728</v>
      </c>
      <c r="U169" s="64">
        <v>2</v>
      </c>
      <c r="V169" s="64"/>
      <c r="W169" s="64"/>
      <c r="X169" s="15">
        <v>2</v>
      </c>
      <c r="Y169" s="15" t="str">
        <f>VLOOKUP(B169,[1]Sheet1!$C$2:$D$906,2,0)</f>
        <v>8381490405</v>
      </c>
      <c r="AA169" t="str">
        <f>IF(VLOOKUP(LEFT(Y169,10),'Havi béradatok'!$B:$E,2,0)=D169,"EGYEZIK","HIBÁS")</f>
        <v>EGYEZIK</v>
      </c>
      <c r="AB169">
        <f>(VLOOKUP(LEFT(Y169,10),'Havi béradatok'!$B:$E,3,0)-K169)</f>
        <v>264895.23809523811</v>
      </c>
      <c r="AC169" s="3">
        <f>(VLOOKUP(LEFT(Y169,10),'Havi béradatok'!$B:$E,4,0)-L169)</f>
        <v>34436</v>
      </c>
    </row>
    <row r="170" spans="1:29" s="15" customFormat="1" ht="14.45" customHeight="1" x14ac:dyDescent="0.25">
      <c r="A170" s="38"/>
      <c r="B170" s="38" t="s">
        <v>198</v>
      </c>
      <c r="C170" s="62" t="s">
        <v>177</v>
      </c>
      <c r="D170" s="62" t="s">
        <v>212</v>
      </c>
      <c r="E170" s="62" t="s">
        <v>179</v>
      </c>
      <c r="F170" s="77" t="s">
        <v>169</v>
      </c>
      <c r="G170" s="77" t="s">
        <v>174</v>
      </c>
      <c r="H170" s="174" t="s">
        <v>280</v>
      </c>
      <c r="I170" s="77" t="s">
        <v>11</v>
      </c>
      <c r="J170" s="38" t="s">
        <v>37</v>
      </c>
      <c r="K170" s="6">
        <f>547300/21*8</f>
        <v>208495.23809523811</v>
      </c>
      <c r="L170" s="78">
        <f>ROUND(K170*S170,0)</f>
        <v>27104</v>
      </c>
      <c r="M170" s="79">
        <v>174</v>
      </c>
      <c r="N170" s="79">
        <v>48</v>
      </c>
      <c r="O170" s="191">
        <f t="shared" ref="O170" si="127">N170/M170</f>
        <v>0.27586206896551724</v>
      </c>
      <c r="P170" s="80">
        <f>150000/21*8</f>
        <v>57142.857142857145</v>
      </c>
      <c r="Q170" s="80">
        <f>ROUND(P170*S170,0)</f>
        <v>7429</v>
      </c>
      <c r="R170" s="159">
        <f t="shared" ref="R170" si="128">N170/M170-P170/K170</f>
        <v>1.7893483369771368E-3</v>
      </c>
      <c r="S170" s="113">
        <v>0.13</v>
      </c>
      <c r="T170" s="86">
        <v>44728</v>
      </c>
      <c r="U170" s="64"/>
      <c r="V170" s="64"/>
      <c r="W170" s="64"/>
      <c r="X170" s="15">
        <v>2</v>
      </c>
      <c r="Y170" s="15" t="str">
        <f>VLOOKUP(B170,[1]Sheet1!$C$2:$D$906,2,0)</f>
        <v>8381490405</v>
      </c>
      <c r="AA170" t="str">
        <f>IF(VLOOKUP(LEFT(Y170,10),'Havi béradatok'!$B:$E,2,0)=D170,"EGYEZIK","HIBÁS")</f>
        <v>EGYEZIK</v>
      </c>
      <c r="AB170">
        <f>(VLOOKUP(LEFT(Y170,10),'Havi béradatok'!$B:$E,3,0)-K170)</f>
        <v>395204.76190476189</v>
      </c>
      <c r="AC170" s="3">
        <f>(VLOOKUP(LEFT(Y170,10),'Havi béradatok'!$B:$E,4,0)-L170)</f>
        <v>51377</v>
      </c>
    </row>
    <row r="171" spans="1:29" s="15" customFormat="1" ht="14.45" customHeight="1" x14ac:dyDescent="0.25">
      <c r="A171" s="38"/>
      <c r="B171" s="38" t="s">
        <v>198</v>
      </c>
      <c r="C171" s="62" t="s">
        <v>177</v>
      </c>
      <c r="D171" s="62" t="s">
        <v>212</v>
      </c>
      <c r="E171" s="62" t="s">
        <v>179</v>
      </c>
      <c r="F171" s="77" t="s">
        <v>169</v>
      </c>
      <c r="G171" s="77" t="s">
        <v>174</v>
      </c>
      <c r="H171" s="62" t="s">
        <v>117</v>
      </c>
      <c r="I171" s="77" t="s">
        <v>11</v>
      </c>
      <c r="J171" s="38" t="s">
        <v>37</v>
      </c>
      <c r="K171" s="6">
        <v>603700</v>
      </c>
      <c r="L171" s="78">
        <f t="shared" ref="L171:L175" si="129">ROUND(K171*S171,0)</f>
        <v>78481</v>
      </c>
      <c r="M171" s="79">
        <v>174</v>
      </c>
      <c r="N171" s="79">
        <v>44</v>
      </c>
      <c r="O171" s="191">
        <f t="shared" si="123"/>
        <v>0.25287356321839083</v>
      </c>
      <c r="P171" s="80">
        <v>150000</v>
      </c>
      <c r="Q171" s="80">
        <f t="shared" ref="Q171:Q176" si="130">ROUND(P171*S171,0)</f>
        <v>19500</v>
      </c>
      <c r="R171" s="159">
        <f t="shared" ref="R171:R176" si="131">N171/M171-P171/K171</f>
        <v>4.4057812074582425E-3</v>
      </c>
      <c r="S171" s="113">
        <v>0.13</v>
      </c>
      <c r="T171" s="86">
        <v>44946</v>
      </c>
      <c r="U171" s="64"/>
      <c r="V171" s="64"/>
      <c r="W171" s="64"/>
      <c r="X171" s="15">
        <v>2</v>
      </c>
      <c r="Y171" s="15" t="str">
        <f>VLOOKUP(B171,[1]Sheet1!$C$2:$D$906,2,0)</f>
        <v>8381490405</v>
      </c>
      <c r="AA171" t="str">
        <f>IF(VLOOKUP(LEFT(Y171,10),'Havi béradatok'!$B:$E,2,0)=D171,"EGYEZIK","HIBÁS")</f>
        <v>EGYEZIK</v>
      </c>
      <c r="AB171">
        <f>(VLOOKUP(LEFT(Y171,10),'Havi béradatok'!$B:$E,3,0)-K171)</f>
        <v>0</v>
      </c>
      <c r="AC171" s="3">
        <f>(VLOOKUP(LEFT(Y171,10),'Havi béradatok'!$B:$E,4,0)-L171)</f>
        <v>0</v>
      </c>
    </row>
    <row r="172" spans="1:29" s="15" customFormat="1" ht="14.45" customHeight="1" x14ac:dyDescent="0.25">
      <c r="A172" s="38"/>
      <c r="B172" s="38" t="s">
        <v>198</v>
      </c>
      <c r="C172" s="62" t="s">
        <v>177</v>
      </c>
      <c r="D172" s="62" t="s">
        <v>212</v>
      </c>
      <c r="E172" s="62" t="s">
        <v>179</v>
      </c>
      <c r="F172" s="77" t="s">
        <v>169</v>
      </c>
      <c r="G172" s="77" t="s">
        <v>174</v>
      </c>
      <c r="H172" s="62" t="s">
        <v>118</v>
      </c>
      <c r="I172" s="77" t="s">
        <v>11</v>
      </c>
      <c r="J172" s="38" t="s">
        <v>37</v>
      </c>
      <c r="K172" s="6">
        <v>603700</v>
      </c>
      <c r="L172" s="78">
        <f t="shared" si="129"/>
        <v>78481</v>
      </c>
      <c r="M172" s="79">
        <v>174</v>
      </c>
      <c r="N172" s="79">
        <v>44</v>
      </c>
      <c r="O172" s="191">
        <f t="shared" si="123"/>
        <v>0.25287356321839083</v>
      </c>
      <c r="P172" s="80">
        <v>150000</v>
      </c>
      <c r="Q172" s="80">
        <f t="shared" si="130"/>
        <v>19500</v>
      </c>
      <c r="R172" s="159">
        <f t="shared" si="131"/>
        <v>4.4057812074582425E-3</v>
      </c>
      <c r="S172" s="113">
        <v>0.13</v>
      </c>
      <c r="T172" s="86">
        <v>44946</v>
      </c>
      <c r="U172" s="64"/>
      <c r="V172" s="64"/>
      <c r="W172" s="64"/>
      <c r="X172" s="15">
        <v>2</v>
      </c>
      <c r="Y172" s="15" t="str">
        <f>VLOOKUP(B172,[1]Sheet1!$C$2:$D$906,2,0)</f>
        <v>8381490405</v>
      </c>
      <c r="AA172" t="str">
        <f>IF(VLOOKUP(LEFT(Y172,10),'Havi béradatok'!$B:$E,2,0)=D172,"EGYEZIK","HIBÁS")</f>
        <v>EGYEZIK</v>
      </c>
      <c r="AB172">
        <f>(VLOOKUP(LEFT(Y172,10),'Havi béradatok'!$B:$E,3,0)-K172)</f>
        <v>0</v>
      </c>
      <c r="AC172" s="3">
        <f>(VLOOKUP(LEFT(Y172,10),'Havi béradatok'!$B:$E,4,0)-L172)</f>
        <v>0</v>
      </c>
    </row>
    <row r="173" spans="1:29" s="15" customFormat="1" ht="14.45" customHeight="1" x14ac:dyDescent="0.25">
      <c r="A173" s="38"/>
      <c r="B173" s="38" t="s">
        <v>198</v>
      </c>
      <c r="C173" s="62" t="s">
        <v>177</v>
      </c>
      <c r="D173" s="62" t="s">
        <v>212</v>
      </c>
      <c r="E173" s="62" t="s">
        <v>179</v>
      </c>
      <c r="F173" s="77" t="s">
        <v>169</v>
      </c>
      <c r="G173" s="77" t="s">
        <v>174</v>
      </c>
      <c r="H173" s="62" t="s">
        <v>119</v>
      </c>
      <c r="I173" s="77" t="s">
        <v>11</v>
      </c>
      <c r="J173" s="38" t="s">
        <v>37</v>
      </c>
      <c r="K173" s="6">
        <v>603700</v>
      </c>
      <c r="L173" s="78">
        <f t="shared" si="129"/>
        <v>78481</v>
      </c>
      <c r="M173" s="79">
        <v>174</v>
      </c>
      <c r="N173" s="79">
        <v>44</v>
      </c>
      <c r="O173" s="191">
        <f t="shared" si="123"/>
        <v>0.25287356321839083</v>
      </c>
      <c r="P173" s="80">
        <v>150000</v>
      </c>
      <c r="Q173" s="80">
        <f t="shared" si="130"/>
        <v>19500</v>
      </c>
      <c r="R173" s="159">
        <f t="shared" si="131"/>
        <v>4.4057812074582425E-3</v>
      </c>
      <c r="S173" s="113">
        <v>0.13</v>
      </c>
      <c r="T173" s="86">
        <v>44946</v>
      </c>
      <c r="U173" s="64"/>
      <c r="V173" s="64"/>
      <c r="W173" s="64"/>
      <c r="X173" s="15">
        <v>2</v>
      </c>
      <c r="Y173" s="15" t="str">
        <f>VLOOKUP(B173,[1]Sheet1!$C$2:$D$906,2,0)</f>
        <v>8381490405</v>
      </c>
      <c r="AA173" t="str">
        <f>IF(VLOOKUP(LEFT(Y173,10),'Havi béradatok'!$B:$E,2,0)=D173,"EGYEZIK","HIBÁS")</f>
        <v>EGYEZIK</v>
      </c>
      <c r="AB173">
        <f>(VLOOKUP(LEFT(Y173,10),'Havi béradatok'!$B:$E,3,0)-K173)</f>
        <v>0</v>
      </c>
      <c r="AC173" s="3">
        <f>(VLOOKUP(LEFT(Y173,10),'Havi béradatok'!$B:$E,4,0)-L173)</f>
        <v>0</v>
      </c>
    </row>
    <row r="174" spans="1:29" s="15" customFormat="1" ht="14.45" hidden="1" customHeight="1" x14ac:dyDescent="0.25">
      <c r="A174" s="38"/>
      <c r="B174" s="38" t="s">
        <v>198</v>
      </c>
      <c r="C174" s="62" t="s">
        <v>177</v>
      </c>
      <c r="D174" s="62" t="s">
        <v>212</v>
      </c>
      <c r="E174" s="62" t="s">
        <v>179</v>
      </c>
      <c r="F174" s="77" t="s">
        <v>169</v>
      </c>
      <c r="G174" s="77" t="s">
        <v>174</v>
      </c>
      <c r="H174" s="62" t="s">
        <v>120</v>
      </c>
      <c r="I174" s="77" t="s">
        <v>12</v>
      </c>
      <c r="J174" s="38" t="s">
        <v>37</v>
      </c>
      <c r="K174" s="6">
        <v>603700</v>
      </c>
      <c r="L174" s="78">
        <f t="shared" si="129"/>
        <v>78481</v>
      </c>
      <c r="M174" s="79">
        <v>174</v>
      </c>
      <c r="N174" s="79">
        <v>44</v>
      </c>
      <c r="O174" s="191">
        <f t="shared" si="123"/>
        <v>0.25287356321839083</v>
      </c>
      <c r="P174" s="80">
        <v>150000</v>
      </c>
      <c r="Q174" s="80">
        <f t="shared" si="130"/>
        <v>19500</v>
      </c>
      <c r="R174" s="159">
        <f t="shared" si="131"/>
        <v>4.4057812074582425E-3</v>
      </c>
      <c r="S174" s="113">
        <v>0.13</v>
      </c>
      <c r="T174" s="86">
        <v>44946</v>
      </c>
      <c r="U174" s="64"/>
      <c r="V174" s="64"/>
      <c r="W174" s="64"/>
      <c r="X174" s="15">
        <v>2</v>
      </c>
      <c r="Y174" s="15" t="str">
        <f>VLOOKUP(B174,[1]Sheet1!$C$2:$D$906,2,0)</f>
        <v>8381490405</v>
      </c>
    </row>
    <row r="175" spans="1:29" s="15" customFormat="1" ht="14.45" hidden="1" customHeight="1" x14ac:dyDescent="0.25">
      <c r="A175" s="38"/>
      <c r="B175" s="38" t="s">
        <v>198</v>
      </c>
      <c r="C175" s="62" t="s">
        <v>177</v>
      </c>
      <c r="D175" s="62" t="s">
        <v>212</v>
      </c>
      <c r="E175" s="62" t="s">
        <v>179</v>
      </c>
      <c r="F175" s="77" t="s">
        <v>169</v>
      </c>
      <c r="G175" s="77" t="s">
        <v>174</v>
      </c>
      <c r="H175" s="62" t="s">
        <v>121</v>
      </c>
      <c r="I175" s="77" t="s">
        <v>12</v>
      </c>
      <c r="J175" s="38" t="s">
        <v>37</v>
      </c>
      <c r="K175" s="6">
        <v>603700</v>
      </c>
      <c r="L175" s="78">
        <f t="shared" si="129"/>
        <v>78481</v>
      </c>
      <c r="M175" s="79">
        <v>174</v>
      </c>
      <c r="N175" s="79">
        <v>44</v>
      </c>
      <c r="O175" s="191">
        <f t="shared" si="123"/>
        <v>0.25287356321839083</v>
      </c>
      <c r="P175" s="80">
        <v>150000</v>
      </c>
      <c r="Q175" s="80">
        <f t="shared" si="130"/>
        <v>19500</v>
      </c>
      <c r="R175" s="159">
        <f t="shared" si="131"/>
        <v>4.4057812074582425E-3</v>
      </c>
      <c r="S175" s="113">
        <v>0.13</v>
      </c>
      <c r="T175" s="86">
        <v>44946</v>
      </c>
      <c r="U175" s="64"/>
      <c r="V175" s="64"/>
      <c r="W175" s="64"/>
      <c r="X175" s="15">
        <v>2</v>
      </c>
      <c r="Y175" s="15" t="str">
        <f>VLOOKUP(B175,[1]Sheet1!$C$2:$D$906,2,0)</f>
        <v>8381490405</v>
      </c>
    </row>
    <row r="176" spans="1:29" s="15" customFormat="1" ht="14.45" hidden="1" customHeight="1" x14ac:dyDescent="0.25">
      <c r="A176" s="38"/>
      <c r="B176" s="38" t="s">
        <v>198</v>
      </c>
      <c r="C176" s="62" t="s">
        <v>177</v>
      </c>
      <c r="D176" s="62" t="s">
        <v>212</v>
      </c>
      <c r="E176" s="62" t="s">
        <v>179</v>
      </c>
      <c r="F176" s="77" t="s">
        <v>169</v>
      </c>
      <c r="G176" s="77" t="s">
        <v>174</v>
      </c>
      <c r="H176" s="62" t="s">
        <v>122</v>
      </c>
      <c r="I176" s="77" t="s">
        <v>12</v>
      </c>
      <c r="J176" s="38" t="s">
        <v>37</v>
      </c>
      <c r="K176" s="6">
        <v>603700</v>
      </c>
      <c r="L176" s="78">
        <f>ROUND(K176*S176,0)</f>
        <v>78481</v>
      </c>
      <c r="M176" s="79">
        <v>174</v>
      </c>
      <c r="N176" s="79">
        <v>44</v>
      </c>
      <c r="O176" s="191">
        <f t="shared" si="123"/>
        <v>0.25287356321839083</v>
      </c>
      <c r="P176" s="80">
        <v>150000</v>
      </c>
      <c r="Q176" s="80">
        <f t="shared" si="130"/>
        <v>19500</v>
      </c>
      <c r="R176" s="159">
        <f t="shared" si="131"/>
        <v>4.4057812074582425E-3</v>
      </c>
      <c r="S176" s="113">
        <v>0.13</v>
      </c>
      <c r="T176" s="86">
        <v>44946</v>
      </c>
      <c r="U176" s="64"/>
      <c r="V176" s="64"/>
      <c r="W176" s="64"/>
      <c r="X176" s="15">
        <v>2</v>
      </c>
      <c r="Y176" s="15" t="str">
        <f>VLOOKUP(B176,[1]Sheet1!$C$2:$D$906,2,0)</f>
        <v>8381490405</v>
      </c>
    </row>
    <row r="177" spans="1:29" s="15" customFormat="1" ht="14.45" customHeight="1" x14ac:dyDescent="0.25">
      <c r="A177" s="38"/>
      <c r="B177" s="38" t="s">
        <v>215</v>
      </c>
      <c r="C177" s="62" t="s">
        <v>177</v>
      </c>
      <c r="D177" s="62" t="s">
        <v>211</v>
      </c>
      <c r="E177" s="62" t="s">
        <v>183</v>
      </c>
      <c r="F177" s="77" t="s">
        <v>166</v>
      </c>
      <c r="G177" s="77" t="s">
        <v>172</v>
      </c>
      <c r="H177" s="62" t="s">
        <v>90</v>
      </c>
      <c r="I177" s="77" t="s">
        <v>11</v>
      </c>
      <c r="J177" s="38" t="s">
        <v>37</v>
      </c>
      <c r="K177" s="6">
        <v>190500</v>
      </c>
      <c r="L177" s="78">
        <f>ROUND(K177*S177,0)</f>
        <v>24765</v>
      </c>
      <c r="M177" s="79">
        <v>87</v>
      </c>
      <c r="N177" s="79">
        <v>87</v>
      </c>
      <c r="O177" s="191">
        <f t="shared" si="123"/>
        <v>1</v>
      </c>
      <c r="P177" s="80">
        <f t="shared" ref="P177:P182" si="132">ROUND(K177*N177/M177,0)</f>
        <v>190500</v>
      </c>
      <c r="Q177" s="80">
        <f>ROUND(P177*S177,0)</f>
        <v>24765</v>
      </c>
      <c r="R177" s="159">
        <f t="shared" si="126"/>
        <v>0</v>
      </c>
      <c r="S177" s="113">
        <v>0.13</v>
      </c>
      <c r="T177" s="86">
        <v>44728</v>
      </c>
      <c r="U177" s="64">
        <v>2</v>
      </c>
      <c r="V177" s="64"/>
      <c r="W177" s="64"/>
      <c r="X177" s="15">
        <v>1</v>
      </c>
      <c r="Y177" s="15" t="str">
        <f>VLOOKUP(B177,[1]Sheet1!$C$2:$D$906,2,0)</f>
        <v>8419653322</v>
      </c>
    </row>
    <row r="178" spans="1:29" s="15" customFormat="1" ht="14.45" customHeight="1" x14ac:dyDescent="0.25">
      <c r="A178" s="38"/>
      <c r="B178" s="38" t="s">
        <v>215</v>
      </c>
      <c r="C178" s="62" t="s">
        <v>177</v>
      </c>
      <c r="D178" s="62" t="s">
        <v>213</v>
      </c>
      <c r="E178" s="62" t="s">
        <v>183</v>
      </c>
      <c r="F178" s="77" t="s">
        <v>166</v>
      </c>
      <c r="G178" s="77" t="s">
        <v>172</v>
      </c>
      <c r="H178" s="62" t="s">
        <v>91</v>
      </c>
      <c r="I178" s="77" t="s">
        <v>11</v>
      </c>
      <c r="J178" s="38" t="s">
        <v>37</v>
      </c>
      <c r="K178" s="177">
        <v>160239</v>
      </c>
      <c r="L178" s="78">
        <f t="shared" si="59"/>
        <v>20831</v>
      </c>
      <c r="M178" s="79">
        <v>87</v>
      </c>
      <c r="N178" s="79">
        <v>87</v>
      </c>
      <c r="O178" s="191">
        <f t="shared" si="123"/>
        <v>1</v>
      </c>
      <c r="P178" s="80">
        <f t="shared" si="132"/>
        <v>160239</v>
      </c>
      <c r="Q178" s="80">
        <f t="shared" si="125"/>
        <v>20831</v>
      </c>
      <c r="R178" s="159">
        <f t="shared" si="126"/>
        <v>0</v>
      </c>
      <c r="S178" s="113">
        <v>0.13</v>
      </c>
      <c r="T178" s="86">
        <v>44750</v>
      </c>
      <c r="U178" s="64">
        <v>2</v>
      </c>
      <c r="V178" s="64"/>
      <c r="W178" s="64"/>
      <c r="X178" s="15">
        <v>1</v>
      </c>
      <c r="Y178" s="15" t="str">
        <f>VLOOKUP(B178,[1]Sheet1!$C$2:$D$906,2,0)</f>
        <v>8419653322</v>
      </c>
    </row>
    <row r="179" spans="1:29" s="15" customFormat="1" ht="14.45" customHeight="1" x14ac:dyDescent="0.25">
      <c r="A179" s="38"/>
      <c r="B179" s="38" t="s">
        <v>215</v>
      </c>
      <c r="C179" s="62" t="s">
        <v>177</v>
      </c>
      <c r="D179" s="62" t="s">
        <v>213</v>
      </c>
      <c r="E179" s="62" t="s">
        <v>183</v>
      </c>
      <c r="F179" s="77" t="s">
        <v>166</v>
      </c>
      <c r="G179" s="77" t="s">
        <v>172</v>
      </c>
      <c r="H179" s="62" t="s">
        <v>92</v>
      </c>
      <c r="I179" s="77" t="s">
        <v>11</v>
      </c>
      <c r="J179" s="38" t="s">
        <v>37</v>
      </c>
      <c r="K179" s="6">
        <v>204750</v>
      </c>
      <c r="L179" s="78">
        <f t="shared" si="59"/>
        <v>26618</v>
      </c>
      <c r="M179" s="79">
        <v>87</v>
      </c>
      <c r="N179" s="79">
        <v>87</v>
      </c>
      <c r="O179" s="191">
        <f t="shared" si="123"/>
        <v>1</v>
      </c>
      <c r="P179" s="80">
        <f t="shared" si="132"/>
        <v>204750</v>
      </c>
      <c r="Q179" s="80">
        <f t="shared" si="125"/>
        <v>26618</v>
      </c>
      <c r="R179" s="159">
        <f t="shared" si="126"/>
        <v>0</v>
      </c>
      <c r="S179" s="113">
        <v>0.13</v>
      </c>
      <c r="T179" s="86">
        <v>44750</v>
      </c>
      <c r="U179" s="64">
        <v>2</v>
      </c>
      <c r="V179" s="64"/>
      <c r="W179" s="64"/>
      <c r="X179" s="15">
        <v>1</v>
      </c>
      <c r="Y179" s="15" t="str">
        <f>VLOOKUP(B179,[1]Sheet1!$C$2:$D$906,2,0)</f>
        <v>8419653322</v>
      </c>
    </row>
    <row r="180" spans="1:29" s="15" customFormat="1" ht="14.45" customHeight="1" x14ac:dyDescent="0.25">
      <c r="A180" s="38"/>
      <c r="B180" s="38" t="s">
        <v>215</v>
      </c>
      <c r="C180" s="62" t="s">
        <v>177</v>
      </c>
      <c r="D180" s="62" t="s">
        <v>213</v>
      </c>
      <c r="E180" s="62" t="s">
        <v>183</v>
      </c>
      <c r="F180" s="77" t="s">
        <v>166</v>
      </c>
      <c r="G180" s="77" t="s">
        <v>172</v>
      </c>
      <c r="H180" s="62" t="s">
        <v>93</v>
      </c>
      <c r="I180" s="77" t="s">
        <v>11</v>
      </c>
      <c r="J180" s="38" t="s">
        <v>37</v>
      </c>
      <c r="K180" s="6">
        <v>204750</v>
      </c>
      <c r="L180" s="78">
        <f t="shared" si="59"/>
        <v>26618</v>
      </c>
      <c r="M180" s="79">
        <v>87</v>
      </c>
      <c r="N180" s="79">
        <v>87</v>
      </c>
      <c r="O180" s="191">
        <f t="shared" si="123"/>
        <v>1</v>
      </c>
      <c r="P180" s="80">
        <f t="shared" si="132"/>
        <v>204750</v>
      </c>
      <c r="Q180" s="80">
        <f t="shared" si="125"/>
        <v>26618</v>
      </c>
      <c r="R180" s="159">
        <f t="shared" si="126"/>
        <v>0</v>
      </c>
      <c r="S180" s="113">
        <v>0.13</v>
      </c>
      <c r="T180" s="86">
        <v>44750</v>
      </c>
      <c r="U180" s="64">
        <v>2</v>
      </c>
      <c r="V180" s="64"/>
      <c r="W180" s="64"/>
      <c r="X180" s="15">
        <v>1</v>
      </c>
      <c r="Y180" s="15" t="str">
        <f>VLOOKUP(B180,[1]Sheet1!$C$2:$D$906,2,0)</f>
        <v>8419653322</v>
      </c>
    </row>
    <row r="181" spans="1:29" s="15" customFormat="1" ht="14.45" customHeight="1" x14ac:dyDescent="0.25">
      <c r="A181" s="38"/>
      <c r="B181" s="38" t="s">
        <v>215</v>
      </c>
      <c r="C181" s="62" t="s">
        <v>177</v>
      </c>
      <c r="D181" s="62" t="s">
        <v>213</v>
      </c>
      <c r="E181" s="62" t="s">
        <v>183</v>
      </c>
      <c r="F181" s="77" t="s">
        <v>166</v>
      </c>
      <c r="G181" s="77" t="s">
        <v>172</v>
      </c>
      <c r="H181" s="62" t="s">
        <v>94</v>
      </c>
      <c r="I181" s="77" t="s">
        <v>11</v>
      </c>
      <c r="J181" s="38" t="s">
        <v>37</v>
      </c>
      <c r="K181" s="6">
        <v>204750</v>
      </c>
      <c r="L181" s="78">
        <f t="shared" si="59"/>
        <v>26618</v>
      </c>
      <c r="M181" s="79">
        <v>87</v>
      </c>
      <c r="N181" s="79">
        <v>87</v>
      </c>
      <c r="O181" s="191">
        <f t="shared" si="123"/>
        <v>1</v>
      </c>
      <c r="P181" s="80">
        <f t="shared" si="132"/>
        <v>204750</v>
      </c>
      <c r="Q181" s="80">
        <f t="shared" si="125"/>
        <v>26618</v>
      </c>
      <c r="R181" s="159">
        <f t="shared" si="126"/>
        <v>0</v>
      </c>
      <c r="S181" s="113">
        <v>0.13</v>
      </c>
      <c r="T181" s="86">
        <v>44750</v>
      </c>
      <c r="U181" s="64">
        <v>2</v>
      </c>
      <c r="V181" s="64"/>
      <c r="W181" s="64"/>
      <c r="X181" s="15">
        <v>1</v>
      </c>
      <c r="Y181" s="15" t="str">
        <f>VLOOKUP(B181,[1]Sheet1!$C$2:$D$906,2,0)</f>
        <v>8419653322</v>
      </c>
    </row>
    <row r="182" spans="1:29" s="15" customFormat="1" ht="14.45" customHeight="1" x14ac:dyDescent="0.25">
      <c r="A182" s="38"/>
      <c r="B182" s="38" t="s">
        <v>215</v>
      </c>
      <c r="C182" s="62" t="s">
        <v>177</v>
      </c>
      <c r="D182" s="62" t="s">
        <v>213</v>
      </c>
      <c r="E182" s="62" t="s">
        <v>183</v>
      </c>
      <c r="F182" s="77" t="s">
        <v>166</v>
      </c>
      <c r="G182" s="77" t="s">
        <v>172</v>
      </c>
      <c r="H182" s="174" t="s">
        <v>281</v>
      </c>
      <c r="I182" s="77" t="s">
        <v>11</v>
      </c>
      <c r="J182" s="38" t="s">
        <v>37</v>
      </c>
      <c r="K182" s="6">
        <f>204750/21*13</f>
        <v>126750</v>
      </c>
      <c r="L182" s="78">
        <f t="shared" si="59"/>
        <v>16478</v>
      </c>
      <c r="M182" s="79">
        <v>87</v>
      </c>
      <c r="N182" s="79">
        <v>87</v>
      </c>
      <c r="O182" s="191">
        <f t="shared" si="123"/>
        <v>1</v>
      </c>
      <c r="P182" s="80">
        <f t="shared" si="132"/>
        <v>126750</v>
      </c>
      <c r="Q182" s="80">
        <f t="shared" si="125"/>
        <v>16478</v>
      </c>
      <c r="R182" s="159">
        <f t="shared" si="126"/>
        <v>0</v>
      </c>
      <c r="S182" s="113">
        <v>0.13</v>
      </c>
      <c r="T182" s="86">
        <v>44750</v>
      </c>
      <c r="U182" s="64">
        <v>2</v>
      </c>
      <c r="V182" s="64"/>
      <c r="W182" s="64"/>
      <c r="X182" s="15">
        <v>1</v>
      </c>
      <c r="Y182" s="15" t="str">
        <f>VLOOKUP(B182,[1]Sheet1!$C$2:$D$906,2,0)</f>
        <v>8419653322</v>
      </c>
      <c r="AA182" t="str">
        <f>IF(VLOOKUP(LEFT(Y182,10),'Havi béradatok'!$B:$E,2,0)=D182,"EGYEZIK","HIBÁS")</f>
        <v>EGYEZIK</v>
      </c>
      <c r="AB182">
        <f>(VLOOKUP(LEFT(Y182,10),'Havi béradatok'!$B:$E,3,0)-K182)</f>
        <v>344175</v>
      </c>
      <c r="AC182" s="3">
        <f>(VLOOKUP(LEFT(Y182,10),'Havi béradatok'!$B:$E,4,0)-L182)</f>
        <v>44742</v>
      </c>
    </row>
    <row r="183" spans="1:29" s="15" customFormat="1" ht="14.45" customHeight="1" x14ac:dyDescent="0.25">
      <c r="A183" s="38"/>
      <c r="B183" s="38" t="s">
        <v>215</v>
      </c>
      <c r="C183" s="62" t="s">
        <v>177</v>
      </c>
      <c r="D183" s="62" t="s">
        <v>213</v>
      </c>
      <c r="E183" s="62" t="s">
        <v>183</v>
      </c>
      <c r="F183" s="77" t="s">
        <v>166</v>
      </c>
      <c r="G183" s="77" t="s">
        <v>172</v>
      </c>
      <c r="H183" s="174" t="s">
        <v>280</v>
      </c>
      <c r="I183" s="77" t="s">
        <v>11</v>
      </c>
      <c r="J183" s="38" t="s">
        <v>37</v>
      </c>
      <c r="K183" s="6">
        <f>204750/21*8</f>
        <v>78000</v>
      </c>
      <c r="L183" s="78">
        <f t="shared" ref="L183" si="133">ROUND(K183*S183,0)</f>
        <v>10140</v>
      </c>
      <c r="M183" s="79">
        <v>87</v>
      </c>
      <c r="N183" s="79">
        <v>87</v>
      </c>
      <c r="O183" s="191">
        <f t="shared" ref="O183" si="134">N183/M183</f>
        <v>1</v>
      </c>
      <c r="P183" s="80">
        <f t="shared" ref="P183" si="135">ROUND(K183*N183/M183,0)</f>
        <v>78000</v>
      </c>
      <c r="Q183" s="80">
        <f t="shared" ref="Q183" si="136">ROUND(P183*S183,0)</f>
        <v>10140</v>
      </c>
      <c r="R183" s="159">
        <f t="shared" ref="R183" si="137">N183/M183-P183/K183</f>
        <v>0</v>
      </c>
      <c r="S183" s="113">
        <v>0.13</v>
      </c>
      <c r="T183" s="86">
        <v>44750</v>
      </c>
      <c r="U183" s="64"/>
      <c r="V183" s="64"/>
      <c r="W183" s="64"/>
      <c r="X183" s="15">
        <v>1</v>
      </c>
      <c r="Y183" s="15" t="str">
        <f>VLOOKUP(B183,[1]Sheet1!$C$2:$D$906,2,0)</f>
        <v>8419653322</v>
      </c>
      <c r="AA183" t="str">
        <f>IF(VLOOKUP(LEFT(Y183,10),'Havi béradatok'!$B:$E,2,0)=D183,"EGYEZIK","HIBÁS")</f>
        <v>EGYEZIK</v>
      </c>
      <c r="AB183">
        <f>(VLOOKUP(LEFT(Y183,10),'Havi béradatok'!$B:$E,3,0)-K183)</f>
        <v>392925</v>
      </c>
      <c r="AC183" s="3">
        <f>(VLOOKUP(LEFT(Y183,10),'Havi béradatok'!$B:$E,4,0)-L183)</f>
        <v>51080</v>
      </c>
    </row>
    <row r="184" spans="1:29" s="15" customFormat="1" ht="14.45" customHeight="1" x14ac:dyDescent="0.25">
      <c r="A184" s="38"/>
      <c r="B184" s="38" t="s">
        <v>215</v>
      </c>
      <c r="C184" s="62" t="s">
        <v>177</v>
      </c>
      <c r="D184" s="62" t="s">
        <v>213</v>
      </c>
      <c r="E184" s="62" t="s">
        <v>183</v>
      </c>
      <c r="F184" s="77" t="s">
        <v>166</v>
      </c>
      <c r="G184" s="77" t="s">
        <v>172</v>
      </c>
      <c r="H184" s="62" t="s">
        <v>117</v>
      </c>
      <c r="I184" s="77" t="s">
        <v>11</v>
      </c>
      <c r="J184" s="38" t="s">
        <v>37</v>
      </c>
      <c r="K184" s="6">
        <v>470925</v>
      </c>
      <c r="L184" s="78">
        <f t="shared" si="59"/>
        <v>61220</v>
      </c>
      <c r="M184" s="79">
        <v>174</v>
      </c>
      <c r="N184" s="79">
        <v>174</v>
      </c>
      <c r="O184" s="191">
        <f t="shared" si="123"/>
        <v>1</v>
      </c>
      <c r="P184" s="80">
        <f t="shared" ref="P184:P189" si="138">ROUND(K184*N184/M184,0)</f>
        <v>470925</v>
      </c>
      <c r="Q184" s="80">
        <f t="shared" ref="Q184:Q189" si="139">ROUND(P184*S184,0)</f>
        <v>61220</v>
      </c>
      <c r="R184" s="159">
        <f t="shared" ref="R184:R189" si="140">N184/M184-P184/K184</f>
        <v>0</v>
      </c>
      <c r="S184" s="113">
        <v>0.13</v>
      </c>
      <c r="T184" s="86">
        <v>44935</v>
      </c>
      <c r="U184" s="64"/>
      <c r="V184" s="64"/>
      <c r="W184" s="64"/>
      <c r="X184" s="15">
        <v>1</v>
      </c>
      <c r="Y184" s="15" t="str">
        <f>VLOOKUP(B184,[1]Sheet1!$C$2:$D$906,2,0)</f>
        <v>8419653322</v>
      </c>
      <c r="AA184" t="str">
        <f>IF(VLOOKUP(LEFT(Y184,10),'Havi béradatok'!$B:$E,2,0)=D184,"EGYEZIK","HIBÁS")</f>
        <v>EGYEZIK</v>
      </c>
      <c r="AB184">
        <f>(VLOOKUP(LEFT(Y184,10),'Havi béradatok'!$B:$E,3,0)-K184)</f>
        <v>0</v>
      </c>
      <c r="AC184" s="3">
        <f>(VLOOKUP(LEFT(Y184,10),'Havi béradatok'!$B:$E,4,0)-L184)</f>
        <v>0</v>
      </c>
    </row>
    <row r="185" spans="1:29" s="15" customFormat="1" ht="14.45" customHeight="1" x14ac:dyDescent="0.25">
      <c r="A185" s="38"/>
      <c r="B185" s="38" t="s">
        <v>215</v>
      </c>
      <c r="C185" s="62" t="s">
        <v>177</v>
      </c>
      <c r="D185" s="62" t="s">
        <v>213</v>
      </c>
      <c r="E185" s="62" t="s">
        <v>183</v>
      </c>
      <c r="F185" s="77" t="s">
        <v>166</v>
      </c>
      <c r="G185" s="77" t="s">
        <v>172</v>
      </c>
      <c r="H185" s="62" t="s">
        <v>118</v>
      </c>
      <c r="I185" s="77" t="s">
        <v>11</v>
      </c>
      <c r="J185" s="38" t="s">
        <v>37</v>
      </c>
      <c r="K185" s="6">
        <v>470925</v>
      </c>
      <c r="L185" s="78">
        <f t="shared" ref="L185:L189" si="141">ROUND(K185*S185,0)</f>
        <v>61220</v>
      </c>
      <c r="M185" s="79">
        <v>174</v>
      </c>
      <c r="N185" s="79">
        <v>174</v>
      </c>
      <c r="O185" s="191">
        <f t="shared" si="123"/>
        <v>1</v>
      </c>
      <c r="P185" s="80">
        <f t="shared" si="138"/>
        <v>470925</v>
      </c>
      <c r="Q185" s="80">
        <f t="shared" si="139"/>
        <v>61220</v>
      </c>
      <c r="R185" s="159">
        <f t="shared" si="140"/>
        <v>0</v>
      </c>
      <c r="S185" s="113">
        <v>0.13</v>
      </c>
      <c r="T185" s="86">
        <v>44935</v>
      </c>
      <c r="U185" s="64"/>
      <c r="V185" s="64"/>
      <c r="W185" s="64"/>
      <c r="X185" s="15">
        <v>1</v>
      </c>
      <c r="Y185" s="15" t="str">
        <f>VLOOKUP(B185,[1]Sheet1!$C$2:$D$906,2,0)</f>
        <v>8419653322</v>
      </c>
      <c r="AA185" t="str">
        <f>IF(VLOOKUP(LEFT(Y185,10),'Havi béradatok'!$B:$E,2,0)=D185,"EGYEZIK","HIBÁS")</f>
        <v>EGYEZIK</v>
      </c>
      <c r="AB185">
        <f>(VLOOKUP(LEFT(Y185,10),'Havi béradatok'!$B:$E,3,0)-K185)</f>
        <v>0</v>
      </c>
      <c r="AC185" s="3">
        <f>(VLOOKUP(LEFT(Y185,10),'Havi béradatok'!$B:$E,4,0)-L185)</f>
        <v>0</v>
      </c>
    </row>
    <row r="186" spans="1:29" s="15" customFormat="1" ht="14.45" customHeight="1" x14ac:dyDescent="0.25">
      <c r="A186" s="38"/>
      <c r="B186" s="38" t="s">
        <v>215</v>
      </c>
      <c r="C186" s="62" t="s">
        <v>177</v>
      </c>
      <c r="D186" s="62" t="s">
        <v>213</v>
      </c>
      <c r="E186" s="62" t="s">
        <v>183</v>
      </c>
      <c r="F186" s="77" t="s">
        <v>166</v>
      </c>
      <c r="G186" s="77" t="s">
        <v>172</v>
      </c>
      <c r="H186" s="62" t="s">
        <v>119</v>
      </c>
      <c r="I186" s="77" t="s">
        <v>11</v>
      </c>
      <c r="J186" s="38" t="s">
        <v>37</v>
      </c>
      <c r="K186" s="6">
        <v>470925</v>
      </c>
      <c r="L186" s="78">
        <f t="shared" si="141"/>
        <v>61220</v>
      </c>
      <c r="M186" s="79">
        <v>174</v>
      </c>
      <c r="N186" s="79">
        <v>70</v>
      </c>
      <c r="O186" s="191">
        <f t="shared" si="123"/>
        <v>0.40229885057471265</v>
      </c>
      <c r="P186" s="80">
        <f t="shared" si="138"/>
        <v>189453</v>
      </c>
      <c r="Q186" s="80">
        <f t="shared" si="139"/>
        <v>24629</v>
      </c>
      <c r="R186" s="159">
        <f t="shared" si="140"/>
        <v>-8.7868153836323515E-7</v>
      </c>
      <c r="S186" s="113">
        <v>0.13</v>
      </c>
      <c r="T186" s="86">
        <v>44977</v>
      </c>
      <c r="U186" s="64"/>
      <c r="V186" s="64"/>
      <c r="W186" s="64"/>
      <c r="X186" s="15">
        <v>1</v>
      </c>
      <c r="Y186" s="15" t="str">
        <f>VLOOKUP(B186,[1]Sheet1!$C$2:$D$906,2,0)</f>
        <v>8419653322</v>
      </c>
      <c r="AA186" t="str">
        <f>IF(VLOOKUP(LEFT(Y186,10),'Havi béradatok'!$B:$E,2,0)=D186,"EGYEZIK","HIBÁS")</f>
        <v>EGYEZIK</v>
      </c>
      <c r="AB186">
        <f>(VLOOKUP(LEFT(Y186,10),'Havi béradatok'!$B:$E,3,0)-K186)</f>
        <v>0</v>
      </c>
      <c r="AC186" s="3">
        <f>(VLOOKUP(LEFT(Y186,10),'Havi béradatok'!$B:$E,4,0)-L186)</f>
        <v>0</v>
      </c>
    </row>
    <row r="187" spans="1:29" s="15" customFormat="1" ht="14.45" hidden="1" customHeight="1" x14ac:dyDescent="0.25">
      <c r="A187" s="38"/>
      <c r="B187" s="38" t="s">
        <v>215</v>
      </c>
      <c r="C187" s="62" t="s">
        <v>177</v>
      </c>
      <c r="D187" s="62" t="s">
        <v>213</v>
      </c>
      <c r="E187" s="62" t="s">
        <v>183</v>
      </c>
      <c r="F187" s="77" t="s">
        <v>166</v>
      </c>
      <c r="G187" s="77" t="s">
        <v>172</v>
      </c>
      <c r="H187" s="62" t="s">
        <v>120</v>
      </c>
      <c r="I187" s="77" t="s">
        <v>12</v>
      </c>
      <c r="J187" s="38" t="s">
        <v>37</v>
      </c>
      <c r="K187" s="6">
        <v>470925</v>
      </c>
      <c r="L187" s="78">
        <f t="shared" si="141"/>
        <v>61220</v>
      </c>
      <c r="M187" s="79">
        <v>174</v>
      </c>
      <c r="N187" s="79">
        <v>70</v>
      </c>
      <c r="O187" s="191">
        <f t="shared" si="123"/>
        <v>0.40229885057471265</v>
      </c>
      <c r="P187" s="80">
        <f t="shared" si="138"/>
        <v>189453</v>
      </c>
      <c r="Q187" s="80">
        <f t="shared" si="139"/>
        <v>24629</v>
      </c>
      <c r="R187" s="159">
        <f t="shared" si="140"/>
        <v>-8.7868153836323515E-7</v>
      </c>
      <c r="S187" s="113">
        <v>0.13</v>
      </c>
      <c r="T187" s="86">
        <v>44977</v>
      </c>
      <c r="U187" s="64"/>
      <c r="V187" s="64"/>
      <c r="W187" s="64"/>
      <c r="X187" s="15">
        <v>1</v>
      </c>
      <c r="Y187" s="15" t="str">
        <f>VLOOKUP(B187,[1]Sheet1!$C$2:$D$906,2,0)</f>
        <v>8419653322</v>
      </c>
    </row>
    <row r="188" spans="1:29" s="15" customFormat="1" ht="14.45" hidden="1" customHeight="1" x14ac:dyDescent="0.25">
      <c r="A188" s="38"/>
      <c r="B188" s="38" t="s">
        <v>215</v>
      </c>
      <c r="C188" s="62" t="s">
        <v>177</v>
      </c>
      <c r="D188" s="62" t="s">
        <v>213</v>
      </c>
      <c r="E188" s="62" t="s">
        <v>183</v>
      </c>
      <c r="F188" s="77" t="s">
        <v>166</v>
      </c>
      <c r="G188" s="77" t="s">
        <v>172</v>
      </c>
      <c r="H188" s="62" t="s">
        <v>121</v>
      </c>
      <c r="I188" s="77" t="s">
        <v>12</v>
      </c>
      <c r="J188" s="38" t="s">
        <v>37</v>
      </c>
      <c r="K188" s="6">
        <v>470925</v>
      </c>
      <c r="L188" s="78">
        <f t="shared" si="141"/>
        <v>61220</v>
      </c>
      <c r="M188" s="79">
        <v>174</v>
      </c>
      <c r="N188" s="79">
        <v>70</v>
      </c>
      <c r="O188" s="191">
        <f t="shared" si="123"/>
        <v>0.40229885057471265</v>
      </c>
      <c r="P188" s="80">
        <f t="shared" si="138"/>
        <v>189453</v>
      </c>
      <c r="Q188" s="80">
        <f t="shared" si="139"/>
        <v>24629</v>
      </c>
      <c r="R188" s="159">
        <f t="shared" si="140"/>
        <v>-8.7868153836323515E-7</v>
      </c>
      <c r="S188" s="113">
        <v>0.13</v>
      </c>
      <c r="T188" s="86">
        <v>44977</v>
      </c>
      <c r="U188" s="64"/>
      <c r="V188" s="64"/>
      <c r="W188" s="64"/>
      <c r="X188" s="15">
        <v>1</v>
      </c>
      <c r="Y188" s="15" t="str">
        <f>VLOOKUP(B188,[1]Sheet1!$C$2:$D$906,2,0)</f>
        <v>8419653322</v>
      </c>
    </row>
    <row r="189" spans="1:29" s="15" customFormat="1" ht="14.45" hidden="1" customHeight="1" x14ac:dyDescent="0.25">
      <c r="A189" s="38"/>
      <c r="B189" s="38" t="s">
        <v>215</v>
      </c>
      <c r="C189" s="62" t="s">
        <v>177</v>
      </c>
      <c r="D189" s="62" t="s">
        <v>213</v>
      </c>
      <c r="E189" s="62" t="s">
        <v>183</v>
      </c>
      <c r="F189" s="77" t="s">
        <v>166</v>
      </c>
      <c r="G189" s="77" t="s">
        <v>172</v>
      </c>
      <c r="H189" s="62" t="s">
        <v>122</v>
      </c>
      <c r="I189" s="77" t="s">
        <v>12</v>
      </c>
      <c r="J189" s="38" t="s">
        <v>37</v>
      </c>
      <c r="K189" s="6">
        <v>470925</v>
      </c>
      <c r="L189" s="78">
        <f t="shared" si="141"/>
        <v>61220</v>
      </c>
      <c r="M189" s="79">
        <v>174</v>
      </c>
      <c r="N189" s="79">
        <v>70</v>
      </c>
      <c r="O189" s="191">
        <f t="shared" si="123"/>
        <v>0.40229885057471265</v>
      </c>
      <c r="P189" s="80">
        <f t="shared" si="138"/>
        <v>189453</v>
      </c>
      <c r="Q189" s="80">
        <f t="shared" si="139"/>
        <v>24629</v>
      </c>
      <c r="R189" s="159">
        <f t="shared" si="140"/>
        <v>-8.7868153836323515E-7</v>
      </c>
      <c r="S189" s="113">
        <v>0.13</v>
      </c>
      <c r="T189" s="86">
        <v>44977</v>
      </c>
      <c r="U189" s="64"/>
      <c r="V189" s="64"/>
      <c r="W189" s="64"/>
      <c r="X189" s="15">
        <v>1</v>
      </c>
      <c r="Y189" s="15" t="str">
        <f>VLOOKUP(B189,[1]Sheet1!$C$2:$D$906,2,0)</f>
        <v>8419653322</v>
      </c>
    </row>
    <row r="190" spans="1:29" s="15" customFormat="1" ht="14.45" customHeight="1" x14ac:dyDescent="0.25">
      <c r="A190" s="38"/>
      <c r="B190" s="38" t="s">
        <v>184</v>
      </c>
      <c r="C190" s="62" t="s">
        <v>177</v>
      </c>
      <c r="D190" s="62" t="s">
        <v>206</v>
      </c>
      <c r="E190" s="62" t="s">
        <v>183</v>
      </c>
      <c r="F190" s="77" t="s">
        <v>166</v>
      </c>
      <c r="G190" s="77" t="s">
        <v>172</v>
      </c>
      <c r="H190" s="62" t="s">
        <v>85</v>
      </c>
      <c r="I190" s="77" t="s">
        <v>11</v>
      </c>
      <c r="J190" s="38" t="s">
        <v>37</v>
      </c>
      <c r="K190" s="6">
        <v>608100</v>
      </c>
      <c r="L190" s="78">
        <f>ROUND(K190*S190,0)</f>
        <v>79053</v>
      </c>
      <c r="M190" s="79">
        <v>174</v>
      </c>
      <c r="N190" s="79">
        <v>43</v>
      </c>
      <c r="O190" s="191">
        <f t="shared" si="123"/>
        <v>0.2471264367816092</v>
      </c>
      <c r="P190" s="80">
        <f>ROUND(K190*N190/M190,0)</f>
        <v>150278</v>
      </c>
      <c r="Q190" s="80">
        <f>ROUND(P190*S190,0)</f>
        <v>19536</v>
      </c>
      <c r="R190" s="159">
        <f>N190/M190-P190/K190</f>
        <v>-6.8046884302286337E-7</v>
      </c>
      <c r="S190" s="113">
        <v>0.13</v>
      </c>
      <c r="T190" s="86">
        <v>44585</v>
      </c>
      <c r="U190" s="64">
        <v>1</v>
      </c>
      <c r="V190" s="64"/>
      <c r="W190" s="64"/>
      <c r="X190" s="15">
        <v>1</v>
      </c>
      <c r="Y190" s="15" t="str">
        <f>VLOOKUP(B190,[1]Sheet1!$C$2:$D$906,2,0)</f>
        <v>8415163150</v>
      </c>
    </row>
    <row r="191" spans="1:29" s="15" customFormat="1" ht="14.45" customHeight="1" x14ac:dyDescent="0.25">
      <c r="A191" s="38"/>
      <c r="B191" s="38" t="s">
        <v>184</v>
      </c>
      <c r="C191" s="62" t="s">
        <v>177</v>
      </c>
      <c r="D191" s="62" t="s">
        <v>206</v>
      </c>
      <c r="E191" s="62" t="s">
        <v>183</v>
      </c>
      <c r="F191" s="77" t="s">
        <v>166</v>
      </c>
      <c r="G191" s="77" t="s">
        <v>172</v>
      </c>
      <c r="H191" s="62" t="s">
        <v>86</v>
      </c>
      <c r="I191" s="77" t="s">
        <v>11</v>
      </c>
      <c r="J191" s="38" t="s">
        <v>37</v>
      </c>
      <c r="K191" s="6">
        <v>608100</v>
      </c>
      <c r="L191" s="78">
        <f t="shared" ref="L191:L207" si="142">ROUND(K191*S191,0)</f>
        <v>79053</v>
      </c>
      <c r="M191" s="79">
        <v>174</v>
      </c>
      <c r="N191" s="79">
        <v>43</v>
      </c>
      <c r="O191" s="191">
        <f t="shared" si="123"/>
        <v>0.2471264367816092</v>
      </c>
      <c r="P191" s="80">
        <f t="shared" ref="P191:P194" si="143">ROUND(K191*N191/M191,0)</f>
        <v>150278</v>
      </c>
      <c r="Q191" s="80">
        <f t="shared" ref="Q191:Q194" si="144">ROUND(P191*S191,0)</f>
        <v>19536</v>
      </c>
      <c r="R191" s="159">
        <f t="shared" ref="R191:R194" si="145">N191/M191-P191/K191</f>
        <v>-6.8046884302286337E-7</v>
      </c>
      <c r="S191" s="113">
        <v>0.13</v>
      </c>
      <c r="T191" s="86">
        <v>44616</v>
      </c>
      <c r="U191" s="64">
        <v>1</v>
      </c>
      <c r="V191" s="64"/>
      <c r="W191" s="64"/>
      <c r="X191" s="15">
        <v>1</v>
      </c>
      <c r="Y191" s="15" t="str">
        <f>VLOOKUP(B191,[1]Sheet1!$C$2:$D$906,2,0)</f>
        <v>8415163150</v>
      </c>
    </row>
    <row r="192" spans="1:29" s="15" customFormat="1" ht="14.45" customHeight="1" x14ac:dyDescent="0.25">
      <c r="A192" s="38"/>
      <c r="B192" s="38" t="s">
        <v>184</v>
      </c>
      <c r="C192" s="62" t="s">
        <v>177</v>
      </c>
      <c r="D192" s="62" t="s">
        <v>206</v>
      </c>
      <c r="E192" s="62" t="s">
        <v>183</v>
      </c>
      <c r="F192" s="77" t="s">
        <v>166</v>
      </c>
      <c r="G192" s="77" t="s">
        <v>172</v>
      </c>
      <c r="H192" s="62" t="s">
        <v>87</v>
      </c>
      <c r="I192" s="77" t="s">
        <v>11</v>
      </c>
      <c r="J192" s="38" t="s">
        <v>37</v>
      </c>
      <c r="K192" s="6">
        <v>608100</v>
      </c>
      <c r="L192" s="78">
        <f t="shared" si="142"/>
        <v>79053</v>
      </c>
      <c r="M192" s="79">
        <v>174</v>
      </c>
      <c r="N192" s="79">
        <v>43</v>
      </c>
      <c r="O192" s="191">
        <f t="shared" si="123"/>
        <v>0.2471264367816092</v>
      </c>
      <c r="P192" s="80">
        <f t="shared" si="143"/>
        <v>150278</v>
      </c>
      <c r="Q192" s="80">
        <f t="shared" si="144"/>
        <v>19536</v>
      </c>
      <c r="R192" s="159">
        <f t="shared" si="145"/>
        <v>-6.8046884302286337E-7</v>
      </c>
      <c r="S192" s="113">
        <v>0.13</v>
      </c>
      <c r="T192" s="86">
        <v>44616</v>
      </c>
      <c r="U192" s="64">
        <v>1</v>
      </c>
      <c r="V192" s="64"/>
      <c r="W192" s="64"/>
      <c r="X192" s="15">
        <v>1</v>
      </c>
      <c r="Y192" s="15" t="str">
        <f>VLOOKUP(B192,[1]Sheet1!$C$2:$D$906,2,0)</f>
        <v>8415163150</v>
      </c>
    </row>
    <row r="193" spans="1:29" s="15" customFormat="1" ht="14.45" customHeight="1" x14ac:dyDescent="0.25">
      <c r="A193" s="38"/>
      <c r="B193" s="38" t="s">
        <v>184</v>
      </c>
      <c r="C193" s="62" t="s">
        <v>177</v>
      </c>
      <c r="D193" s="62" t="s">
        <v>206</v>
      </c>
      <c r="E193" s="62" t="s">
        <v>183</v>
      </c>
      <c r="F193" s="77" t="s">
        <v>166</v>
      </c>
      <c r="G193" s="77" t="s">
        <v>172</v>
      </c>
      <c r="H193" s="62" t="s">
        <v>88</v>
      </c>
      <c r="I193" s="77" t="s">
        <v>11</v>
      </c>
      <c r="J193" s="38" t="s">
        <v>37</v>
      </c>
      <c r="K193" s="6">
        <v>608100</v>
      </c>
      <c r="L193" s="78">
        <f t="shared" si="142"/>
        <v>79053</v>
      </c>
      <c r="M193" s="79">
        <v>174</v>
      </c>
      <c r="N193" s="79">
        <v>43</v>
      </c>
      <c r="O193" s="191">
        <f t="shared" si="123"/>
        <v>0.2471264367816092</v>
      </c>
      <c r="P193" s="80">
        <f t="shared" si="143"/>
        <v>150278</v>
      </c>
      <c r="Q193" s="80">
        <f t="shared" si="144"/>
        <v>19536</v>
      </c>
      <c r="R193" s="159">
        <f t="shared" si="145"/>
        <v>-6.8046884302286337E-7</v>
      </c>
      <c r="S193" s="113">
        <v>0.13</v>
      </c>
      <c r="T193" s="86">
        <v>44616</v>
      </c>
      <c r="U193" s="64">
        <v>1</v>
      </c>
      <c r="V193" s="64"/>
      <c r="W193" s="64"/>
      <c r="X193" s="15">
        <v>1</v>
      </c>
      <c r="Y193" s="15" t="str">
        <f>VLOOKUP(B193,[1]Sheet1!$C$2:$D$906,2,0)</f>
        <v>8415163150</v>
      </c>
    </row>
    <row r="194" spans="1:29" s="15" customFormat="1" ht="14.45" customHeight="1" x14ac:dyDescent="0.25">
      <c r="A194" s="38"/>
      <c r="B194" s="38" t="s">
        <v>184</v>
      </c>
      <c r="C194" s="62" t="s">
        <v>177</v>
      </c>
      <c r="D194" s="62" t="s">
        <v>206</v>
      </c>
      <c r="E194" s="62" t="s">
        <v>183</v>
      </c>
      <c r="F194" s="77" t="s">
        <v>166</v>
      </c>
      <c r="G194" s="77" t="s">
        <v>172</v>
      </c>
      <c r="H194" s="62" t="s">
        <v>89</v>
      </c>
      <c r="I194" s="77" t="s">
        <v>11</v>
      </c>
      <c r="J194" s="38" t="s">
        <v>37</v>
      </c>
      <c r="K194" s="6">
        <v>629600</v>
      </c>
      <c r="L194" s="78">
        <f t="shared" si="142"/>
        <v>81848</v>
      </c>
      <c r="M194" s="79">
        <v>174</v>
      </c>
      <c r="N194" s="79">
        <v>41</v>
      </c>
      <c r="O194" s="191">
        <f t="shared" si="123"/>
        <v>0.23563218390804597</v>
      </c>
      <c r="P194" s="80">
        <f t="shared" si="143"/>
        <v>148354</v>
      </c>
      <c r="Q194" s="80">
        <f t="shared" si="144"/>
        <v>19286</v>
      </c>
      <c r="R194" s="159">
        <f t="shared" si="145"/>
        <v>3.6512874418415109E-8</v>
      </c>
      <c r="S194" s="113">
        <v>0.13</v>
      </c>
      <c r="T194" s="86">
        <v>44700</v>
      </c>
      <c r="U194" s="64">
        <v>2</v>
      </c>
      <c r="V194" s="64"/>
      <c r="W194" s="64"/>
      <c r="X194" s="15">
        <v>1</v>
      </c>
      <c r="Y194" s="15" t="str">
        <f>VLOOKUP(B194,[1]Sheet1!$C$2:$D$906,2,0)</f>
        <v>8415163150</v>
      </c>
    </row>
    <row r="195" spans="1:29" s="15" customFormat="1" ht="14.45" customHeight="1" x14ac:dyDescent="0.25">
      <c r="A195" s="38"/>
      <c r="B195" s="38" t="s">
        <v>184</v>
      </c>
      <c r="C195" s="62" t="s">
        <v>177</v>
      </c>
      <c r="D195" s="62" t="s">
        <v>206</v>
      </c>
      <c r="E195" s="62" t="s">
        <v>183</v>
      </c>
      <c r="F195" s="77" t="s">
        <v>166</v>
      </c>
      <c r="G195" s="77" t="s">
        <v>172</v>
      </c>
      <c r="H195" s="62" t="s">
        <v>90</v>
      </c>
      <c r="I195" s="77" t="s">
        <v>11</v>
      </c>
      <c r="J195" s="38" t="s">
        <v>37</v>
      </c>
      <c r="K195" s="6">
        <v>629600</v>
      </c>
      <c r="L195" s="78">
        <f t="shared" si="142"/>
        <v>81848</v>
      </c>
      <c r="M195" s="79">
        <v>174</v>
      </c>
      <c r="N195" s="79">
        <v>41</v>
      </c>
      <c r="O195" s="191">
        <f t="shared" si="123"/>
        <v>0.23563218390804597</v>
      </c>
      <c r="P195" s="80">
        <f t="shared" ref="P195:P196" si="146">ROUND(K195*N195/M195,0)</f>
        <v>148354</v>
      </c>
      <c r="Q195" s="80">
        <f t="shared" ref="Q195:Q196" si="147">ROUND(P195*S195,0)</f>
        <v>19286</v>
      </c>
      <c r="R195" s="159">
        <f t="shared" ref="R195:R196" si="148">N195/M195-P195/K195</f>
        <v>3.6512874418415109E-8</v>
      </c>
      <c r="S195" s="113">
        <v>0.13</v>
      </c>
      <c r="T195" s="86">
        <v>44700</v>
      </c>
      <c r="U195" s="64">
        <v>2</v>
      </c>
      <c r="V195" s="64"/>
      <c r="W195" s="64"/>
      <c r="X195" s="15">
        <v>1</v>
      </c>
      <c r="Y195" s="15" t="str">
        <f>VLOOKUP(B195,[1]Sheet1!$C$2:$D$906,2,0)</f>
        <v>8415163150</v>
      </c>
    </row>
    <row r="196" spans="1:29" s="15" customFormat="1" ht="14.45" customHeight="1" x14ac:dyDescent="0.25">
      <c r="A196" s="38"/>
      <c r="B196" s="38" t="s">
        <v>184</v>
      </c>
      <c r="C196" s="62" t="s">
        <v>177</v>
      </c>
      <c r="D196" s="62" t="s">
        <v>206</v>
      </c>
      <c r="E196" s="62" t="s">
        <v>183</v>
      </c>
      <c r="F196" s="77" t="s">
        <v>166</v>
      </c>
      <c r="G196" s="77" t="s">
        <v>172</v>
      </c>
      <c r="H196" s="62" t="s">
        <v>91</v>
      </c>
      <c r="I196" s="77" t="s">
        <v>11</v>
      </c>
      <c r="J196" s="38" t="s">
        <v>37</v>
      </c>
      <c r="K196" s="6">
        <v>629600</v>
      </c>
      <c r="L196" s="78">
        <f t="shared" si="142"/>
        <v>81848</v>
      </c>
      <c r="M196" s="79">
        <v>174</v>
      </c>
      <c r="N196" s="79">
        <v>41</v>
      </c>
      <c r="O196" s="191">
        <f t="shared" si="123"/>
        <v>0.23563218390804597</v>
      </c>
      <c r="P196" s="80">
        <f t="shared" si="146"/>
        <v>148354</v>
      </c>
      <c r="Q196" s="80">
        <f t="shared" si="147"/>
        <v>19286</v>
      </c>
      <c r="R196" s="159">
        <f t="shared" si="148"/>
        <v>3.6512874418415109E-8</v>
      </c>
      <c r="S196" s="113">
        <v>0.13</v>
      </c>
      <c r="T196" s="86">
        <v>44700</v>
      </c>
      <c r="U196" s="64">
        <v>2</v>
      </c>
      <c r="V196" s="64"/>
      <c r="W196" s="64"/>
      <c r="X196" s="15">
        <v>1</v>
      </c>
      <c r="Y196" s="15" t="str">
        <f>VLOOKUP(B196,[1]Sheet1!$C$2:$D$906,2,0)</f>
        <v>8415163150</v>
      </c>
    </row>
    <row r="197" spans="1:29" s="15" customFormat="1" ht="14.45" customHeight="1" x14ac:dyDescent="0.25">
      <c r="A197" s="38"/>
      <c r="B197" s="38" t="s">
        <v>184</v>
      </c>
      <c r="C197" s="62" t="s">
        <v>177</v>
      </c>
      <c r="D197" s="62" t="s">
        <v>206</v>
      </c>
      <c r="E197" s="62" t="s">
        <v>183</v>
      </c>
      <c r="F197" s="77" t="s">
        <v>166</v>
      </c>
      <c r="G197" s="77" t="s">
        <v>172</v>
      </c>
      <c r="H197" s="62" t="s">
        <v>92</v>
      </c>
      <c r="I197" s="77" t="s">
        <v>11</v>
      </c>
      <c r="J197" s="38" t="s">
        <v>37</v>
      </c>
      <c r="K197" s="6">
        <v>629600</v>
      </c>
      <c r="L197" s="78">
        <f t="shared" si="142"/>
        <v>81848</v>
      </c>
      <c r="M197" s="79">
        <v>174</v>
      </c>
      <c r="N197" s="79">
        <v>41</v>
      </c>
      <c r="O197" s="191">
        <f t="shared" si="123"/>
        <v>0.23563218390804597</v>
      </c>
      <c r="P197" s="80">
        <f t="shared" ref="P197:P207" si="149">ROUND(K197*N197/M197,0)</f>
        <v>148354</v>
      </c>
      <c r="Q197" s="80">
        <f t="shared" ref="Q197:Q207" si="150">ROUND(P197*S197,0)</f>
        <v>19286</v>
      </c>
      <c r="R197" s="159">
        <f t="shared" ref="R197:R203" si="151">N197/M197-P197/K197</f>
        <v>3.6512874418415109E-8</v>
      </c>
      <c r="S197" s="113">
        <v>0.13</v>
      </c>
      <c r="T197" s="86">
        <v>44761</v>
      </c>
      <c r="U197" s="64">
        <v>2</v>
      </c>
      <c r="V197" s="64"/>
      <c r="W197" s="64"/>
      <c r="X197" s="15">
        <v>1</v>
      </c>
      <c r="Y197" s="15" t="str">
        <f>VLOOKUP(B197,[1]Sheet1!$C$2:$D$906,2,0)</f>
        <v>8415163150</v>
      </c>
    </row>
    <row r="198" spans="1:29" s="15" customFormat="1" ht="14.45" customHeight="1" x14ac:dyDescent="0.25">
      <c r="A198" s="38"/>
      <c r="B198" s="38" t="s">
        <v>184</v>
      </c>
      <c r="C198" s="62" t="s">
        <v>177</v>
      </c>
      <c r="D198" s="62" t="s">
        <v>206</v>
      </c>
      <c r="E198" s="62" t="s">
        <v>183</v>
      </c>
      <c r="F198" s="77" t="s">
        <v>166</v>
      </c>
      <c r="G198" s="77" t="s">
        <v>172</v>
      </c>
      <c r="H198" s="62" t="s">
        <v>93</v>
      </c>
      <c r="I198" s="77" t="s">
        <v>11</v>
      </c>
      <c r="J198" s="38" t="s">
        <v>37</v>
      </c>
      <c r="K198" s="6">
        <v>629600</v>
      </c>
      <c r="L198" s="78">
        <f t="shared" si="142"/>
        <v>81848</v>
      </c>
      <c r="M198" s="79">
        <v>174</v>
      </c>
      <c r="N198" s="79">
        <v>12</v>
      </c>
      <c r="O198" s="191">
        <f t="shared" si="123"/>
        <v>6.8965517241379309E-2</v>
      </c>
      <c r="P198" s="80">
        <f t="shared" si="149"/>
        <v>43421</v>
      </c>
      <c r="Q198" s="80">
        <f t="shared" si="150"/>
        <v>5645</v>
      </c>
      <c r="R198" s="159">
        <f t="shared" si="151"/>
        <v>-4.9292380494003751E-7</v>
      </c>
      <c r="S198" s="113">
        <v>0.13</v>
      </c>
      <c r="T198" s="86">
        <v>44819</v>
      </c>
      <c r="U198" s="64">
        <v>2</v>
      </c>
      <c r="V198" s="64"/>
      <c r="W198" s="64"/>
      <c r="X198" s="15">
        <v>1</v>
      </c>
      <c r="Y198" s="15" t="str">
        <f>VLOOKUP(B198,[1]Sheet1!$C$2:$D$906,2,0)</f>
        <v>8415163150</v>
      </c>
    </row>
    <row r="199" spans="1:29" s="15" customFormat="1" ht="14.45" customHeight="1" x14ac:dyDescent="0.25">
      <c r="A199" s="38"/>
      <c r="B199" s="38" t="s">
        <v>184</v>
      </c>
      <c r="C199" s="62" t="s">
        <v>177</v>
      </c>
      <c r="D199" s="62" t="s">
        <v>206</v>
      </c>
      <c r="E199" s="62" t="s">
        <v>183</v>
      </c>
      <c r="F199" s="77" t="s">
        <v>166</v>
      </c>
      <c r="G199" s="77" t="s">
        <v>172</v>
      </c>
      <c r="H199" s="62" t="s">
        <v>94</v>
      </c>
      <c r="I199" s="77" t="s">
        <v>11</v>
      </c>
      <c r="J199" s="38" t="s">
        <v>37</v>
      </c>
      <c r="K199" s="6">
        <v>629600</v>
      </c>
      <c r="L199" s="78">
        <f t="shared" si="142"/>
        <v>81848</v>
      </c>
      <c r="M199" s="79">
        <v>174</v>
      </c>
      <c r="N199" s="79">
        <v>48</v>
      </c>
      <c r="O199" s="191">
        <f t="shared" si="123"/>
        <v>0.27586206896551724</v>
      </c>
      <c r="P199" s="80">
        <f t="shared" si="149"/>
        <v>173683</v>
      </c>
      <c r="Q199" s="80">
        <f t="shared" si="150"/>
        <v>22579</v>
      </c>
      <c r="R199" s="159">
        <f t="shared" si="151"/>
        <v>-3.8338518160152546E-7</v>
      </c>
      <c r="S199" s="113">
        <v>0.13</v>
      </c>
      <c r="T199" s="86">
        <v>44853</v>
      </c>
      <c r="U199" s="64">
        <v>2</v>
      </c>
      <c r="V199" s="64"/>
      <c r="W199" s="64"/>
      <c r="X199" s="15">
        <v>1</v>
      </c>
      <c r="Y199" s="15" t="str">
        <f>VLOOKUP(B199,[1]Sheet1!$C$2:$D$906,2,0)</f>
        <v>8415163150</v>
      </c>
    </row>
    <row r="200" spans="1:29" s="15" customFormat="1" ht="14.45" customHeight="1" x14ac:dyDescent="0.25">
      <c r="A200" s="38"/>
      <c r="B200" s="38" t="s">
        <v>184</v>
      </c>
      <c r="C200" s="62" t="s">
        <v>177</v>
      </c>
      <c r="D200" s="62" t="s">
        <v>206</v>
      </c>
      <c r="E200" s="62" t="s">
        <v>183</v>
      </c>
      <c r="F200" s="77" t="s">
        <v>166</v>
      </c>
      <c r="G200" s="77" t="s">
        <v>172</v>
      </c>
      <c r="H200" s="174" t="s">
        <v>281</v>
      </c>
      <c r="I200" s="77" t="s">
        <v>11</v>
      </c>
      <c r="J200" s="38" t="s">
        <v>37</v>
      </c>
      <c r="K200" s="6">
        <f>629600/21*13</f>
        <v>389752.38095238095</v>
      </c>
      <c r="L200" s="78">
        <f t="shared" si="142"/>
        <v>50668</v>
      </c>
      <c r="M200" s="79">
        <v>174</v>
      </c>
      <c r="N200" s="79">
        <v>48</v>
      </c>
      <c r="O200" s="191">
        <f t="shared" si="123"/>
        <v>0.27586206896551724</v>
      </c>
      <c r="P200" s="80">
        <f t="shared" si="149"/>
        <v>107518</v>
      </c>
      <c r="Q200" s="80">
        <f t="shared" si="150"/>
        <v>13977</v>
      </c>
      <c r="R200" s="159">
        <f t="shared" si="151"/>
        <v>-2.6120748636282443E-7</v>
      </c>
      <c r="S200" s="113">
        <v>0.13</v>
      </c>
      <c r="T200" s="86">
        <v>44853</v>
      </c>
      <c r="U200" s="64">
        <v>2</v>
      </c>
      <c r="V200" s="64"/>
      <c r="W200" s="64"/>
      <c r="X200" s="15">
        <v>1</v>
      </c>
      <c r="Y200" s="15" t="str">
        <f>VLOOKUP(B200,[1]Sheet1!$C$2:$D$906,2,0)</f>
        <v>8415163150</v>
      </c>
      <c r="AA200" t="str">
        <f>IF(VLOOKUP(LEFT(Y200,10),'Havi béradatok'!$B:$E,2,0)=D200,"EGYEZIK","HIBÁS")</f>
        <v>EGYEZIK</v>
      </c>
      <c r="AB200">
        <f>(VLOOKUP(LEFT(Y200,10),'Havi béradatok'!$B:$E,3,0)-K200)</f>
        <v>290247.61904761905</v>
      </c>
      <c r="AC200" s="3">
        <f>(VLOOKUP(LEFT(Y200,10),'Havi béradatok'!$B:$E,4,0)-L200)</f>
        <v>37732</v>
      </c>
    </row>
    <row r="201" spans="1:29" s="15" customFormat="1" ht="14.45" customHeight="1" x14ac:dyDescent="0.25">
      <c r="A201" s="38"/>
      <c r="B201" s="38" t="s">
        <v>184</v>
      </c>
      <c r="C201" s="62" t="s">
        <v>177</v>
      </c>
      <c r="D201" s="62" t="s">
        <v>206</v>
      </c>
      <c r="E201" s="62" t="s">
        <v>183</v>
      </c>
      <c r="F201" s="77" t="s">
        <v>166</v>
      </c>
      <c r="G201" s="77" t="s">
        <v>172</v>
      </c>
      <c r="H201" s="174" t="s">
        <v>280</v>
      </c>
      <c r="I201" s="77" t="s">
        <v>11</v>
      </c>
      <c r="J201" s="38" t="s">
        <v>37</v>
      </c>
      <c r="K201" s="6">
        <f>629600/21*8</f>
        <v>239847.61904761905</v>
      </c>
      <c r="L201" s="78">
        <f t="shared" ref="L201" si="152">ROUND(K201*S201,0)</f>
        <v>31180</v>
      </c>
      <c r="M201" s="79">
        <v>174</v>
      </c>
      <c r="N201" s="79">
        <v>48</v>
      </c>
      <c r="O201" s="191">
        <f t="shared" ref="O201" si="153">N201/M201</f>
        <v>0.27586206896551724</v>
      </c>
      <c r="P201" s="80">
        <f t="shared" ref="P201" si="154">ROUND(K201*N201/M201,0)</f>
        <v>66165</v>
      </c>
      <c r="Q201" s="80">
        <f t="shared" ref="Q201" si="155">ROUND(P201*S201,0)</f>
        <v>8601</v>
      </c>
      <c r="R201" s="159">
        <f t="shared" ref="R201" si="156">N201/M201-P201/K201</f>
        <v>-5.8192393637135353E-7</v>
      </c>
      <c r="S201" s="113">
        <v>0.13</v>
      </c>
      <c r="T201" s="86">
        <v>44853</v>
      </c>
      <c r="U201" s="64"/>
      <c r="V201" s="64"/>
      <c r="W201" s="64"/>
      <c r="X201" s="15">
        <v>1</v>
      </c>
      <c r="Y201" s="15" t="str">
        <f>VLOOKUP(B201,[1]Sheet1!$C$2:$D$906,2,0)</f>
        <v>8415163150</v>
      </c>
      <c r="AA201" t="str">
        <f>IF(VLOOKUP(LEFT(Y201,10),'Havi béradatok'!$B:$E,2,0)=D201,"EGYEZIK","HIBÁS")</f>
        <v>EGYEZIK</v>
      </c>
      <c r="AB201">
        <f>(VLOOKUP(LEFT(Y201,10),'Havi béradatok'!$B:$E,3,0)-K201)</f>
        <v>440152.38095238095</v>
      </c>
      <c r="AC201" s="3">
        <f>(VLOOKUP(LEFT(Y201,10),'Havi béradatok'!$B:$E,4,0)-L201)</f>
        <v>57220</v>
      </c>
    </row>
    <row r="202" spans="1:29" s="15" customFormat="1" ht="14.45" customHeight="1" x14ac:dyDescent="0.25">
      <c r="A202" s="38"/>
      <c r="B202" s="38" t="s">
        <v>184</v>
      </c>
      <c r="C202" s="62" t="s">
        <v>177</v>
      </c>
      <c r="D202" s="62" t="s">
        <v>206</v>
      </c>
      <c r="E202" s="62" t="s">
        <v>183</v>
      </c>
      <c r="F202" s="77" t="s">
        <v>166</v>
      </c>
      <c r="G202" s="77" t="s">
        <v>172</v>
      </c>
      <c r="H202" s="174" t="s">
        <v>117</v>
      </c>
      <c r="I202" s="77" t="s">
        <v>11</v>
      </c>
      <c r="J202" s="38" t="s">
        <v>37</v>
      </c>
      <c r="K202" s="6">
        <v>680000</v>
      </c>
      <c r="L202" s="78">
        <f t="shared" si="142"/>
        <v>88400</v>
      </c>
      <c r="M202" s="79">
        <v>174</v>
      </c>
      <c r="N202" s="79">
        <v>46</v>
      </c>
      <c r="O202" s="191">
        <f t="shared" si="123"/>
        <v>0.26436781609195403</v>
      </c>
      <c r="P202" s="80">
        <f t="shared" si="149"/>
        <v>179770</v>
      </c>
      <c r="Q202" s="80">
        <f t="shared" si="150"/>
        <v>23370</v>
      </c>
      <c r="R202" s="159">
        <f t="shared" si="151"/>
        <v>1.6903313049265734E-7</v>
      </c>
      <c r="S202" s="113">
        <v>0.13</v>
      </c>
      <c r="T202" s="86">
        <v>44929</v>
      </c>
      <c r="U202" s="64"/>
      <c r="V202" s="64"/>
      <c r="W202" s="64"/>
      <c r="X202" s="15">
        <v>1</v>
      </c>
      <c r="Y202" s="15" t="str">
        <f>VLOOKUP(B202,[1]Sheet1!$C$2:$D$906,2,0)</f>
        <v>8415163150</v>
      </c>
      <c r="AA202" t="str">
        <f>IF(VLOOKUP(LEFT(Y202,10),'Havi béradatok'!$B:$E,2,0)=D202,"EGYEZIK","HIBÁS")</f>
        <v>EGYEZIK</v>
      </c>
      <c r="AB202">
        <f>(VLOOKUP(LEFT(Y202,10),'Havi béradatok'!$B:$E,3,0)-K202)</f>
        <v>0</v>
      </c>
      <c r="AC202" s="3">
        <f>(VLOOKUP(LEFT(Y202,10),'Havi béradatok'!$B:$E,4,0)-L202)</f>
        <v>0</v>
      </c>
    </row>
    <row r="203" spans="1:29" s="15" customFormat="1" ht="14.45" customHeight="1" x14ac:dyDescent="0.25">
      <c r="A203" s="38"/>
      <c r="B203" s="38" t="s">
        <v>184</v>
      </c>
      <c r="C203" s="62" t="s">
        <v>177</v>
      </c>
      <c r="D203" s="62" t="s">
        <v>206</v>
      </c>
      <c r="E203" s="62" t="s">
        <v>183</v>
      </c>
      <c r="F203" s="77" t="s">
        <v>166</v>
      </c>
      <c r="G203" s="77" t="s">
        <v>172</v>
      </c>
      <c r="H203" s="174" t="s">
        <v>118</v>
      </c>
      <c r="I203" s="77" t="s">
        <v>11</v>
      </c>
      <c r="J203" s="38" t="s">
        <v>37</v>
      </c>
      <c r="K203" s="6">
        <v>680000</v>
      </c>
      <c r="L203" s="78">
        <f t="shared" si="142"/>
        <v>88400</v>
      </c>
      <c r="M203" s="79">
        <v>174</v>
      </c>
      <c r="N203" s="79">
        <v>46</v>
      </c>
      <c r="O203" s="191">
        <f t="shared" si="123"/>
        <v>0.26436781609195403</v>
      </c>
      <c r="P203" s="80">
        <f t="shared" si="149"/>
        <v>179770</v>
      </c>
      <c r="Q203" s="80">
        <f t="shared" si="150"/>
        <v>23370</v>
      </c>
      <c r="R203" s="159">
        <f t="shared" si="151"/>
        <v>1.6903313049265734E-7</v>
      </c>
      <c r="S203" s="113">
        <v>0.13</v>
      </c>
      <c r="T203" s="86">
        <v>44929</v>
      </c>
      <c r="U203" s="64"/>
      <c r="V203" s="64"/>
      <c r="W203" s="64"/>
      <c r="X203" s="15">
        <v>1</v>
      </c>
      <c r="Y203" s="15" t="str">
        <f>VLOOKUP(B203,[1]Sheet1!$C$2:$D$906,2,0)</f>
        <v>8415163150</v>
      </c>
      <c r="AA203" t="str">
        <f>IF(VLOOKUP(LEFT(Y203,10),'Havi béradatok'!$B:$E,2,0)=D203,"EGYEZIK","HIBÁS")</f>
        <v>EGYEZIK</v>
      </c>
      <c r="AB203">
        <f>(VLOOKUP(LEFT(Y203,10),'Havi béradatok'!$B:$E,3,0)-K203)</f>
        <v>0</v>
      </c>
      <c r="AC203" s="3">
        <f>(VLOOKUP(LEFT(Y203,10),'Havi béradatok'!$B:$E,4,0)-L203)</f>
        <v>0</v>
      </c>
    </row>
    <row r="204" spans="1:29" s="15" customFormat="1" ht="14.45" customHeight="1" x14ac:dyDescent="0.25">
      <c r="A204" s="38"/>
      <c r="B204" s="38" t="s">
        <v>184</v>
      </c>
      <c r="C204" s="62" t="s">
        <v>177</v>
      </c>
      <c r="D204" s="62" t="s">
        <v>206</v>
      </c>
      <c r="E204" s="62" t="s">
        <v>183</v>
      </c>
      <c r="F204" s="77" t="s">
        <v>166</v>
      </c>
      <c r="G204" s="77" t="s">
        <v>172</v>
      </c>
      <c r="H204" s="174" t="s">
        <v>119</v>
      </c>
      <c r="I204" s="77" t="s">
        <v>11</v>
      </c>
      <c r="J204" s="38" t="s">
        <v>37</v>
      </c>
      <c r="K204" s="6">
        <v>680000</v>
      </c>
      <c r="L204" s="78">
        <f t="shared" si="142"/>
        <v>88400</v>
      </c>
      <c r="M204" s="79">
        <v>174</v>
      </c>
      <c r="N204" s="79">
        <v>46</v>
      </c>
      <c r="O204" s="191">
        <f t="shared" si="123"/>
        <v>0.26436781609195403</v>
      </c>
      <c r="P204" s="80">
        <f t="shared" si="149"/>
        <v>179770</v>
      </c>
      <c r="Q204" s="80">
        <f t="shared" si="150"/>
        <v>23370</v>
      </c>
      <c r="R204" s="159">
        <f t="shared" ref="R204:R207" si="157">N204/M204-P204/K204</f>
        <v>1.6903313049265734E-7</v>
      </c>
      <c r="S204" s="113">
        <v>0.13</v>
      </c>
      <c r="T204" s="86">
        <v>44967</v>
      </c>
      <c r="U204" s="64"/>
      <c r="V204" s="64"/>
      <c r="W204" s="64"/>
      <c r="X204" s="15">
        <v>1</v>
      </c>
      <c r="Y204" s="15" t="str">
        <f>VLOOKUP(B204,[1]Sheet1!$C$2:$D$906,2,0)</f>
        <v>8415163150</v>
      </c>
      <c r="AA204" t="str">
        <f>IF(VLOOKUP(LEFT(Y204,10),'Havi béradatok'!$B:$E,2,0)=D204,"EGYEZIK","HIBÁS")</f>
        <v>EGYEZIK</v>
      </c>
      <c r="AB204">
        <f>(VLOOKUP(LEFT(Y204,10),'Havi béradatok'!$B:$E,3,0)-K204)</f>
        <v>0</v>
      </c>
      <c r="AC204" s="3">
        <f>(VLOOKUP(LEFT(Y204,10),'Havi béradatok'!$B:$E,4,0)-L204)</f>
        <v>0</v>
      </c>
    </row>
    <row r="205" spans="1:29" s="15" customFormat="1" ht="14.45" hidden="1" customHeight="1" x14ac:dyDescent="0.25">
      <c r="A205" s="38"/>
      <c r="B205" s="38" t="s">
        <v>184</v>
      </c>
      <c r="C205" s="62" t="s">
        <v>177</v>
      </c>
      <c r="D205" s="62" t="s">
        <v>206</v>
      </c>
      <c r="E205" s="62" t="s">
        <v>183</v>
      </c>
      <c r="F205" s="77" t="s">
        <v>166</v>
      </c>
      <c r="G205" s="77" t="s">
        <v>172</v>
      </c>
      <c r="H205" s="174" t="s">
        <v>120</v>
      </c>
      <c r="I205" s="77" t="s">
        <v>12</v>
      </c>
      <c r="J205" s="38" t="s">
        <v>37</v>
      </c>
      <c r="K205" s="6">
        <v>680000</v>
      </c>
      <c r="L205" s="78">
        <f t="shared" si="142"/>
        <v>88400</v>
      </c>
      <c r="M205" s="79">
        <v>174</v>
      </c>
      <c r="N205" s="79">
        <v>46</v>
      </c>
      <c r="O205" s="191">
        <f t="shared" si="123"/>
        <v>0.26436781609195403</v>
      </c>
      <c r="P205" s="80">
        <f t="shared" si="149"/>
        <v>179770</v>
      </c>
      <c r="Q205" s="80">
        <f t="shared" si="150"/>
        <v>23370</v>
      </c>
      <c r="R205" s="159">
        <f t="shared" si="157"/>
        <v>1.6903313049265734E-7</v>
      </c>
      <c r="S205" s="113">
        <v>0.13</v>
      </c>
      <c r="T205" s="86">
        <v>44967</v>
      </c>
      <c r="U205" s="64"/>
      <c r="V205" s="64"/>
      <c r="W205" s="64"/>
      <c r="X205" s="15">
        <v>1</v>
      </c>
      <c r="Y205" s="15" t="str">
        <f>VLOOKUP(B205,[1]Sheet1!$C$2:$D$906,2,0)</f>
        <v>8415163150</v>
      </c>
    </row>
    <row r="206" spans="1:29" s="15" customFormat="1" ht="14.45" hidden="1" customHeight="1" x14ac:dyDescent="0.25">
      <c r="A206" s="38"/>
      <c r="B206" s="38" t="s">
        <v>184</v>
      </c>
      <c r="C206" s="62" t="s">
        <v>177</v>
      </c>
      <c r="D206" s="62" t="s">
        <v>206</v>
      </c>
      <c r="E206" s="62" t="s">
        <v>183</v>
      </c>
      <c r="F206" s="77" t="s">
        <v>166</v>
      </c>
      <c r="G206" s="77" t="s">
        <v>172</v>
      </c>
      <c r="H206" s="174" t="s">
        <v>121</v>
      </c>
      <c r="I206" s="77" t="s">
        <v>12</v>
      </c>
      <c r="J206" s="38" t="s">
        <v>37</v>
      </c>
      <c r="K206" s="6">
        <v>680000</v>
      </c>
      <c r="L206" s="78">
        <f t="shared" si="142"/>
        <v>88400</v>
      </c>
      <c r="M206" s="79">
        <v>174</v>
      </c>
      <c r="N206" s="79">
        <v>46</v>
      </c>
      <c r="O206" s="191">
        <f t="shared" si="123"/>
        <v>0.26436781609195403</v>
      </c>
      <c r="P206" s="80">
        <f t="shared" si="149"/>
        <v>179770</v>
      </c>
      <c r="Q206" s="80">
        <f t="shared" si="150"/>
        <v>23370</v>
      </c>
      <c r="R206" s="159">
        <f t="shared" si="157"/>
        <v>1.6903313049265734E-7</v>
      </c>
      <c r="S206" s="113">
        <v>0.13</v>
      </c>
      <c r="T206" s="86">
        <v>44967</v>
      </c>
      <c r="U206" s="64"/>
      <c r="V206" s="64"/>
      <c r="W206" s="64"/>
      <c r="X206" s="15">
        <v>1</v>
      </c>
      <c r="Y206" s="15" t="str">
        <f>VLOOKUP(B206,[1]Sheet1!$C$2:$D$906,2,0)</f>
        <v>8415163150</v>
      </c>
    </row>
    <row r="207" spans="1:29" s="15" customFormat="1" ht="14.45" hidden="1" customHeight="1" x14ac:dyDescent="0.25">
      <c r="A207" s="38"/>
      <c r="B207" s="38" t="s">
        <v>184</v>
      </c>
      <c r="C207" s="62" t="s">
        <v>177</v>
      </c>
      <c r="D207" s="62" t="s">
        <v>206</v>
      </c>
      <c r="E207" s="62" t="s">
        <v>183</v>
      </c>
      <c r="F207" s="77" t="s">
        <v>166</v>
      </c>
      <c r="G207" s="77" t="s">
        <v>172</v>
      </c>
      <c r="H207" s="174" t="s">
        <v>122</v>
      </c>
      <c r="I207" s="77" t="s">
        <v>12</v>
      </c>
      <c r="J207" s="38" t="s">
        <v>37</v>
      </c>
      <c r="K207" s="6">
        <v>680000</v>
      </c>
      <c r="L207" s="78">
        <f t="shared" si="142"/>
        <v>88400</v>
      </c>
      <c r="M207" s="79">
        <v>174</v>
      </c>
      <c r="N207" s="79">
        <v>46</v>
      </c>
      <c r="O207" s="191">
        <f t="shared" si="123"/>
        <v>0.26436781609195403</v>
      </c>
      <c r="P207" s="80">
        <f t="shared" si="149"/>
        <v>179770</v>
      </c>
      <c r="Q207" s="80">
        <f t="shared" si="150"/>
        <v>23370</v>
      </c>
      <c r="R207" s="159">
        <f t="shared" si="157"/>
        <v>1.6903313049265734E-7</v>
      </c>
      <c r="S207" s="113">
        <v>0.13</v>
      </c>
      <c r="T207" s="86">
        <v>44967</v>
      </c>
      <c r="U207" s="64"/>
      <c r="V207" s="64"/>
      <c r="W207" s="64"/>
      <c r="X207" s="15">
        <v>1</v>
      </c>
      <c r="Y207" s="15" t="str">
        <f>VLOOKUP(B207,[1]Sheet1!$C$2:$D$906,2,0)</f>
        <v>8415163150</v>
      </c>
    </row>
    <row r="208" spans="1:29" s="15" customFormat="1" ht="14.45" customHeight="1" x14ac:dyDescent="0.25">
      <c r="A208" s="38"/>
      <c r="B208" s="38" t="s">
        <v>197</v>
      </c>
      <c r="C208" s="62" t="s">
        <v>177</v>
      </c>
      <c r="D208" s="62" t="s">
        <v>205</v>
      </c>
      <c r="E208" s="62" t="s">
        <v>179</v>
      </c>
      <c r="F208" s="77" t="s">
        <v>169</v>
      </c>
      <c r="G208" s="77" t="s">
        <v>174</v>
      </c>
      <c r="H208" s="62" t="s">
        <v>86</v>
      </c>
      <c r="I208" s="77" t="s">
        <v>11</v>
      </c>
      <c r="J208" s="38" t="s">
        <v>37</v>
      </c>
      <c r="K208" s="6">
        <v>362000</v>
      </c>
      <c r="L208" s="78">
        <f t="shared" ref="L208:L224" si="158">ROUND(K208*S208,0)</f>
        <v>47060</v>
      </c>
      <c r="M208" s="79">
        <v>174</v>
      </c>
      <c r="N208" s="79">
        <v>96</v>
      </c>
      <c r="O208" s="191">
        <f t="shared" si="123"/>
        <v>0.55172413793103448</v>
      </c>
      <c r="P208" s="80">
        <f>ROUND(K208*N208/M208,0)</f>
        <v>199724</v>
      </c>
      <c r="Q208" s="80">
        <f t="shared" ref="Q208:Q213" si="159">ROUND(P208*S208,0)</f>
        <v>25964</v>
      </c>
      <c r="R208" s="159">
        <f>N208/M208-P208/K208</f>
        <v>3.8102495714120721E-7</v>
      </c>
      <c r="S208" s="113">
        <v>0.13</v>
      </c>
      <c r="T208" s="86">
        <v>44609</v>
      </c>
      <c r="U208" s="64">
        <v>1</v>
      </c>
      <c r="V208" s="64"/>
      <c r="W208" s="64"/>
      <c r="X208" s="15">
        <v>1</v>
      </c>
      <c r="Y208" s="15" t="str">
        <f>VLOOKUP(B208,[1]Sheet1!$C$2:$D$906,2,0)</f>
        <v>8370633390</v>
      </c>
    </row>
    <row r="209" spans="1:29" s="15" customFormat="1" ht="14.45" customHeight="1" x14ac:dyDescent="0.25">
      <c r="A209" s="38"/>
      <c r="B209" s="38" t="s">
        <v>197</v>
      </c>
      <c r="C209" s="62" t="s">
        <v>177</v>
      </c>
      <c r="D209" s="62" t="s">
        <v>205</v>
      </c>
      <c r="E209" s="62" t="s">
        <v>179</v>
      </c>
      <c r="F209" s="77" t="s">
        <v>169</v>
      </c>
      <c r="G209" s="77" t="s">
        <v>174</v>
      </c>
      <c r="H209" s="62" t="s">
        <v>87</v>
      </c>
      <c r="I209" s="77" t="s">
        <v>11</v>
      </c>
      <c r="J209" s="38" t="s">
        <v>37</v>
      </c>
      <c r="K209" s="6">
        <v>362000</v>
      </c>
      <c r="L209" s="78">
        <f t="shared" si="158"/>
        <v>47060</v>
      </c>
      <c r="M209" s="79">
        <v>174</v>
      </c>
      <c r="N209" s="79">
        <v>96</v>
      </c>
      <c r="O209" s="191">
        <f t="shared" si="123"/>
        <v>0.55172413793103448</v>
      </c>
      <c r="P209" s="80">
        <f t="shared" ref="P209:P213" si="160">ROUND(K209*N209/M209,0)</f>
        <v>199724</v>
      </c>
      <c r="Q209" s="80">
        <f t="shared" si="159"/>
        <v>25964</v>
      </c>
      <c r="R209" s="159">
        <f t="shared" ref="R209:R213" si="161">N209/M209-P209/K209</f>
        <v>3.8102495714120721E-7</v>
      </c>
      <c r="S209" s="113">
        <v>0.13</v>
      </c>
      <c r="T209" s="86">
        <v>44609</v>
      </c>
      <c r="U209" s="64">
        <v>1</v>
      </c>
      <c r="V209" s="64"/>
      <c r="W209" s="64"/>
      <c r="X209" s="15">
        <v>1</v>
      </c>
      <c r="Y209" s="15" t="str">
        <f>VLOOKUP(B209,[1]Sheet1!$C$2:$D$906,2,0)</f>
        <v>8370633390</v>
      </c>
    </row>
    <row r="210" spans="1:29" s="15" customFormat="1" ht="14.45" customHeight="1" x14ac:dyDescent="0.25">
      <c r="A210" s="38"/>
      <c r="B210" s="38" t="s">
        <v>197</v>
      </c>
      <c r="C210" s="62" t="s">
        <v>177</v>
      </c>
      <c r="D210" s="62" t="s">
        <v>205</v>
      </c>
      <c r="E210" s="62" t="s">
        <v>179</v>
      </c>
      <c r="F210" s="77" t="s">
        <v>169</v>
      </c>
      <c r="G210" s="77" t="s">
        <v>174</v>
      </c>
      <c r="H210" s="62" t="s">
        <v>88</v>
      </c>
      <c r="I210" s="77" t="s">
        <v>11</v>
      </c>
      <c r="J210" s="38" t="s">
        <v>37</v>
      </c>
      <c r="K210" s="6">
        <v>362000</v>
      </c>
      <c r="L210" s="78">
        <f t="shared" si="158"/>
        <v>47060</v>
      </c>
      <c r="M210" s="79">
        <v>174</v>
      </c>
      <c r="N210" s="79">
        <v>96</v>
      </c>
      <c r="O210" s="191">
        <f t="shared" si="123"/>
        <v>0.55172413793103448</v>
      </c>
      <c r="P210" s="80">
        <f t="shared" si="160"/>
        <v>199724</v>
      </c>
      <c r="Q210" s="80">
        <f t="shared" si="159"/>
        <v>25964</v>
      </c>
      <c r="R210" s="159">
        <f t="shared" si="161"/>
        <v>3.8102495714120721E-7</v>
      </c>
      <c r="S210" s="113">
        <v>0.13</v>
      </c>
      <c r="T210" s="86">
        <v>44609</v>
      </c>
      <c r="U210" s="64">
        <v>1</v>
      </c>
      <c r="V210" s="64"/>
      <c r="W210" s="64"/>
      <c r="X210" s="15">
        <v>1</v>
      </c>
      <c r="Y210" s="15" t="str">
        <f>VLOOKUP(B210,[1]Sheet1!$C$2:$D$906,2,0)</f>
        <v>8370633390</v>
      </c>
    </row>
    <row r="211" spans="1:29" s="15" customFormat="1" ht="14.45" customHeight="1" x14ac:dyDescent="0.25">
      <c r="A211" s="38"/>
      <c r="B211" s="38" t="s">
        <v>197</v>
      </c>
      <c r="C211" s="62" t="s">
        <v>177</v>
      </c>
      <c r="D211" s="62" t="s">
        <v>205</v>
      </c>
      <c r="E211" s="62" t="s">
        <v>179</v>
      </c>
      <c r="F211" s="77" t="s">
        <v>169</v>
      </c>
      <c r="G211" s="77" t="s">
        <v>174</v>
      </c>
      <c r="H211" s="62" t="s">
        <v>89</v>
      </c>
      <c r="I211" s="77" t="s">
        <v>11</v>
      </c>
      <c r="J211" s="38" t="s">
        <v>37</v>
      </c>
      <c r="K211" s="6">
        <v>362000</v>
      </c>
      <c r="L211" s="78">
        <f t="shared" si="158"/>
        <v>47060</v>
      </c>
      <c r="M211" s="79">
        <v>174</v>
      </c>
      <c r="N211" s="79">
        <v>96</v>
      </c>
      <c r="O211" s="191">
        <f t="shared" si="123"/>
        <v>0.55172413793103448</v>
      </c>
      <c r="P211" s="80">
        <f t="shared" si="160"/>
        <v>199724</v>
      </c>
      <c r="Q211" s="80">
        <f t="shared" si="159"/>
        <v>25964</v>
      </c>
      <c r="R211" s="159">
        <f t="shared" si="161"/>
        <v>3.8102495714120721E-7</v>
      </c>
      <c r="S211" s="113">
        <v>0.13</v>
      </c>
      <c r="T211" s="86">
        <v>44609</v>
      </c>
      <c r="U211" s="64">
        <v>2</v>
      </c>
      <c r="V211" s="64"/>
      <c r="W211" s="64"/>
      <c r="X211" s="15">
        <v>1</v>
      </c>
      <c r="Y211" s="15" t="str">
        <f>VLOOKUP(B211,[1]Sheet1!$C$2:$D$906,2,0)</f>
        <v>8370633390</v>
      </c>
    </row>
    <row r="212" spans="1:29" s="15" customFormat="1" ht="14.45" customHeight="1" x14ac:dyDescent="0.25">
      <c r="A212" s="38"/>
      <c r="B212" s="38" t="s">
        <v>197</v>
      </c>
      <c r="C212" s="62" t="s">
        <v>177</v>
      </c>
      <c r="D212" s="62" t="s">
        <v>205</v>
      </c>
      <c r="E212" s="62" t="s">
        <v>179</v>
      </c>
      <c r="F212" s="77" t="s">
        <v>169</v>
      </c>
      <c r="G212" s="77" t="s">
        <v>174</v>
      </c>
      <c r="H212" s="62" t="s">
        <v>90</v>
      </c>
      <c r="I212" s="77" t="s">
        <v>11</v>
      </c>
      <c r="J212" s="38" t="s">
        <v>37</v>
      </c>
      <c r="K212" s="6">
        <v>362000</v>
      </c>
      <c r="L212" s="78">
        <f t="shared" si="158"/>
        <v>47060</v>
      </c>
      <c r="M212" s="79">
        <v>174</v>
      </c>
      <c r="N212" s="79">
        <v>96</v>
      </c>
      <c r="O212" s="191">
        <f t="shared" si="123"/>
        <v>0.55172413793103448</v>
      </c>
      <c r="P212" s="80">
        <f t="shared" si="160"/>
        <v>199724</v>
      </c>
      <c r="Q212" s="80">
        <f t="shared" si="159"/>
        <v>25964</v>
      </c>
      <c r="R212" s="159">
        <f t="shared" si="161"/>
        <v>3.8102495714120721E-7</v>
      </c>
      <c r="S212" s="113">
        <v>0.13</v>
      </c>
      <c r="T212" s="86">
        <v>44609</v>
      </c>
      <c r="U212" s="64">
        <v>2</v>
      </c>
      <c r="V212" s="64"/>
      <c r="W212" s="64"/>
      <c r="X212" s="15">
        <v>1</v>
      </c>
      <c r="Y212" s="15" t="str">
        <f>VLOOKUP(B212,[1]Sheet1!$C$2:$D$906,2,0)</f>
        <v>8370633390</v>
      </c>
    </row>
    <row r="213" spans="1:29" s="15" customFormat="1" ht="14.45" customHeight="1" x14ac:dyDescent="0.25">
      <c r="A213" s="38"/>
      <c r="B213" s="38" t="s">
        <v>197</v>
      </c>
      <c r="C213" s="62" t="s">
        <v>177</v>
      </c>
      <c r="D213" s="62" t="s">
        <v>205</v>
      </c>
      <c r="E213" s="62" t="s">
        <v>179</v>
      </c>
      <c r="F213" s="77" t="s">
        <v>169</v>
      </c>
      <c r="G213" s="77" t="s">
        <v>174</v>
      </c>
      <c r="H213" s="62" t="s">
        <v>91</v>
      </c>
      <c r="I213" s="77" t="s">
        <v>11</v>
      </c>
      <c r="J213" s="38" t="s">
        <v>37</v>
      </c>
      <c r="K213" s="6">
        <v>362000</v>
      </c>
      <c r="L213" s="78">
        <f t="shared" si="158"/>
        <v>47060</v>
      </c>
      <c r="M213" s="79">
        <v>174</v>
      </c>
      <c r="N213" s="79">
        <v>96</v>
      </c>
      <c r="O213" s="191">
        <f t="shared" si="123"/>
        <v>0.55172413793103448</v>
      </c>
      <c r="P213" s="80">
        <f t="shared" si="160"/>
        <v>199724</v>
      </c>
      <c r="Q213" s="80">
        <f t="shared" si="159"/>
        <v>25964</v>
      </c>
      <c r="R213" s="159">
        <f t="shared" si="161"/>
        <v>3.8102495714120721E-7</v>
      </c>
      <c r="S213" s="113">
        <v>0.13</v>
      </c>
      <c r="T213" s="86">
        <v>44609</v>
      </c>
      <c r="U213" s="64">
        <v>2</v>
      </c>
      <c r="V213" s="64"/>
      <c r="W213" s="64"/>
      <c r="X213" s="15">
        <v>1</v>
      </c>
      <c r="Y213" s="15" t="str">
        <f>VLOOKUP(B213,[1]Sheet1!$C$2:$D$906,2,0)</f>
        <v>8370633390</v>
      </c>
    </row>
    <row r="214" spans="1:29" s="15" customFormat="1" ht="14.45" customHeight="1" x14ac:dyDescent="0.25">
      <c r="A214" s="38"/>
      <c r="B214" s="38" t="s">
        <v>197</v>
      </c>
      <c r="C214" s="62" t="s">
        <v>177</v>
      </c>
      <c r="D214" s="62" t="s">
        <v>205</v>
      </c>
      <c r="E214" s="62" t="s">
        <v>179</v>
      </c>
      <c r="F214" s="77" t="s">
        <v>169</v>
      </c>
      <c r="G214" s="77" t="s">
        <v>174</v>
      </c>
      <c r="H214" s="62" t="s">
        <v>92</v>
      </c>
      <c r="I214" s="77" t="s">
        <v>11</v>
      </c>
      <c r="J214" s="38" t="s">
        <v>37</v>
      </c>
      <c r="K214" s="6">
        <v>362000</v>
      </c>
      <c r="L214" s="78">
        <f t="shared" si="158"/>
        <v>47060</v>
      </c>
      <c r="M214" s="79">
        <v>174</v>
      </c>
      <c r="N214" s="79">
        <v>96</v>
      </c>
      <c r="O214" s="191">
        <f t="shared" si="123"/>
        <v>0.55172413793103448</v>
      </c>
      <c r="P214" s="80">
        <f t="shared" ref="P214:P217" si="162">ROUND(K214*N214/M214,0)</f>
        <v>199724</v>
      </c>
      <c r="Q214" s="80">
        <f t="shared" ref="Q214:Q217" si="163">ROUND(P214*S214,0)</f>
        <v>25964</v>
      </c>
      <c r="R214" s="159">
        <f t="shared" ref="R214:R217" si="164">N214/M214-P214/K214</f>
        <v>3.8102495714120721E-7</v>
      </c>
      <c r="S214" s="113">
        <v>0.13</v>
      </c>
      <c r="T214" s="86">
        <v>44761</v>
      </c>
      <c r="U214" s="64">
        <v>2</v>
      </c>
      <c r="V214" s="64"/>
      <c r="W214" s="64"/>
      <c r="X214" s="15">
        <v>1</v>
      </c>
      <c r="Y214" s="15" t="str">
        <f>VLOOKUP(B214,[1]Sheet1!$C$2:$D$906,2,0)</f>
        <v>8370633390</v>
      </c>
    </row>
    <row r="215" spans="1:29" s="15" customFormat="1" ht="14.45" customHeight="1" x14ac:dyDescent="0.25">
      <c r="A215" s="38"/>
      <c r="B215" s="38" t="s">
        <v>197</v>
      </c>
      <c r="C215" s="62" t="s">
        <v>177</v>
      </c>
      <c r="D215" s="62" t="s">
        <v>205</v>
      </c>
      <c r="E215" s="62" t="s">
        <v>179</v>
      </c>
      <c r="F215" s="77" t="s">
        <v>169</v>
      </c>
      <c r="G215" s="77" t="s">
        <v>174</v>
      </c>
      <c r="H215" s="62" t="s">
        <v>93</v>
      </c>
      <c r="I215" s="77" t="s">
        <v>11</v>
      </c>
      <c r="J215" s="38" t="s">
        <v>37</v>
      </c>
      <c r="K215" s="6">
        <v>362000</v>
      </c>
      <c r="L215" s="78">
        <f t="shared" si="158"/>
        <v>47060</v>
      </c>
      <c r="M215" s="79">
        <v>174</v>
      </c>
      <c r="N215" s="79">
        <v>96</v>
      </c>
      <c r="O215" s="191">
        <f t="shared" si="123"/>
        <v>0.55172413793103448</v>
      </c>
      <c r="P215" s="80">
        <f t="shared" si="162"/>
        <v>199724</v>
      </c>
      <c r="Q215" s="80">
        <f t="shared" si="163"/>
        <v>25964</v>
      </c>
      <c r="R215" s="159">
        <f t="shared" si="164"/>
        <v>3.8102495714120721E-7</v>
      </c>
      <c r="S215" s="113">
        <v>0.13</v>
      </c>
      <c r="T215" s="86">
        <v>44761</v>
      </c>
      <c r="U215" s="64">
        <v>2</v>
      </c>
      <c r="V215" s="64"/>
      <c r="W215" s="64"/>
      <c r="X215" s="15">
        <v>1</v>
      </c>
      <c r="Y215" s="15" t="str">
        <f>VLOOKUP(B215,[1]Sheet1!$C$2:$D$906,2,0)</f>
        <v>8370633390</v>
      </c>
    </row>
    <row r="216" spans="1:29" s="15" customFormat="1" ht="14.45" customHeight="1" x14ac:dyDescent="0.25">
      <c r="A216" s="38"/>
      <c r="B216" s="38" t="s">
        <v>197</v>
      </c>
      <c r="C216" s="62" t="s">
        <v>177</v>
      </c>
      <c r="D216" s="62" t="s">
        <v>205</v>
      </c>
      <c r="E216" s="62" t="s">
        <v>179</v>
      </c>
      <c r="F216" s="77" t="s">
        <v>169</v>
      </c>
      <c r="G216" s="77" t="s">
        <v>174</v>
      </c>
      <c r="H216" s="62" t="s">
        <v>94</v>
      </c>
      <c r="I216" s="77" t="s">
        <v>11</v>
      </c>
      <c r="J216" s="38" t="s">
        <v>37</v>
      </c>
      <c r="K216" s="6">
        <v>362000</v>
      </c>
      <c r="L216" s="78">
        <f t="shared" si="158"/>
        <v>47060</v>
      </c>
      <c r="M216" s="79">
        <v>174</v>
      </c>
      <c r="N216" s="79">
        <v>96</v>
      </c>
      <c r="O216" s="191">
        <f t="shared" si="123"/>
        <v>0.55172413793103448</v>
      </c>
      <c r="P216" s="80">
        <f t="shared" si="162"/>
        <v>199724</v>
      </c>
      <c r="Q216" s="80">
        <f t="shared" si="163"/>
        <v>25964</v>
      </c>
      <c r="R216" s="159">
        <f t="shared" si="164"/>
        <v>3.8102495714120721E-7</v>
      </c>
      <c r="S216" s="113">
        <v>0.13</v>
      </c>
      <c r="T216" s="86">
        <v>44761</v>
      </c>
      <c r="U216" s="64">
        <v>2</v>
      </c>
      <c r="V216" s="64"/>
      <c r="W216" s="64"/>
      <c r="X216" s="15">
        <v>1</v>
      </c>
      <c r="Y216" s="15" t="str">
        <f>VLOOKUP(B216,[1]Sheet1!$C$2:$D$906,2,0)</f>
        <v>8370633390</v>
      </c>
    </row>
    <row r="217" spans="1:29" s="15" customFormat="1" ht="14.45" customHeight="1" x14ac:dyDescent="0.25">
      <c r="A217" s="38"/>
      <c r="B217" s="38" t="s">
        <v>197</v>
      </c>
      <c r="C217" s="62" t="s">
        <v>177</v>
      </c>
      <c r="D217" s="62" t="s">
        <v>205</v>
      </c>
      <c r="E217" s="62" t="s">
        <v>179</v>
      </c>
      <c r="F217" s="77" t="s">
        <v>169</v>
      </c>
      <c r="G217" s="77" t="s">
        <v>174</v>
      </c>
      <c r="H217" s="174" t="s">
        <v>281</v>
      </c>
      <c r="I217" s="77" t="s">
        <v>11</v>
      </c>
      <c r="J217" s="38" t="s">
        <v>37</v>
      </c>
      <c r="K217" s="6">
        <f>362000/21*13</f>
        <v>224095.23809523808</v>
      </c>
      <c r="L217" s="78">
        <f t="shared" si="158"/>
        <v>29132</v>
      </c>
      <c r="M217" s="79">
        <v>174</v>
      </c>
      <c r="N217" s="79">
        <v>96</v>
      </c>
      <c r="O217" s="191">
        <f t="shared" si="123"/>
        <v>0.55172413793103448</v>
      </c>
      <c r="P217" s="80">
        <f t="shared" si="162"/>
        <v>123639</v>
      </c>
      <c r="Q217" s="80">
        <f t="shared" si="163"/>
        <v>16073</v>
      </c>
      <c r="R217" s="159">
        <f t="shared" si="164"/>
        <v>-1.1064378563352406E-6</v>
      </c>
      <c r="S217" s="113">
        <v>0.13</v>
      </c>
      <c r="T217" s="86">
        <v>44761</v>
      </c>
      <c r="U217" s="64">
        <v>2</v>
      </c>
      <c r="V217" s="64"/>
      <c r="W217" s="64"/>
      <c r="X217" s="15">
        <v>1</v>
      </c>
      <c r="Y217" s="15" t="str">
        <f>VLOOKUP(B217,[1]Sheet1!$C$2:$D$906,2,0)</f>
        <v>8370633390</v>
      </c>
      <c r="AA217" t="str">
        <f>IF(VLOOKUP(LEFT(Y217,10),'Havi béradatok'!$B:$E,2,0)=D217,"EGYEZIK","HIBÁS")</f>
        <v>EGYEZIK</v>
      </c>
      <c r="AB217">
        <f>(VLOOKUP(LEFT(Y217,10),'Havi béradatok'!$B:$E,3,0)-K217)</f>
        <v>192204.76190476192</v>
      </c>
      <c r="AC217" s="3">
        <f>(VLOOKUP(LEFT(Y217,10),'Havi béradatok'!$B:$E,4,0)-L217)</f>
        <v>24987</v>
      </c>
    </row>
    <row r="218" spans="1:29" s="15" customFormat="1" ht="14.45" customHeight="1" x14ac:dyDescent="0.25">
      <c r="A218" s="38"/>
      <c r="B218" s="38" t="s">
        <v>197</v>
      </c>
      <c r="C218" s="62" t="s">
        <v>177</v>
      </c>
      <c r="D218" s="62" t="s">
        <v>205</v>
      </c>
      <c r="E218" s="62" t="s">
        <v>179</v>
      </c>
      <c r="F218" s="77" t="s">
        <v>169</v>
      </c>
      <c r="G218" s="77" t="s">
        <v>174</v>
      </c>
      <c r="H218" s="174" t="s">
        <v>280</v>
      </c>
      <c r="I218" s="77" t="s">
        <v>11</v>
      </c>
      <c r="J218" s="38" t="s">
        <v>37</v>
      </c>
      <c r="K218" s="6">
        <f>362000/21*8</f>
        <v>137904.76190476189</v>
      </c>
      <c r="L218" s="78">
        <f t="shared" ref="L218" si="165">ROUND(K218*S218,0)</f>
        <v>17928</v>
      </c>
      <c r="M218" s="79">
        <v>174</v>
      </c>
      <c r="N218" s="79">
        <v>96</v>
      </c>
      <c r="O218" s="191">
        <f t="shared" ref="O218" si="166">N218/M218</f>
        <v>0.55172413793103448</v>
      </c>
      <c r="P218" s="80">
        <f t="shared" ref="P218" si="167">ROUND(K218*N218/M218,0)</f>
        <v>76085</v>
      </c>
      <c r="Q218" s="80">
        <f t="shared" ref="Q218" si="168">ROUND(P218*S218,0)</f>
        <v>9891</v>
      </c>
      <c r="R218" s="159">
        <f t="shared" ref="R218" si="169">N218/M218-P218/K218</f>
        <v>2.7981520288600237E-6</v>
      </c>
      <c r="S218" s="113">
        <v>0.13</v>
      </c>
      <c r="T218" s="86">
        <v>44761</v>
      </c>
      <c r="U218" s="64"/>
      <c r="V218" s="64"/>
      <c r="W218" s="64"/>
      <c r="X218" s="15">
        <v>1</v>
      </c>
      <c r="Y218" s="15" t="str">
        <f>VLOOKUP(B218,[1]Sheet1!$C$2:$D$906,2,0)</f>
        <v>8370633390</v>
      </c>
      <c r="AA218" t="str">
        <f>IF(VLOOKUP(LEFT(Y218,10),'Havi béradatok'!$B:$E,2,0)=D218,"EGYEZIK","HIBÁS")</f>
        <v>EGYEZIK</v>
      </c>
      <c r="AB218">
        <f>(VLOOKUP(LEFT(Y218,10),'Havi béradatok'!$B:$E,3,0)-K218)</f>
        <v>278395.23809523811</v>
      </c>
      <c r="AC218" s="3">
        <f>(VLOOKUP(LEFT(Y218,10),'Havi béradatok'!$B:$E,4,0)-L218)</f>
        <v>36191</v>
      </c>
    </row>
    <row r="219" spans="1:29" s="15" customFormat="1" ht="14.45" customHeight="1" x14ac:dyDescent="0.25">
      <c r="A219" s="38"/>
      <c r="B219" s="38" t="s">
        <v>197</v>
      </c>
      <c r="C219" s="62" t="s">
        <v>177</v>
      </c>
      <c r="D219" s="62" t="s">
        <v>205</v>
      </c>
      <c r="E219" s="62" t="s">
        <v>179</v>
      </c>
      <c r="F219" s="77" t="s">
        <v>169</v>
      </c>
      <c r="G219" s="77" t="s">
        <v>174</v>
      </c>
      <c r="H219" s="62" t="s">
        <v>117</v>
      </c>
      <c r="I219" s="77" t="s">
        <v>11</v>
      </c>
      <c r="J219" s="38" t="s">
        <v>37</v>
      </c>
      <c r="K219" s="6">
        <v>416300</v>
      </c>
      <c r="L219" s="78">
        <f t="shared" si="158"/>
        <v>54119</v>
      </c>
      <c r="M219" s="79">
        <v>174</v>
      </c>
      <c r="N219" s="79">
        <v>84</v>
      </c>
      <c r="O219" s="191">
        <f t="shared" si="123"/>
        <v>0.48275862068965519</v>
      </c>
      <c r="P219" s="80">
        <f t="shared" ref="P219:P224" si="170">ROUND(K219*N219/M219,0)</f>
        <v>200972</v>
      </c>
      <c r="Q219" s="80">
        <f t="shared" ref="Q219:Q224" si="171">ROUND(P219*S219,0)</f>
        <v>26126</v>
      </c>
      <c r="R219" s="159">
        <f t="shared" ref="R219:R224" si="172">N219/M219-P219/K219</f>
        <v>9.9397814906643234E-7</v>
      </c>
      <c r="S219" s="113">
        <v>0.13</v>
      </c>
      <c r="T219" s="86">
        <v>44929</v>
      </c>
      <c r="U219" s="64"/>
      <c r="V219" s="64"/>
      <c r="W219" s="64"/>
      <c r="X219" s="15">
        <v>1</v>
      </c>
      <c r="Y219" s="15" t="str">
        <f>VLOOKUP(B219,[1]Sheet1!$C$2:$D$906,2,0)</f>
        <v>8370633390</v>
      </c>
      <c r="AA219" t="str">
        <f>IF(VLOOKUP(LEFT(Y219,10),'Havi béradatok'!$B:$E,2,0)=D219,"EGYEZIK","HIBÁS")</f>
        <v>EGYEZIK</v>
      </c>
      <c r="AB219">
        <f>(VLOOKUP(LEFT(Y219,10),'Havi béradatok'!$B:$E,3,0)-K219)</f>
        <v>0</v>
      </c>
      <c r="AC219" s="3">
        <f>(VLOOKUP(LEFT(Y219,10),'Havi béradatok'!$B:$E,4,0)-L219)</f>
        <v>0</v>
      </c>
    </row>
    <row r="220" spans="1:29" s="15" customFormat="1" ht="14.45" customHeight="1" x14ac:dyDescent="0.25">
      <c r="A220" s="38"/>
      <c r="B220" s="38" t="s">
        <v>197</v>
      </c>
      <c r="C220" s="62" t="s">
        <v>177</v>
      </c>
      <c r="D220" s="62" t="s">
        <v>205</v>
      </c>
      <c r="E220" s="62" t="s">
        <v>179</v>
      </c>
      <c r="F220" s="77" t="s">
        <v>169</v>
      </c>
      <c r="G220" s="77" t="s">
        <v>174</v>
      </c>
      <c r="H220" s="62" t="s">
        <v>118</v>
      </c>
      <c r="I220" s="77" t="s">
        <v>11</v>
      </c>
      <c r="J220" s="38" t="s">
        <v>37</v>
      </c>
      <c r="K220" s="6">
        <v>385078</v>
      </c>
      <c r="L220" s="78">
        <f t="shared" si="158"/>
        <v>50060</v>
      </c>
      <c r="M220" s="79">
        <v>174</v>
      </c>
      <c r="N220" s="79">
        <v>84</v>
      </c>
      <c r="O220" s="191">
        <f t="shared" si="123"/>
        <v>0.48275862068965519</v>
      </c>
      <c r="P220" s="80">
        <f t="shared" si="170"/>
        <v>185900</v>
      </c>
      <c r="Q220" s="80">
        <f t="shared" si="171"/>
        <v>24167</v>
      </c>
      <c r="R220" s="159">
        <f t="shared" si="172"/>
        <v>-7.163797177689446E-7</v>
      </c>
      <c r="S220" s="113">
        <v>0.13</v>
      </c>
      <c r="T220" s="86">
        <v>44929</v>
      </c>
      <c r="U220" s="64"/>
      <c r="V220" s="64"/>
      <c r="W220" s="64"/>
      <c r="X220" s="15">
        <v>1</v>
      </c>
      <c r="Y220" s="15" t="str">
        <f>VLOOKUP(B220,[1]Sheet1!$C$2:$D$906,2,0)</f>
        <v>8370633390</v>
      </c>
      <c r="AA220" t="str">
        <f>IF(VLOOKUP(LEFT(Y220,10),'Havi béradatok'!$B:$E,2,0)=D220,"EGYEZIK","HIBÁS")</f>
        <v>EGYEZIK</v>
      </c>
      <c r="AB220">
        <f>(VLOOKUP(LEFT(Y220,10),'Havi béradatok'!$B:$E,3,0)-K220)</f>
        <v>31222</v>
      </c>
      <c r="AC220" s="3">
        <f>(VLOOKUP(LEFT(Y220,10),'Havi béradatok'!$B:$E,4,0)-L220)</f>
        <v>4059</v>
      </c>
    </row>
    <row r="221" spans="1:29" s="15" customFormat="1" ht="14.45" customHeight="1" x14ac:dyDescent="0.25">
      <c r="A221" s="38"/>
      <c r="B221" s="38" t="s">
        <v>197</v>
      </c>
      <c r="C221" s="62" t="s">
        <v>177</v>
      </c>
      <c r="D221" s="62" t="s">
        <v>205</v>
      </c>
      <c r="E221" s="62" t="s">
        <v>179</v>
      </c>
      <c r="F221" s="77" t="s">
        <v>169</v>
      </c>
      <c r="G221" s="77" t="s">
        <v>174</v>
      </c>
      <c r="H221" s="62" t="s">
        <v>119</v>
      </c>
      <c r="I221" s="77" t="s">
        <v>11</v>
      </c>
      <c r="J221" s="38" t="s">
        <v>37</v>
      </c>
      <c r="K221" s="6">
        <v>416300</v>
      </c>
      <c r="L221" s="78">
        <f t="shared" si="158"/>
        <v>54119</v>
      </c>
      <c r="M221" s="79">
        <v>174</v>
      </c>
      <c r="N221" s="79">
        <v>84</v>
      </c>
      <c r="O221" s="191">
        <f t="shared" si="123"/>
        <v>0.48275862068965519</v>
      </c>
      <c r="P221" s="80">
        <f t="shared" si="170"/>
        <v>200972</v>
      </c>
      <c r="Q221" s="80">
        <f t="shared" si="171"/>
        <v>26126</v>
      </c>
      <c r="R221" s="159">
        <f t="shared" si="172"/>
        <v>9.9397814906643234E-7</v>
      </c>
      <c r="S221" s="113">
        <v>0.13</v>
      </c>
      <c r="T221" s="86">
        <v>44929</v>
      </c>
      <c r="U221" s="64"/>
      <c r="V221" s="64"/>
      <c r="W221" s="64"/>
      <c r="X221" s="15">
        <v>1</v>
      </c>
      <c r="Y221" s="15" t="str">
        <f>VLOOKUP(B221,[1]Sheet1!$C$2:$D$906,2,0)</f>
        <v>8370633390</v>
      </c>
      <c r="AA221" t="str">
        <f>IF(VLOOKUP(LEFT(Y221,10),'Havi béradatok'!$B:$E,2,0)=D221,"EGYEZIK","HIBÁS")</f>
        <v>EGYEZIK</v>
      </c>
      <c r="AB221">
        <f>(VLOOKUP(LEFT(Y221,10),'Havi béradatok'!$B:$E,3,0)-K221)</f>
        <v>0</v>
      </c>
      <c r="AC221" s="3">
        <f>(VLOOKUP(LEFT(Y221,10),'Havi béradatok'!$B:$E,4,0)-L221)</f>
        <v>0</v>
      </c>
    </row>
    <row r="222" spans="1:29" s="15" customFormat="1" ht="14.45" hidden="1" customHeight="1" x14ac:dyDescent="0.25">
      <c r="A222" s="38"/>
      <c r="B222" s="38" t="s">
        <v>197</v>
      </c>
      <c r="C222" s="62" t="s">
        <v>177</v>
      </c>
      <c r="D222" s="62" t="s">
        <v>205</v>
      </c>
      <c r="E222" s="62" t="s">
        <v>179</v>
      </c>
      <c r="F222" s="77" t="s">
        <v>169</v>
      </c>
      <c r="G222" s="77" t="s">
        <v>174</v>
      </c>
      <c r="H222" s="62" t="s">
        <v>120</v>
      </c>
      <c r="I222" s="77" t="s">
        <v>12</v>
      </c>
      <c r="J222" s="38" t="s">
        <v>37</v>
      </c>
      <c r="K222" s="6">
        <v>416300</v>
      </c>
      <c r="L222" s="78">
        <f t="shared" si="158"/>
        <v>54119</v>
      </c>
      <c r="M222" s="79">
        <v>174</v>
      </c>
      <c r="N222" s="79">
        <v>84</v>
      </c>
      <c r="O222" s="191">
        <f t="shared" si="123"/>
        <v>0.48275862068965519</v>
      </c>
      <c r="P222" s="80">
        <f t="shared" si="170"/>
        <v>200972</v>
      </c>
      <c r="Q222" s="80">
        <f t="shared" si="171"/>
        <v>26126</v>
      </c>
      <c r="R222" s="159">
        <f t="shared" si="172"/>
        <v>9.9397814906643234E-7</v>
      </c>
      <c r="S222" s="113">
        <v>0.13</v>
      </c>
      <c r="T222" s="86">
        <v>44929</v>
      </c>
      <c r="U222" s="64"/>
      <c r="V222" s="64"/>
      <c r="W222" s="64"/>
      <c r="Y222" s="15" t="str">
        <f>VLOOKUP(B222,[1]Sheet1!$C$2:$D$906,2,0)</f>
        <v>8370633390</v>
      </c>
    </row>
    <row r="223" spans="1:29" s="15" customFormat="1" ht="14.45" hidden="1" customHeight="1" x14ac:dyDescent="0.25">
      <c r="A223" s="38"/>
      <c r="B223" s="38" t="s">
        <v>197</v>
      </c>
      <c r="C223" s="62" t="s">
        <v>177</v>
      </c>
      <c r="D223" s="62" t="s">
        <v>205</v>
      </c>
      <c r="E223" s="62" t="s">
        <v>179</v>
      </c>
      <c r="F223" s="77" t="s">
        <v>169</v>
      </c>
      <c r="G223" s="77" t="s">
        <v>174</v>
      </c>
      <c r="H223" s="62" t="s">
        <v>121</v>
      </c>
      <c r="I223" s="77" t="s">
        <v>12</v>
      </c>
      <c r="J223" s="38" t="s">
        <v>37</v>
      </c>
      <c r="K223" s="6">
        <v>416300</v>
      </c>
      <c r="L223" s="78">
        <f t="shared" si="158"/>
        <v>54119</v>
      </c>
      <c r="M223" s="79">
        <v>174</v>
      </c>
      <c r="N223" s="79">
        <v>84</v>
      </c>
      <c r="O223" s="191">
        <f t="shared" si="123"/>
        <v>0.48275862068965519</v>
      </c>
      <c r="P223" s="80">
        <f t="shared" si="170"/>
        <v>200972</v>
      </c>
      <c r="Q223" s="80">
        <f t="shared" si="171"/>
        <v>26126</v>
      </c>
      <c r="R223" s="159">
        <f t="shared" si="172"/>
        <v>9.9397814906643234E-7</v>
      </c>
      <c r="S223" s="113">
        <v>0.13</v>
      </c>
      <c r="T223" s="86">
        <v>44929</v>
      </c>
      <c r="U223" s="64"/>
      <c r="V223" s="64"/>
      <c r="W223" s="64"/>
      <c r="Y223" s="15" t="str">
        <f>VLOOKUP(B223,[1]Sheet1!$C$2:$D$906,2,0)</f>
        <v>8370633390</v>
      </c>
    </row>
    <row r="224" spans="1:29" s="15" customFormat="1" ht="14.45" hidden="1" customHeight="1" x14ac:dyDescent="0.25">
      <c r="A224" s="38"/>
      <c r="B224" s="38" t="s">
        <v>197</v>
      </c>
      <c r="C224" s="62" t="s">
        <v>177</v>
      </c>
      <c r="D224" s="62" t="s">
        <v>205</v>
      </c>
      <c r="E224" s="62" t="s">
        <v>179</v>
      </c>
      <c r="F224" s="77" t="s">
        <v>169</v>
      </c>
      <c r="G224" s="77" t="s">
        <v>174</v>
      </c>
      <c r="H224" s="62" t="s">
        <v>122</v>
      </c>
      <c r="I224" s="77" t="s">
        <v>12</v>
      </c>
      <c r="J224" s="38" t="s">
        <v>37</v>
      </c>
      <c r="K224" s="6">
        <v>416300</v>
      </c>
      <c r="L224" s="78">
        <f t="shared" si="158"/>
        <v>54119</v>
      </c>
      <c r="M224" s="79">
        <v>174</v>
      </c>
      <c r="N224" s="79">
        <v>84</v>
      </c>
      <c r="O224" s="191">
        <f t="shared" si="123"/>
        <v>0.48275862068965519</v>
      </c>
      <c r="P224" s="80">
        <f t="shared" si="170"/>
        <v>200972</v>
      </c>
      <c r="Q224" s="80">
        <f t="shared" si="171"/>
        <v>26126</v>
      </c>
      <c r="R224" s="159">
        <f t="shared" si="172"/>
        <v>9.9397814906643234E-7</v>
      </c>
      <c r="S224" s="113">
        <v>0.13</v>
      </c>
      <c r="T224" s="86">
        <v>44929</v>
      </c>
      <c r="U224" s="64"/>
      <c r="V224" s="64"/>
      <c r="W224" s="64"/>
      <c r="Y224" s="15" t="str">
        <f>VLOOKUP(B224,[1]Sheet1!$C$2:$D$906,2,0)</f>
        <v>8370633390</v>
      </c>
    </row>
    <row r="225" spans="1:29" s="15" customFormat="1" ht="14.45" customHeight="1" x14ac:dyDescent="0.25">
      <c r="A225" s="38"/>
      <c r="B225" s="38" t="s">
        <v>202</v>
      </c>
      <c r="C225" s="62" t="s">
        <v>177</v>
      </c>
      <c r="D225" s="62" t="s">
        <v>211</v>
      </c>
      <c r="E225" s="62" t="s">
        <v>179</v>
      </c>
      <c r="F225" s="77" t="s">
        <v>169</v>
      </c>
      <c r="G225" s="77" t="s">
        <v>174</v>
      </c>
      <c r="H225" s="62" t="s">
        <v>87</v>
      </c>
      <c r="I225" s="77" t="s">
        <v>11</v>
      </c>
      <c r="J225" s="38" t="s">
        <v>37</v>
      </c>
      <c r="K225" s="6">
        <v>357800</v>
      </c>
      <c r="L225" s="78">
        <f t="shared" ref="L225:L240" si="173">ROUND(K225*S225,0)</f>
        <v>46514</v>
      </c>
      <c r="M225" s="79">
        <v>174</v>
      </c>
      <c r="N225" s="79">
        <v>103</v>
      </c>
      <c r="O225" s="191">
        <f t="shared" si="123"/>
        <v>0.59195402298850575</v>
      </c>
      <c r="P225" s="80">
        <f t="shared" ref="P225:P233" si="174">ROUND(K225*N225/M225,0)</f>
        <v>211801</v>
      </c>
      <c r="Q225" s="80">
        <f t="shared" ref="Q225:Q233" si="175">ROUND(P225*S225,0)</f>
        <v>27534</v>
      </c>
      <c r="R225" s="159">
        <f t="shared" ref="R225:R233" si="176">N225/M225-P225/K225</f>
        <v>4.1762237945608405E-7</v>
      </c>
      <c r="S225" s="113">
        <v>0.13</v>
      </c>
      <c r="T225" s="86">
        <v>44631</v>
      </c>
      <c r="U225" s="64">
        <v>1</v>
      </c>
      <c r="V225" s="64"/>
      <c r="W225" s="64"/>
      <c r="X225" s="15">
        <v>1</v>
      </c>
      <c r="Y225" s="15" t="str">
        <f>VLOOKUP(B225,[1]Sheet1!$C$2:$D$906,2,0)</f>
        <v>8338131113</v>
      </c>
    </row>
    <row r="226" spans="1:29" s="15" customFormat="1" ht="14.45" customHeight="1" x14ac:dyDescent="0.25">
      <c r="A226" s="38"/>
      <c r="B226" s="38" t="s">
        <v>202</v>
      </c>
      <c r="C226" s="62" t="s">
        <v>177</v>
      </c>
      <c r="D226" s="62" t="s">
        <v>211</v>
      </c>
      <c r="E226" s="62" t="s">
        <v>179</v>
      </c>
      <c r="F226" s="77" t="s">
        <v>169</v>
      </c>
      <c r="G226" s="77" t="s">
        <v>174</v>
      </c>
      <c r="H226" s="62" t="s">
        <v>88</v>
      </c>
      <c r="I226" s="77" t="s">
        <v>11</v>
      </c>
      <c r="J226" s="38" t="s">
        <v>37</v>
      </c>
      <c r="K226" s="6">
        <v>357800</v>
      </c>
      <c r="L226" s="78">
        <f t="shared" si="173"/>
        <v>46514</v>
      </c>
      <c r="M226" s="79">
        <v>174</v>
      </c>
      <c r="N226" s="79">
        <v>103</v>
      </c>
      <c r="O226" s="191">
        <f t="shared" si="123"/>
        <v>0.59195402298850575</v>
      </c>
      <c r="P226" s="80">
        <f t="shared" si="174"/>
        <v>211801</v>
      </c>
      <c r="Q226" s="80">
        <f t="shared" si="175"/>
        <v>27534</v>
      </c>
      <c r="R226" s="159">
        <f t="shared" si="176"/>
        <v>4.1762237945608405E-7</v>
      </c>
      <c r="S226" s="113">
        <v>0.13</v>
      </c>
      <c r="T226" s="86">
        <v>44631</v>
      </c>
      <c r="U226" s="64">
        <v>1</v>
      </c>
      <c r="V226" s="64"/>
      <c r="W226" s="64"/>
      <c r="X226" s="15">
        <v>1</v>
      </c>
      <c r="Y226" s="15" t="str">
        <f>VLOOKUP(B226,[1]Sheet1!$C$2:$D$906,2,0)</f>
        <v>8338131113</v>
      </c>
    </row>
    <row r="227" spans="1:29" s="15" customFormat="1" ht="14.45" customHeight="1" x14ac:dyDescent="0.25">
      <c r="A227" s="38"/>
      <c r="B227" s="38" t="s">
        <v>202</v>
      </c>
      <c r="C227" s="62" t="s">
        <v>177</v>
      </c>
      <c r="D227" s="62" t="s">
        <v>211</v>
      </c>
      <c r="E227" s="62" t="s">
        <v>179</v>
      </c>
      <c r="F227" s="77" t="s">
        <v>169</v>
      </c>
      <c r="G227" s="77" t="s">
        <v>174</v>
      </c>
      <c r="H227" s="62" t="s">
        <v>89</v>
      </c>
      <c r="I227" s="77" t="s">
        <v>11</v>
      </c>
      <c r="J227" s="38" t="s">
        <v>37</v>
      </c>
      <c r="K227" s="6">
        <v>357800</v>
      </c>
      <c r="L227" s="78">
        <f t="shared" si="173"/>
        <v>46514</v>
      </c>
      <c r="M227" s="79">
        <v>174</v>
      </c>
      <c r="N227" s="79">
        <v>103</v>
      </c>
      <c r="O227" s="191">
        <f t="shared" si="123"/>
        <v>0.59195402298850575</v>
      </c>
      <c r="P227" s="80">
        <f t="shared" si="174"/>
        <v>211801</v>
      </c>
      <c r="Q227" s="80">
        <f t="shared" si="175"/>
        <v>27534</v>
      </c>
      <c r="R227" s="159">
        <f t="shared" si="176"/>
        <v>4.1762237945608405E-7</v>
      </c>
      <c r="S227" s="113">
        <v>0.13</v>
      </c>
      <c r="T227" s="86">
        <v>44631</v>
      </c>
      <c r="U227" s="64">
        <v>2</v>
      </c>
      <c r="V227" s="64"/>
      <c r="W227" s="64"/>
      <c r="X227" s="15">
        <v>1</v>
      </c>
      <c r="Y227" s="15" t="str">
        <f>VLOOKUP(B227,[1]Sheet1!$C$2:$D$906,2,0)</f>
        <v>8338131113</v>
      </c>
    </row>
    <row r="228" spans="1:29" s="15" customFormat="1" ht="14.45" customHeight="1" x14ac:dyDescent="0.25">
      <c r="A228" s="38"/>
      <c r="B228" s="38" t="s">
        <v>202</v>
      </c>
      <c r="C228" s="62" t="s">
        <v>177</v>
      </c>
      <c r="D228" s="62" t="s">
        <v>211</v>
      </c>
      <c r="E228" s="62" t="s">
        <v>179</v>
      </c>
      <c r="F228" s="77" t="s">
        <v>169</v>
      </c>
      <c r="G228" s="77" t="s">
        <v>174</v>
      </c>
      <c r="H228" s="62" t="s">
        <v>90</v>
      </c>
      <c r="I228" s="77" t="s">
        <v>11</v>
      </c>
      <c r="J228" s="38" t="s">
        <v>37</v>
      </c>
      <c r="K228" s="6">
        <v>357800</v>
      </c>
      <c r="L228" s="78">
        <f t="shared" si="173"/>
        <v>46514</v>
      </c>
      <c r="M228" s="79">
        <v>174</v>
      </c>
      <c r="N228" s="79">
        <v>103</v>
      </c>
      <c r="O228" s="191">
        <f t="shared" si="123"/>
        <v>0.59195402298850575</v>
      </c>
      <c r="P228" s="80">
        <f t="shared" si="174"/>
        <v>211801</v>
      </c>
      <c r="Q228" s="80">
        <f t="shared" si="175"/>
        <v>27534</v>
      </c>
      <c r="R228" s="159">
        <f t="shared" si="176"/>
        <v>4.1762237945608405E-7</v>
      </c>
      <c r="S228" s="113">
        <v>0.13</v>
      </c>
      <c r="T228" s="86">
        <v>44631</v>
      </c>
      <c r="U228" s="64">
        <v>2</v>
      </c>
      <c r="V228" s="64"/>
      <c r="W228" s="64"/>
      <c r="X228" s="15">
        <v>1</v>
      </c>
      <c r="Y228" s="15" t="str">
        <f>VLOOKUP(B228,[1]Sheet1!$C$2:$D$906,2,0)</f>
        <v>8338131113</v>
      </c>
    </row>
    <row r="229" spans="1:29" s="15" customFormat="1" ht="14.45" customHeight="1" x14ac:dyDescent="0.25">
      <c r="A229" s="38"/>
      <c r="B229" s="38" t="s">
        <v>202</v>
      </c>
      <c r="C229" s="62" t="s">
        <v>177</v>
      </c>
      <c r="D229" s="62" t="s">
        <v>211</v>
      </c>
      <c r="E229" s="62" t="s">
        <v>179</v>
      </c>
      <c r="F229" s="77" t="s">
        <v>169</v>
      </c>
      <c r="G229" s="77" t="s">
        <v>174</v>
      </c>
      <c r="H229" s="62" t="s">
        <v>91</v>
      </c>
      <c r="I229" s="77" t="s">
        <v>11</v>
      </c>
      <c r="J229" s="38" t="s">
        <v>37</v>
      </c>
      <c r="K229" s="177">
        <v>357800</v>
      </c>
      <c r="L229" s="78">
        <f t="shared" si="173"/>
        <v>46514</v>
      </c>
      <c r="M229" s="79">
        <v>174</v>
      </c>
      <c r="N229" s="79">
        <v>103</v>
      </c>
      <c r="O229" s="191">
        <f t="shared" si="123"/>
        <v>0.59195402298850575</v>
      </c>
      <c r="P229" s="80">
        <f t="shared" si="174"/>
        <v>211801</v>
      </c>
      <c r="Q229" s="80">
        <f t="shared" si="175"/>
        <v>27534</v>
      </c>
      <c r="R229" s="159">
        <f t="shared" si="176"/>
        <v>4.1762237945608405E-7</v>
      </c>
      <c r="S229" s="113">
        <v>0.13</v>
      </c>
      <c r="T229" s="86">
        <v>44631</v>
      </c>
      <c r="U229" s="64">
        <v>2</v>
      </c>
      <c r="V229" s="64"/>
      <c r="W229" s="64"/>
      <c r="X229" s="15">
        <v>1</v>
      </c>
      <c r="Y229" s="15" t="str">
        <f>VLOOKUP(B229,[1]Sheet1!$C$2:$D$906,2,0)</f>
        <v>8338131113</v>
      </c>
    </row>
    <row r="230" spans="1:29" s="15" customFormat="1" ht="14.45" customHeight="1" x14ac:dyDescent="0.25">
      <c r="A230" s="38"/>
      <c r="B230" s="38" t="s">
        <v>202</v>
      </c>
      <c r="C230" s="62" t="s">
        <v>177</v>
      </c>
      <c r="D230" s="62" t="s">
        <v>211</v>
      </c>
      <c r="E230" s="62" t="s">
        <v>179</v>
      </c>
      <c r="F230" s="77" t="s">
        <v>169</v>
      </c>
      <c r="G230" s="77" t="s">
        <v>174</v>
      </c>
      <c r="H230" s="62" t="s">
        <v>92</v>
      </c>
      <c r="I230" s="77" t="s">
        <v>11</v>
      </c>
      <c r="J230" s="38" t="s">
        <v>37</v>
      </c>
      <c r="K230" s="6">
        <v>357800</v>
      </c>
      <c r="L230" s="78">
        <f t="shared" si="173"/>
        <v>46514</v>
      </c>
      <c r="M230" s="79">
        <v>174</v>
      </c>
      <c r="N230" s="79">
        <v>103</v>
      </c>
      <c r="O230" s="191">
        <f t="shared" si="123"/>
        <v>0.59195402298850575</v>
      </c>
      <c r="P230" s="80">
        <f t="shared" si="174"/>
        <v>211801</v>
      </c>
      <c r="Q230" s="80">
        <f t="shared" si="175"/>
        <v>27534</v>
      </c>
      <c r="R230" s="159">
        <f t="shared" si="176"/>
        <v>4.1762237945608405E-7</v>
      </c>
      <c r="S230" s="113">
        <v>0.13</v>
      </c>
      <c r="T230" s="86">
        <v>44631</v>
      </c>
      <c r="U230" s="64">
        <v>2</v>
      </c>
      <c r="V230" s="64"/>
      <c r="W230" s="64"/>
      <c r="X230" s="15">
        <v>1</v>
      </c>
      <c r="Y230" s="15" t="str">
        <f>VLOOKUP(B230,[1]Sheet1!$C$2:$D$906,2,0)</f>
        <v>8338131113</v>
      </c>
    </row>
    <row r="231" spans="1:29" s="15" customFormat="1" ht="14.45" customHeight="1" x14ac:dyDescent="0.25">
      <c r="A231" s="38"/>
      <c r="B231" s="38" t="s">
        <v>202</v>
      </c>
      <c r="C231" s="62" t="s">
        <v>177</v>
      </c>
      <c r="D231" s="62" t="s">
        <v>211</v>
      </c>
      <c r="E231" s="62" t="s">
        <v>179</v>
      </c>
      <c r="F231" s="77" t="s">
        <v>169</v>
      </c>
      <c r="G231" s="77" t="s">
        <v>174</v>
      </c>
      <c r="H231" s="62" t="s">
        <v>93</v>
      </c>
      <c r="I231" s="77" t="s">
        <v>11</v>
      </c>
      <c r="J231" s="38" t="s">
        <v>37</v>
      </c>
      <c r="K231" s="6">
        <v>357800</v>
      </c>
      <c r="L231" s="78">
        <f t="shared" si="173"/>
        <v>46514</v>
      </c>
      <c r="M231" s="79">
        <v>174</v>
      </c>
      <c r="N231" s="79">
        <v>103</v>
      </c>
      <c r="O231" s="191">
        <f t="shared" si="123"/>
        <v>0.59195402298850575</v>
      </c>
      <c r="P231" s="80">
        <f t="shared" si="174"/>
        <v>211801</v>
      </c>
      <c r="Q231" s="80">
        <f t="shared" si="175"/>
        <v>27534</v>
      </c>
      <c r="R231" s="159">
        <f t="shared" si="176"/>
        <v>4.1762237945608405E-7</v>
      </c>
      <c r="S231" s="113">
        <v>0.13</v>
      </c>
      <c r="T231" s="86">
        <v>44631</v>
      </c>
      <c r="U231" s="64">
        <v>2</v>
      </c>
      <c r="V231" s="64"/>
      <c r="W231" s="64"/>
      <c r="X231" s="15">
        <v>1</v>
      </c>
      <c r="Y231" s="15" t="str">
        <f>VLOOKUP(B231,[1]Sheet1!$C$2:$D$906,2,0)</f>
        <v>8338131113</v>
      </c>
    </row>
    <row r="232" spans="1:29" s="15" customFormat="1" ht="14.45" customHeight="1" x14ac:dyDescent="0.25">
      <c r="A232" s="38"/>
      <c r="B232" s="38" t="s">
        <v>202</v>
      </c>
      <c r="C232" s="62" t="s">
        <v>177</v>
      </c>
      <c r="D232" s="62" t="s">
        <v>211</v>
      </c>
      <c r="E232" s="62" t="s">
        <v>179</v>
      </c>
      <c r="F232" s="77" t="s">
        <v>169</v>
      </c>
      <c r="G232" s="77" t="s">
        <v>174</v>
      </c>
      <c r="H232" s="62" t="s">
        <v>94</v>
      </c>
      <c r="I232" s="77" t="s">
        <v>11</v>
      </c>
      <c r="J232" s="38" t="s">
        <v>37</v>
      </c>
      <c r="K232" s="6">
        <v>357800</v>
      </c>
      <c r="L232" s="78">
        <f t="shared" si="173"/>
        <v>46514</v>
      </c>
      <c r="M232" s="79">
        <v>174</v>
      </c>
      <c r="N232" s="79">
        <v>103</v>
      </c>
      <c r="O232" s="191">
        <f t="shared" si="123"/>
        <v>0.59195402298850575</v>
      </c>
      <c r="P232" s="80">
        <f t="shared" si="174"/>
        <v>211801</v>
      </c>
      <c r="Q232" s="80">
        <f t="shared" si="175"/>
        <v>27534</v>
      </c>
      <c r="R232" s="159">
        <f t="shared" si="176"/>
        <v>4.1762237945608405E-7</v>
      </c>
      <c r="S232" s="113">
        <v>0.13</v>
      </c>
      <c r="T232" s="86">
        <v>44631</v>
      </c>
      <c r="U232" s="64">
        <v>2</v>
      </c>
      <c r="V232" s="64"/>
      <c r="W232" s="64"/>
      <c r="X232" s="15">
        <v>1</v>
      </c>
      <c r="Y232" s="15" t="str">
        <f>VLOOKUP(B232,[1]Sheet1!$C$2:$D$906,2,0)</f>
        <v>8338131113</v>
      </c>
    </row>
    <row r="233" spans="1:29" s="15" customFormat="1" ht="14.45" customHeight="1" x14ac:dyDescent="0.25">
      <c r="A233" s="38"/>
      <c r="B233" s="38" t="s">
        <v>202</v>
      </c>
      <c r="C233" s="62" t="s">
        <v>177</v>
      </c>
      <c r="D233" s="62" t="s">
        <v>211</v>
      </c>
      <c r="E233" s="62" t="s">
        <v>179</v>
      </c>
      <c r="F233" s="77" t="s">
        <v>169</v>
      </c>
      <c r="G233" s="77" t="s">
        <v>174</v>
      </c>
      <c r="H233" s="174" t="s">
        <v>281</v>
      </c>
      <c r="I233" s="77" t="s">
        <v>11</v>
      </c>
      <c r="J233" s="38" t="s">
        <v>37</v>
      </c>
      <c r="K233" s="6">
        <f>357800/21*13</f>
        <v>221495.23809523808</v>
      </c>
      <c r="L233" s="78">
        <f t="shared" si="173"/>
        <v>28794</v>
      </c>
      <c r="M233" s="79">
        <v>174</v>
      </c>
      <c r="N233" s="79">
        <v>103</v>
      </c>
      <c r="O233" s="191">
        <f t="shared" si="123"/>
        <v>0.59195402298850575</v>
      </c>
      <c r="P233" s="80">
        <f t="shared" si="174"/>
        <v>131115</v>
      </c>
      <c r="Q233" s="80">
        <f t="shared" si="175"/>
        <v>17045</v>
      </c>
      <c r="R233" s="159">
        <f t="shared" si="176"/>
        <v>-1.2355691803023205E-8</v>
      </c>
      <c r="S233" s="113">
        <v>0.13</v>
      </c>
      <c r="T233" s="86">
        <v>44631</v>
      </c>
      <c r="U233" s="64">
        <v>2</v>
      </c>
      <c r="V233" s="64"/>
      <c r="W233" s="64"/>
      <c r="X233" s="15">
        <v>1</v>
      </c>
      <c r="Y233" s="15" t="str">
        <f>VLOOKUP(B233,[1]Sheet1!$C$2:$D$906,2,0)</f>
        <v>8338131113</v>
      </c>
      <c r="AA233" t="str">
        <f>IF(VLOOKUP(LEFT(Y233,10),'Havi béradatok'!$B:$E,2,0)=D233,"EGYEZIK","HIBÁS")</f>
        <v>EGYEZIK</v>
      </c>
      <c r="AB233">
        <f>(VLOOKUP(LEFT(Y233,10),'Havi béradatok'!$B:$E,3,0)-K233)</f>
        <v>136304.76190476192</v>
      </c>
      <c r="AC233" s="3">
        <f>(VLOOKUP(LEFT(Y233,10),'Havi béradatok'!$B:$E,4,0)-L233)</f>
        <v>17720</v>
      </c>
    </row>
    <row r="234" spans="1:29" s="15" customFormat="1" ht="14.45" customHeight="1" x14ac:dyDescent="0.25">
      <c r="A234" s="38"/>
      <c r="B234" s="38" t="s">
        <v>202</v>
      </c>
      <c r="C234" s="62" t="s">
        <v>177</v>
      </c>
      <c r="D234" s="62" t="s">
        <v>211</v>
      </c>
      <c r="E234" s="62" t="s">
        <v>179</v>
      </c>
      <c r="F234" s="77" t="s">
        <v>169</v>
      </c>
      <c r="G234" s="77" t="s">
        <v>174</v>
      </c>
      <c r="H234" s="174" t="s">
        <v>280</v>
      </c>
      <c r="I234" s="77" t="s">
        <v>11</v>
      </c>
      <c r="J234" s="38" t="s">
        <v>37</v>
      </c>
      <c r="K234" s="6">
        <f>357800/21*8</f>
        <v>136304.76190476189</v>
      </c>
      <c r="L234" s="78">
        <f t="shared" ref="L234" si="177">ROUND(K234*S234,0)</f>
        <v>17720</v>
      </c>
      <c r="M234" s="79">
        <v>174</v>
      </c>
      <c r="N234" s="79">
        <v>103</v>
      </c>
      <c r="O234" s="191">
        <f t="shared" ref="O234" si="178">N234/M234</f>
        <v>0.59195402298850575</v>
      </c>
      <c r="P234" s="80">
        <f t="shared" ref="P234" si="179">ROUND(K234*N234/M234,0)</f>
        <v>80686</v>
      </c>
      <c r="Q234" s="80">
        <f t="shared" ref="Q234" si="180">ROUND(P234*S234,0)</f>
        <v>10489</v>
      </c>
      <c r="R234" s="159">
        <f t="shared" ref="R234" si="181">N234/M234-P234/K234</f>
        <v>1.1163367449329442E-6</v>
      </c>
      <c r="S234" s="113">
        <v>0.13</v>
      </c>
      <c r="T234" s="86">
        <v>44631</v>
      </c>
      <c r="U234" s="64"/>
      <c r="V234" s="64"/>
      <c r="W234" s="64"/>
      <c r="X234" s="15">
        <v>1</v>
      </c>
      <c r="Y234" s="15" t="str">
        <f>VLOOKUP(B234,[1]Sheet1!$C$2:$D$906,2,0)</f>
        <v>8338131113</v>
      </c>
      <c r="AA234" t="str">
        <f>IF(VLOOKUP(LEFT(Y234,10),'Havi béradatok'!$B:$E,2,0)=D234,"EGYEZIK","HIBÁS")</f>
        <v>EGYEZIK</v>
      </c>
      <c r="AB234">
        <f>(VLOOKUP(LEFT(Y234,10),'Havi béradatok'!$B:$E,3,0)-K234)</f>
        <v>221495.23809523811</v>
      </c>
      <c r="AC234" s="3">
        <f>(VLOOKUP(LEFT(Y234,10),'Havi béradatok'!$B:$E,4,0)-L234)</f>
        <v>28794</v>
      </c>
    </row>
    <row r="235" spans="1:29" s="15" customFormat="1" ht="14.45" customHeight="1" x14ac:dyDescent="0.25">
      <c r="A235" s="38"/>
      <c r="B235" s="38" t="s">
        <v>202</v>
      </c>
      <c r="C235" s="62" t="s">
        <v>177</v>
      </c>
      <c r="D235" s="62" t="s">
        <v>211</v>
      </c>
      <c r="E235" s="62" t="s">
        <v>179</v>
      </c>
      <c r="F235" s="77" t="s">
        <v>169</v>
      </c>
      <c r="G235" s="77" t="s">
        <v>174</v>
      </c>
      <c r="H235" s="62" t="s">
        <v>117</v>
      </c>
      <c r="I235" s="77" t="s">
        <v>11</v>
      </c>
      <c r="J235" s="38" t="s">
        <v>37</v>
      </c>
      <c r="K235" s="6">
        <v>357800</v>
      </c>
      <c r="L235" s="78">
        <f t="shared" si="173"/>
        <v>46514</v>
      </c>
      <c r="M235" s="79">
        <v>174</v>
      </c>
      <c r="N235" s="79">
        <v>103</v>
      </c>
      <c r="O235" s="191">
        <f t="shared" ref="O235:O309" si="182">N235/M235</f>
        <v>0.59195402298850575</v>
      </c>
      <c r="P235" s="80">
        <f t="shared" ref="P235:P240" si="183">ROUND(K235*N235/M235,0)</f>
        <v>211801</v>
      </c>
      <c r="Q235" s="80">
        <f t="shared" ref="Q235:Q240" si="184">ROUND(P235*S235,0)</f>
        <v>27534</v>
      </c>
      <c r="R235" s="159">
        <f t="shared" ref="R235:R240" si="185">N235/M235-P235/K235</f>
        <v>4.1762237945608405E-7</v>
      </c>
      <c r="S235" s="113">
        <v>0.13</v>
      </c>
      <c r="T235" s="86">
        <v>44902</v>
      </c>
      <c r="U235" s="64"/>
      <c r="V235" s="64"/>
      <c r="W235" s="64"/>
      <c r="X235" s="15">
        <v>1</v>
      </c>
      <c r="Y235" s="15" t="str">
        <f>VLOOKUP(B235,[1]Sheet1!$C$2:$D$906,2,0)</f>
        <v>8338131113</v>
      </c>
      <c r="AA235" t="str">
        <f>IF(VLOOKUP(LEFT(Y235,10),'Havi béradatok'!$B:$E,2,0)=D235,"EGYEZIK","HIBÁS")</f>
        <v>EGYEZIK</v>
      </c>
      <c r="AB235">
        <f>(VLOOKUP(LEFT(Y235,10),'Havi béradatok'!$B:$E,3,0)-K235)</f>
        <v>0</v>
      </c>
      <c r="AC235" s="3">
        <f>(VLOOKUP(LEFT(Y235,10),'Havi béradatok'!$B:$E,4,0)-L235)</f>
        <v>0</v>
      </c>
    </row>
    <row r="236" spans="1:29" s="15" customFormat="1" ht="14.45" customHeight="1" x14ac:dyDescent="0.25">
      <c r="A236" s="38"/>
      <c r="B236" s="38" t="s">
        <v>202</v>
      </c>
      <c r="C236" s="62" t="s">
        <v>177</v>
      </c>
      <c r="D236" s="62" t="s">
        <v>211</v>
      </c>
      <c r="E236" s="62" t="s">
        <v>179</v>
      </c>
      <c r="F236" s="77" t="s">
        <v>169</v>
      </c>
      <c r="G236" s="77" t="s">
        <v>174</v>
      </c>
      <c r="H236" s="62" t="s">
        <v>118</v>
      </c>
      <c r="I236" s="77" t="s">
        <v>11</v>
      </c>
      <c r="J236" s="38" t="s">
        <v>37</v>
      </c>
      <c r="K236" s="6">
        <v>357800</v>
      </c>
      <c r="L236" s="78">
        <f t="shared" si="173"/>
        <v>46514</v>
      </c>
      <c r="M236" s="79">
        <v>174</v>
      </c>
      <c r="N236" s="79">
        <v>103</v>
      </c>
      <c r="O236" s="191">
        <f t="shared" si="182"/>
        <v>0.59195402298850575</v>
      </c>
      <c r="P236" s="80">
        <f t="shared" si="183"/>
        <v>211801</v>
      </c>
      <c r="Q236" s="80">
        <f t="shared" si="184"/>
        <v>27534</v>
      </c>
      <c r="R236" s="159">
        <f t="shared" si="185"/>
        <v>4.1762237945608405E-7</v>
      </c>
      <c r="S236" s="113">
        <v>0.13</v>
      </c>
      <c r="T236" s="86">
        <v>44902</v>
      </c>
      <c r="U236" s="64"/>
      <c r="V236" s="64"/>
      <c r="W236" s="64"/>
      <c r="X236" s="15">
        <v>1</v>
      </c>
      <c r="Y236" s="15" t="str">
        <f>VLOOKUP(B236,[1]Sheet1!$C$2:$D$906,2,0)</f>
        <v>8338131113</v>
      </c>
      <c r="AA236" t="str">
        <f>IF(VLOOKUP(LEFT(Y236,10),'Havi béradatok'!$B:$E,2,0)=D236,"EGYEZIK","HIBÁS")</f>
        <v>EGYEZIK</v>
      </c>
      <c r="AB236">
        <f>(VLOOKUP(LEFT(Y236,10),'Havi béradatok'!$B:$E,3,0)-K236)</f>
        <v>0</v>
      </c>
      <c r="AC236" s="3">
        <f>(VLOOKUP(LEFT(Y236,10),'Havi béradatok'!$B:$E,4,0)-L236)</f>
        <v>0</v>
      </c>
    </row>
    <row r="237" spans="1:29" s="15" customFormat="1" ht="14.45" customHeight="1" x14ac:dyDescent="0.25">
      <c r="A237" s="38"/>
      <c r="B237" s="38" t="s">
        <v>202</v>
      </c>
      <c r="C237" s="62" t="s">
        <v>177</v>
      </c>
      <c r="D237" s="62" t="s">
        <v>211</v>
      </c>
      <c r="E237" s="62" t="s">
        <v>179</v>
      </c>
      <c r="F237" s="77" t="s">
        <v>169</v>
      </c>
      <c r="G237" s="77" t="s">
        <v>174</v>
      </c>
      <c r="H237" s="62" t="s">
        <v>119</v>
      </c>
      <c r="I237" s="77" t="s">
        <v>11</v>
      </c>
      <c r="J237" s="38" t="s">
        <v>37</v>
      </c>
      <c r="K237" s="6">
        <v>357800</v>
      </c>
      <c r="L237" s="78">
        <f t="shared" si="173"/>
        <v>46514</v>
      </c>
      <c r="M237" s="79">
        <v>174</v>
      </c>
      <c r="N237" s="79">
        <v>103</v>
      </c>
      <c r="O237" s="191">
        <f t="shared" si="182"/>
        <v>0.59195402298850575</v>
      </c>
      <c r="P237" s="80">
        <f t="shared" si="183"/>
        <v>211801</v>
      </c>
      <c r="Q237" s="80">
        <f t="shared" si="184"/>
        <v>27534</v>
      </c>
      <c r="R237" s="159">
        <f t="shared" si="185"/>
        <v>4.1762237945608405E-7</v>
      </c>
      <c r="S237" s="113">
        <v>0.13</v>
      </c>
      <c r="T237" s="86">
        <v>44902</v>
      </c>
      <c r="U237" s="64"/>
      <c r="V237" s="64"/>
      <c r="W237" s="64"/>
      <c r="X237" s="15">
        <v>1</v>
      </c>
      <c r="Y237" s="15" t="str">
        <f>VLOOKUP(B237,[1]Sheet1!$C$2:$D$906,2,0)</f>
        <v>8338131113</v>
      </c>
      <c r="AA237" t="str">
        <f>IF(VLOOKUP(LEFT(Y237,10),'Havi béradatok'!$B:$E,2,0)=D237,"EGYEZIK","HIBÁS")</f>
        <v>EGYEZIK</v>
      </c>
      <c r="AB237">
        <f>(VLOOKUP(LEFT(Y237,10),'Havi béradatok'!$B:$E,3,0)-K237)</f>
        <v>0</v>
      </c>
      <c r="AC237" s="3">
        <f>(VLOOKUP(LEFT(Y237,10),'Havi béradatok'!$B:$E,4,0)-L237)</f>
        <v>0</v>
      </c>
    </row>
    <row r="238" spans="1:29" s="15" customFormat="1" ht="14.45" hidden="1" customHeight="1" x14ac:dyDescent="0.25">
      <c r="A238" s="38"/>
      <c r="B238" s="38" t="s">
        <v>202</v>
      </c>
      <c r="C238" s="62" t="s">
        <v>177</v>
      </c>
      <c r="D238" s="62" t="s">
        <v>211</v>
      </c>
      <c r="E238" s="62" t="s">
        <v>179</v>
      </c>
      <c r="F238" s="77" t="s">
        <v>169</v>
      </c>
      <c r="G238" s="77" t="s">
        <v>174</v>
      </c>
      <c r="H238" s="62" t="s">
        <v>120</v>
      </c>
      <c r="I238" s="77" t="s">
        <v>12</v>
      </c>
      <c r="J238" s="38" t="s">
        <v>37</v>
      </c>
      <c r="K238" s="6">
        <v>357800</v>
      </c>
      <c r="L238" s="78">
        <f t="shared" si="173"/>
        <v>46514</v>
      </c>
      <c r="M238" s="79">
        <v>174</v>
      </c>
      <c r="N238" s="79">
        <v>103</v>
      </c>
      <c r="O238" s="191">
        <f t="shared" si="182"/>
        <v>0.59195402298850575</v>
      </c>
      <c r="P238" s="80">
        <f t="shared" si="183"/>
        <v>211801</v>
      </c>
      <c r="Q238" s="80">
        <f t="shared" si="184"/>
        <v>27534</v>
      </c>
      <c r="R238" s="159">
        <f t="shared" si="185"/>
        <v>4.1762237945608405E-7</v>
      </c>
      <c r="S238" s="113">
        <v>0.13</v>
      </c>
      <c r="T238" s="86">
        <v>44902</v>
      </c>
      <c r="U238" s="64"/>
      <c r="V238" s="64"/>
      <c r="W238" s="64"/>
      <c r="X238" s="15">
        <v>1</v>
      </c>
      <c r="Y238" s="15" t="str">
        <f>VLOOKUP(B238,[1]Sheet1!$C$2:$D$906,2,0)</f>
        <v>8338131113</v>
      </c>
    </row>
    <row r="239" spans="1:29" s="15" customFormat="1" ht="14.45" hidden="1" customHeight="1" x14ac:dyDescent="0.25">
      <c r="A239" s="38"/>
      <c r="B239" s="38" t="s">
        <v>202</v>
      </c>
      <c r="C239" s="62" t="s">
        <v>177</v>
      </c>
      <c r="D239" s="62" t="s">
        <v>211</v>
      </c>
      <c r="E239" s="62" t="s">
        <v>179</v>
      </c>
      <c r="F239" s="77" t="s">
        <v>169</v>
      </c>
      <c r="G239" s="77" t="s">
        <v>174</v>
      </c>
      <c r="H239" s="62" t="s">
        <v>121</v>
      </c>
      <c r="I239" s="77" t="s">
        <v>12</v>
      </c>
      <c r="J239" s="38" t="s">
        <v>37</v>
      </c>
      <c r="K239" s="6">
        <v>357800</v>
      </c>
      <c r="L239" s="78">
        <f t="shared" si="173"/>
        <v>46514</v>
      </c>
      <c r="M239" s="79">
        <v>174</v>
      </c>
      <c r="N239" s="79">
        <v>103</v>
      </c>
      <c r="O239" s="191">
        <f t="shared" si="182"/>
        <v>0.59195402298850575</v>
      </c>
      <c r="P239" s="80">
        <f t="shared" si="183"/>
        <v>211801</v>
      </c>
      <c r="Q239" s="80">
        <f t="shared" si="184"/>
        <v>27534</v>
      </c>
      <c r="R239" s="159">
        <f t="shared" si="185"/>
        <v>4.1762237945608405E-7</v>
      </c>
      <c r="S239" s="113">
        <v>0.13</v>
      </c>
      <c r="T239" s="86">
        <v>44902</v>
      </c>
      <c r="U239" s="64"/>
      <c r="V239" s="64"/>
      <c r="W239" s="64"/>
      <c r="X239" s="15">
        <v>1</v>
      </c>
      <c r="Y239" s="15" t="str">
        <f>VLOOKUP(B239,[1]Sheet1!$C$2:$D$906,2,0)</f>
        <v>8338131113</v>
      </c>
    </row>
    <row r="240" spans="1:29" s="15" customFormat="1" ht="14.45" hidden="1" customHeight="1" x14ac:dyDescent="0.25">
      <c r="A240" s="38"/>
      <c r="B240" s="38" t="s">
        <v>202</v>
      </c>
      <c r="C240" s="62" t="s">
        <v>177</v>
      </c>
      <c r="D240" s="62" t="s">
        <v>211</v>
      </c>
      <c r="E240" s="62" t="s">
        <v>179</v>
      </c>
      <c r="F240" s="77" t="s">
        <v>169</v>
      </c>
      <c r="G240" s="77" t="s">
        <v>174</v>
      </c>
      <c r="H240" s="62" t="s">
        <v>122</v>
      </c>
      <c r="I240" s="77" t="s">
        <v>12</v>
      </c>
      <c r="J240" s="38" t="s">
        <v>37</v>
      </c>
      <c r="K240" s="6">
        <v>357800</v>
      </c>
      <c r="L240" s="78">
        <f t="shared" si="173"/>
        <v>46514</v>
      </c>
      <c r="M240" s="79">
        <v>174</v>
      </c>
      <c r="N240" s="79">
        <v>103</v>
      </c>
      <c r="O240" s="191">
        <f t="shared" si="182"/>
        <v>0.59195402298850575</v>
      </c>
      <c r="P240" s="80">
        <f t="shared" si="183"/>
        <v>211801</v>
      </c>
      <c r="Q240" s="80">
        <f t="shared" si="184"/>
        <v>27534</v>
      </c>
      <c r="R240" s="159">
        <f t="shared" si="185"/>
        <v>4.1762237945608405E-7</v>
      </c>
      <c r="S240" s="113">
        <v>0.13</v>
      </c>
      <c r="T240" s="86">
        <v>44902</v>
      </c>
      <c r="U240" s="64"/>
      <c r="V240" s="64"/>
      <c r="W240" s="64"/>
      <c r="X240" s="15">
        <v>1</v>
      </c>
      <c r="Y240" s="15" t="str">
        <f>VLOOKUP(B240,[1]Sheet1!$C$2:$D$906,2,0)</f>
        <v>8338131113</v>
      </c>
    </row>
    <row r="241" spans="1:29" s="15" customFormat="1" ht="14.45" customHeight="1" x14ac:dyDescent="0.25">
      <c r="A241" s="38"/>
      <c r="B241" s="38" t="s">
        <v>178</v>
      </c>
      <c r="C241" s="62" t="s">
        <v>177</v>
      </c>
      <c r="D241" s="62" t="s">
        <v>205</v>
      </c>
      <c r="E241" s="62" t="s">
        <v>179</v>
      </c>
      <c r="F241" s="77" t="s">
        <v>169</v>
      </c>
      <c r="G241" s="77" t="s">
        <v>174</v>
      </c>
      <c r="H241" s="62" t="s">
        <v>85</v>
      </c>
      <c r="I241" s="77" t="s">
        <v>11</v>
      </c>
      <c r="J241" s="38" t="s">
        <v>37</v>
      </c>
      <c r="K241" s="6">
        <v>500000</v>
      </c>
      <c r="L241" s="78">
        <f>ROUND(K241*S241,0)</f>
        <v>65000</v>
      </c>
      <c r="M241" s="79">
        <v>174</v>
      </c>
      <c r="N241" s="79">
        <v>174</v>
      </c>
      <c r="O241" s="191">
        <f t="shared" si="182"/>
        <v>1</v>
      </c>
      <c r="P241" s="80">
        <f>ROUND(K241*N241/M241,0)</f>
        <v>500000</v>
      </c>
      <c r="Q241" s="80">
        <f>ROUND(P241*S241,0)</f>
        <v>65000</v>
      </c>
      <c r="R241" s="159">
        <f>N241/M241-P241/K241</f>
        <v>0</v>
      </c>
      <c r="S241" s="113">
        <v>0.13</v>
      </c>
      <c r="T241" s="86">
        <v>44574</v>
      </c>
      <c r="U241" s="64">
        <v>1</v>
      </c>
      <c r="V241" s="64"/>
      <c r="W241" s="64"/>
      <c r="X241" s="15">
        <v>1</v>
      </c>
      <c r="Y241" s="15" t="str">
        <f>VLOOKUP(B241,[1]Sheet1!$C$2:$D$906,2,0)</f>
        <v>8448150856</v>
      </c>
    </row>
    <row r="242" spans="1:29" s="15" customFormat="1" ht="14.45" customHeight="1" x14ac:dyDescent="0.25">
      <c r="A242" s="38"/>
      <c r="B242" s="38" t="s">
        <v>178</v>
      </c>
      <c r="C242" s="62" t="s">
        <v>177</v>
      </c>
      <c r="D242" s="62" t="s">
        <v>205</v>
      </c>
      <c r="E242" s="62" t="s">
        <v>179</v>
      </c>
      <c r="F242" s="77" t="s">
        <v>169</v>
      </c>
      <c r="G242" s="77" t="s">
        <v>174</v>
      </c>
      <c r="H242" s="62" t="s">
        <v>86</v>
      </c>
      <c r="I242" s="77" t="s">
        <v>11</v>
      </c>
      <c r="J242" s="38" t="s">
        <v>37</v>
      </c>
      <c r="K242" s="6">
        <v>409091</v>
      </c>
      <c r="L242" s="78">
        <v>27182</v>
      </c>
      <c r="M242" s="79">
        <v>174</v>
      </c>
      <c r="N242" s="79">
        <v>104</v>
      </c>
      <c r="O242" s="191">
        <f t="shared" si="182"/>
        <v>0.5977011494252874</v>
      </c>
      <c r="P242" s="80">
        <f t="shared" ref="P242:P396" si="186">ROUND(K242*N242/M242,0)</f>
        <v>244514</v>
      </c>
      <c r="Q242" s="80">
        <v>31787</v>
      </c>
      <c r="R242" s="159">
        <f t="shared" ref="R242:R406" si="187">N242/M242-P242/K242</f>
        <v>3.9335878876389785E-7</v>
      </c>
      <c r="S242" s="113">
        <v>0.13</v>
      </c>
      <c r="T242" s="86">
        <v>44608</v>
      </c>
      <c r="U242" s="64">
        <v>1</v>
      </c>
      <c r="V242" s="64"/>
      <c r="W242" s="64"/>
      <c r="X242" s="15">
        <v>1</v>
      </c>
      <c r="Y242" s="15" t="str">
        <f>VLOOKUP(B242,[1]Sheet1!$C$2:$D$906,2,0)</f>
        <v>8448150856</v>
      </c>
    </row>
    <row r="243" spans="1:29" s="15" customFormat="1" ht="14.45" customHeight="1" x14ac:dyDescent="0.25">
      <c r="A243" s="38"/>
      <c r="B243" s="38" t="s">
        <v>178</v>
      </c>
      <c r="C243" s="62" t="s">
        <v>177</v>
      </c>
      <c r="D243" s="62" t="s">
        <v>205</v>
      </c>
      <c r="E243" s="62" t="s">
        <v>179</v>
      </c>
      <c r="F243" s="77" t="s">
        <v>169</v>
      </c>
      <c r="G243" s="77" t="s">
        <v>174</v>
      </c>
      <c r="H243" s="62" t="s">
        <v>87</v>
      </c>
      <c r="I243" s="77" t="s">
        <v>11</v>
      </c>
      <c r="J243" s="38" t="s">
        <v>37</v>
      </c>
      <c r="K243" s="6">
        <v>500000</v>
      </c>
      <c r="L243" s="78">
        <v>39000</v>
      </c>
      <c r="M243" s="79">
        <v>174</v>
      </c>
      <c r="N243" s="79">
        <v>104</v>
      </c>
      <c r="O243" s="191">
        <f t="shared" si="182"/>
        <v>0.5977011494252874</v>
      </c>
      <c r="P243" s="80">
        <f t="shared" si="186"/>
        <v>298851</v>
      </c>
      <c r="Q243" s="80">
        <v>38851</v>
      </c>
      <c r="R243" s="159">
        <f t="shared" si="187"/>
        <v>-8.5057471255201023E-7</v>
      </c>
      <c r="S243" s="113">
        <v>0.13</v>
      </c>
      <c r="T243" s="86">
        <v>44608</v>
      </c>
      <c r="U243" s="64">
        <v>1</v>
      </c>
      <c r="V243" s="64"/>
      <c r="W243" s="64"/>
      <c r="X243" s="15">
        <v>1</v>
      </c>
      <c r="Y243" s="15" t="str">
        <f>VLOOKUP(B243,[1]Sheet1!$C$2:$D$906,2,0)</f>
        <v>8448150856</v>
      </c>
    </row>
    <row r="244" spans="1:29" s="15" customFormat="1" ht="14.45" customHeight="1" x14ac:dyDescent="0.25">
      <c r="A244" s="38"/>
      <c r="B244" s="38" t="s">
        <v>178</v>
      </c>
      <c r="C244" s="62" t="s">
        <v>177</v>
      </c>
      <c r="D244" s="62" t="s">
        <v>205</v>
      </c>
      <c r="E244" s="62" t="s">
        <v>179</v>
      </c>
      <c r="F244" s="77" t="s">
        <v>169</v>
      </c>
      <c r="G244" s="77" t="s">
        <v>174</v>
      </c>
      <c r="H244" s="62" t="s">
        <v>88</v>
      </c>
      <c r="I244" s="77" t="s">
        <v>11</v>
      </c>
      <c r="J244" s="38" t="s">
        <v>37</v>
      </c>
      <c r="K244" s="6">
        <v>454545</v>
      </c>
      <c r="L244" s="78">
        <v>33091</v>
      </c>
      <c r="M244" s="79">
        <v>174</v>
      </c>
      <c r="N244" s="79">
        <v>104</v>
      </c>
      <c r="O244" s="191">
        <f t="shared" si="182"/>
        <v>0.5977011494252874</v>
      </c>
      <c r="P244" s="80">
        <f t="shared" si="186"/>
        <v>271682</v>
      </c>
      <c r="Q244" s="80">
        <v>35319</v>
      </c>
      <c r="R244" s="159">
        <f t="shared" si="187"/>
        <v>1.5172428968757146E-7</v>
      </c>
      <c r="S244" s="113">
        <v>0.13</v>
      </c>
      <c r="T244" s="86">
        <v>44608</v>
      </c>
      <c r="U244" s="64">
        <v>1</v>
      </c>
      <c r="V244" s="64"/>
      <c r="W244" s="64"/>
      <c r="X244" s="15">
        <v>1</v>
      </c>
      <c r="Y244" s="15" t="str">
        <f>VLOOKUP(B244,[1]Sheet1!$C$2:$D$906,2,0)</f>
        <v>8448150856</v>
      </c>
    </row>
    <row r="245" spans="1:29" s="15" customFormat="1" ht="14.45" customHeight="1" x14ac:dyDescent="0.25">
      <c r="A245" s="38"/>
      <c r="B245" s="38" t="s">
        <v>178</v>
      </c>
      <c r="C245" s="62" t="s">
        <v>177</v>
      </c>
      <c r="D245" s="62" t="s">
        <v>205</v>
      </c>
      <c r="E245" s="62" t="s">
        <v>179</v>
      </c>
      <c r="F245" s="77" t="s">
        <v>169</v>
      </c>
      <c r="G245" s="77" t="s">
        <v>174</v>
      </c>
      <c r="H245" s="62" t="s">
        <v>89</v>
      </c>
      <c r="I245" s="77" t="s">
        <v>11</v>
      </c>
      <c r="J245" s="38" t="s">
        <v>37</v>
      </c>
      <c r="K245" s="6">
        <v>500000</v>
      </c>
      <c r="L245" s="78">
        <v>39000</v>
      </c>
      <c r="M245" s="79">
        <v>174</v>
      </c>
      <c r="N245" s="79">
        <v>104</v>
      </c>
      <c r="O245" s="191">
        <f t="shared" si="182"/>
        <v>0.5977011494252874</v>
      </c>
      <c r="P245" s="80">
        <f t="shared" si="186"/>
        <v>298851</v>
      </c>
      <c r="Q245" s="180">
        <f>ROUND(L245*N245/M245,0)</f>
        <v>23310</v>
      </c>
      <c r="R245" s="159">
        <f t="shared" si="187"/>
        <v>-8.5057471255201023E-7</v>
      </c>
      <c r="S245" s="113">
        <v>0.13</v>
      </c>
      <c r="T245" s="86">
        <v>44608</v>
      </c>
      <c r="U245" s="64">
        <v>2</v>
      </c>
      <c r="V245" s="64"/>
      <c r="W245" s="64"/>
      <c r="X245" s="15">
        <v>1</v>
      </c>
      <c r="Y245" s="15" t="str">
        <f>VLOOKUP(B245,[1]Sheet1!$C$2:$D$906,2,0)</f>
        <v>8448150856</v>
      </c>
    </row>
    <row r="246" spans="1:29" s="15" customFormat="1" ht="14.45" customHeight="1" x14ac:dyDescent="0.25">
      <c r="A246" s="38"/>
      <c r="B246" s="38" t="s">
        <v>178</v>
      </c>
      <c r="C246" s="62" t="s">
        <v>177</v>
      </c>
      <c r="D246" s="62" t="s">
        <v>205</v>
      </c>
      <c r="E246" s="62" t="s">
        <v>179</v>
      </c>
      <c r="F246" s="77" t="s">
        <v>169</v>
      </c>
      <c r="G246" s="77" t="s">
        <v>174</v>
      </c>
      <c r="H246" s="62" t="s">
        <v>90</v>
      </c>
      <c r="I246" s="77" t="s">
        <v>11</v>
      </c>
      <c r="J246" s="38" t="s">
        <v>37</v>
      </c>
      <c r="K246" s="6">
        <v>525000</v>
      </c>
      <c r="L246" s="78">
        <v>42250</v>
      </c>
      <c r="M246" s="79">
        <v>174</v>
      </c>
      <c r="N246" s="79">
        <v>50</v>
      </c>
      <c r="O246" s="191">
        <f t="shared" si="182"/>
        <v>0.28735632183908044</v>
      </c>
      <c r="P246" s="80">
        <f t="shared" si="186"/>
        <v>150862</v>
      </c>
      <c r="Q246" s="80">
        <f t="shared" ref="Q246:Q249" si="188">ROUND(L246*N246/M246,0)</f>
        <v>12141</v>
      </c>
      <c r="R246" s="159">
        <f t="shared" si="187"/>
        <v>1.3136288995463374E-7</v>
      </c>
      <c r="S246" s="113">
        <v>0.13</v>
      </c>
      <c r="T246" s="86">
        <v>44736</v>
      </c>
      <c r="U246" s="64">
        <v>2</v>
      </c>
      <c r="V246" s="64"/>
      <c r="W246" s="64"/>
      <c r="X246" s="15">
        <v>1</v>
      </c>
      <c r="Y246" s="15" t="str">
        <f>VLOOKUP(B246,[1]Sheet1!$C$2:$D$906,2,0)</f>
        <v>8448150856</v>
      </c>
    </row>
    <row r="247" spans="1:29" s="15" customFormat="1" ht="14.45" customHeight="1" x14ac:dyDescent="0.25">
      <c r="A247" s="38"/>
      <c r="B247" s="38" t="s">
        <v>178</v>
      </c>
      <c r="C247" s="62" t="s">
        <v>177</v>
      </c>
      <c r="D247" s="62" t="s">
        <v>205</v>
      </c>
      <c r="E247" s="62" t="s">
        <v>179</v>
      </c>
      <c r="F247" s="77" t="s">
        <v>169</v>
      </c>
      <c r="G247" s="77" t="s">
        <v>174</v>
      </c>
      <c r="H247" s="62" t="s">
        <v>91</v>
      </c>
      <c r="I247" s="77" t="s">
        <v>11</v>
      </c>
      <c r="J247" s="38" t="s">
        <v>37</v>
      </c>
      <c r="K247" s="6">
        <v>525000</v>
      </c>
      <c r="L247" s="175">
        <v>42250</v>
      </c>
      <c r="M247" s="79">
        <v>174</v>
      </c>
      <c r="N247" s="79">
        <v>50</v>
      </c>
      <c r="O247" s="191">
        <f t="shared" si="182"/>
        <v>0.28735632183908044</v>
      </c>
      <c r="P247" s="80">
        <f t="shared" si="186"/>
        <v>150862</v>
      </c>
      <c r="Q247" s="80">
        <f t="shared" si="188"/>
        <v>12141</v>
      </c>
      <c r="R247" s="159">
        <f t="shared" si="187"/>
        <v>1.3136288995463374E-7</v>
      </c>
      <c r="S247" s="113">
        <v>0.13</v>
      </c>
      <c r="T247" s="86">
        <v>44736</v>
      </c>
      <c r="U247" s="64">
        <v>2</v>
      </c>
      <c r="V247" s="64"/>
      <c r="W247" s="64"/>
      <c r="X247" s="15">
        <v>1</v>
      </c>
      <c r="Y247" s="15" t="str">
        <f>VLOOKUP(B247,[1]Sheet1!$C$2:$D$906,2,0)</f>
        <v>8448150856</v>
      </c>
    </row>
    <row r="248" spans="1:29" s="15" customFormat="1" ht="14.45" customHeight="1" x14ac:dyDescent="0.25">
      <c r="A248" s="38"/>
      <c r="B248" s="38" t="s">
        <v>178</v>
      </c>
      <c r="C248" s="62" t="s">
        <v>177</v>
      </c>
      <c r="D248" s="62" t="s">
        <v>205</v>
      </c>
      <c r="E248" s="62" t="s">
        <v>179</v>
      </c>
      <c r="F248" s="77" t="s">
        <v>169</v>
      </c>
      <c r="G248" s="77" t="s">
        <v>174</v>
      </c>
      <c r="H248" s="62" t="s">
        <v>92</v>
      </c>
      <c r="I248" s="77" t="s">
        <v>11</v>
      </c>
      <c r="J248" s="38" t="s">
        <v>37</v>
      </c>
      <c r="K248" s="6">
        <v>525000</v>
      </c>
      <c r="L248" s="175">
        <v>42250</v>
      </c>
      <c r="M248" s="79">
        <v>174</v>
      </c>
      <c r="N248" s="79">
        <v>50</v>
      </c>
      <c r="O248" s="191">
        <f t="shared" si="182"/>
        <v>0.28735632183908044</v>
      </c>
      <c r="P248" s="80">
        <f t="shared" si="186"/>
        <v>150862</v>
      </c>
      <c r="Q248" s="80">
        <f t="shared" si="188"/>
        <v>12141</v>
      </c>
      <c r="R248" s="159">
        <f t="shared" si="187"/>
        <v>1.3136288995463374E-7</v>
      </c>
      <c r="S248" s="113">
        <v>0.13</v>
      </c>
      <c r="T248" s="86">
        <v>44736</v>
      </c>
      <c r="U248" s="64">
        <v>2</v>
      </c>
      <c r="V248" s="64"/>
      <c r="W248" s="64"/>
      <c r="X248" s="15">
        <v>1</v>
      </c>
      <c r="Y248" s="15" t="str">
        <f>VLOOKUP(B248,[1]Sheet1!$C$2:$D$906,2,0)</f>
        <v>8448150856</v>
      </c>
    </row>
    <row r="249" spans="1:29" s="15" customFormat="1" ht="14.45" customHeight="1" x14ac:dyDescent="0.25">
      <c r="A249" s="38"/>
      <c r="B249" s="38" t="s">
        <v>178</v>
      </c>
      <c r="C249" s="62" t="s">
        <v>177</v>
      </c>
      <c r="D249" s="62" t="s">
        <v>205</v>
      </c>
      <c r="E249" s="62" t="s">
        <v>179</v>
      </c>
      <c r="F249" s="77" t="s">
        <v>169</v>
      </c>
      <c r="G249" s="77" t="s">
        <v>174</v>
      </c>
      <c r="H249" s="62" t="s">
        <v>93</v>
      </c>
      <c r="I249" s="77" t="s">
        <v>11</v>
      </c>
      <c r="J249" s="38" t="s">
        <v>37</v>
      </c>
      <c r="K249" s="6">
        <v>525000</v>
      </c>
      <c r="L249" s="175">
        <v>42250</v>
      </c>
      <c r="M249" s="79">
        <v>174</v>
      </c>
      <c r="N249" s="79">
        <v>50</v>
      </c>
      <c r="O249" s="191">
        <f t="shared" si="182"/>
        <v>0.28735632183908044</v>
      </c>
      <c r="P249" s="80">
        <f t="shared" si="186"/>
        <v>150862</v>
      </c>
      <c r="Q249" s="80">
        <f t="shared" si="188"/>
        <v>12141</v>
      </c>
      <c r="R249" s="159">
        <f t="shared" si="187"/>
        <v>1.3136288995463374E-7</v>
      </c>
      <c r="S249" s="113">
        <v>0.13</v>
      </c>
      <c r="T249" s="86">
        <v>44736</v>
      </c>
      <c r="U249" s="64">
        <v>2</v>
      </c>
      <c r="V249" s="64"/>
      <c r="W249" s="64"/>
      <c r="X249" s="15">
        <v>1</v>
      </c>
      <c r="Y249" s="15" t="str">
        <f>VLOOKUP(B249,[1]Sheet1!$C$2:$D$906,2,0)</f>
        <v>8448150856</v>
      </c>
    </row>
    <row r="250" spans="1:29" s="15" customFormat="1" ht="14.45" customHeight="1" x14ac:dyDescent="0.25">
      <c r="A250" s="38"/>
      <c r="B250" s="38" t="s">
        <v>178</v>
      </c>
      <c r="C250" s="62" t="s">
        <v>177</v>
      </c>
      <c r="D250" s="62" t="s">
        <v>205</v>
      </c>
      <c r="E250" s="62" t="s">
        <v>179</v>
      </c>
      <c r="F250" s="77" t="s">
        <v>169</v>
      </c>
      <c r="G250" s="77" t="s">
        <v>174</v>
      </c>
      <c r="H250" s="62" t="s">
        <v>94</v>
      </c>
      <c r="I250" s="77" t="s">
        <v>11</v>
      </c>
      <c r="J250" s="38" t="s">
        <v>37</v>
      </c>
      <c r="K250" s="6">
        <v>525000</v>
      </c>
      <c r="L250" s="175">
        <v>42250</v>
      </c>
      <c r="M250" s="79">
        <v>174</v>
      </c>
      <c r="N250" s="79">
        <v>50</v>
      </c>
      <c r="O250" s="191">
        <f t="shared" si="182"/>
        <v>0.28735632183908044</v>
      </c>
      <c r="P250" s="80">
        <f t="shared" si="186"/>
        <v>150862</v>
      </c>
      <c r="Q250" s="80">
        <f>ROUND(L250*N250/M250,0)</f>
        <v>12141</v>
      </c>
      <c r="R250" s="159">
        <f t="shared" si="187"/>
        <v>1.3136288995463374E-7</v>
      </c>
      <c r="S250" s="113">
        <v>0.13</v>
      </c>
      <c r="T250" s="86">
        <v>44736</v>
      </c>
      <c r="U250" s="64">
        <v>2</v>
      </c>
      <c r="V250" s="64"/>
      <c r="W250" s="64"/>
      <c r="X250" s="15">
        <v>1</v>
      </c>
      <c r="Y250" s="15" t="str">
        <f>VLOOKUP(B250,[1]Sheet1!$C$2:$D$906,2,0)</f>
        <v>8448150856</v>
      </c>
    </row>
    <row r="251" spans="1:29" s="15" customFormat="1" ht="14.45" customHeight="1" x14ac:dyDescent="0.25">
      <c r="A251" s="38"/>
      <c r="B251" s="38" t="s">
        <v>178</v>
      </c>
      <c r="C251" s="62" t="s">
        <v>177</v>
      </c>
      <c r="D251" s="62" t="s">
        <v>205</v>
      </c>
      <c r="E251" s="62" t="s">
        <v>179</v>
      </c>
      <c r="F251" s="77" t="s">
        <v>169</v>
      </c>
      <c r="G251" s="77" t="s">
        <v>174</v>
      </c>
      <c r="H251" s="174" t="s">
        <v>281</v>
      </c>
      <c r="I251" s="77" t="s">
        <v>11</v>
      </c>
      <c r="J251" s="38" t="s">
        <v>37</v>
      </c>
      <c r="K251" s="6">
        <f>525000/21*13</f>
        <v>325000</v>
      </c>
      <c r="L251" s="175">
        <f>42965/21*13</f>
        <v>26597.380952380954</v>
      </c>
      <c r="M251" s="79">
        <v>174</v>
      </c>
      <c r="N251" s="79">
        <v>50</v>
      </c>
      <c r="O251" s="191">
        <f t="shared" si="182"/>
        <v>0.28735632183908044</v>
      </c>
      <c r="P251" s="80">
        <f t="shared" si="186"/>
        <v>93391</v>
      </c>
      <c r="Q251" s="80">
        <v>7516</v>
      </c>
      <c r="R251" s="159">
        <f t="shared" si="187"/>
        <v>-6.012378426234477E-7</v>
      </c>
      <c r="S251" s="113">
        <v>0.13</v>
      </c>
      <c r="T251" s="86">
        <v>44736</v>
      </c>
      <c r="U251" s="64">
        <v>2</v>
      </c>
      <c r="V251" s="64"/>
      <c r="W251" s="64"/>
      <c r="X251" s="15">
        <v>1</v>
      </c>
      <c r="Y251" s="15" t="str">
        <f>VLOOKUP(B251,[1]Sheet1!$C$2:$D$906,2,0)</f>
        <v>8448150856</v>
      </c>
      <c r="AA251" t="str">
        <f>IF(VLOOKUP(LEFT(Y251,10),'Havi béradatok'!$B:$E,2,0)=D251,"EGYEZIK","HIBÁS")</f>
        <v>EGYEZIK</v>
      </c>
      <c r="AB251">
        <f>(VLOOKUP(LEFT(Y251,10),'Havi béradatok'!$B:$E,3,0)-K251)</f>
        <v>177272</v>
      </c>
      <c r="AC251" s="3">
        <f>(VLOOKUP(LEFT(Y251,10),'Havi béradatok'!$B:$E,4,0)-L251)</f>
        <v>8537.6190476190459</v>
      </c>
    </row>
    <row r="252" spans="1:29" s="15" customFormat="1" ht="14.45" customHeight="1" x14ac:dyDescent="0.25">
      <c r="A252" s="38"/>
      <c r="B252" s="38" t="s">
        <v>178</v>
      </c>
      <c r="C252" s="62" t="s">
        <v>177</v>
      </c>
      <c r="D252" s="62" t="s">
        <v>205</v>
      </c>
      <c r="E252" s="62" t="s">
        <v>179</v>
      </c>
      <c r="F252" s="77" t="s">
        <v>169</v>
      </c>
      <c r="G252" s="77" t="s">
        <v>174</v>
      </c>
      <c r="H252" s="174" t="s">
        <v>280</v>
      </c>
      <c r="I252" s="77" t="s">
        <v>11</v>
      </c>
      <c r="J252" s="38" t="s">
        <v>37</v>
      </c>
      <c r="K252" s="6">
        <f>525000/21*8</f>
        <v>200000</v>
      </c>
      <c r="L252" s="175">
        <f>42965/21*8</f>
        <v>16367.619047619048</v>
      </c>
      <c r="M252" s="79">
        <v>174</v>
      </c>
      <c r="N252" s="79">
        <v>50</v>
      </c>
      <c r="O252" s="191">
        <f t="shared" ref="O252" si="189">N252/M252</f>
        <v>0.28735632183908044</v>
      </c>
      <c r="P252" s="80">
        <f t="shared" ref="P252" si="190">ROUND(K252*N252/M252,0)</f>
        <v>57471</v>
      </c>
      <c r="Q252" s="80">
        <v>4625</v>
      </c>
      <c r="R252" s="159">
        <f t="shared" ref="R252" si="191">N252/M252-P252/K252</f>
        <v>1.3218390804148328E-6</v>
      </c>
      <c r="S252" s="113">
        <v>0.13</v>
      </c>
      <c r="T252" s="86">
        <v>44736</v>
      </c>
      <c r="U252" s="64"/>
      <c r="V252" s="64"/>
      <c r="W252" s="64"/>
      <c r="X252" s="15">
        <v>1</v>
      </c>
      <c r="Y252" s="15" t="str">
        <f>VLOOKUP(B252,[1]Sheet1!$C$2:$D$906,2,0)</f>
        <v>8448150856</v>
      </c>
      <c r="AA252" t="str">
        <f>IF(VLOOKUP(LEFT(Y252,10),'Havi béradatok'!$B:$E,2,0)=D252,"EGYEZIK","HIBÁS")</f>
        <v>EGYEZIK</v>
      </c>
      <c r="AB252">
        <f>(VLOOKUP(LEFT(Y252,10),'Havi béradatok'!$B:$E,3,0)-K252)</f>
        <v>302272</v>
      </c>
      <c r="AC252" s="3">
        <f>(VLOOKUP(LEFT(Y252,10),'Havi béradatok'!$B:$E,4,0)-L252)</f>
        <v>18767.380952380954</v>
      </c>
    </row>
    <row r="253" spans="1:29" s="15" customFormat="1" ht="14.45" customHeight="1" x14ac:dyDescent="0.25">
      <c r="A253" s="38"/>
      <c r="B253" s="38" t="s">
        <v>178</v>
      </c>
      <c r="C253" s="62" t="s">
        <v>177</v>
      </c>
      <c r="D253" s="62" t="s">
        <v>205</v>
      </c>
      <c r="E253" s="62" t="s">
        <v>179</v>
      </c>
      <c r="F253" s="77" t="s">
        <v>169</v>
      </c>
      <c r="G253" s="77" t="s">
        <v>174</v>
      </c>
      <c r="H253" s="62" t="s">
        <v>117</v>
      </c>
      <c r="I253" s="77" t="s">
        <v>11</v>
      </c>
      <c r="J253" s="38" t="s">
        <v>37</v>
      </c>
      <c r="K253" s="6">
        <v>552500</v>
      </c>
      <c r="L253" s="175">
        <v>41665</v>
      </c>
      <c r="M253" s="79">
        <v>174</v>
      </c>
      <c r="N253" s="79">
        <v>50</v>
      </c>
      <c r="O253" s="191">
        <f t="shared" si="182"/>
        <v>0.28735632183908044</v>
      </c>
      <c r="P253" s="80">
        <f t="shared" ref="P253:P258" si="192">ROUND(K253*N253/M253,0)</f>
        <v>158764</v>
      </c>
      <c r="Q253" s="80">
        <f t="shared" ref="Q253:Q258" si="193">ROUND(L253*N253/M253,0)</f>
        <v>11973</v>
      </c>
      <c r="R253" s="159">
        <f t="shared" ref="R253:R258" si="194">N253/M253-P253/K253</f>
        <v>6.6573048312923433E-7</v>
      </c>
      <c r="S253" s="113">
        <v>0.13</v>
      </c>
      <c r="T253" s="86">
        <v>44904</v>
      </c>
      <c r="U253" s="64"/>
      <c r="V253" s="64"/>
      <c r="W253" s="64"/>
      <c r="X253" s="15">
        <v>1</v>
      </c>
      <c r="Y253" s="15" t="str">
        <f>VLOOKUP(B253,[1]Sheet1!$C$2:$D$906,2,0)</f>
        <v>8448150856</v>
      </c>
      <c r="AA253" t="str">
        <f>IF(VLOOKUP(LEFT(Y253,10),'Havi béradatok'!$B:$E,2,0)=D253,"EGYEZIK","HIBÁS")</f>
        <v>EGYEZIK</v>
      </c>
      <c r="AB253">
        <f>(VLOOKUP(LEFT(Y253,10),'Havi béradatok'!$B:$E,3,0)-K253)</f>
        <v>-50228</v>
      </c>
      <c r="AC253" s="3">
        <f>(VLOOKUP(LEFT(Y253,10),'Havi béradatok'!$B:$E,4,0)-L253)</f>
        <v>-6530</v>
      </c>
    </row>
    <row r="254" spans="1:29" s="15" customFormat="1" ht="14.45" customHeight="1" x14ac:dyDescent="0.25">
      <c r="A254" s="38"/>
      <c r="B254" s="38" t="s">
        <v>178</v>
      </c>
      <c r="C254" s="62" t="s">
        <v>177</v>
      </c>
      <c r="D254" s="62" t="s">
        <v>205</v>
      </c>
      <c r="E254" s="62" t="s">
        <v>179</v>
      </c>
      <c r="F254" s="77" t="s">
        <v>169</v>
      </c>
      <c r="G254" s="77" t="s">
        <v>174</v>
      </c>
      <c r="H254" s="62" t="s">
        <v>118</v>
      </c>
      <c r="I254" s="77" t="s">
        <v>11</v>
      </c>
      <c r="J254" s="38" t="s">
        <v>37</v>
      </c>
      <c r="K254" s="6">
        <v>552500</v>
      </c>
      <c r="L254" s="175">
        <v>41665</v>
      </c>
      <c r="M254" s="79">
        <v>174</v>
      </c>
      <c r="N254" s="79">
        <v>50</v>
      </c>
      <c r="O254" s="191">
        <f t="shared" si="182"/>
        <v>0.28735632183908044</v>
      </c>
      <c r="P254" s="80">
        <f t="shared" si="192"/>
        <v>158764</v>
      </c>
      <c r="Q254" s="80">
        <f t="shared" si="193"/>
        <v>11973</v>
      </c>
      <c r="R254" s="159">
        <f t="shared" si="194"/>
        <v>6.6573048312923433E-7</v>
      </c>
      <c r="S254" s="113">
        <v>0.13</v>
      </c>
      <c r="T254" s="86">
        <v>44904</v>
      </c>
      <c r="U254" s="64"/>
      <c r="V254" s="64"/>
      <c r="W254" s="64"/>
      <c r="X254" s="15">
        <v>1</v>
      </c>
      <c r="Y254" s="15" t="str">
        <f>VLOOKUP(B254,[1]Sheet1!$C$2:$D$906,2,0)</f>
        <v>8448150856</v>
      </c>
      <c r="AA254" t="str">
        <f>IF(VLOOKUP(LEFT(Y254,10),'Havi béradatok'!$B:$E,2,0)=D254,"EGYEZIK","HIBÁS")</f>
        <v>EGYEZIK</v>
      </c>
      <c r="AB254">
        <f>(VLOOKUP(LEFT(Y254,10),'Havi béradatok'!$B:$E,3,0)-K254)</f>
        <v>-50228</v>
      </c>
      <c r="AC254" s="3">
        <f>(VLOOKUP(LEFT(Y254,10),'Havi béradatok'!$B:$E,4,0)-L254)</f>
        <v>-6530</v>
      </c>
    </row>
    <row r="255" spans="1:29" s="15" customFormat="1" ht="14.45" customHeight="1" x14ac:dyDescent="0.25">
      <c r="A255" s="38"/>
      <c r="B255" s="38" t="s">
        <v>178</v>
      </c>
      <c r="C255" s="62" t="s">
        <v>177</v>
      </c>
      <c r="D255" s="62" t="s">
        <v>205</v>
      </c>
      <c r="E255" s="62" t="s">
        <v>179</v>
      </c>
      <c r="F255" s="77" t="s">
        <v>169</v>
      </c>
      <c r="G255" s="77" t="s">
        <v>174</v>
      </c>
      <c r="H255" s="62" t="s">
        <v>119</v>
      </c>
      <c r="I255" s="77" t="s">
        <v>11</v>
      </c>
      <c r="J255" s="38" t="s">
        <v>37</v>
      </c>
      <c r="K255" s="6">
        <v>502272</v>
      </c>
      <c r="L255" s="175">
        <v>35135</v>
      </c>
      <c r="M255" s="79">
        <v>174</v>
      </c>
      <c r="N255" s="79">
        <v>50</v>
      </c>
      <c r="O255" s="191">
        <f t="shared" si="182"/>
        <v>0.28735632183908044</v>
      </c>
      <c r="P255" s="80">
        <f t="shared" si="192"/>
        <v>144331</v>
      </c>
      <c r="Q255" s="80">
        <f t="shared" si="193"/>
        <v>10096</v>
      </c>
      <c r="R255" s="159">
        <f t="shared" si="194"/>
        <v>6.8653555451714254E-8</v>
      </c>
      <c r="S255" s="113">
        <v>0.13</v>
      </c>
      <c r="T255" s="86">
        <v>44904</v>
      </c>
      <c r="U255" s="64"/>
      <c r="V255" s="64"/>
      <c r="W255" s="64"/>
      <c r="X255" s="15">
        <v>1</v>
      </c>
      <c r="Y255" s="15" t="str">
        <f>VLOOKUP(B255,[1]Sheet1!$C$2:$D$906,2,0)</f>
        <v>8448150856</v>
      </c>
      <c r="AA255" t="str">
        <f>IF(VLOOKUP(LEFT(Y255,10),'Havi béradatok'!$B:$E,2,0)=D255,"EGYEZIK","HIBÁS")</f>
        <v>EGYEZIK</v>
      </c>
      <c r="AB255">
        <f>(VLOOKUP(LEFT(Y255,10),'Havi béradatok'!$B:$E,3,0)-K255)</f>
        <v>0</v>
      </c>
      <c r="AC255" s="3">
        <f>(VLOOKUP(LEFT(Y255,10),'Havi béradatok'!$B:$E,4,0)-L255)</f>
        <v>0</v>
      </c>
    </row>
    <row r="256" spans="1:29" s="15" customFormat="1" ht="14.45" hidden="1" customHeight="1" x14ac:dyDescent="0.25">
      <c r="A256" s="38"/>
      <c r="B256" s="38" t="s">
        <v>178</v>
      </c>
      <c r="C256" s="62" t="s">
        <v>177</v>
      </c>
      <c r="D256" s="62" t="s">
        <v>205</v>
      </c>
      <c r="E256" s="62" t="s">
        <v>179</v>
      </c>
      <c r="F256" s="77" t="s">
        <v>169</v>
      </c>
      <c r="G256" s="77" t="s">
        <v>174</v>
      </c>
      <c r="H256" s="62" t="s">
        <v>120</v>
      </c>
      <c r="I256" s="77" t="s">
        <v>12</v>
      </c>
      <c r="J256" s="38" t="s">
        <v>37</v>
      </c>
      <c r="K256" s="6">
        <v>525000</v>
      </c>
      <c r="L256" s="175">
        <f t="shared" ref="L256:L405" si="195">ROUND(K256*S256,0)</f>
        <v>68250</v>
      </c>
      <c r="M256" s="79">
        <v>174</v>
      </c>
      <c r="N256" s="79">
        <v>50</v>
      </c>
      <c r="O256" s="191">
        <f t="shared" si="182"/>
        <v>0.28735632183908044</v>
      </c>
      <c r="P256" s="80">
        <f t="shared" si="192"/>
        <v>150862</v>
      </c>
      <c r="Q256" s="80">
        <f t="shared" si="193"/>
        <v>19612</v>
      </c>
      <c r="R256" s="159">
        <f t="shared" si="194"/>
        <v>1.3136288995463374E-7</v>
      </c>
      <c r="S256" s="113">
        <v>0.13</v>
      </c>
      <c r="T256" s="86">
        <v>44904</v>
      </c>
      <c r="U256" s="64"/>
      <c r="V256" s="64"/>
      <c r="W256" s="64"/>
      <c r="X256" s="15">
        <v>1</v>
      </c>
      <c r="Y256" s="15" t="str">
        <f>VLOOKUP(B256,[1]Sheet1!$C$2:$D$906,2,0)</f>
        <v>8448150856</v>
      </c>
    </row>
    <row r="257" spans="1:29" s="15" customFormat="1" ht="14.45" hidden="1" customHeight="1" x14ac:dyDescent="0.25">
      <c r="A257" s="38"/>
      <c r="B257" s="38" t="s">
        <v>178</v>
      </c>
      <c r="C257" s="62" t="s">
        <v>177</v>
      </c>
      <c r="D257" s="62" t="s">
        <v>205</v>
      </c>
      <c r="E257" s="62" t="s">
        <v>179</v>
      </c>
      <c r="F257" s="77" t="s">
        <v>169</v>
      </c>
      <c r="G257" s="77" t="s">
        <v>174</v>
      </c>
      <c r="H257" s="62" t="s">
        <v>121</v>
      </c>
      <c r="I257" s="77" t="s">
        <v>12</v>
      </c>
      <c r="J257" s="38" t="s">
        <v>37</v>
      </c>
      <c r="K257" s="6">
        <v>525000</v>
      </c>
      <c r="L257" s="175">
        <f t="shared" si="195"/>
        <v>68250</v>
      </c>
      <c r="M257" s="79">
        <v>174</v>
      </c>
      <c r="N257" s="79">
        <v>50</v>
      </c>
      <c r="O257" s="191">
        <f t="shared" si="182"/>
        <v>0.28735632183908044</v>
      </c>
      <c r="P257" s="80">
        <f t="shared" si="192"/>
        <v>150862</v>
      </c>
      <c r="Q257" s="80">
        <f t="shared" si="193"/>
        <v>19612</v>
      </c>
      <c r="R257" s="159">
        <f t="shared" si="194"/>
        <v>1.3136288995463374E-7</v>
      </c>
      <c r="S257" s="113">
        <v>0.13</v>
      </c>
      <c r="T257" s="86">
        <v>44904</v>
      </c>
      <c r="U257" s="64"/>
      <c r="V257" s="64"/>
      <c r="W257" s="64"/>
      <c r="X257" s="15">
        <v>1</v>
      </c>
      <c r="Y257" s="15" t="str">
        <f>VLOOKUP(B257,[1]Sheet1!$C$2:$D$906,2,0)</f>
        <v>8448150856</v>
      </c>
    </row>
    <row r="258" spans="1:29" s="15" customFormat="1" ht="14.45" hidden="1" customHeight="1" x14ac:dyDescent="0.25">
      <c r="A258" s="38"/>
      <c r="B258" s="38" t="s">
        <v>178</v>
      </c>
      <c r="C258" s="62" t="s">
        <v>177</v>
      </c>
      <c r="D258" s="62" t="s">
        <v>205</v>
      </c>
      <c r="E258" s="62" t="s">
        <v>179</v>
      </c>
      <c r="F258" s="77" t="s">
        <v>169</v>
      </c>
      <c r="G258" s="77" t="s">
        <v>174</v>
      </c>
      <c r="H258" s="62" t="s">
        <v>122</v>
      </c>
      <c r="I258" s="77" t="s">
        <v>12</v>
      </c>
      <c r="J258" s="38" t="s">
        <v>37</v>
      </c>
      <c r="K258" s="6">
        <v>525000</v>
      </c>
      <c r="L258" s="175">
        <f t="shared" si="195"/>
        <v>68250</v>
      </c>
      <c r="M258" s="79">
        <v>174</v>
      </c>
      <c r="N258" s="79">
        <v>50</v>
      </c>
      <c r="O258" s="191">
        <f t="shared" si="182"/>
        <v>0.28735632183908044</v>
      </c>
      <c r="P258" s="80">
        <f t="shared" si="192"/>
        <v>150862</v>
      </c>
      <c r="Q258" s="80">
        <f t="shared" si="193"/>
        <v>19612</v>
      </c>
      <c r="R258" s="159">
        <f t="shared" si="194"/>
        <v>1.3136288995463374E-7</v>
      </c>
      <c r="S258" s="113">
        <v>0.13</v>
      </c>
      <c r="T258" s="86">
        <v>44904</v>
      </c>
      <c r="U258" s="64"/>
      <c r="V258" s="64"/>
      <c r="W258" s="64"/>
      <c r="X258" s="15">
        <v>1</v>
      </c>
      <c r="Y258" s="15" t="str">
        <f>VLOOKUP(B258,[1]Sheet1!$C$2:$D$906,2,0)</f>
        <v>8448150856</v>
      </c>
    </row>
    <row r="259" spans="1:29" s="15" customFormat="1" ht="14.45" customHeight="1" x14ac:dyDescent="0.25">
      <c r="A259" s="38"/>
      <c r="B259" s="38" t="s">
        <v>196</v>
      </c>
      <c r="C259" s="62" t="s">
        <v>177</v>
      </c>
      <c r="D259" s="62" t="s">
        <v>206</v>
      </c>
      <c r="E259" s="62" t="s">
        <v>183</v>
      </c>
      <c r="F259" s="77" t="s">
        <v>166</v>
      </c>
      <c r="G259" s="77" t="s">
        <v>172</v>
      </c>
      <c r="H259" s="62" t="s">
        <v>86</v>
      </c>
      <c r="I259" s="77" t="s">
        <v>11</v>
      </c>
      <c r="J259" s="38" t="s">
        <v>37</v>
      </c>
      <c r="K259" s="6">
        <v>585000</v>
      </c>
      <c r="L259" s="78">
        <f t="shared" si="195"/>
        <v>76050</v>
      </c>
      <c r="M259" s="79">
        <v>174</v>
      </c>
      <c r="N259" s="79">
        <v>59</v>
      </c>
      <c r="O259" s="191">
        <f t="shared" si="182"/>
        <v>0.33908045977011492</v>
      </c>
      <c r="P259" s="80">
        <f t="shared" si="186"/>
        <v>198362</v>
      </c>
      <c r="Q259" s="80">
        <f t="shared" ref="Q259:Q408" si="196">ROUND(P259*S259,0)</f>
        <v>25787</v>
      </c>
      <c r="R259" s="159">
        <f t="shared" si="187"/>
        <v>1.1788977305471349E-7</v>
      </c>
      <c r="S259" s="113">
        <v>0.13</v>
      </c>
      <c r="T259" s="86">
        <v>44609</v>
      </c>
      <c r="U259" s="64">
        <v>1</v>
      </c>
      <c r="V259" s="64"/>
      <c r="W259" s="64"/>
      <c r="X259" s="15">
        <v>1</v>
      </c>
      <c r="Y259" s="15" t="str">
        <f>VLOOKUP(B259,[1]Sheet1!$C$2:$D$906,2,0)</f>
        <v>8410460823</v>
      </c>
    </row>
    <row r="260" spans="1:29" s="15" customFormat="1" ht="14.45" customHeight="1" x14ac:dyDescent="0.25">
      <c r="A260" s="38"/>
      <c r="B260" s="38" t="s">
        <v>196</v>
      </c>
      <c r="C260" s="62" t="s">
        <v>177</v>
      </c>
      <c r="D260" s="62" t="s">
        <v>206</v>
      </c>
      <c r="E260" s="62" t="s">
        <v>183</v>
      </c>
      <c r="F260" s="77" t="s">
        <v>166</v>
      </c>
      <c r="G260" s="77" t="s">
        <v>172</v>
      </c>
      <c r="H260" s="62" t="s">
        <v>87</v>
      </c>
      <c r="I260" s="77" t="s">
        <v>11</v>
      </c>
      <c r="J260" s="38" t="s">
        <v>37</v>
      </c>
      <c r="K260" s="6">
        <v>585000</v>
      </c>
      <c r="L260" s="78">
        <f t="shared" si="195"/>
        <v>76050</v>
      </c>
      <c r="M260" s="79">
        <v>174</v>
      </c>
      <c r="N260" s="79">
        <v>59</v>
      </c>
      <c r="O260" s="191">
        <f t="shared" si="182"/>
        <v>0.33908045977011492</v>
      </c>
      <c r="P260" s="80">
        <f t="shared" si="186"/>
        <v>198362</v>
      </c>
      <c r="Q260" s="80">
        <f t="shared" si="196"/>
        <v>25787</v>
      </c>
      <c r="R260" s="159">
        <f t="shared" si="187"/>
        <v>1.1788977305471349E-7</v>
      </c>
      <c r="S260" s="113">
        <v>0.13</v>
      </c>
      <c r="T260" s="86">
        <v>44609</v>
      </c>
      <c r="U260" s="64">
        <v>1</v>
      </c>
      <c r="V260" s="64"/>
      <c r="W260" s="64"/>
      <c r="X260" s="15">
        <v>1</v>
      </c>
      <c r="Y260" s="15" t="str">
        <f>VLOOKUP(B260,[1]Sheet1!$C$2:$D$906,2,0)</f>
        <v>8410460823</v>
      </c>
    </row>
    <row r="261" spans="1:29" s="15" customFormat="1" ht="14.45" customHeight="1" x14ac:dyDescent="0.25">
      <c r="A261" s="38"/>
      <c r="B261" s="38" t="s">
        <v>196</v>
      </c>
      <c r="C261" s="62" t="s">
        <v>177</v>
      </c>
      <c r="D261" s="62" t="s">
        <v>206</v>
      </c>
      <c r="E261" s="62" t="s">
        <v>183</v>
      </c>
      <c r="F261" s="77" t="s">
        <v>166</v>
      </c>
      <c r="G261" s="77" t="s">
        <v>172</v>
      </c>
      <c r="H261" s="62" t="s">
        <v>88</v>
      </c>
      <c r="I261" s="77" t="s">
        <v>11</v>
      </c>
      <c r="J261" s="38" t="s">
        <v>37</v>
      </c>
      <c r="K261" s="6">
        <v>585000</v>
      </c>
      <c r="L261" s="78">
        <f t="shared" si="195"/>
        <v>76050</v>
      </c>
      <c r="M261" s="79">
        <v>174</v>
      </c>
      <c r="N261" s="79">
        <v>59</v>
      </c>
      <c r="O261" s="191">
        <f t="shared" si="182"/>
        <v>0.33908045977011492</v>
      </c>
      <c r="P261" s="80">
        <f t="shared" ref="P261:P264" si="197">ROUND(K261*N261/M261,0)</f>
        <v>198362</v>
      </c>
      <c r="Q261" s="80">
        <f t="shared" ref="Q261:Q264" si="198">ROUND(P261*S261,0)</f>
        <v>25787</v>
      </c>
      <c r="R261" s="159">
        <f t="shared" ref="R261:R264" si="199">N261/M261-P261/K261</f>
        <v>1.1788977305471349E-7</v>
      </c>
      <c r="S261" s="113">
        <v>0.13</v>
      </c>
      <c r="T261" s="86">
        <v>44662</v>
      </c>
      <c r="U261" s="64">
        <v>1</v>
      </c>
      <c r="V261" s="64"/>
      <c r="W261" s="64"/>
      <c r="X261" s="15">
        <v>1</v>
      </c>
      <c r="Y261" s="15" t="str">
        <f>VLOOKUP(B261,[1]Sheet1!$C$2:$D$906,2,0)</f>
        <v>8410460823</v>
      </c>
    </row>
    <row r="262" spans="1:29" s="15" customFormat="1" ht="14.45" customHeight="1" x14ac:dyDescent="0.25">
      <c r="A262" s="38"/>
      <c r="B262" s="38" t="s">
        <v>196</v>
      </c>
      <c r="C262" s="62" t="s">
        <v>177</v>
      </c>
      <c r="D262" s="62" t="s">
        <v>206</v>
      </c>
      <c r="E262" s="62" t="s">
        <v>183</v>
      </c>
      <c r="F262" s="77" t="s">
        <v>166</v>
      </c>
      <c r="G262" s="77" t="s">
        <v>172</v>
      </c>
      <c r="H262" s="62" t="s">
        <v>89</v>
      </c>
      <c r="I262" s="77" t="s">
        <v>11</v>
      </c>
      <c r="J262" s="38" t="s">
        <v>37</v>
      </c>
      <c r="K262" s="6">
        <v>585000</v>
      </c>
      <c r="L262" s="78">
        <f t="shared" si="195"/>
        <v>76050</v>
      </c>
      <c r="M262" s="79">
        <v>174</v>
      </c>
      <c r="N262" s="79">
        <v>59</v>
      </c>
      <c r="O262" s="191">
        <f t="shared" si="182"/>
        <v>0.33908045977011492</v>
      </c>
      <c r="P262" s="80">
        <f t="shared" si="197"/>
        <v>198362</v>
      </c>
      <c r="Q262" s="80">
        <f t="shared" si="198"/>
        <v>25787</v>
      </c>
      <c r="R262" s="159">
        <f t="shared" si="199"/>
        <v>1.1788977305471349E-7</v>
      </c>
      <c r="S262" s="113">
        <v>0.13</v>
      </c>
      <c r="T262" s="86">
        <v>44662</v>
      </c>
      <c r="U262" s="64">
        <v>2</v>
      </c>
      <c r="V262" s="64"/>
      <c r="W262" s="64"/>
      <c r="X262" s="15">
        <v>1</v>
      </c>
      <c r="Y262" s="15" t="str">
        <f>VLOOKUP(B262,[1]Sheet1!$C$2:$D$906,2,0)</f>
        <v>8410460823</v>
      </c>
    </row>
    <row r="263" spans="1:29" s="15" customFormat="1" ht="14.45" customHeight="1" x14ac:dyDescent="0.25">
      <c r="A263" s="38"/>
      <c r="B263" s="38" t="s">
        <v>196</v>
      </c>
      <c r="C263" s="62" t="s">
        <v>177</v>
      </c>
      <c r="D263" s="62" t="s">
        <v>206</v>
      </c>
      <c r="E263" s="62" t="s">
        <v>183</v>
      </c>
      <c r="F263" s="77" t="s">
        <v>166</v>
      </c>
      <c r="G263" s="77" t="s">
        <v>172</v>
      </c>
      <c r="H263" s="62" t="s">
        <v>90</v>
      </c>
      <c r="I263" s="77" t="s">
        <v>11</v>
      </c>
      <c r="J263" s="38" t="s">
        <v>37</v>
      </c>
      <c r="K263" s="6">
        <v>585000</v>
      </c>
      <c r="L263" s="78">
        <f t="shared" si="195"/>
        <v>76050</v>
      </c>
      <c r="M263" s="79">
        <v>174</v>
      </c>
      <c r="N263" s="79">
        <v>59</v>
      </c>
      <c r="O263" s="191">
        <f t="shared" si="182"/>
        <v>0.33908045977011492</v>
      </c>
      <c r="P263" s="80">
        <f t="shared" si="197"/>
        <v>198362</v>
      </c>
      <c r="Q263" s="80">
        <f t="shared" si="198"/>
        <v>25787</v>
      </c>
      <c r="R263" s="159">
        <f t="shared" si="199"/>
        <v>1.1788977305471349E-7</v>
      </c>
      <c r="S263" s="113">
        <v>0.13</v>
      </c>
      <c r="T263" s="86">
        <v>44662</v>
      </c>
      <c r="U263" s="64">
        <v>2</v>
      </c>
      <c r="V263" s="64"/>
      <c r="W263" s="64"/>
      <c r="X263" s="15">
        <v>1</v>
      </c>
      <c r="Y263" s="15" t="str">
        <f>VLOOKUP(B263,[1]Sheet1!$C$2:$D$906,2,0)</f>
        <v>8410460823</v>
      </c>
    </row>
    <row r="264" spans="1:29" s="15" customFormat="1" ht="14.45" customHeight="1" x14ac:dyDescent="0.25">
      <c r="A264" s="38"/>
      <c r="B264" s="38" t="s">
        <v>196</v>
      </c>
      <c r="C264" s="62" t="s">
        <v>177</v>
      </c>
      <c r="D264" s="62" t="s">
        <v>206</v>
      </c>
      <c r="E264" s="62" t="s">
        <v>183</v>
      </c>
      <c r="F264" s="77" t="s">
        <v>166</v>
      </c>
      <c r="G264" s="77" t="s">
        <v>172</v>
      </c>
      <c r="H264" s="62" t="s">
        <v>91</v>
      </c>
      <c r="I264" s="77" t="s">
        <v>11</v>
      </c>
      <c r="J264" s="38" t="s">
        <v>37</v>
      </c>
      <c r="K264" s="6">
        <v>585000</v>
      </c>
      <c r="L264" s="78">
        <f t="shared" si="195"/>
        <v>76050</v>
      </c>
      <c r="M264" s="79">
        <v>174</v>
      </c>
      <c r="N264" s="79">
        <v>59</v>
      </c>
      <c r="O264" s="191">
        <f t="shared" si="182"/>
        <v>0.33908045977011492</v>
      </c>
      <c r="P264" s="80">
        <f t="shared" si="197"/>
        <v>198362</v>
      </c>
      <c r="Q264" s="80">
        <f t="shared" si="198"/>
        <v>25787</v>
      </c>
      <c r="R264" s="159">
        <f t="shared" si="199"/>
        <v>1.1788977305471349E-7</v>
      </c>
      <c r="S264" s="113">
        <v>0.13</v>
      </c>
      <c r="T264" s="86">
        <v>44662</v>
      </c>
      <c r="U264" s="64">
        <v>2</v>
      </c>
      <c r="V264" s="64"/>
      <c r="W264" s="64"/>
      <c r="X264" s="15">
        <v>1</v>
      </c>
      <c r="Y264" s="15" t="str">
        <f>VLOOKUP(B264,[1]Sheet1!$C$2:$D$906,2,0)</f>
        <v>8410460823</v>
      </c>
    </row>
    <row r="265" spans="1:29" s="15" customFormat="1" ht="14.45" customHeight="1" x14ac:dyDescent="0.25">
      <c r="A265" s="38"/>
      <c r="B265" s="38" t="s">
        <v>196</v>
      </c>
      <c r="C265" s="62" t="s">
        <v>177</v>
      </c>
      <c r="D265" s="62" t="s">
        <v>206</v>
      </c>
      <c r="E265" s="62" t="s">
        <v>183</v>
      </c>
      <c r="F265" s="77" t="s">
        <v>166</v>
      </c>
      <c r="G265" s="77" t="s">
        <v>172</v>
      </c>
      <c r="H265" s="62" t="s">
        <v>92</v>
      </c>
      <c r="I265" s="77" t="s">
        <v>11</v>
      </c>
      <c r="J265" s="38" t="s">
        <v>37</v>
      </c>
      <c r="K265" s="6">
        <v>585000</v>
      </c>
      <c r="L265" s="78">
        <f t="shared" si="195"/>
        <v>76050</v>
      </c>
      <c r="M265" s="79">
        <v>174</v>
      </c>
      <c r="N265" s="79">
        <v>59</v>
      </c>
      <c r="O265" s="191">
        <f t="shared" si="182"/>
        <v>0.33908045977011492</v>
      </c>
      <c r="P265" s="80">
        <f t="shared" ref="P265:P275" si="200">ROUND(K265*N265/M265,0)</f>
        <v>198362</v>
      </c>
      <c r="Q265" s="80">
        <f t="shared" ref="Q265:Q275" si="201">ROUND(P265*S265,0)</f>
        <v>25787</v>
      </c>
      <c r="R265" s="159">
        <f t="shared" ref="R265:R271" si="202">N265/M265-P265/K265</f>
        <v>1.1788977305471349E-7</v>
      </c>
      <c r="S265" s="113">
        <v>0.13</v>
      </c>
      <c r="T265" s="86">
        <v>44761</v>
      </c>
      <c r="U265" s="64">
        <v>2</v>
      </c>
      <c r="V265" s="64"/>
      <c r="W265" s="64"/>
      <c r="X265" s="15">
        <v>1</v>
      </c>
      <c r="Y265" s="15" t="str">
        <f>VLOOKUP(B265,[1]Sheet1!$C$2:$D$906,2,0)</f>
        <v>8410460823</v>
      </c>
    </row>
    <row r="266" spans="1:29" s="15" customFormat="1" ht="14.45" customHeight="1" x14ac:dyDescent="0.25">
      <c r="A266" s="38"/>
      <c r="B266" s="38" t="s">
        <v>196</v>
      </c>
      <c r="C266" s="62" t="s">
        <v>177</v>
      </c>
      <c r="D266" s="62" t="s">
        <v>206</v>
      </c>
      <c r="E266" s="62" t="s">
        <v>183</v>
      </c>
      <c r="F266" s="77" t="s">
        <v>166</v>
      </c>
      <c r="G266" s="77" t="s">
        <v>172</v>
      </c>
      <c r="H266" s="62" t="s">
        <v>93</v>
      </c>
      <c r="I266" s="77" t="s">
        <v>11</v>
      </c>
      <c r="J266" s="38" t="s">
        <v>37</v>
      </c>
      <c r="K266" s="6">
        <v>585000</v>
      </c>
      <c r="L266" s="78">
        <f t="shared" si="195"/>
        <v>76050</v>
      </c>
      <c r="M266" s="79">
        <v>174</v>
      </c>
      <c r="N266" s="79">
        <v>12</v>
      </c>
      <c r="O266" s="191">
        <f t="shared" si="182"/>
        <v>6.8965517241379309E-2</v>
      </c>
      <c r="P266" s="80">
        <f t="shared" si="200"/>
        <v>40345</v>
      </c>
      <c r="Q266" s="80">
        <f t="shared" si="201"/>
        <v>5245</v>
      </c>
      <c r="R266" s="159">
        <f t="shared" si="202"/>
        <v>-2.9472443265066151E-7</v>
      </c>
      <c r="S266" s="113">
        <v>0.13</v>
      </c>
      <c r="T266" s="86">
        <v>44819</v>
      </c>
      <c r="U266" s="64">
        <v>2</v>
      </c>
      <c r="V266" s="64"/>
      <c r="W266" s="64"/>
      <c r="X266" s="15">
        <v>1</v>
      </c>
      <c r="Y266" s="15" t="str">
        <f>VLOOKUP(B266,[1]Sheet1!$C$2:$D$906,2,0)</f>
        <v>8410460823</v>
      </c>
    </row>
    <row r="267" spans="1:29" s="15" customFormat="1" ht="14.45" customHeight="1" x14ac:dyDescent="0.25">
      <c r="A267" s="38"/>
      <c r="B267" s="38" t="s">
        <v>196</v>
      </c>
      <c r="C267" s="62" t="s">
        <v>177</v>
      </c>
      <c r="D267" s="62" t="s">
        <v>206</v>
      </c>
      <c r="E267" s="62" t="s">
        <v>183</v>
      </c>
      <c r="F267" s="77" t="s">
        <v>166</v>
      </c>
      <c r="G267" s="77" t="s">
        <v>172</v>
      </c>
      <c r="H267" s="62" t="s">
        <v>94</v>
      </c>
      <c r="I267" s="77" t="s">
        <v>11</v>
      </c>
      <c r="J267" s="38" t="s">
        <v>37</v>
      </c>
      <c r="K267" s="6">
        <v>585000</v>
      </c>
      <c r="L267" s="78">
        <f t="shared" si="195"/>
        <v>76050</v>
      </c>
      <c r="M267" s="79">
        <v>174</v>
      </c>
      <c r="N267" s="79">
        <v>59</v>
      </c>
      <c r="O267" s="191">
        <f t="shared" si="182"/>
        <v>0.33908045977011492</v>
      </c>
      <c r="P267" s="80">
        <f t="shared" si="200"/>
        <v>198362</v>
      </c>
      <c r="Q267" s="80">
        <f t="shared" si="201"/>
        <v>25787</v>
      </c>
      <c r="R267" s="159">
        <f t="shared" si="202"/>
        <v>1.1788977305471349E-7</v>
      </c>
      <c r="S267" s="113">
        <v>0.13</v>
      </c>
      <c r="T267" s="86">
        <v>44853</v>
      </c>
      <c r="U267" s="64">
        <v>2</v>
      </c>
      <c r="V267" s="64"/>
      <c r="W267" s="64"/>
      <c r="X267" s="15">
        <v>1</v>
      </c>
      <c r="Y267" s="15" t="str">
        <f>VLOOKUP(B267,[1]Sheet1!$C$2:$D$906,2,0)</f>
        <v>8410460823</v>
      </c>
    </row>
    <row r="268" spans="1:29" s="15" customFormat="1" ht="14.45" customHeight="1" x14ac:dyDescent="0.25">
      <c r="A268" s="38"/>
      <c r="B268" s="38" t="s">
        <v>196</v>
      </c>
      <c r="C268" s="62" t="s">
        <v>177</v>
      </c>
      <c r="D268" s="62" t="s">
        <v>206</v>
      </c>
      <c r="E268" s="62" t="s">
        <v>183</v>
      </c>
      <c r="F268" s="77" t="s">
        <v>166</v>
      </c>
      <c r="G268" s="77" t="s">
        <v>172</v>
      </c>
      <c r="H268" s="174" t="s">
        <v>281</v>
      </c>
      <c r="I268" s="77" t="s">
        <v>11</v>
      </c>
      <c r="J268" s="38" t="s">
        <v>37</v>
      </c>
      <c r="K268" s="6">
        <f>585000/21*13</f>
        <v>362142.85714285716</v>
      </c>
      <c r="L268" s="78">
        <f t="shared" si="195"/>
        <v>47079</v>
      </c>
      <c r="M268" s="79">
        <v>174</v>
      </c>
      <c r="N268" s="79">
        <v>59</v>
      </c>
      <c r="O268" s="191">
        <f t="shared" si="182"/>
        <v>0.33908045977011492</v>
      </c>
      <c r="P268" s="80">
        <f t="shared" si="200"/>
        <v>122796</v>
      </c>
      <c r="Q268" s="80">
        <f t="shared" si="201"/>
        <v>15963</v>
      </c>
      <c r="R268" s="159">
        <f t="shared" si="202"/>
        <v>-1.1970346188161507E-6</v>
      </c>
      <c r="S268" s="113">
        <v>0.13</v>
      </c>
      <c r="T268" s="86">
        <v>44853</v>
      </c>
      <c r="U268" s="64">
        <v>2</v>
      </c>
      <c r="V268" s="64"/>
      <c r="W268" s="64"/>
      <c r="X268" s="15">
        <v>1</v>
      </c>
      <c r="Y268" s="15" t="str">
        <f>VLOOKUP(B268,[1]Sheet1!$C$2:$D$906,2,0)</f>
        <v>8410460823</v>
      </c>
      <c r="AA268" t="str">
        <f>IF(VLOOKUP(LEFT(Y268,10),'Havi béradatok'!$B:$E,2,0)=D268,"EGYEZIK","HIBÁS")</f>
        <v>EGYEZIK</v>
      </c>
      <c r="AB268">
        <f>(VLOOKUP(LEFT(Y268,10),'Havi béradatok'!$B:$E,3,0)-K268)</f>
        <v>257857.14285714284</v>
      </c>
      <c r="AC268" s="3">
        <f>(VLOOKUP(LEFT(Y268,10),'Havi béradatok'!$B:$E,4,0)-L268)</f>
        <v>33521</v>
      </c>
    </row>
    <row r="269" spans="1:29" s="15" customFormat="1" ht="14.45" customHeight="1" x14ac:dyDescent="0.25">
      <c r="A269" s="38"/>
      <c r="B269" s="38" t="s">
        <v>196</v>
      </c>
      <c r="C269" s="62" t="s">
        <v>177</v>
      </c>
      <c r="D269" s="62" t="s">
        <v>206</v>
      </c>
      <c r="E269" s="62" t="s">
        <v>183</v>
      </c>
      <c r="F269" s="77" t="s">
        <v>166</v>
      </c>
      <c r="G269" s="77" t="s">
        <v>172</v>
      </c>
      <c r="H269" s="174" t="s">
        <v>280</v>
      </c>
      <c r="I269" s="77" t="s">
        <v>11</v>
      </c>
      <c r="J269" s="38" t="s">
        <v>37</v>
      </c>
      <c r="K269" s="6">
        <f>585000/21*8</f>
        <v>222857.14285714287</v>
      </c>
      <c r="L269" s="78">
        <f t="shared" ref="L269" si="203">ROUND(K269*S269,0)</f>
        <v>28971</v>
      </c>
      <c r="M269" s="79">
        <v>174</v>
      </c>
      <c r="N269" s="79">
        <v>59</v>
      </c>
      <c r="O269" s="191">
        <f t="shared" ref="O269" si="204">N269/M269</f>
        <v>0.33908045977011492</v>
      </c>
      <c r="P269" s="80">
        <f t="shared" ref="P269" si="205">ROUND(K269*N269/M269,0)</f>
        <v>75567</v>
      </c>
      <c r="Q269" s="80">
        <f t="shared" ref="Q269" si="206">ROUND(P269*S269,0)</f>
        <v>9824</v>
      </c>
      <c r="R269" s="159">
        <f t="shared" ref="R269" si="207">N269/M269-P269/K269</f>
        <v>-2.2325375773624145E-6</v>
      </c>
      <c r="S269" s="113">
        <v>0.13</v>
      </c>
      <c r="T269" s="86">
        <v>44853</v>
      </c>
      <c r="U269" s="64"/>
      <c r="V269" s="64"/>
      <c r="W269" s="64"/>
      <c r="X269" s="15">
        <v>1</v>
      </c>
      <c r="Y269" s="15" t="str">
        <f>VLOOKUP(B269,[1]Sheet1!$C$2:$D$906,2,0)</f>
        <v>8410460823</v>
      </c>
      <c r="AA269" t="str">
        <f>IF(VLOOKUP(LEFT(Y269,10),'Havi béradatok'!$B:$E,2,0)=D269,"EGYEZIK","HIBÁS")</f>
        <v>EGYEZIK</v>
      </c>
      <c r="AB269">
        <f>(VLOOKUP(LEFT(Y269,10),'Havi béradatok'!$B:$E,3,0)-K269)</f>
        <v>397142.85714285716</v>
      </c>
      <c r="AC269" s="3">
        <f>(VLOOKUP(LEFT(Y269,10),'Havi béradatok'!$B:$E,4,0)-L269)</f>
        <v>51629</v>
      </c>
    </row>
    <row r="270" spans="1:29" s="15" customFormat="1" ht="14.45" customHeight="1" x14ac:dyDescent="0.25">
      <c r="A270" s="38"/>
      <c r="B270" s="38" t="s">
        <v>196</v>
      </c>
      <c r="C270" s="62" t="s">
        <v>177</v>
      </c>
      <c r="D270" s="62" t="s">
        <v>206</v>
      </c>
      <c r="E270" s="62" t="s">
        <v>183</v>
      </c>
      <c r="F270" s="77" t="s">
        <v>166</v>
      </c>
      <c r="G270" s="77" t="s">
        <v>172</v>
      </c>
      <c r="H270" s="62" t="s">
        <v>117</v>
      </c>
      <c r="I270" s="77" t="s">
        <v>11</v>
      </c>
      <c r="J270" s="38" t="s">
        <v>37</v>
      </c>
      <c r="K270" s="6">
        <v>620000</v>
      </c>
      <c r="L270" s="78">
        <f t="shared" si="195"/>
        <v>80600</v>
      </c>
      <c r="M270" s="79">
        <v>174</v>
      </c>
      <c r="N270" s="79">
        <v>36</v>
      </c>
      <c r="O270" s="191">
        <f t="shared" si="182"/>
        <v>0.20689655172413793</v>
      </c>
      <c r="P270" s="80">
        <f t="shared" si="200"/>
        <v>128276</v>
      </c>
      <c r="Q270" s="80">
        <f t="shared" si="201"/>
        <v>16676</v>
      </c>
      <c r="R270" s="159">
        <f t="shared" si="202"/>
        <v>-2.2246941044912205E-7</v>
      </c>
      <c r="S270" s="113">
        <v>0.13</v>
      </c>
      <c r="T270" s="86">
        <v>44929</v>
      </c>
      <c r="U270" s="64"/>
      <c r="V270" s="64"/>
      <c r="W270" s="64"/>
      <c r="X270" s="15">
        <v>1</v>
      </c>
      <c r="Y270" s="15" t="str">
        <f>VLOOKUP(B270,[1]Sheet1!$C$2:$D$906,2,0)</f>
        <v>8410460823</v>
      </c>
      <c r="AA270" t="str">
        <f>IF(VLOOKUP(LEFT(Y270,10),'Havi béradatok'!$B:$E,2,0)=D270,"EGYEZIK","HIBÁS")</f>
        <v>EGYEZIK</v>
      </c>
      <c r="AB270">
        <f>(VLOOKUP(LEFT(Y270,10),'Havi béradatok'!$B:$E,3,0)-K270)</f>
        <v>0</v>
      </c>
      <c r="AC270" s="3">
        <f>(VLOOKUP(LEFT(Y270,10),'Havi béradatok'!$B:$E,4,0)-L270)</f>
        <v>0</v>
      </c>
    </row>
    <row r="271" spans="1:29" s="15" customFormat="1" ht="14.45" customHeight="1" x14ac:dyDescent="0.25">
      <c r="A271" s="38"/>
      <c r="B271" s="38" t="s">
        <v>196</v>
      </c>
      <c r="C271" s="62" t="s">
        <v>177</v>
      </c>
      <c r="D271" s="62" t="s">
        <v>206</v>
      </c>
      <c r="E271" s="62" t="s">
        <v>183</v>
      </c>
      <c r="F271" s="77" t="s">
        <v>166</v>
      </c>
      <c r="G271" s="77" t="s">
        <v>172</v>
      </c>
      <c r="H271" s="62" t="s">
        <v>118</v>
      </c>
      <c r="I271" s="77" t="s">
        <v>11</v>
      </c>
      <c r="J271" s="38" t="s">
        <v>37</v>
      </c>
      <c r="K271" s="6">
        <v>620000</v>
      </c>
      <c r="L271" s="78">
        <f t="shared" si="195"/>
        <v>80600</v>
      </c>
      <c r="M271" s="79">
        <v>174</v>
      </c>
      <c r="N271" s="79">
        <v>36</v>
      </c>
      <c r="O271" s="191">
        <f t="shared" si="182"/>
        <v>0.20689655172413793</v>
      </c>
      <c r="P271" s="80">
        <f t="shared" si="200"/>
        <v>128276</v>
      </c>
      <c r="Q271" s="80">
        <f t="shared" si="201"/>
        <v>16676</v>
      </c>
      <c r="R271" s="159">
        <f t="shared" si="202"/>
        <v>-2.2246941044912205E-7</v>
      </c>
      <c r="S271" s="113">
        <v>0.13</v>
      </c>
      <c r="T271" s="86">
        <v>44929</v>
      </c>
      <c r="U271" s="64"/>
      <c r="V271" s="64"/>
      <c r="W271" s="64"/>
      <c r="X271" s="15">
        <v>1</v>
      </c>
      <c r="Y271" s="15" t="str">
        <f>VLOOKUP(B271,[1]Sheet1!$C$2:$D$906,2,0)</f>
        <v>8410460823</v>
      </c>
      <c r="AA271" t="str">
        <f>IF(VLOOKUP(LEFT(Y271,10),'Havi béradatok'!$B:$E,2,0)=D271,"EGYEZIK","HIBÁS")</f>
        <v>EGYEZIK</v>
      </c>
      <c r="AB271">
        <f>(VLOOKUP(LEFT(Y271,10),'Havi béradatok'!$B:$E,3,0)-K271)</f>
        <v>0</v>
      </c>
      <c r="AC271" s="3">
        <f>(VLOOKUP(LEFT(Y271,10),'Havi béradatok'!$B:$E,4,0)-L271)</f>
        <v>0</v>
      </c>
    </row>
    <row r="272" spans="1:29" s="15" customFormat="1" ht="14.45" customHeight="1" x14ac:dyDescent="0.25">
      <c r="A272" s="38"/>
      <c r="B272" s="38" t="s">
        <v>196</v>
      </c>
      <c r="C272" s="62" t="s">
        <v>177</v>
      </c>
      <c r="D272" s="62" t="s">
        <v>206</v>
      </c>
      <c r="E272" s="62" t="s">
        <v>183</v>
      </c>
      <c r="F272" s="77" t="s">
        <v>166</v>
      </c>
      <c r="G272" s="77" t="s">
        <v>172</v>
      </c>
      <c r="H272" s="62" t="s">
        <v>119</v>
      </c>
      <c r="I272" s="77" t="s">
        <v>11</v>
      </c>
      <c r="J272" s="38" t="s">
        <v>37</v>
      </c>
      <c r="K272" s="6">
        <v>620000</v>
      </c>
      <c r="L272" s="78">
        <f t="shared" si="195"/>
        <v>80600</v>
      </c>
      <c r="M272" s="79">
        <v>174</v>
      </c>
      <c r="N272" s="79">
        <v>36</v>
      </c>
      <c r="O272" s="191">
        <f t="shared" si="182"/>
        <v>0.20689655172413793</v>
      </c>
      <c r="P272" s="80">
        <f t="shared" si="200"/>
        <v>128276</v>
      </c>
      <c r="Q272" s="80">
        <f t="shared" si="201"/>
        <v>16676</v>
      </c>
      <c r="R272" s="159">
        <f t="shared" ref="R272:R275" si="208">N272/M272-P272/K272</f>
        <v>-2.2246941044912205E-7</v>
      </c>
      <c r="S272" s="113">
        <v>0.13</v>
      </c>
      <c r="T272" s="86">
        <v>44967</v>
      </c>
      <c r="U272" s="64"/>
      <c r="V272" s="64"/>
      <c r="W272" s="64"/>
      <c r="X272" s="15">
        <v>1</v>
      </c>
      <c r="Y272" s="15">
        <v>8410460823</v>
      </c>
      <c r="AA272" t="str">
        <f>IF(VLOOKUP(LEFT(Y272,10),'Havi béradatok'!$B:$E,2,0)=D272,"EGYEZIK","HIBÁS")</f>
        <v>EGYEZIK</v>
      </c>
      <c r="AB272">
        <f>(VLOOKUP(LEFT(Y272,10),'Havi béradatok'!$B:$E,3,0)-K272)</f>
        <v>0</v>
      </c>
      <c r="AC272" s="3">
        <f>(VLOOKUP(LEFT(Y272,10),'Havi béradatok'!$B:$E,4,0)-L272)</f>
        <v>0</v>
      </c>
    </row>
    <row r="273" spans="1:29" s="15" customFormat="1" ht="14.45" hidden="1" customHeight="1" x14ac:dyDescent="0.25">
      <c r="A273" s="38"/>
      <c r="B273" s="38" t="s">
        <v>196</v>
      </c>
      <c r="C273" s="62" t="s">
        <v>177</v>
      </c>
      <c r="D273" s="62" t="s">
        <v>206</v>
      </c>
      <c r="E273" s="62" t="s">
        <v>183</v>
      </c>
      <c r="F273" s="77" t="s">
        <v>166</v>
      </c>
      <c r="G273" s="77" t="s">
        <v>172</v>
      </c>
      <c r="H273" s="62" t="s">
        <v>120</v>
      </c>
      <c r="I273" s="77" t="s">
        <v>12</v>
      </c>
      <c r="J273" s="38" t="s">
        <v>37</v>
      </c>
      <c r="K273" s="6">
        <v>620000</v>
      </c>
      <c r="L273" s="78">
        <f t="shared" si="195"/>
        <v>80600</v>
      </c>
      <c r="M273" s="79">
        <v>174</v>
      </c>
      <c r="N273" s="79">
        <v>36</v>
      </c>
      <c r="O273" s="191">
        <f t="shared" si="182"/>
        <v>0.20689655172413793</v>
      </c>
      <c r="P273" s="80">
        <f t="shared" si="200"/>
        <v>128276</v>
      </c>
      <c r="Q273" s="80">
        <f t="shared" si="201"/>
        <v>16676</v>
      </c>
      <c r="R273" s="159">
        <f t="shared" si="208"/>
        <v>-2.2246941044912205E-7</v>
      </c>
      <c r="S273" s="113">
        <v>0.13</v>
      </c>
      <c r="T273" s="86">
        <v>44967</v>
      </c>
      <c r="U273" s="64"/>
      <c r="V273" s="64"/>
      <c r="W273" s="64"/>
      <c r="X273" s="15">
        <v>1</v>
      </c>
      <c r="Y273" s="15">
        <v>8410460823</v>
      </c>
    </row>
    <row r="274" spans="1:29" s="15" customFormat="1" ht="14.45" hidden="1" customHeight="1" x14ac:dyDescent="0.25">
      <c r="A274" s="38"/>
      <c r="B274" s="38" t="s">
        <v>196</v>
      </c>
      <c r="C274" s="62" t="s">
        <v>177</v>
      </c>
      <c r="D274" s="62" t="s">
        <v>206</v>
      </c>
      <c r="E274" s="62" t="s">
        <v>183</v>
      </c>
      <c r="F274" s="77" t="s">
        <v>166</v>
      </c>
      <c r="G274" s="77" t="s">
        <v>172</v>
      </c>
      <c r="H274" s="62" t="s">
        <v>121</v>
      </c>
      <c r="I274" s="77" t="s">
        <v>12</v>
      </c>
      <c r="J274" s="38" t="s">
        <v>37</v>
      </c>
      <c r="K274" s="6">
        <v>620000</v>
      </c>
      <c r="L274" s="78">
        <f t="shared" si="195"/>
        <v>80600</v>
      </c>
      <c r="M274" s="79">
        <v>174</v>
      </c>
      <c r="N274" s="79">
        <v>36</v>
      </c>
      <c r="O274" s="191">
        <f t="shared" si="182"/>
        <v>0.20689655172413793</v>
      </c>
      <c r="P274" s="80">
        <f t="shared" si="200"/>
        <v>128276</v>
      </c>
      <c r="Q274" s="80">
        <f t="shared" si="201"/>
        <v>16676</v>
      </c>
      <c r="R274" s="159">
        <f t="shared" si="208"/>
        <v>-2.2246941044912205E-7</v>
      </c>
      <c r="S274" s="113">
        <v>0.13</v>
      </c>
      <c r="T274" s="86">
        <v>44967</v>
      </c>
      <c r="U274" s="64"/>
      <c r="V274" s="64"/>
      <c r="W274" s="64"/>
      <c r="X274" s="15">
        <v>1</v>
      </c>
      <c r="Y274" s="15">
        <v>8410460823</v>
      </c>
    </row>
    <row r="275" spans="1:29" s="15" customFormat="1" ht="14.45" hidden="1" customHeight="1" x14ac:dyDescent="0.25">
      <c r="A275" s="38"/>
      <c r="B275" s="38" t="s">
        <v>196</v>
      </c>
      <c r="C275" s="62" t="s">
        <v>177</v>
      </c>
      <c r="D275" s="62" t="s">
        <v>206</v>
      </c>
      <c r="E275" s="62" t="s">
        <v>183</v>
      </c>
      <c r="F275" s="77" t="s">
        <v>166</v>
      </c>
      <c r="G275" s="77" t="s">
        <v>172</v>
      </c>
      <c r="H275" s="62" t="s">
        <v>122</v>
      </c>
      <c r="I275" s="77" t="s">
        <v>12</v>
      </c>
      <c r="J275" s="38" t="s">
        <v>37</v>
      </c>
      <c r="K275" s="6">
        <v>620000</v>
      </c>
      <c r="L275" s="78">
        <f t="shared" si="195"/>
        <v>80600</v>
      </c>
      <c r="M275" s="79">
        <v>174</v>
      </c>
      <c r="N275" s="79">
        <v>36</v>
      </c>
      <c r="O275" s="191">
        <f t="shared" si="182"/>
        <v>0.20689655172413793</v>
      </c>
      <c r="P275" s="80">
        <f t="shared" si="200"/>
        <v>128276</v>
      </c>
      <c r="Q275" s="80">
        <f t="shared" si="201"/>
        <v>16676</v>
      </c>
      <c r="R275" s="159">
        <f t="shared" si="208"/>
        <v>-2.2246941044912205E-7</v>
      </c>
      <c r="S275" s="113">
        <v>0.13</v>
      </c>
      <c r="T275" s="86">
        <v>44967</v>
      </c>
      <c r="U275" s="64"/>
      <c r="V275" s="64"/>
      <c r="W275" s="64"/>
      <c r="X275" s="15">
        <v>1</v>
      </c>
      <c r="Y275" s="15">
        <v>8410460823</v>
      </c>
    </row>
    <row r="276" spans="1:29" s="15" customFormat="1" ht="14.45" customHeight="1" x14ac:dyDescent="0.25">
      <c r="A276" s="38"/>
      <c r="B276" s="38" t="s">
        <v>185</v>
      </c>
      <c r="C276" s="62" t="s">
        <v>177</v>
      </c>
      <c r="D276" s="62" t="s">
        <v>204</v>
      </c>
      <c r="E276" s="62" t="s">
        <v>183</v>
      </c>
      <c r="F276" s="77" t="s">
        <v>166</v>
      </c>
      <c r="G276" s="77" t="s">
        <v>172</v>
      </c>
      <c r="H276" s="62" t="s">
        <v>85</v>
      </c>
      <c r="I276" s="77" t="s">
        <v>11</v>
      </c>
      <c r="J276" s="38" t="s">
        <v>37</v>
      </c>
      <c r="K276" s="6">
        <v>1120000</v>
      </c>
      <c r="L276" s="78">
        <f t="shared" si="195"/>
        <v>145600</v>
      </c>
      <c r="M276" s="79">
        <v>174</v>
      </c>
      <c r="N276" s="79">
        <v>31</v>
      </c>
      <c r="O276" s="191">
        <f t="shared" si="182"/>
        <v>0.17816091954022989</v>
      </c>
      <c r="P276" s="80">
        <f t="shared" ref="P276:P281" si="209">ROUND(K276*N276/M276,0)</f>
        <v>199540</v>
      </c>
      <c r="Q276" s="80">
        <f t="shared" ref="Q276:Q281" si="210">ROUND(P276*S276,0)</f>
        <v>25940</v>
      </c>
      <c r="R276" s="159">
        <f t="shared" ref="R276:R281" si="211">N276/M276-P276/K276</f>
        <v>2.0525451560615693E-7</v>
      </c>
      <c r="S276" s="113">
        <v>0.13</v>
      </c>
      <c r="T276" s="86">
        <v>44585</v>
      </c>
      <c r="U276" s="64">
        <v>1</v>
      </c>
      <c r="V276" s="64"/>
      <c r="W276" s="64"/>
      <c r="X276" s="15">
        <v>1</v>
      </c>
      <c r="Y276" s="15" t="str">
        <f>VLOOKUP(B276,[1]Sheet1!$C$2:$D$906,2,0)</f>
        <v>8421732463</v>
      </c>
    </row>
    <row r="277" spans="1:29" s="15" customFormat="1" ht="14.45" customHeight="1" x14ac:dyDescent="0.25">
      <c r="A277" s="38"/>
      <c r="B277" s="38" t="s">
        <v>185</v>
      </c>
      <c r="C277" s="62" t="s">
        <v>177</v>
      </c>
      <c r="D277" s="62" t="s">
        <v>204</v>
      </c>
      <c r="E277" s="62" t="s">
        <v>183</v>
      </c>
      <c r="F277" s="77" t="s">
        <v>166</v>
      </c>
      <c r="G277" s="77" t="s">
        <v>172</v>
      </c>
      <c r="H277" s="62" t="s">
        <v>86</v>
      </c>
      <c r="I277" s="77" t="s">
        <v>11</v>
      </c>
      <c r="J277" s="38" t="s">
        <v>37</v>
      </c>
      <c r="K277" s="6">
        <v>1300000</v>
      </c>
      <c r="L277" s="78">
        <f t="shared" si="195"/>
        <v>169000</v>
      </c>
      <c r="M277" s="79">
        <v>174</v>
      </c>
      <c r="N277" s="79">
        <v>27</v>
      </c>
      <c r="O277" s="191">
        <f t="shared" si="182"/>
        <v>0.15517241379310345</v>
      </c>
      <c r="P277" s="80">
        <f t="shared" si="209"/>
        <v>201724</v>
      </c>
      <c r="Q277" s="80">
        <f t="shared" si="210"/>
        <v>26224</v>
      </c>
      <c r="R277" s="159">
        <f t="shared" si="211"/>
        <v>1.0610079576034437E-7</v>
      </c>
      <c r="S277" s="113">
        <v>0.13</v>
      </c>
      <c r="T277" s="86">
        <v>44608</v>
      </c>
      <c r="U277" s="64">
        <v>1</v>
      </c>
      <c r="V277" s="64"/>
      <c r="W277" s="64"/>
      <c r="X277" s="15">
        <v>1</v>
      </c>
      <c r="Y277" s="15" t="str">
        <f>VLOOKUP(B277,[1]Sheet1!$C$2:$D$906,2,0)</f>
        <v>8421732463</v>
      </c>
    </row>
    <row r="278" spans="1:29" s="15" customFormat="1" ht="14.45" customHeight="1" x14ac:dyDescent="0.25">
      <c r="A278" s="38"/>
      <c r="B278" s="38" t="s">
        <v>185</v>
      </c>
      <c r="C278" s="62" t="s">
        <v>177</v>
      </c>
      <c r="D278" s="62" t="s">
        <v>204</v>
      </c>
      <c r="E278" s="62" t="s">
        <v>183</v>
      </c>
      <c r="F278" s="77" t="s">
        <v>166</v>
      </c>
      <c r="G278" s="77" t="s">
        <v>172</v>
      </c>
      <c r="H278" s="62" t="s">
        <v>87</v>
      </c>
      <c r="I278" s="77" t="s">
        <v>11</v>
      </c>
      <c r="J278" s="38" t="s">
        <v>37</v>
      </c>
      <c r="K278" s="6">
        <v>1300000</v>
      </c>
      <c r="L278" s="78">
        <f t="shared" si="195"/>
        <v>169000</v>
      </c>
      <c r="M278" s="79">
        <v>174</v>
      </c>
      <c r="N278" s="79">
        <v>27</v>
      </c>
      <c r="O278" s="191">
        <f t="shared" si="182"/>
        <v>0.15517241379310345</v>
      </c>
      <c r="P278" s="80">
        <f t="shared" si="209"/>
        <v>201724</v>
      </c>
      <c r="Q278" s="80">
        <f t="shared" si="210"/>
        <v>26224</v>
      </c>
      <c r="R278" s="159">
        <f t="shared" si="211"/>
        <v>1.0610079576034437E-7</v>
      </c>
      <c r="S278" s="113">
        <v>0.13</v>
      </c>
      <c r="T278" s="86">
        <v>44608</v>
      </c>
      <c r="U278" s="64">
        <v>1</v>
      </c>
      <c r="V278" s="64"/>
      <c r="W278" s="64"/>
      <c r="X278" s="15">
        <v>1</v>
      </c>
      <c r="Y278" s="15" t="str">
        <f>VLOOKUP(B278,[1]Sheet1!$C$2:$D$906,2,0)</f>
        <v>8421732463</v>
      </c>
    </row>
    <row r="279" spans="1:29" s="15" customFormat="1" ht="14.45" customHeight="1" x14ac:dyDescent="0.25">
      <c r="A279" s="38"/>
      <c r="B279" s="38" t="s">
        <v>185</v>
      </c>
      <c r="C279" s="62" t="s">
        <v>177</v>
      </c>
      <c r="D279" s="62" t="s">
        <v>204</v>
      </c>
      <c r="E279" s="62" t="s">
        <v>183</v>
      </c>
      <c r="F279" s="77" t="s">
        <v>166</v>
      </c>
      <c r="G279" s="77" t="s">
        <v>172</v>
      </c>
      <c r="H279" s="62" t="s">
        <v>88</v>
      </c>
      <c r="I279" s="77" t="s">
        <v>11</v>
      </c>
      <c r="J279" s="38" t="s">
        <v>37</v>
      </c>
      <c r="K279" s="6">
        <v>1300000</v>
      </c>
      <c r="L279" s="78">
        <f t="shared" si="195"/>
        <v>169000</v>
      </c>
      <c r="M279" s="79">
        <v>174</v>
      </c>
      <c r="N279" s="79">
        <v>27</v>
      </c>
      <c r="O279" s="191">
        <f t="shared" si="182"/>
        <v>0.15517241379310345</v>
      </c>
      <c r="P279" s="80">
        <f t="shared" si="209"/>
        <v>201724</v>
      </c>
      <c r="Q279" s="80">
        <f t="shared" si="210"/>
        <v>26224</v>
      </c>
      <c r="R279" s="159">
        <f t="shared" si="211"/>
        <v>1.0610079576034437E-7</v>
      </c>
      <c r="S279" s="113">
        <v>0.13</v>
      </c>
      <c r="T279" s="86">
        <v>44658</v>
      </c>
      <c r="U279" s="64">
        <v>1</v>
      </c>
      <c r="V279" s="64"/>
      <c r="W279" s="64"/>
      <c r="X279" s="15">
        <v>1</v>
      </c>
      <c r="Y279" s="15" t="str">
        <f>VLOOKUP(B279,[1]Sheet1!$C$2:$D$906,2,0)</f>
        <v>8421732463</v>
      </c>
    </row>
    <row r="280" spans="1:29" s="15" customFormat="1" ht="14.45" customHeight="1" x14ac:dyDescent="0.25">
      <c r="A280" s="38"/>
      <c r="B280" s="38" t="s">
        <v>185</v>
      </c>
      <c r="C280" s="62" t="s">
        <v>177</v>
      </c>
      <c r="D280" s="62" t="s">
        <v>204</v>
      </c>
      <c r="E280" s="62" t="s">
        <v>183</v>
      </c>
      <c r="F280" s="77" t="s">
        <v>166</v>
      </c>
      <c r="G280" s="77" t="s">
        <v>172</v>
      </c>
      <c r="H280" s="62" t="s">
        <v>89</v>
      </c>
      <c r="I280" s="77" t="s">
        <v>11</v>
      </c>
      <c r="J280" s="38" t="s">
        <v>37</v>
      </c>
      <c r="K280" s="6">
        <v>1355000</v>
      </c>
      <c r="L280" s="78">
        <f t="shared" si="195"/>
        <v>176150</v>
      </c>
      <c r="M280" s="79">
        <v>174</v>
      </c>
      <c r="N280" s="79">
        <v>26</v>
      </c>
      <c r="O280" s="191">
        <f t="shared" si="182"/>
        <v>0.14942528735632185</v>
      </c>
      <c r="P280" s="80">
        <f t="shared" si="209"/>
        <v>202471</v>
      </c>
      <c r="Q280" s="80">
        <f t="shared" si="210"/>
        <v>26321</v>
      </c>
      <c r="R280" s="159">
        <f t="shared" si="211"/>
        <v>1.9510539933653703E-7</v>
      </c>
      <c r="S280" s="113">
        <v>0.13</v>
      </c>
      <c r="T280" s="86">
        <v>44692</v>
      </c>
      <c r="U280" s="64">
        <v>2</v>
      </c>
      <c r="V280" s="64"/>
      <c r="W280" s="64"/>
      <c r="X280" s="15">
        <v>1</v>
      </c>
      <c r="Y280" s="15" t="str">
        <f>VLOOKUP(B280,[1]Sheet1!$C$2:$D$906,2,0)</f>
        <v>8421732463</v>
      </c>
    </row>
    <row r="281" spans="1:29" s="15" customFormat="1" ht="14.45" customHeight="1" x14ac:dyDescent="0.25">
      <c r="A281" s="38"/>
      <c r="B281" s="38" t="s">
        <v>185</v>
      </c>
      <c r="C281" s="62" t="s">
        <v>177</v>
      </c>
      <c r="D281" s="62" t="s">
        <v>204</v>
      </c>
      <c r="E281" s="62" t="s">
        <v>183</v>
      </c>
      <c r="F281" s="77" t="s">
        <v>166</v>
      </c>
      <c r="G281" s="77" t="s">
        <v>172</v>
      </c>
      <c r="H281" s="62" t="s">
        <v>90</v>
      </c>
      <c r="I281" s="77" t="s">
        <v>11</v>
      </c>
      <c r="J281" s="38" t="s">
        <v>37</v>
      </c>
      <c r="K281" s="6">
        <v>1355000</v>
      </c>
      <c r="L281" s="78">
        <f t="shared" si="195"/>
        <v>176150</v>
      </c>
      <c r="M281" s="79">
        <v>174</v>
      </c>
      <c r="N281" s="79">
        <v>26</v>
      </c>
      <c r="O281" s="191">
        <f t="shared" si="182"/>
        <v>0.14942528735632185</v>
      </c>
      <c r="P281" s="80">
        <f t="shared" si="209"/>
        <v>202471</v>
      </c>
      <c r="Q281" s="80">
        <f t="shared" si="210"/>
        <v>26321</v>
      </c>
      <c r="R281" s="159">
        <f t="shared" si="211"/>
        <v>1.9510539933653703E-7</v>
      </c>
      <c r="S281" s="113">
        <v>0.13</v>
      </c>
      <c r="T281" s="86">
        <v>44692</v>
      </c>
      <c r="U281" s="64">
        <v>2</v>
      </c>
      <c r="V281" s="64"/>
      <c r="W281" s="64"/>
      <c r="X281" s="15">
        <v>1</v>
      </c>
      <c r="Y281" s="15" t="str">
        <f>VLOOKUP(B281,[1]Sheet1!$C$2:$D$906,2,0)</f>
        <v>8421732463</v>
      </c>
    </row>
    <row r="282" spans="1:29" s="15" customFormat="1" ht="14.45" customHeight="1" x14ac:dyDescent="0.25">
      <c r="A282" s="38"/>
      <c r="B282" s="38" t="s">
        <v>185</v>
      </c>
      <c r="C282" s="62" t="s">
        <v>177</v>
      </c>
      <c r="D282" s="62" t="s">
        <v>204</v>
      </c>
      <c r="E282" s="62" t="s">
        <v>183</v>
      </c>
      <c r="F282" s="77" t="s">
        <v>166</v>
      </c>
      <c r="G282" s="77" t="s">
        <v>172</v>
      </c>
      <c r="H282" s="62" t="s">
        <v>91</v>
      </c>
      <c r="I282" s="77" t="s">
        <v>11</v>
      </c>
      <c r="J282" s="38" t="s">
        <v>37</v>
      </c>
      <c r="K282" s="6">
        <v>1355000</v>
      </c>
      <c r="L282" s="78">
        <f t="shared" ref="L282:L293" si="212">ROUND(K282*S282,0)</f>
        <v>176150</v>
      </c>
      <c r="M282" s="79">
        <v>174</v>
      </c>
      <c r="N282" s="79">
        <v>26</v>
      </c>
      <c r="O282" s="191">
        <f t="shared" si="182"/>
        <v>0.14942528735632185</v>
      </c>
      <c r="P282" s="80">
        <f t="shared" ref="P282" si="213">ROUND(K282*N282/M282,0)</f>
        <v>202471</v>
      </c>
      <c r="Q282" s="80">
        <f t="shared" ref="Q282" si="214">ROUND(P282*S282,0)</f>
        <v>26321</v>
      </c>
      <c r="R282" s="159">
        <f t="shared" ref="R282" si="215">N282/M282-P282/K282</f>
        <v>1.9510539933653703E-7</v>
      </c>
      <c r="S282" s="113">
        <v>0.13</v>
      </c>
      <c r="T282" s="86">
        <v>44692</v>
      </c>
      <c r="U282" s="64">
        <v>2</v>
      </c>
      <c r="V282" s="64"/>
      <c r="W282" s="64"/>
      <c r="X282" s="15">
        <v>1</v>
      </c>
      <c r="Y282" s="15" t="str">
        <f>VLOOKUP(B282,[1]Sheet1!$C$2:$D$906,2,0)</f>
        <v>8421732463</v>
      </c>
    </row>
    <row r="283" spans="1:29" s="15" customFormat="1" ht="14.45" customHeight="1" x14ac:dyDescent="0.25">
      <c r="A283" s="38"/>
      <c r="B283" s="38" t="s">
        <v>185</v>
      </c>
      <c r="C283" s="62" t="s">
        <v>177</v>
      </c>
      <c r="D283" s="62" t="s">
        <v>204</v>
      </c>
      <c r="E283" s="62" t="s">
        <v>183</v>
      </c>
      <c r="F283" s="77" t="s">
        <v>166</v>
      </c>
      <c r="G283" s="77" t="s">
        <v>172</v>
      </c>
      <c r="H283" s="62" t="s">
        <v>92</v>
      </c>
      <c r="I283" s="77" t="s">
        <v>11</v>
      </c>
      <c r="J283" s="38" t="s">
        <v>37</v>
      </c>
      <c r="K283" s="6">
        <v>1355000</v>
      </c>
      <c r="L283" s="78">
        <f t="shared" si="212"/>
        <v>176150</v>
      </c>
      <c r="M283" s="79">
        <v>174</v>
      </c>
      <c r="N283" s="79">
        <v>26</v>
      </c>
      <c r="O283" s="191">
        <f t="shared" si="182"/>
        <v>0.14942528735632185</v>
      </c>
      <c r="P283" s="80">
        <f t="shared" ref="P283:P293" si="216">ROUND(K283*N283/M283,0)</f>
        <v>202471</v>
      </c>
      <c r="Q283" s="80">
        <f t="shared" ref="Q283:Q293" si="217">ROUND(P283*S283,0)</f>
        <v>26321</v>
      </c>
      <c r="R283" s="159">
        <f t="shared" ref="R283:R286" si="218">N283/M283-P283/K283</f>
        <v>1.9510539933653703E-7</v>
      </c>
      <c r="S283" s="113">
        <v>0.13</v>
      </c>
      <c r="T283" s="86">
        <v>44761</v>
      </c>
      <c r="U283" s="64">
        <v>2</v>
      </c>
      <c r="V283" s="64"/>
      <c r="W283" s="64"/>
      <c r="X283" s="15">
        <v>1</v>
      </c>
      <c r="Y283" s="15" t="str">
        <f>VLOOKUP(B283,[1]Sheet1!$C$2:$D$906,2,0)</f>
        <v>8421732463</v>
      </c>
    </row>
    <row r="284" spans="1:29" s="15" customFormat="1" ht="14.45" customHeight="1" x14ac:dyDescent="0.25">
      <c r="A284" s="38"/>
      <c r="B284" s="38" t="s">
        <v>185</v>
      </c>
      <c r="C284" s="62" t="s">
        <v>177</v>
      </c>
      <c r="D284" s="62" t="s">
        <v>204</v>
      </c>
      <c r="E284" s="62" t="s">
        <v>183</v>
      </c>
      <c r="F284" s="77" t="s">
        <v>166</v>
      </c>
      <c r="G284" s="77" t="s">
        <v>172</v>
      </c>
      <c r="H284" s="62" t="s">
        <v>93</v>
      </c>
      <c r="I284" s="77" t="s">
        <v>11</v>
      </c>
      <c r="J284" s="38" t="s">
        <v>37</v>
      </c>
      <c r="K284" s="6">
        <v>1355000</v>
      </c>
      <c r="L284" s="78">
        <f t="shared" si="212"/>
        <v>176150</v>
      </c>
      <c r="M284" s="79">
        <v>174</v>
      </c>
      <c r="N284" s="79">
        <v>26</v>
      </c>
      <c r="O284" s="191">
        <f t="shared" si="182"/>
        <v>0.14942528735632185</v>
      </c>
      <c r="P284" s="80">
        <f t="shared" si="216"/>
        <v>202471</v>
      </c>
      <c r="Q284" s="80">
        <f t="shared" si="217"/>
        <v>26321</v>
      </c>
      <c r="R284" s="159">
        <f t="shared" si="218"/>
        <v>1.9510539933653703E-7</v>
      </c>
      <c r="S284" s="113">
        <v>0.13</v>
      </c>
      <c r="T284" s="86">
        <v>44761</v>
      </c>
      <c r="U284" s="64">
        <v>2</v>
      </c>
      <c r="V284" s="64"/>
      <c r="W284" s="64"/>
      <c r="X284" s="15">
        <v>1</v>
      </c>
      <c r="Y284" s="15" t="str">
        <f>VLOOKUP(B284,[1]Sheet1!$C$2:$D$906,2,0)</f>
        <v>8421732463</v>
      </c>
    </row>
    <row r="285" spans="1:29" s="15" customFormat="1" ht="14.45" customHeight="1" x14ac:dyDescent="0.25">
      <c r="A285" s="38"/>
      <c r="B285" s="38" t="s">
        <v>185</v>
      </c>
      <c r="C285" s="62" t="s">
        <v>177</v>
      </c>
      <c r="D285" s="62" t="s">
        <v>204</v>
      </c>
      <c r="E285" s="62" t="s">
        <v>183</v>
      </c>
      <c r="F285" s="77" t="s">
        <v>166</v>
      </c>
      <c r="G285" s="77" t="s">
        <v>172</v>
      </c>
      <c r="H285" s="62" t="s">
        <v>94</v>
      </c>
      <c r="I285" s="77" t="s">
        <v>11</v>
      </c>
      <c r="J285" s="38" t="s">
        <v>37</v>
      </c>
      <c r="K285" s="6">
        <v>1355000</v>
      </c>
      <c r="L285" s="78">
        <f t="shared" si="212"/>
        <v>176150</v>
      </c>
      <c r="M285" s="79">
        <v>174</v>
      </c>
      <c r="N285" s="79">
        <v>26</v>
      </c>
      <c r="O285" s="191">
        <f t="shared" si="182"/>
        <v>0.14942528735632185</v>
      </c>
      <c r="P285" s="80">
        <f t="shared" si="216"/>
        <v>202471</v>
      </c>
      <c r="Q285" s="80">
        <f t="shared" si="217"/>
        <v>26321</v>
      </c>
      <c r="R285" s="159">
        <f t="shared" si="218"/>
        <v>1.9510539933653703E-7</v>
      </c>
      <c r="S285" s="113">
        <v>0.13</v>
      </c>
      <c r="T285" s="86">
        <v>44761</v>
      </c>
      <c r="U285" s="64">
        <v>2</v>
      </c>
      <c r="V285" s="64"/>
      <c r="W285" s="64"/>
      <c r="X285" s="15">
        <v>1</v>
      </c>
      <c r="Y285" s="15" t="str">
        <f>VLOOKUP(B285,[1]Sheet1!$C$2:$D$906,2,0)</f>
        <v>8421732463</v>
      </c>
    </row>
    <row r="286" spans="1:29" s="15" customFormat="1" ht="14.45" customHeight="1" x14ac:dyDescent="0.25">
      <c r="A286" s="38"/>
      <c r="B286" s="38" t="s">
        <v>185</v>
      </c>
      <c r="C286" s="62" t="s">
        <v>177</v>
      </c>
      <c r="D286" s="62" t="s">
        <v>204</v>
      </c>
      <c r="E286" s="62" t="s">
        <v>183</v>
      </c>
      <c r="F286" s="77" t="s">
        <v>166</v>
      </c>
      <c r="G286" s="77" t="s">
        <v>172</v>
      </c>
      <c r="H286" s="174" t="s">
        <v>281</v>
      </c>
      <c r="I286" s="77" t="s">
        <v>11</v>
      </c>
      <c r="J286" s="38" t="s">
        <v>37</v>
      </c>
      <c r="K286" s="6">
        <f>1355000/21*13</f>
        <v>838809.52380952379</v>
      </c>
      <c r="L286" s="78">
        <f t="shared" si="212"/>
        <v>109045</v>
      </c>
      <c r="M286" s="79">
        <v>174</v>
      </c>
      <c r="N286" s="79">
        <v>26</v>
      </c>
      <c r="O286" s="191">
        <f t="shared" si="182"/>
        <v>0.14942528735632185</v>
      </c>
      <c r="P286" s="80">
        <f t="shared" si="216"/>
        <v>125339</v>
      </c>
      <c r="Q286" s="80">
        <f t="shared" si="217"/>
        <v>16294</v>
      </c>
      <c r="R286" s="159">
        <f t="shared" si="218"/>
        <v>4.2218459320175761E-7</v>
      </c>
      <c r="S286" s="113">
        <v>0.13</v>
      </c>
      <c r="T286" s="86">
        <v>44761</v>
      </c>
      <c r="U286" s="64">
        <v>2</v>
      </c>
      <c r="V286" s="64"/>
      <c r="W286" s="64"/>
      <c r="X286" s="15">
        <v>1</v>
      </c>
      <c r="Y286" s="15" t="str">
        <f>VLOOKUP(B286,[1]Sheet1!$C$2:$D$906,2,0)</f>
        <v>8421732463</v>
      </c>
      <c r="AA286" t="str">
        <f>IF(VLOOKUP(LEFT(Y286,10),'Havi béradatok'!$B:$E,2,0)=D286,"EGYEZIK","HIBÁS")</f>
        <v>EGYEZIK</v>
      </c>
      <c r="AB286">
        <f>(VLOOKUP(LEFT(Y286,10),'Havi béradatok'!$B:$E,3,0)-K286)</f>
        <v>516190.47619047621</v>
      </c>
      <c r="AC286" s="3">
        <f>(VLOOKUP(LEFT(Y286,10),'Havi béradatok'!$B:$E,4,0)-L286)</f>
        <v>67105</v>
      </c>
    </row>
    <row r="287" spans="1:29" s="15" customFormat="1" ht="14.45" customHeight="1" x14ac:dyDescent="0.25">
      <c r="A287" s="38"/>
      <c r="B287" s="38" t="s">
        <v>185</v>
      </c>
      <c r="C287" s="62" t="s">
        <v>177</v>
      </c>
      <c r="D287" s="62" t="s">
        <v>204</v>
      </c>
      <c r="E287" s="62" t="s">
        <v>183</v>
      </c>
      <c r="F287" s="77" t="s">
        <v>166</v>
      </c>
      <c r="G287" s="77" t="s">
        <v>172</v>
      </c>
      <c r="H287" s="174" t="s">
        <v>280</v>
      </c>
      <c r="I287" s="77" t="s">
        <v>11</v>
      </c>
      <c r="J287" s="38" t="s">
        <v>37</v>
      </c>
      <c r="K287" s="6">
        <f>1355000/21*8</f>
        <v>516190.47619047621</v>
      </c>
      <c r="L287" s="78">
        <f t="shared" ref="L287" si="219">ROUND(K287*S287,0)</f>
        <v>67105</v>
      </c>
      <c r="M287" s="79">
        <v>174</v>
      </c>
      <c r="N287" s="79">
        <v>26</v>
      </c>
      <c r="O287" s="191">
        <f t="shared" ref="O287" si="220">N287/M287</f>
        <v>0.14942528735632185</v>
      </c>
      <c r="P287" s="80">
        <f t="shared" ref="P287" si="221">ROUND(K287*N287/M287,0)</f>
        <v>77132</v>
      </c>
      <c r="Q287" s="80">
        <f t="shared" ref="Q287" si="222">ROUND(P287*S287,0)</f>
        <v>10027</v>
      </c>
      <c r="R287" s="159">
        <f t="shared" ref="R287" si="223">N287/M287-P287/K287</f>
        <v>-1.7389829068403806E-7</v>
      </c>
      <c r="S287" s="113">
        <v>0.13</v>
      </c>
      <c r="T287" s="86">
        <v>44761</v>
      </c>
      <c r="U287" s="64"/>
      <c r="V287" s="64"/>
      <c r="W287" s="64"/>
      <c r="X287" s="15">
        <v>1</v>
      </c>
      <c r="Y287" s="15" t="str">
        <f>VLOOKUP(B287,[1]Sheet1!$C$2:$D$906,2,0)</f>
        <v>8421732463</v>
      </c>
      <c r="AA287" t="str">
        <f>IF(VLOOKUP(LEFT(Y287,10),'Havi béradatok'!$B:$E,2,0)=D287,"EGYEZIK","HIBÁS")</f>
        <v>EGYEZIK</v>
      </c>
      <c r="AB287">
        <f>(VLOOKUP(LEFT(Y287,10),'Havi béradatok'!$B:$E,3,0)-K287)</f>
        <v>838809.52380952379</v>
      </c>
      <c r="AC287" s="3">
        <f>(VLOOKUP(LEFT(Y287,10),'Havi béradatok'!$B:$E,4,0)-L287)</f>
        <v>109045</v>
      </c>
    </row>
    <row r="288" spans="1:29" s="15" customFormat="1" ht="14.45" customHeight="1" x14ac:dyDescent="0.25">
      <c r="A288" s="38"/>
      <c r="B288" s="38" t="s">
        <v>185</v>
      </c>
      <c r="C288" s="62" t="s">
        <v>177</v>
      </c>
      <c r="D288" s="62" t="s">
        <v>204</v>
      </c>
      <c r="E288" s="62" t="s">
        <v>183</v>
      </c>
      <c r="F288" s="77" t="s">
        <v>166</v>
      </c>
      <c r="G288" s="77" t="s">
        <v>172</v>
      </c>
      <c r="H288" s="62" t="s">
        <v>117</v>
      </c>
      <c r="I288" s="77" t="s">
        <v>11</v>
      </c>
      <c r="J288" s="38" t="s">
        <v>37</v>
      </c>
      <c r="K288" s="6">
        <v>1355000</v>
      </c>
      <c r="L288" s="78">
        <f t="shared" si="212"/>
        <v>176150</v>
      </c>
      <c r="M288" s="79">
        <v>174</v>
      </c>
      <c r="N288" s="79">
        <v>26</v>
      </c>
      <c r="O288" s="191">
        <f t="shared" si="182"/>
        <v>0.14942528735632185</v>
      </c>
      <c r="P288" s="80">
        <f t="shared" si="216"/>
        <v>202471</v>
      </c>
      <c r="Q288" s="80">
        <f t="shared" si="217"/>
        <v>26321</v>
      </c>
      <c r="R288" s="159">
        <f t="shared" ref="R288:R292" si="224">N288/M288-P288/K288</f>
        <v>1.9510539933653703E-7</v>
      </c>
      <c r="S288" s="113">
        <v>0.13</v>
      </c>
      <c r="T288" s="86">
        <v>44936</v>
      </c>
      <c r="U288" s="64"/>
      <c r="V288" s="64"/>
      <c r="W288" s="64"/>
      <c r="X288" s="15">
        <v>1</v>
      </c>
      <c r="Y288" s="15" t="str">
        <f>VLOOKUP(B288,[1]Sheet1!$C$2:$D$906,2,0)</f>
        <v>8421732463</v>
      </c>
      <c r="AA288" t="str">
        <f>IF(VLOOKUP(LEFT(Y288,10),'Havi béradatok'!$B:$E,2,0)=D288,"EGYEZIK","HIBÁS")</f>
        <v>EGYEZIK</v>
      </c>
      <c r="AB288">
        <f>(VLOOKUP(LEFT(Y288,10),'Havi béradatok'!$B:$E,3,0)-K288)</f>
        <v>0</v>
      </c>
      <c r="AC288" s="3">
        <f>(VLOOKUP(LEFT(Y288,10),'Havi béradatok'!$B:$E,4,0)-L288)</f>
        <v>0</v>
      </c>
    </row>
    <row r="289" spans="1:29" s="15" customFormat="1" ht="14.45" customHeight="1" x14ac:dyDescent="0.25">
      <c r="A289" s="38"/>
      <c r="B289" s="38" t="s">
        <v>185</v>
      </c>
      <c r="C289" s="62" t="s">
        <v>177</v>
      </c>
      <c r="D289" s="62" t="s">
        <v>204</v>
      </c>
      <c r="E289" s="62" t="s">
        <v>183</v>
      </c>
      <c r="F289" s="77" t="s">
        <v>166</v>
      </c>
      <c r="G289" s="77" t="s">
        <v>172</v>
      </c>
      <c r="H289" s="62" t="s">
        <v>118</v>
      </c>
      <c r="I289" s="77" t="s">
        <v>11</v>
      </c>
      <c r="J289" s="38" t="s">
        <v>37</v>
      </c>
      <c r="K289" s="6">
        <v>1355000</v>
      </c>
      <c r="L289" s="78">
        <f t="shared" si="212"/>
        <v>176150</v>
      </c>
      <c r="M289" s="79">
        <v>174</v>
      </c>
      <c r="N289" s="79">
        <v>26</v>
      </c>
      <c r="O289" s="191">
        <f t="shared" si="182"/>
        <v>0.14942528735632185</v>
      </c>
      <c r="P289" s="80">
        <f t="shared" si="216"/>
        <v>202471</v>
      </c>
      <c r="Q289" s="80">
        <f t="shared" si="217"/>
        <v>26321</v>
      </c>
      <c r="R289" s="159">
        <f t="shared" si="224"/>
        <v>1.9510539933653703E-7</v>
      </c>
      <c r="S289" s="113">
        <v>0.13</v>
      </c>
      <c r="T289" s="86">
        <v>44936</v>
      </c>
      <c r="U289" s="64"/>
      <c r="V289" s="64"/>
      <c r="W289" s="64"/>
      <c r="X289" s="15">
        <v>1</v>
      </c>
      <c r="Y289" s="15" t="str">
        <f>VLOOKUP(B289,[1]Sheet1!$C$2:$D$906,2,0)</f>
        <v>8421732463</v>
      </c>
      <c r="AA289" t="str">
        <f>IF(VLOOKUP(LEFT(Y289,10),'Havi béradatok'!$B:$E,2,0)=D289,"EGYEZIK","HIBÁS")</f>
        <v>EGYEZIK</v>
      </c>
      <c r="AB289">
        <f>(VLOOKUP(LEFT(Y289,10),'Havi béradatok'!$B:$E,3,0)-K289)</f>
        <v>0</v>
      </c>
      <c r="AC289" s="3">
        <f>(VLOOKUP(LEFT(Y289,10),'Havi béradatok'!$B:$E,4,0)-L289)</f>
        <v>0</v>
      </c>
    </row>
    <row r="290" spans="1:29" s="15" customFormat="1" ht="14.45" customHeight="1" x14ac:dyDescent="0.25">
      <c r="A290" s="38"/>
      <c r="B290" s="38" t="s">
        <v>185</v>
      </c>
      <c r="C290" s="62" t="s">
        <v>177</v>
      </c>
      <c r="D290" s="62" t="s">
        <v>204</v>
      </c>
      <c r="E290" s="62" t="s">
        <v>183</v>
      </c>
      <c r="F290" s="77" t="s">
        <v>166</v>
      </c>
      <c r="G290" s="77" t="s">
        <v>172</v>
      </c>
      <c r="H290" s="62" t="s">
        <v>119</v>
      </c>
      <c r="I290" s="77" t="s">
        <v>11</v>
      </c>
      <c r="J290" s="38" t="s">
        <v>37</v>
      </c>
      <c r="K290" s="6">
        <v>1355000</v>
      </c>
      <c r="L290" s="78">
        <f t="shared" si="212"/>
        <v>176150</v>
      </c>
      <c r="M290" s="79">
        <v>174</v>
      </c>
      <c r="N290" s="79">
        <v>26</v>
      </c>
      <c r="O290" s="191">
        <f t="shared" si="182"/>
        <v>0.14942528735632185</v>
      </c>
      <c r="P290" s="80">
        <f t="shared" si="216"/>
        <v>202471</v>
      </c>
      <c r="Q290" s="80">
        <f t="shared" si="217"/>
        <v>26321</v>
      </c>
      <c r="R290" s="159">
        <f t="shared" si="224"/>
        <v>1.9510539933653703E-7</v>
      </c>
      <c r="S290" s="113">
        <v>0.13</v>
      </c>
      <c r="T290" s="86">
        <v>44936</v>
      </c>
      <c r="U290" s="64"/>
      <c r="V290" s="64"/>
      <c r="W290" s="64"/>
      <c r="X290" s="15">
        <v>1</v>
      </c>
      <c r="Y290" s="15" t="str">
        <f>VLOOKUP(B290,[1]Sheet1!$C$2:$D$906,2,0)</f>
        <v>8421732463</v>
      </c>
      <c r="AA290" t="str">
        <f>IF(VLOOKUP(LEFT(Y290,10),'Havi béradatok'!$B:$E,2,0)=D290,"EGYEZIK","HIBÁS")</f>
        <v>EGYEZIK</v>
      </c>
      <c r="AB290">
        <f>(VLOOKUP(LEFT(Y290,10),'Havi béradatok'!$B:$E,3,0)-K290)</f>
        <v>0</v>
      </c>
      <c r="AC290" s="3">
        <f>(VLOOKUP(LEFT(Y290,10),'Havi béradatok'!$B:$E,4,0)-L290)</f>
        <v>0</v>
      </c>
    </row>
    <row r="291" spans="1:29" s="15" customFormat="1" ht="14.45" hidden="1" customHeight="1" x14ac:dyDescent="0.25">
      <c r="A291" s="38"/>
      <c r="B291" s="173" t="s">
        <v>185</v>
      </c>
      <c r="C291" s="62" t="s">
        <v>177</v>
      </c>
      <c r="D291" s="62" t="s">
        <v>204</v>
      </c>
      <c r="E291" s="62" t="s">
        <v>183</v>
      </c>
      <c r="F291" s="77" t="s">
        <v>166</v>
      </c>
      <c r="G291" s="77" t="s">
        <v>172</v>
      </c>
      <c r="H291" s="62" t="s">
        <v>120</v>
      </c>
      <c r="I291" s="77" t="s">
        <v>12</v>
      </c>
      <c r="J291" s="38" t="s">
        <v>37</v>
      </c>
      <c r="K291" s="6">
        <v>1355000</v>
      </c>
      <c r="L291" s="78">
        <f t="shared" si="212"/>
        <v>176150</v>
      </c>
      <c r="M291" s="79">
        <v>174</v>
      </c>
      <c r="N291" s="79">
        <v>22</v>
      </c>
      <c r="O291" s="191">
        <f t="shared" si="182"/>
        <v>0.12643678160919541</v>
      </c>
      <c r="P291" s="80">
        <f t="shared" si="216"/>
        <v>171322</v>
      </c>
      <c r="Q291" s="80">
        <f t="shared" si="217"/>
        <v>22272</v>
      </c>
      <c r="R291" s="159">
        <f t="shared" si="224"/>
        <v>-1.1875980826525634E-7</v>
      </c>
      <c r="S291" s="113">
        <v>0.13</v>
      </c>
      <c r="T291" s="86">
        <v>45002</v>
      </c>
      <c r="U291" s="64"/>
      <c r="V291" s="64"/>
      <c r="W291" s="64"/>
      <c r="X291" s="15">
        <v>1</v>
      </c>
      <c r="Y291" s="15" t="str">
        <f>VLOOKUP(B291,[1]Sheet1!$C$2:$D$906,2,0)</f>
        <v>8421732463</v>
      </c>
    </row>
    <row r="292" spans="1:29" s="15" customFormat="1" ht="14.45" hidden="1" customHeight="1" x14ac:dyDescent="0.25">
      <c r="A292" s="38"/>
      <c r="B292" s="173" t="s">
        <v>185</v>
      </c>
      <c r="C292" s="62" t="s">
        <v>177</v>
      </c>
      <c r="D292" s="62" t="s">
        <v>204</v>
      </c>
      <c r="E292" s="62" t="s">
        <v>183</v>
      </c>
      <c r="F292" s="77" t="s">
        <v>166</v>
      </c>
      <c r="G292" s="77" t="s">
        <v>172</v>
      </c>
      <c r="H292" s="62" t="s">
        <v>121</v>
      </c>
      <c r="I292" s="77" t="s">
        <v>12</v>
      </c>
      <c r="J292" s="38" t="s">
        <v>37</v>
      </c>
      <c r="K292" s="6">
        <v>1355000</v>
      </c>
      <c r="L292" s="78">
        <f t="shared" si="212"/>
        <v>176150</v>
      </c>
      <c r="M292" s="79">
        <v>174</v>
      </c>
      <c r="N292" s="79">
        <v>22</v>
      </c>
      <c r="O292" s="191">
        <f t="shared" si="182"/>
        <v>0.12643678160919541</v>
      </c>
      <c r="P292" s="80">
        <f t="shared" si="216"/>
        <v>171322</v>
      </c>
      <c r="Q292" s="80">
        <f t="shared" si="217"/>
        <v>22272</v>
      </c>
      <c r="R292" s="159">
        <f t="shared" si="224"/>
        <v>-1.1875980826525634E-7</v>
      </c>
      <c r="S292" s="113">
        <v>0.13</v>
      </c>
      <c r="T292" s="86">
        <v>45002</v>
      </c>
      <c r="U292" s="64"/>
      <c r="V292" s="64"/>
      <c r="W292" s="64"/>
      <c r="X292" s="15">
        <v>1</v>
      </c>
      <c r="Y292" s="15" t="str">
        <f>VLOOKUP(B292,[1]Sheet1!$C$2:$D$906,2,0)</f>
        <v>8421732463</v>
      </c>
    </row>
    <row r="293" spans="1:29" s="15" customFormat="1" ht="14.45" hidden="1" customHeight="1" x14ac:dyDescent="0.25">
      <c r="A293" s="38"/>
      <c r="B293" s="173" t="s">
        <v>185</v>
      </c>
      <c r="C293" s="62" t="s">
        <v>177</v>
      </c>
      <c r="D293" s="62" t="s">
        <v>204</v>
      </c>
      <c r="E293" s="62" t="s">
        <v>183</v>
      </c>
      <c r="F293" s="77" t="s">
        <v>166</v>
      </c>
      <c r="G293" s="77" t="s">
        <v>172</v>
      </c>
      <c r="H293" s="62" t="s">
        <v>122</v>
      </c>
      <c r="I293" s="77" t="s">
        <v>12</v>
      </c>
      <c r="J293" s="38" t="s">
        <v>37</v>
      </c>
      <c r="K293" s="6">
        <v>1355000</v>
      </c>
      <c r="L293" s="78">
        <f t="shared" si="212"/>
        <v>176150</v>
      </c>
      <c r="M293" s="79">
        <v>174</v>
      </c>
      <c r="N293" s="79">
        <v>22</v>
      </c>
      <c r="O293" s="191">
        <f t="shared" si="182"/>
        <v>0.12643678160919541</v>
      </c>
      <c r="P293" s="80">
        <f t="shared" si="216"/>
        <v>171322</v>
      </c>
      <c r="Q293" s="80">
        <f t="shared" si="217"/>
        <v>22272</v>
      </c>
      <c r="R293" s="159">
        <f t="shared" ref="R293" si="225">N293/M293-P293/K293</f>
        <v>-1.1875980826525634E-7</v>
      </c>
      <c r="S293" s="113">
        <v>0.13</v>
      </c>
      <c r="T293" s="86">
        <v>45002</v>
      </c>
      <c r="U293" s="64"/>
      <c r="V293" s="64"/>
      <c r="W293" s="64"/>
      <c r="X293" s="15">
        <v>1</v>
      </c>
      <c r="Y293" s="15" t="str">
        <f>VLOOKUP(B293,[1]Sheet1!$C$2:$D$906,2,0)</f>
        <v>8421732463</v>
      </c>
    </row>
    <row r="294" spans="1:29" s="15" customFormat="1" ht="14.45" customHeight="1" x14ac:dyDescent="0.25">
      <c r="A294" s="38"/>
      <c r="B294" s="38" t="s">
        <v>201</v>
      </c>
      <c r="C294" s="62" t="s">
        <v>177</v>
      </c>
      <c r="D294" s="62" t="s">
        <v>213</v>
      </c>
      <c r="E294" s="62" t="s">
        <v>183</v>
      </c>
      <c r="F294" s="77" t="s">
        <v>166</v>
      </c>
      <c r="G294" s="77" t="s">
        <v>172</v>
      </c>
      <c r="H294" s="62" t="s">
        <v>87</v>
      </c>
      <c r="I294" s="77" t="s">
        <v>11</v>
      </c>
      <c r="J294" s="38" t="s">
        <v>37</v>
      </c>
      <c r="K294" s="6">
        <v>667782</v>
      </c>
      <c r="L294" s="78">
        <f t="shared" si="195"/>
        <v>86812</v>
      </c>
      <c r="M294" s="79">
        <v>174</v>
      </c>
      <c r="N294" s="79">
        <v>120</v>
      </c>
      <c r="O294" s="191">
        <f t="shared" si="182"/>
        <v>0.68965517241379315</v>
      </c>
      <c r="P294" s="80">
        <f t="shared" ref="P294:P302" si="226">ROUND(K294*N294/M294,0)</f>
        <v>460539</v>
      </c>
      <c r="Q294" s="80">
        <f t="shared" ref="Q294:Q302" si="227">ROUND(P294*S294,0)</f>
        <v>59870</v>
      </c>
      <c r="R294" s="159">
        <f t="shared" ref="R294:R302" si="228">N294/M294-P294/K294</f>
        <v>4.6473973180916062E-7</v>
      </c>
      <c r="S294" s="113">
        <v>0.13</v>
      </c>
      <c r="T294" s="86">
        <v>44629</v>
      </c>
      <c r="U294" s="64">
        <v>1</v>
      </c>
      <c r="V294" s="64"/>
      <c r="W294" s="64"/>
      <c r="X294" s="15">
        <v>1</v>
      </c>
      <c r="Y294" s="15">
        <v>8396223912</v>
      </c>
    </row>
    <row r="295" spans="1:29" s="15" customFormat="1" ht="14.45" customHeight="1" x14ac:dyDescent="0.25">
      <c r="A295" s="38"/>
      <c r="B295" s="38" t="s">
        <v>201</v>
      </c>
      <c r="C295" s="62" t="s">
        <v>177</v>
      </c>
      <c r="D295" s="62" t="s">
        <v>213</v>
      </c>
      <c r="E295" s="62" t="s">
        <v>183</v>
      </c>
      <c r="F295" s="77" t="s">
        <v>166</v>
      </c>
      <c r="G295" s="77" t="s">
        <v>172</v>
      </c>
      <c r="H295" s="62" t="s">
        <v>88</v>
      </c>
      <c r="I295" s="77" t="s">
        <v>11</v>
      </c>
      <c r="J295" s="38" t="s">
        <v>37</v>
      </c>
      <c r="K295" s="6">
        <v>712800</v>
      </c>
      <c r="L295" s="78">
        <f t="shared" si="195"/>
        <v>92664</v>
      </c>
      <c r="M295" s="79">
        <v>174</v>
      </c>
      <c r="N295" s="79">
        <v>120</v>
      </c>
      <c r="O295" s="191">
        <f t="shared" si="182"/>
        <v>0.68965517241379315</v>
      </c>
      <c r="P295" s="80">
        <f t="shared" si="226"/>
        <v>491586</v>
      </c>
      <c r="Q295" s="80">
        <f t="shared" si="227"/>
        <v>63906</v>
      </c>
      <c r="R295" s="159">
        <f t="shared" si="228"/>
        <v>2.902589110176379E-7</v>
      </c>
      <c r="S295" s="113">
        <v>0.13</v>
      </c>
      <c r="T295" s="86">
        <v>44629</v>
      </c>
      <c r="U295" s="64">
        <v>1</v>
      </c>
      <c r="V295" s="64"/>
      <c r="W295" s="64"/>
      <c r="X295" s="15">
        <v>1</v>
      </c>
      <c r="Y295" s="15">
        <v>8396223912</v>
      </c>
    </row>
    <row r="296" spans="1:29" s="15" customFormat="1" ht="14.45" customHeight="1" x14ac:dyDescent="0.25">
      <c r="A296" s="38"/>
      <c r="B296" s="38" t="s">
        <v>201</v>
      </c>
      <c r="C296" s="62" t="s">
        <v>177</v>
      </c>
      <c r="D296" s="62" t="s">
        <v>213</v>
      </c>
      <c r="E296" s="62" t="s">
        <v>183</v>
      </c>
      <c r="F296" s="77" t="s">
        <v>166</v>
      </c>
      <c r="G296" s="77" t="s">
        <v>172</v>
      </c>
      <c r="H296" s="62" t="s">
        <v>89</v>
      </c>
      <c r="I296" s="77" t="s">
        <v>11</v>
      </c>
      <c r="J296" s="38" t="s">
        <v>37</v>
      </c>
      <c r="K296" s="6">
        <v>712800</v>
      </c>
      <c r="L296" s="78">
        <f t="shared" si="195"/>
        <v>92664</v>
      </c>
      <c r="M296" s="79">
        <v>174</v>
      </c>
      <c r="N296" s="79">
        <v>120</v>
      </c>
      <c r="O296" s="191">
        <f t="shared" si="182"/>
        <v>0.68965517241379315</v>
      </c>
      <c r="P296" s="80">
        <f t="shared" si="226"/>
        <v>491586</v>
      </c>
      <c r="Q296" s="80">
        <f t="shared" si="227"/>
        <v>63906</v>
      </c>
      <c r="R296" s="159">
        <f t="shared" si="228"/>
        <v>2.902589110176379E-7</v>
      </c>
      <c r="S296" s="113">
        <v>0.13</v>
      </c>
      <c r="T296" s="86">
        <v>44629</v>
      </c>
      <c r="U296" s="64">
        <v>2</v>
      </c>
      <c r="V296" s="64"/>
      <c r="W296" s="64"/>
      <c r="X296" s="15">
        <v>1</v>
      </c>
      <c r="Y296" s="15">
        <v>8396223912</v>
      </c>
    </row>
    <row r="297" spans="1:29" s="15" customFormat="1" ht="14.45" customHeight="1" x14ac:dyDescent="0.25">
      <c r="A297" s="38"/>
      <c r="B297" s="38" t="s">
        <v>201</v>
      </c>
      <c r="C297" s="62" t="s">
        <v>177</v>
      </c>
      <c r="D297" s="62" t="s">
        <v>213</v>
      </c>
      <c r="E297" s="62" t="s">
        <v>183</v>
      </c>
      <c r="F297" s="77" t="s">
        <v>166</v>
      </c>
      <c r="G297" s="77" t="s">
        <v>172</v>
      </c>
      <c r="H297" s="62" t="s">
        <v>90</v>
      </c>
      <c r="I297" s="77" t="s">
        <v>11</v>
      </c>
      <c r="J297" s="38" t="s">
        <v>37</v>
      </c>
      <c r="K297" s="6">
        <v>712800</v>
      </c>
      <c r="L297" s="78">
        <f t="shared" si="195"/>
        <v>92664</v>
      </c>
      <c r="M297" s="79">
        <v>174</v>
      </c>
      <c r="N297" s="79">
        <v>120</v>
      </c>
      <c r="O297" s="191">
        <f t="shared" si="182"/>
        <v>0.68965517241379315</v>
      </c>
      <c r="P297" s="80">
        <f t="shared" si="226"/>
        <v>491586</v>
      </c>
      <c r="Q297" s="80">
        <f t="shared" si="227"/>
        <v>63906</v>
      </c>
      <c r="R297" s="159">
        <f t="shared" si="228"/>
        <v>2.902589110176379E-7</v>
      </c>
      <c r="S297" s="113">
        <v>0.13</v>
      </c>
      <c r="T297" s="86">
        <v>44629</v>
      </c>
      <c r="U297" s="64">
        <v>2</v>
      </c>
      <c r="V297" s="64"/>
      <c r="W297" s="64"/>
      <c r="X297" s="15">
        <v>1</v>
      </c>
      <c r="Y297" s="15">
        <v>8396223912</v>
      </c>
    </row>
    <row r="298" spans="1:29" s="15" customFormat="1" ht="14.45" customHeight="1" x14ac:dyDescent="0.25">
      <c r="A298" s="38"/>
      <c r="B298" s="38" t="s">
        <v>201</v>
      </c>
      <c r="C298" s="62" t="s">
        <v>177</v>
      </c>
      <c r="D298" s="62" t="s">
        <v>213</v>
      </c>
      <c r="E298" s="62" t="s">
        <v>183</v>
      </c>
      <c r="F298" s="77" t="s">
        <v>166</v>
      </c>
      <c r="G298" s="77" t="s">
        <v>172</v>
      </c>
      <c r="H298" s="62" t="s">
        <v>91</v>
      </c>
      <c r="I298" s="77" t="s">
        <v>11</v>
      </c>
      <c r="J298" s="38" t="s">
        <v>37</v>
      </c>
      <c r="K298" s="177">
        <v>712800</v>
      </c>
      <c r="L298" s="78">
        <f t="shared" si="195"/>
        <v>92664</v>
      </c>
      <c r="M298" s="79">
        <v>174</v>
      </c>
      <c r="N298" s="79">
        <v>120</v>
      </c>
      <c r="O298" s="191">
        <f t="shared" si="182"/>
        <v>0.68965517241379315</v>
      </c>
      <c r="P298" s="80">
        <f t="shared" si="226"/>
        <v>491586</v>
      </c>
      <c r="Q298" s="80">
        <f t="shared" si="227"/>
        <v>63906</v>
      </c>
      <c r="R298" s="159">
        <f t="shared" si="228"/>
        <v>2.902589110176379E-7</v>
      </c>
      <c r="S298" s="113">
        <v>0.13</v>
      </c>
      <c r="T298" s="86">
        <v>44629</v>
      </c>
      <c r="U298" s="64">
        <v>2</v>
      </c>
      <c r="V298" s="64"/>
      <c r="W298" s="64"/>
      <c r="X298" s="15">
        <v>1</v>
      </c>
      <c r="Y298" s="15">
        <v>8396223912</v>
      </c>
    </row>
    <row r="299" spans="1:29" s="15" customFormat="1" ht="14.45" customHeight="1" x14ac:dyDescent="0.25">
      <c r="A299" s="38"/>
      <c r="B299" s="38" t="s">
        <v>201</v>
      </c>
      <c r="C299" s="62" t="s">
        <v>177</v>
      </c>
      <c r="D299" s="62" t="s">
        <v>213</v>
      </c>
      <c r="E299" s="62" t="s">
        <v>183</v>
      </c>
      <c r="F299" s="77" t="s">
        <v>166</v>
      </c>
      <c r="G299" s="77" t="s">
        <v>172</v>
      </c>
      <c r="H299" s="62" t="s">
        <v>92</v>
      </c>
      <c r="I299" s="77" t="s">
        <v>11</v>
      </c>
      <c r="J299" s="38" t="s">
        <v>37</v>
      </c>
      <c r="K299" s="6">
        <v>712800</v>
      </c>
      <c r="L299" s="78">
        <f t="shared" si="195"/>
        <v>92664</v>
      </c>
      <c r="M299" s="79">
        <v>174</v>
      </c>
      <c r="N299" s="79">
        <v>120</v>
      </c>
      <c r="O299" s="191">
        <f t="shared" si="182"/>
        <v>0.68965517241379315</v>
      </c>
      <c r="P299" s="80">
        <f t="shared" si="226"/>
        <v>491586</v>
      </c>
      <c r="Q299" s="80">
        <f t="shared" si="227"/>
        <v>63906</v>
      </c>
      <c r="R299" s="159">
        <f t="shared" si="228"/>
        <v>2.902589110176379E-7</v>
      </c>
      <c r="S299" s="113">
        <v>0.13</v>
      </c>
      <c r="T299" s="86">
        <v>44629</v>
      </c>
      <c r="U299" s="64">
        <v>2</v>
      </c>
      <c r="V299" s="64"/>
      <c r="W299" s="64"/>
      <c r="X299" s="15">
        <v>1</v>
      </c>
      <c r="Y299" s="15">
        <v>8396223912</v>
      </c>
    </row>
    <row r="300" spans="1:29" s="15" customFormat="1" ht="14.45" customHeight="1" x14ac:dyDescent="0.25">
      <c r="A300" s="38"/>
      <c r="B300" s="38" t="s">
        <v>201</v>
      </c>
      <c r="C300" s="62" t="s">
        <v>177</v>
      </c>
      <c r="D300" s="62" t="s">
        <v>213</v>
      </c>
      <c r="E300" s="62" t="s">
        <v>183</v>
      </c>
      <c r="F300" s="77" t="s">
        <v>166</v>
      </c>
      <c r="G300" s="77" t="s">
        <v>172</v>
      </c>
      <c r="H300" s="62" t="s">
        <v>93</v>
      </c>
      <c r="I300" s="77" t="s">
        <v>11</v>
      </c>
      <c r="J300" s="38" t="s">
        <v>37</v>
      </c>
      <c r="K300" s="6">
        <v>712800</v>
      </c>
      <c r="L300" s="78">
        <f t="shared" si="195"/>
        <v>92664</v>
      </c>
      <c r="M300" s="79">
        <v>174</v>
      </c>
      <c r="N300" s="79">
        <v>120</v>
      </c>
      <c r="O300" s="191">
        <f t="shared" si="182"/>
        <v>0.68965517241379315</v>
      </c>
      <c r="P300" s="80">
        <f t="shared" si="226"/>
        <v>491586</v>
      </c>
      <c r="Q300" s="80">
        <f t="shared" si="227"/>
        <v>63906</v>
      </c>
      <c r="R300" s="159">
        <f t="shared" si="228"/>
        <v>2.902589110176379E-7</v>
      </c>
      <c r="S300" s="113">
        <v>0.13</v>
      </c>
      <c r="T300" s="86">
        <v>44629</v>
      </c>
      <c r="U300" s="64">
        <v>2</v>
      </c>
      <c r="V300" s="64"/>
      <c r="W300" s="64"/>
      <c r="X300" s="15">
        <v>1</v>
      </c>
      <c r="Y300" s="15">
        <v>8396223912</v>
      </c>
    </row>
    <row r="301" spans="1:29" s="15" customFormat="1" ht="14.45" customHeight="1" x14ac:dyDescent="0.25">
      <c r="A301" s="38"/>
      <c r="B301" s="38" t="s">
        <v>201</v>
      </c>
      <c r="C301" s="62" t="s">
        <v>177</v>
      </c>
      <c r="D301" s="62" t="s">
        <v>213</v>
      </c>
      <c r="E301" s="62" t="s">
        <v>183</v>
      </c>
      <c r="F301" s="77" t="s">
        <v>166</v>
      </c>
      <c r="G301" s="77" t="s">
        <v>172</v>
      </c>
      <c r="H301" s="62" t="s">
        <v>94</v>
      </c>
      <c r="I301" s="77" t="s">
        <v>11</v>
      </c>
      <c r="J301" s="38" t="s">
        <v>37</v>
      </c>
      <c r="K301" s="6">
        <v>441257</v>
      </c>
      <c r="L301" s="78">
        <f t="shared" si="195"/>
        <v>57363</v>
      </c>
      <c r="M301" s="79">
        <v>174</v>
      </c>
      <c r="N301" s="79">
        <v>120</v>
      </c>
      <c r="O301" s="191">
        <f t="shared" si="182"/>
        <v>0.68965517241379315</v>
      </c>
      <c r="P301" s="80">
        <f t="shared" si="226"/>
        <v>304315</v>
      </c>
      <c r="Q301" s="80">
        <f t="shared" si="227"/>
        <v>39561</v>
      </c>
      <c r="R301" s="159">
        <f t="shared" si="228"/>
        <v>3.907332758457116E-7</v>
      </c>
      <c r="S301" s="113">
        <v>0.13</v>
      </c>
      <c r="T301" s="86">
        <v>44629</v>
      </c>
      <c r="U301" s="64">
        <v>2</v>
      </c>
      <c r="V301" s="64"/>
      <c r="W301" s="64"/>
      <c r="X301" s="15">
        <v>1</v>
      </c>
      <c r="Y301" s="15">
        <v>8396223912</v>
      </c>
    </row>
    <row r="302" spans="1:29" s="15" customFormat="1" ht="14.45" customHeight="1" x14ac:dyDescent="0.25">
      <c r="A302" s="38"/>
      <c r="B302" s="38" t="s">
        <v>201</v>
      </c>
      <c r="C302" s="62" t="s">
        <v>177</v>
      </c>
      <c r="D302" s="62" t="s">
        <v>213</v>
      </c>
      <c r="E302" s="62" t="s">
        <v>183</v>
      </c>
      <c r="F302" s="77" t="s">
        <v>166</v>
      </c>
      <c r="G302" s="77" t="s">
        <v>172</v>
      </c>
      <c r="H302" s="174" t="s">
        <v>281</v>
      </c>
      <c r="I302" s="77" t="s">
        <v>11</v>
      </c>
      <c r="J302" s="38" t="s">
        <v>37</v>
      </c>
      <c r="K302" s="6">
        <f>712800/21*13</f>
        <v>441257.1428571429</v>
      </c>
      <c r="L302" s="78">
        <f t="shared" si="195"/>
        <v>57363</v>
      </c>
      <c r="M302" s="79">
        <v>174</v>
      </c>
      <c r="N302" s="79">
        <v>120</v>
      </c>
      <c r="O302" s="191">
        <f t="shared" si="182"/>
        <v>0.68965517241379315</v>
      </c>
      <c r="P302" s="80">
        <f t="shared" si="226"/>
        <v>304315</v>
      </c>
      <c r="Q302" s="80">
        <f t="shared" si="227"/>
        <v>39561</v>
      </c>
      <c r="R302" s="159">
        <f t="shared" si="228"/>
        <v>6.140092347894921E-7</v>
      </c>
      <c r="S302" s="113">
        <v>0.13</v>
      </c>
      <c r="T302" s="86">
        <v>44629</v>
      </c>
      <c r="U302" s="64">
        <v>2</v>
      </c>
      <c r="V302" s="64"/>
      <c r="W302" s="64"/>
      <c r="X302" s="15">
        <v>1</v>
      </c>
      <c r="Y302" s="15">
        <v>8396223912</v>
      </c>
      <c r="AA302" t="str">
        <f>IF(VLOOKUP(LEFT(Y302,10),'Havi béradatok'!$B:$E,2,0)=D302,"EGYEZIK","HIBÁS")</f>
        <v>EGYEZIK</v>
      </c>
      <c r="AB302">
        <f>(VLOOKUP(LEFT(Y302,10),'Havi béradatok'!$B:$E,3,0)-K302)</f>
        <v>314342.8571428571</v>
      </c>
      <c r="AC302" s="3">
        <f>(VLOOKUP(LEFT(Y302,10),'Havi béradatok'!$B:$E,4,0)-L302)</f>
        <v>40865</v>
      </c>
    </row>
    <row r="303" spans="1:29" s="15" customFormat="1" ht="14.45" customHeight="1" x14ac:dyDescent="0.25">
      <c r="A303" s="38"/>
      <c r="B303" s="38" t="s">
        <v>201</v>
      </c>
      <c r="C303" s="62" t="s">
        <v>177</v>
      </c>
      <c r="D303" s="62" t="s">
        <v>213</v>
      </c>
      <c r="E303" s="62" t="s">
        <v>183</v>
      </c>
      <c r="F303" s="77" t="s">
        <v>166</v>
      </c>
      <c r="G303" s="77" t="s">
        <v>172</v>
      </c>
      <c r="H303" s="174" t="s">
        <v>280</v>
      </c>
      <c r="I303" s="77" t="s">
        <v>11</v>
      </c>
      <c r="J303" s="38" t="s">
        <v>37</v>
      </c>
      <c r="K303" s="6">
        <f>712800/21*8</f>
        <v>271542.85714285716</v>
      </c>
      <c r="L303" s="78">
        <f t="shared" ref="L303" si="229">ROUND(K303*S303,0)</f>
        <v>35301</v>
      </c>
      <c r="M303" s="79">
        <v>174</v>
      </c>
      <c r="N303" s="79">
        <v>120</v>
      </c>
      <c r="O303" s="191">
        <f t="shared" ref="O303" si="230">N303/M303</f>
        <v>0.68965517241379315</v>
      </c>
      <c r="P303" s="80">
        <f t="shared" ref="P303" si="231">ROUND(K303*N303/M303,0)</f>
        <v>187271</v>
      </c>
      <c r="Q303" s="80">
        <f t="shared" ref="Q303" si="232">ROUND(P303*S303,0)</f>
        <v>24345</v>
      </c>
      <c r="R303" s="159">
        <f t="shared" ref="R303" si="233">N303/M303-P303/K303</f>
        <v>-2.3583536501448066E-7</v>
      </c>
      <c r="S303" s="113">
        <v>0.13</v>
      </c>
      <c r="T303" s="86">
        <v>44629</v>
      </c>
      <c r="U303" s="64"/>
      <c r="V303" s="64"/>
      <c r="W303" s="64"/>
      <c r="X303" s="15">
        <v>1</v>
      </c>
      <c r="Y303" s="15">
        <v>8396223912</v>
      </c>
      <c r="AA303" t="str">
        <f>IF(VLOOKUP(LEFT(Y303,10),'Havi béradatok'!$B:$E,2,0)=D303,"EGYEZIK","HIBÁS")</f>
        <v>EGYEZIK</v>
      </c>
      <c r="AB303">
        <f>(VLOOKUP(LEFT(Y303,10),'Havi béradatok'!$B:$E,3,0)-K303)</f>
        <v>484057.14285714284</v>
      </c>
      <c r="AC303" s="3">
        <f>(VLOOKUP(LEFT(Y303,10),'Havi béradatok'!$B:$E,4,0)-L303)</f>
        <v>62927</v>
      </c>
    </row>
    <row r="304" spans="1:29" s="15" customFormat="1" ht="14.45" customHeight="1" x14ac:dyDescent="0.25">
      <c r="A304" s="38"/>
      <c r="B304" s="38" t="s">
        <v>201</v>
      </c>
      <c r="C304" s="62" t="s">
        <v>177</v>
      </c>
      <c r="D304" s="62" t="s">
        <v>213</v>
      </c>
      <c r="E304" s="62" t="s">
        <v>183</v>
      </c>
      <c r="F304" s="77" t="s">
        <v>166</v>
      </c>
      <c r="G304" s="77" t="s">
        <v>172</v>
      </c>
      <c r="H304" s="62" t="s">
        <v>117</v>
      </c>
      <c r="I304" s="77" t="s">
        <v>11</v>
      </c>
      <c r="J304" s="38" t="s">
        <v>37</v>
      </c>
      <c r="K304" s="6">
        <v>704081</v>
      </c>
      <c r="L304" s="78">
        <f t="shared" si="195"/>
        <v>91531</v>
      </c>
      <c r="M304" s="79">
        <v>174</v>
      </c>
      <c r="N304" s="79">
        <v>120</v>
      </c>
      <c r="O304" s="191">
        <f t="shared" si="182"/>
        <v>0.68965517241379315</v>
      </c>
      <c r="P304" s="80">
        <f t="shared" ref="P304:P309" si="234">ROUND(K304*N304/M304,0)</f>
        <v>485573</v>
      </c>
      <c r="Q304" s="80">
        <f t="shared" ref="Q304:Q309" si="235">ROUND(P304*S304,0)</f>
        <v>63124</v>
      </c>
      <c r="R304" s="159">
        <f t="shared" ref="R304:R309" si="236">N304/M304-P304/K304</f>
        <v>1.4692666883142635E-7</v>
      </c>
      <c r="S304" s="113">
        <v>0.13</v>
      </c>
      <c r="T304" s="86">
        <v>44902</v>
      </c>
      <c r="U304" s="64"/>
      <c r="V304" s="64"/>
      <c r="W304" s="64"/>
      <c r="X304" s="15">
        <v>1</v>
      </c>
      <c r="Y304" s="15">
        <v>8396223912</v>
      </c>
      <c r="AA304" t="str">
        <f>IF(VLOOKUP(LEFT(Y304,10),'Havi béradatok'!$B:$E,2,0)=D304,"EGYEZIK","HIBÁS")</f>
        <v>EGYEZIK</v>
      </c>
      <c r="AB304">
        <f>(VLOOKUP(LEFT(Y304,10),'Havi béradatok'!$B:$E,3,0)-K304)</f>
        <v>51519</v>
      </c>
      <c r="AC304" s="3">
        <f>(VLOOKUP(LEFT(Y304,10),'Havi béradatok'!$B:$E,4,0)-L304)</f>
        <v>6697</v>
      </c>
    </row>
    <row r="305" spans="1:29" s="15" customFormat="1" ht="14.45" customHeight="1" x14ac:dyDescent="0.25">
      <c r="A305" s="38"/>
      <c r="B305" s="38" t="s">
        <v>201</v>
      </c>
      <c r="C305" s="62" t="s">
        <v>177</v>
      </c>
      <c r="D305" s="62" t="s">
        <v>213</v>
      </c>
      <c r="E305" s="62" t="s">
        <v>183</v>
      </c>
      <c r="F305" s="77" t="s">
        <v>166</v>
      </c>
      <c r="G305" s="77" t="s">
        <v>172</v>
      </c>
      <c r="H305" s="62" t="s">
        <v>118</v>
      </c>
      <c r="I305" s="77" t="s">
        <v>11</v>
      </c>
      <c r="J305" s="38" t="s">
        <v>37</v>
      </c>
      <c r="K305" s="6">
        <v>755600</v>
      </c>
      <c r="L305" s="78">
        <f t="shared" si="195"/>
        <v>98228</v>
      </c>
      <c r="M305" s="79">
        <v>174</v>
      </c>
      <c r="N305" s="79">
        <v>120</v>
      </c>
      <c r="O305" s="191">
        <f t="shared" si="182"/>
        <v>0.68965517241379315</v>
      </c>
      <c r="P305" s="80">
        <f t="shared" si="234"/>
        <v>521103</v>
      </c>
      <c r="Q305" s="80">
        <f t="shared" si="235"/>
        <v>67743</v>
      </c>
      <c r="R305" s="159">
        <f t="shared" si="236"/>
        <v>5.9327138979270444E-7</v>
      </c>
      <c r="S305" s="113">
        <v>0.13</v>
      </c>
      <c r="T305" s="86">
        <v>44902</v>
      </c>
      <c r="U305" s="64"/>
      <c r="V305" s="64"/>
      <c r="W305" s="64"/>
      <c r="X305" s="15">
        <v>1</v>
      </c>
      <c r="Y305" s="15">
        <v>8396223912</v>
      </c>
      <c r="AA305" t="str">
        <f>IF(VLOOKUP(LEFT(Y305,10),'Havi béradatok'!$B:$E,2,0)=D305,"EGYEZIK","HIBÁS")</f>
        <v>EGYEZIK</v>
      </c>
      <c r="AB305">
        <f>(VLOOKUP(LEFT(Y305,10),'Havi béradatok'!$B:$E,3,0)-K305)</f>
        <v>0</v>
      </c>
      <c r="AC305" s="3">
        <f>(VLOOKUP(LEFT(Y305,10),'Havi béradatok'!$B:$E,4,0)-L305)</f>
        <v>0</v>
      </c>
    </row>
    <row r="306" spans="1:29" s="15" customFormat="1" ht="14.45" customHeight="1" x14ac:dyDescent="0.25">
      <c r="A306" s="38"/>
      <c r="B306" s="38" t="s">
        <v>201</v>
      </c>
      <c r="C306" s="62" t="s">
        <v>177</v>
      </c>
      <c r="D306" s="62" t="s">
        <v>213</v>
      </c>
      <c r="E306" s="62" t="s">
        <v>183</v>
      </c>
      <c r="F306" s="77" t="s">
        <v>166</v>
      </c>
      <c r="G306" s="77" t="s">
        <v>172</v>
      </c>
      <c r="H306" s="62" t="s">
        <v>119</v>
      </c>
      <c r="I306" s="77" t="s">
        <v>11</v>
      </c>
      <c r="J306" s="38" t="s">
        <v>37</v>
      </c>
      <c r="K306" s="6">
        <v>755600</v>
      </c>
      <c r="L306" s="78">
        <f t="shared" si="195"/>
        <v>98228</v>
      </c>
      <c r="M306" s="79">
        <v>174</v>
      </c>
      <c r="N306" s="79">
        <v>35</v>
      </c>
      <c r="O306" s="191">
        <f t="shared" si="182"/>
        <v>0.20114942528735633</v>
      </c>
      <c r="P306" s="80">
        <f t="shared" si="234"/>
        <v>151989</v>
      </c>
      <c r="Q306" s="80">
        <f t="shared" si="235"/>
        <v>19759</v>
      </c>
      <c r="R306" s="159">
        <f t="shared" si="236"/>
        <v>-6.5411973737550255E-7</v>
      </c>
      <c r="S306" s="113">
        <v>0.13</v>
      </c>
      <c r="T306" s="86">
        <v>44972</v>
      </c>
      <c r="U306" s="64"/>
      <c r="V306" s="64"/>
      <c r="W306" s="64"/>
      <c r="X306" s="15">
        <v>1</v>
      </c>
      <c r="Y306" s="15">
        <v>8396223912</v>
      </c>
      <c r="AA306" t="str">
        <f>IF(VLOOKUP(LEFT(Y306,10),'Havi béradatok'!$B:$E,2,0)=D306,"EGYEZIK","HIBÁS")</f>
        <v>EGYEZIK</v>
      </c>
      <c r="AB306">
        <f>(VLOOKUP(LEFT(Y306,10),'Havi béradatok'!$B:$E,3,0)-K306)</f>
        <v>0</v>
      </c>
      <c r="AC306" s="3">
        <f>(VLOOKUP(LEFT(Y306,10),'Havi béradatok'!$B:$E,4,0)-L306)</f>
        <v>0</v>
      </c>
    </row>
    <row r="307" spans="1:29" s="15" customFormat="1" ht="14.45" hidden="1" customHeight="1" x14ac:dyDescent="0.25">
      <c r="A307" s="38"/>
      <c r="B307" s="38" t="s">
        <v>201</v>
      </c>
      <c r="C307" s="62" t="s">
        <v>177</v>
      </c>
      <c r="D307" s="62" t="s">
        <v>213</v>
      </c>
      <c r="E307" s="62" t="s">
        <v>183</v>
      </c>
      <c r="F307" s="77" t="s">
        <v>166</v>
      </c>
      <c r="G307" s="77" t="s">
        <v>172</v>
      </c>
      <c r="H307" s="62" t="s">
        <v>120</v>
      </c>
      <c r="I307" s="77" t="s">
        <v>12</v>
      </c>
      <c r="J307" s="38" t="s">
        <v>37</v>
      </c>
      <c r="K307" s="6">
        <v>755600</v>
      </c>
      <c r="L307" s="78">
        <f t="shared" si="195"/>
        <v>98228</v>
      </c>
      <c r="M307" s="79">
        <v>174</v>
      </c>
      <c r="N307" s="79">
        <v>35</v>
      </c>
      <c r="O307" s="191">
        <f t="shared" si="182"/>
        <v>0.20114942528735633</v>
      </c>
      <c r="P307" s="80">
        <f t="shared" si="234"/>
        <v>151989</v>
      </c>
      <c r="Q307" s="80">
        <f t="shared" si="235"/>
        <v>19759</v>
      </c>
      <c r="R307" s="159">
        <f t="shared" si="236"/>
        <v>-6.5411973737550255E-7</v>
      </c>
      <c r="S307" s="113">
        <v>0.13</v>
      </c>
      <c r="T307" s="86">
        <v>44972</v>
      </c>
      <c r="U307" s="64"/>
      <c r="V307" s="64"/>
      <c r="W307" s="64"/>
      <c r="X307" s="15">
        <v>1</v>
      </c>
      <c r="Y307" s="15">
        <v>8396223912</v>
      </c>
    </row>
    <row r="308" spans="1:29" s="15" customFormat="1" ht="14.45" hidden="1" customHeight="1" x14ac:dyDescent="0.25">
      <c r="A308" s="38"/>
      <c r="B308" s="38" t="s">
        <v>201</v>
      </c>
      <c r="C308" s="62" t="s">
        <v>177</v>
      </c>
      <c r="D308" s="62" t="s">
        <v>213</v>
      </c>
      <c r="E308" s="62" t="s">
        <v>183</v>
      </c>
      <c r="F308" s="77" t="s">
        <v>166</v>
      </c>
      <c r="G308" s="77" t="s">
        <v>172</v>
      </c>
      <c r="H308" s="62" t="s">
        <v>121</v>
      </c>
      <c r="I308" s="77" t="s">
        <v>12</v>
      </c>
      <c r="J308" s="38" t="s">
        <v>37</v>
      </c>
      <c r="K308" s="6">
        <v>755600</v>
      </c>
      <c r="L308" s="78">
        <f t="shared" si="195"/>
        <v>98228</v>
      </c>
      <c r="M308" s="79">
        <v>174</v>
      </c>
      <c r="N308" s="79">
        <v>35</v>
      </c>
      <c r="O308" s="191">
        <f t="shared" si="182"/>
        <v>0.20114942528735633</v>
      </c>
      <c r="P308" s="80">
        <f t="shared" si="234"/>
        <v>151989</v>
      </c>
      <c r="Q308" s="80">
        <f t="shared" si="235"/>
        <v>19759</v>
      </c>
      <c r="R308" s="159">
        <f t="shared" si="236"/>
        <v>-6.5411973737550255E-7</v>
      </c>
      <c r="S308" s="113">
        <v>0.13</v>
      </c>
      <c r="T308" s="86">
        <v>44972</v>
      </c>
      <c r="U308" s="64" t="s">
        <v>278</v>
      </c>
      <c r="V308" s="64"/>
      <c r="W308" s="64"/>
      <c r="X308" s="15">
        <v>1</v>
      </c>
      <c r="Y308" s="15">
        <v>8396223912</v>
      </c>
    </row>
    <row r="309" spans="1:29" s="15" customFormat="1" ht="14.45" hidden="1" customHeight="1" x14ac:dyDescent="0.25">
      <c r="A309" s="38"/>
      <c r="B309" s="38" t="s">
        <v>201</v>
      </c>
      <c r="C309" s="62" t="s">
        <v>177</v>
      </c>
      <c r="D309" s="62" t="s">
        <v>213</v>
      </c>
      <c r="E309" s="62" t="s">
        <v>183</v>
      </c>
      <c r="F309" s="77" t="s">
        <v>166</v>
      </c>
      <c r="G309" s="77" t="s">
        <v>172</v>
      </c>
      <c r="H309" s="62" t="s">
        <v>122</v>
      </c>
      <c r="I309" s="77" t="s">
        <v>12</v>
      </c>
      <c r="J309" s="38" t="s">
        <v>37</v>
      </c>
      <c r="K309" s="6">
        <v>755600</v>
      </c>
      <c r="L309" s="78">
        <f t="shared" si="195"/>
        <v>98228</v>
      </c>
      <c r="M309" s="79">
        <v>174</v>
      </c>
      <c r="N309" s="79">
        <v>35</v>
      </c>
      <c r="O309" s="191">
        <f t="shared" si="182"/>
        <v>0.20114942528735633</v>
      </c>
      <c r="P309" s="80">
        <f t="shared" si="234"/>
        <v>151989</v>
      </c>
      <c r="Q309" s="80">
        <f t="shared" si="235"/>
        <v>19759</v>
      </c>
      <c r="R309" s="159">
        <f t="shared" si="236"/>
        <v>-6.5411973737550255E-7</v>
      </c>
      <c r="S309" s="113">
        <v>0.13</v>
      </c>
      <c r="T309" s="86">
        <v>44972</v>
      </c>
      <c r="U309" s="64"/>
      <c r="V309" s="64"/>
      <c r="W309" s="64"/>
      <c r="X309" s="15">
        <v>1</v>
      </c>
      <c r="Y309" s="15">
        <v>8396223912</v>
      </c>
    </row>
    <row r="310" spans="1:29" s="15" customFormat="1" ht="14.45" customHeight="1" x14ac:dyDescent="0.25">
      <c r="A310" s="38"/>
      <c r="B310" s="38" t="s">
        <v>181</v>
      </c>
      <c r="C310" s="62" t="s">
        <v>177</v>
      </c>
      <c r="D310" s="62" t="s">
        <v>203</v>
      </c>
      <c r="E310" s="62" t="s">
        <v>179</v>
      </c>
      <c r="F310" s="77" t="s">
        <v>169</v>
      </c>
      <c r="G310" s="77" t="s">
        <v>174</v>
      </c>
      <c r="H310" s="62" t="s">
        <v>85</v>
      </c>
      <c r="I310" s="77" t="s">
        <v>11</v>
      </c>
      <c r="J310" s="38" t="s">
        <v>37</v>
      </c>
      <c r="K310" s="6">
        <v>75000</v>
      </c>
      <c r="L310" s="78">
        <f t="shared" si="195"/>
        <v>9750</v>
      </c>
      <c r="M310" s="79">
        <v>44</v>
      </c>
      <c r="N310" s="79">
        <v>44</v>
      </c>
      <c r="O310" s="191">
        <f t="shared" ref="O310:O379" si="237">N310/M310</f>
        <v>1</v>
      </c>
      <c r="P310" s="80">
        <f t="shared" si="186"/>
        <v>75000</v>
      </c>
      <c r="Q310" s="80">
        <f t="shared" si="196"/>
        <v>9750</v>
      </c>
      <c r="R310" s="159">
        <f t="shared" si="187"/>
        <v>0</v>
      </c>
      <c r="S310" s="113">
        <v>0.13</v>
      </c>
      <c r="T310" s="86">
        <v>44574</v>
      </c>
      <c r="U310" s="64">
        <v>1</v>
      </c>
      <c r="V310" s="64"/>
      <c r="W310" s="64"/>
      <c r="X310" s="15">
        <v>1</v>
      </c>
      <c r="Y310" s="15" t="str">
        <f>VLOOKUP(B310,[1]Sheet1!$C$2:$D$906,2,0)</f>
        <v>8488690673</v>
      </c>
    </row>
    <row r="311" spans="1:29" s="15" customFormat="1" ht="14.45" customHeight="1" x14ac:dyDescent="0.25">
      <c r="A311" s="38"/>
      <c r="B311" s="38" t="s">
        <v>181</v>
      </c>
      <c r="C311" s="62" t="s">
        <v>177</v>
      </c>
      <c r="D311" s="62" t="s">
        <v>203</v>
      </c>
      <c r="E311" s="62" t="s">
        <v>179</v>
      </c>
      <c r="F311" s="77" t="s">
        <v>169</v>
      </c>
      <c r="G311" s="77" t="s">
        <v>174</v>
      </c>
      <c r="H311" s="62" t="s">
        <v>86</v>
      </c>
      <c r="I311" s="77" t="s">
        <v>11</v>
      </c>
      <c r="J311" s="38" t="s">
        <v>37</v>
      </c>
      <c r="K311" s="6">
        <v>75000</v>
      </c>
      <c r="L311" s="78">
        <v>0</v>
      </c>
      <c r="M311" s="79">
        <v>44</v>
      </c>
      <c r="N311" s="79">
        <v>44</v>
      </c>
      <c r="O311" s="191">
        <f t="shared" si="237"/>
        <v>1</v>
      </c>
      <c r="P311" s="80">
        <f t="shared" si="186"/>
        <v>75000</v>
      </c>
      <c r="Q311" s="80">
        <v>9750</v>
      </c>
      <c r="R311" s="159">
        <f t="shared" si="187"/>
        <v>0</v>
      </c>
      <c r="S311" s="113">
        <v>0.13</v>
      </c>
      <c r="T311" s="86">
        <v>44574</v>
      </c>
      <c r="U311" s="64">
        <v>1</v>
      </c>
      <c r="V311" s="64"/>
      <c r="W311" s="64"/>
      <c r="X311" s="15">
        <v>1</v>
      </c>
      <c r="Y311" s="15" t="str">
        <f>VLOOKUP(B311,[1]Sheet1!$C$2:$D$906,2,0)</f>
        <v>8488690673</v>
      </c>
    </row>
    <row r="312" spans="1:29" s="15" customFormat="1" ht="14.45" customHeight="1" x14ac:dyDescent="0.25">
      <c r="A312" s="38"/>
      <c r="B312" s="38" t="s">
        <v>181</v>
      </c>
      <c r="C312" s="62" t="s">
        <v>177</v>
      </c>
      <c r="D312" s="62" t="s">
        <v>203</v>
      </c>
      <c r="E312" s="62" t="s">
        <v>179</v>
      </c>
      <c r="F312" s="77" t="s">
        <v>169</v>
      </c>
      <c r="G312" s="77" t="s">
        <v>174</v>
      </c>
      <c r="H312" s="62" t="s">
        <v>87</v>
      </c>
      <c r="I312" s="77" t="s">
        <v>11</v>
      </c>
      <c r="J312" s="38" t="s">
        <v>37</v>
      </c>
      <c r="K312" s="6">
        <v>75000</v>
      </c>
      <c r="L312" s="78">
        <v>0</v>
      </c>
      <c r="M312" s="79">
        <v>44</v>
      </c>
      <c r="N312" s="79">
        <v>44</v>
      </c>
      <c r="O312" s="191">
        <f t="shared" si="237"/>
        <v>1</v>
      </c>
      <c r="P312" s="80">
        <f t="shared" si="186"/>
        <v>75000</v>
      </c>
      <c r="Q312" s="80">
        <v>9750</v>
      </c>
      <c r="R312" s="159">
        <f t="shared" si="187"/>
        <v>0</v>
      </c>
      <c r="S312" s="113">
        <v>0.13</v>
      </c>
      <c r="T312" s="86">
        <v>44574</v>
      </c>
      <c r="U312" s="64">
        <v>1</v>
      </c>
      <c r="V312" s="64"/>
      <c r="W312" s="64"/>
      <c r="X312" s="15">
        <v>1</v>
      </c>
      <c r="Y312" s="15" t="str">
        <f>VLOOKUP(B312,[1]Sheet1!$C$2:$D$906,2,0)</f>
        <v>8488690673</v>
      </c>
    </row>
    <row r="313" spans="1:29" s="15" customFormat="1" ht="14.45" customHeight="1" x14ac:dyDescent="0.25">
      <c r="A313" s="38"/>
      <c r="B313" s="38" t="s">
        <v>181</v>
      </c>
      <c r="C313" s="62" t="s">
        <v>177</v>
      </c>
      <c r="D313" s="62" t="s">
        <v>203</v>
      </c>
      <c r="E313" s="62" t="s">
        <v>179</v>
      </c>
      <c r="F313" s="77" t="s">
        <v>169</v>
      </c>
      <c r="G313" s="77" t="s">
        <v>174</v>
      </c>
      <c r="H313" s="62" t="s">
        <v>88</v>
      </c>
      <c r="I313" s="77" t="s">
        <v>11</v>
      </c>
      <c r="J313" s="38" t="s">
        <v>37</v>
      </c>
      <c r="K313" s="6">
        <v>75000</v>
      </c>
      <c r="L313" s="78">
        <v>0</v>
      </c>
      <c r="M313" s="79">
        <v>44</v>
      </c>
      <c r="N313" s="79">
        <v>44</v>
      </c>
      <c r="O313" s="191">
        <f t="shared" si="237"/>
        <v>1</v>
      </c>
      <c r="P313" s="80">
        <f t="shared" si="186"/>
        <v>75000</v>
      </c>
      <c r="Q313" s="80">
        <v>9750</v>
      </c>
      <c r="R313" s="159">
        <f t="shared" si="187"/>
        <v>0</v>
      </c>
      <c r="S313" s="113">
        <v>0.13</v>
      </c>
      <c r="T313" s="86">
        <v>44574</v>
      </c>
      <c r="U313" s="64">
        <v>1</v>
      </c>
      <c r="V313" s="64"/>
      <c r="W313" s="64"/>
      <c r="X313" s="15">
        <v>1</v>
      </c>
      <c r="Y313" s="15" t="str">
        <f>VLOOKUP(B313,[1]Sheet1!$C$2:$D$906,2,0)</f>
        <v>8488690673</v>
      </c>
    </row>
    <row r="314" spans="1:29" s="15" customFormat="1" ht="14.45" customHeight="1" x14ac:dyDescent="0.25">
      <c r="A314" s="38"/>
      <c r="B314" s="38" t="s">
        <v>181</v>
      </c>
      <c r="C314" s="62" t="s">
        <v>177</v>
      </c>
      <c r="D314" s="62" t="s">
        <v>203</v>
      </c>
      <c r="E314" s="62" t="s">
        <v>179</v>
      </c>
      <c r="F314" s="77" t="s">
        <v>169</v>
      </c>
      <c r="G314" s="77" t="s">
        <v>174</v>
      </c>
      <c r="H314" s="62" t="s">
        <v>89</v>
      </c>
      <c r="I314" s="77" t="s">
        <v>11</v>
      </c>
      <c r="J314" s="38" t="s">
        <v>37</v>
      </c>
      <c r="K314" s="6">
        <v>75000</v>
      </c>
      <c r="L314" s="78">
        <v>0</v>
      </c>
      <c r="M314" s="79">
        <v>44</v>
      </c>
      <c r="N314" s="79">
        <v>44</v>
      </c>
      <c r="O314" s="191">
        <f t="shared" si="237"/>
        <v>1</v>
      </c>
      <c r="P314" s="80">
        <f t="shared" si="186"/>
        <v>75000</v>
      </c>
      <c r="Q314" s="180">
        <v>0</v>
      </c>
      <c r="R314" s="159">
        <f t="shared" si="187"/>
        <v>0</v>
      </c>
      <c r="S314" s="113">
        <v>0.13</v>
      </c>
      <c r="T314" s="86">
        <v>44574</v>
      </c>
      <c r="U314" s="64">
        <v>2</v>
      </c>
      <c r="V314" s="64"/>
      <c r="W314" s="64"/>
      <c r="X314" s="15">
        <v>1</v>
      </c>
      <c r="Y314" s="15" t="str">
        <f>VLOOKUP(B314,[1]Sheet1!$C$2:$D$906,2,0)</f>
        <v>8488690673</v>
      </c>
    </row>
    <row r="315" spans="1:29" s="15" customFormat="1" ht="14.45" customHeight="1" x14ac:dyDescent="0.25">
      <c r="A315" s="38"/>
      <c r="B315" s="38" t="s">
        <v>181</v>
      </c>
      <c r="C315" s="62" t="s">
        <v>177</v>
      </c>
      <c r="D315" s="62" t="s">
        <v>203</v>
      </c>
      <c r="E315" s="62" t="s">
        <v>179</v>
      </c>
      <c r="F315" s="77" t="s">
        <v>169</v>
      </c>
      <c r="G315" s="77" t="s">
        <v>174</v>
      </c>
      <c r="H315" s="62" t="s">
        <v>90</v>
      </c>
      <c r="I315" s="77" t="s">
        <v>11</v>
      </c>
      <c r="J315" s="38" t="s">
        <v>37</v>
      </c>
      <c r="K315" s="6">
        <v>75000</v>
      </c>
      <c r="L315" s="78">
        <v>0</v>
      </c>
      <c r="M315" s="79">
        <v>44</v>
      </c>
      <c r="N315" s="79">
        <v>44</v>
      </c>
      <c r="O315" s="191">
        <f t="shared" si="237"/>
        <v>1</v>
      </c>
      <c r="P315" s="80">
        <f t="shared" si="186"/>
        <v>75000</v>
      </c>
      <c r="Q315" s="80">
        <v>0</v>
      </c>
      <c r="R315" s="159">
        <f t="shared" si="187"/>
        <v>0</v>
      </c>
      <c r="S315" s="113">
        <v>0.13</v>
      </c>
      <c r="T315" s="86">
        <v>44574</v>
      </c>
      <c r="U315" s="64">
        <v>2</v>
      </c>
      <c r="V315" s="64"/>
      <c r="W315" s="64"/>
      <c r="X315" s="15">
        <v>1</v>
      </c>
      <c r="Y315" s="15" t="str">
        <f>VLOOKUP(B315,[1]Sheet1!$C$2:$D$906,2,0)</f>
        <v>8488690673</v>
      </c>
    </row>
    <row r="316" spans="1:29" s="15" customFormat="1" ht="14.45" customHeight="1" x14ac:dyDescent="0.25">
      <c r="A316" s="38"/>
      <c r="B316" s="38" t="s">
        <v>181</v>
      </c>
      <c r="C316" s="62" t="s">
        <v>177</v>
      </c>
      <c r="D316" s="62" t="s">
        <v>203</v>
      </c>
      <c r="E316" s="62" t="s">
        <v>179</v>
      </c>
      <c r="F316" s="77" t="s">
        <v>169</v>
      </c>
      <c r="G316" s="77" t="s">
        <v>174</v>
      </c>
      <c r="H316" s="62" t="s">
        <v>91</v>
      </c>
      <c r="I316" s="77" t="s">
        <v>11</v>
      </c>
      <c r="J316" s="38" t="s">
        <v>37</v>
      </c>
      <c r="K316" s="6">
        <v>75000</v>
      </c>
      <c r="L316" s="175">
        <v>0</v>
      </c>
      <c r="M316" s="79">
        <v>44</v>
      </c>
      <c r="N316" s="79">
        <v>44</v>
      </c>
      <c r="O316" s="191">
        <f t="shared" si="237"/>
        <v>1</v>
      </c>
      <c r="P316" s="80">
        <f t="shared" si="186"/>
        <v>75000</v>
      </c>
      <c r="Q316" s="180">
        <v>0</v>
      </c>
      <c r="R316" s="159">
        <f t="shared" si="187"/>
        <v>0</v>
      </c>
      <c r="S316" s="113">
        <v>0.13</v>
      </c>
      <c r="T316" s="86">
        <v>44574</v>
      </c>
      <c r="U316" s="64">
        <v>2</v>
      </c>
      <c r="V316" s="64"/>
      <c r="W316" s="64"/>
      <c r="X316" s="15">
        <v>1</v>
      </c>
      <c r="Y316" s="15" t="str">
        <f>VLOOKUP(B316,[1]Sheet1!$C$2:$D$906,2,0)</f>
        <v>8488690673</v>
      </c>
    </row>
    <row r="317" spans="1:29" s="15" customFormat="1" ht="14.45" customHeight="1" x14ac:dyDescent="0.25">
      <c r="A317" s="38"/>
      <c r="B317" s="173" t="s">
        <v>181</v>
      </c>
      <c r="C317" s="62" t="s">
        <v>177</v>
      </c>
      <c r="D317" s="62" t="s">
        <v>203</v>
      </c>
      <c r="E317" s="62" t="s">
        <v>179</v>
      </c>
      <c r="F317" s="77" t="s">
        <v>169</v>
      </c>
      <c r="G317" s="77" t="s">
        <v>174</v>
      </c>
      <c r="H317" s="62" t="s">
        <v>92</v>
      </c>
      <c r="I317" s="77" t="s">
        <v>11</v>
      </c>
      <c r="J317" s="38" t="s">
        <v>37</v>
      </c>
      <c r="K317" s="6">
        <v>75000</v>
      </c>
      <c r="L317" s="175">
        <v>0</v>
      </c>
      <c r="M317" s="79">
        <v>44</v>
      </c>
      <c r="N317" s="79">
        <v>44</v>
      </c>
      <c r="O317" s="191">
        <f t="shared" si="237"/>
        <v>1</v>
      </c>
      <c r="P317" s="80">
        <f t="shared" si="186"/>
        <v>75000</v>
      </c>
      <c r="Q317" s="80">
        <v>0</v>
      </c>
      <c r="R317" s="159">
        <f t="shared" si="187"/>
        <v>0</v>
      </c>
      <c r="S317" s="113">
        <v>0.13</v>
      </c>
      <c r="T317" s="86">
        <v>44574</v>
      </c>
      <c r="U317" s="64">
        <v>2</v>
      </c>
      <c r="V317" s="64"/>
      <c r="W317" s="64"/>
      <c r="X317" s="15">
        <v>1</v>
      </c>
      <c r="Y317" s="15" t="str">
        <f>VLOOKUP(B317,[1]Sheet1!$C$2:$D$906,2,0)</f>
        <v>8488690673</v>
      </c>
    </row>
    <row r="318" spans="1:29" s="15" customFormat="1" ht="14.45" customHeight="1" x14ac:dyDescent="0.25">
      <c r="A318" s="38"/>
      <c r="B318" s="173" t="s">
        <v>181</v>
      </c>
      <c r="C318" s="62" t="s">
        <v>177</v>
      </c>
      <c r="D318" s="62" t="s">
        <v>203</v>
      </c>
      <c r="E318" s="62" t="s">
        <v>179</v>
      </c>
      <c r="F318" s="77" t="s">
        <v>169</v>
      </c>
      <c r="G318" s="77" t="s">
        <v>174</v>
      </c>
      <c r="H318" s="62" t="s">
        <v>93</v>
      </c>
      <c r="I318" s="77" t="s">
        <v>11</v>
      </c>
      <c r="J318" s="38" t="s">
        <v>37</v>
      </c>
      <c r="K318" s="6">
        <v>75000</v>
      </c>
      <c r="L318" s="175">
        <v>0</v>
      </c>
      <c r="M318" s="79">
        <v>44</v>
      </c>
      <c r="N318" s="79">
        <v>44</v>
      </c>
      <c r="O318" s="191">
        <f t="shared" si="237"/>
        <v>1</v>
      </c>
      <c r="P318" s="80">
        <f t="shared" si="186"/>
        <v>75000</v>
      </c>
      <c r="Q318" s="80">
        <v>0</v>
      </c>
      <c r="R318" s="159">
        <f t="shared" si="187"/>
        <v>0</v>
      </c>
      <c r="S318" s="113">
        <v>0.13</v>
      </c>
      <c r="T318" s="86">
        <v>44574</v>
      </c>
      <c r="U318" s="64">
        <v>2</v>
      </c>
      <c r="V318" s="64"/>
      <c r="W318" s="64"/>
      <c r="X318" s="15">
        <v>1</v>
      </c>
      <c r="Y318" s="15" t="str">
        <f>VLOOKUP(B318,[1]Sheet1!$C$2:$D$906,2,0)</f>
        <v>8488690673</v>
      </c>
    </row>
    <row r="319" spans="1:29" s="15" customFormat="1" ht="14.45" customHeight="1" x14ac:dyDescent="0.25">
      <c r="A319" s="38"/>
      <c r="B319" s="173" t="s">
        <v>181</v>
      </c>
      <c r="C319" s="62" t="s">
        <v>177</v>
      </c>
      <c r="D319" s="62" t="s">
        <v>203</v>
      </c>
      <c r="E319" s="62" t="s">
        <v>179</v>
      </c>
      <c r="F319" s="77" t="s">
        <v>169</v>
      </c>
      <c r="G319" s="77" t="s">
        <v>174</v>
      </c>
      <c r="H319" s="62" t="s">
        <v>94</v>
      </c>
      <c r="I319" s="77" t="s">
        <v>11</v>
      </c>
      <c r="J319" s="38" t="s">
        <v>37</v>
      </c>
      <c r="K319" s="6">
        <v>75000</v>
      </c>
      <c r="L319" s="175">
        <v>0</v>
      </c>
      <c r="M319" s="79">
        <v>44</v>
      </c>
      <c r="N319" s="79">
        <v>44</v>
      </c>
      <c r="O319" s="191">
        <f t="shared" si="237"/>
        <v>1</v>
      </c>
      <c r="P319" s="80">
        <f t="shared" si="186"/>
        <v>75000</v>
      </c>
      <c r="Q319" s="80">
        <v>0</v>
      </c>
      <c r="R319" s="159">
        <f t="shared" si="187"/>
        <v>0</v>
      </c>
      <c r="S319" s="113">
        <v>0.13</v>
      </c>
      <c r="T319" s="86">
        <v>44574</v>
      </c>
      <c r="U319" s="64">
        <v>2</v>
      </c>
      <c r="V319" s="64"/>
      <c r="W319" s="64"/>
      <c r="X319" s="15">
        <v>1</v>
      </c>
      <c r="Y319" s="15" t="str">
        <f>VLOOKUP(B319,[1]Sheet1!$C$2:$D$906,2,0)</f>
        <v>8488690673</v>
      </c>
    </row>
    <row r="320" spans="1:29" s="15" customFormat="1" ht="14.45" customHeight="1" x14ac:dyDescent="0.25">
      <c r="A320" s="38"/>
      <c r="B320" s="173" t="s">
        <v>181</v>
      </c>
      <c r="C320" s="62" t="s">
        <v>177</v>
      </c>
      <c r="D320" s="62" t="s">
        <v>203</v>
      </c>
      <c r="E320" s="62" t="s">
        <v>179</v>
      </c>
      <c r="F320" s="77" t="s">
        <v>169</v>
      </c>
      <c r="G320" s="77" t="s">
        <v>174</v>
      </c>
      <c r="H320" s="174" t="s">
        <v>281</v>
      </c>
      <c r="I320" s="77" t="s">
        <v>11</v>
      </c>
      <c r="J320" s="38" t="s">
        <v>37</v>
      </c>
      <c r="K320" s="6">
        <f>75000/21*13</f>
        <v>46428.571428571428</v>
      </c>
      <c r="L320" s="175">
        <v>0</v>
      </c>
      <c r="M320" s="79">
        <v>44</v>
      </c>
      <c r="N320" s="79">
        <v>44</v>
      </c>
      <c r="O320" s="191">
        <f t="shared" si="237"/>
        <v>1</v>
      </c>
      <c r="P320" s="80">
        <f t="shared" si="186"/>
        <v>46429</v>
      </c>
      <c r="Q320" s="80">
        <v>0</v>
      </c>
      <c r="R320" s="159">
        <f t="shared" si="187"/>
        <v>-9.230769230761382E-6</v>
      </c>
      <c r="S320" s="113">
        <v>0.13</v>
      </c>
      <c r="T320" s="86">
        <v>44574</v>
      </c>
      <c r="U320" s="64">
        <v>2</v>
      </c>
      <c r="V320" s="64"/>
      <c r="W320" s="64"/>
      <c r="X320" s="15">
        <v>1</v>
      </c>
      <c r="Y320" s="15" t="str">
        <f>VLOOKUP(B320,[1]Sheet1!$C$2:$D$906,2,0)</f>
        <v>8488690673</v>
      </c>
      <c r="AA320" t="e">
        <f>IF(VLOOKUP(LEFT(Y320,10),'Havi béradatok'!$B:$E,2,0)=D320,"EGYEZIK","HIBÁS")</f>
        <v>#N/A</v>
      </c>
      <c r="AB320" t="e">
        <f>(VLOOKUP(LEFT(Y320,10),'Havi béradatok'!$B:$E,3,0)-K320)</f>
        <v>#N/A</v>
      </c>
      <c r="AC320" s="3" t="e">
        <f>(VLOOKUP(LEFT(Y320,10),'Havi béradatok'!$B:$E,4,0)-L320)</f>
        <v>#N/A</v>
      </c>
    </row>
    <row r="321" spans="1:29" s="15" customFormat="1" ht="14.45" customHeight="1" x14ac:dyDescent="0.25">
      <c r="A321" s="38"/>
      <c r="B321" s="173" t="s">
        <v>181</v>
      </c>
      <c r="C321" s="62" t="s">
        <v>177</v>
      </c>
      <c r="D321" s="62" t="s">
        <v>203</v>
      </c>
      <c r="E321" s="62" t="s">
        <v>179</v>
      </c>
      <c r="F321" s="77" t="s">
        <v>169</v>
      </c>
      <c r="G321" s="77" t="s">
        <v>174</v>
      </c>
      <c r="H321" s="174" t="s">
        <v>280</v>
      </c>
      <c r="I321" s="77" t="s">
        <v>11</v>
      </c>
      <c r="J321" s="38" t="s">
        <v>37</v>
      </c>
      <c r="K321" s="6">
        <f>75000/21*8</f>
        <v>28571.428571428572</v>
      </c>
      <c r="L321" s="175">
        <v>0</v>
      </c>
      <c r="M321" s="79">
        <v>44</v>
      </c>
      <c r="N321" s="79">
        <v>44</v>
      </c>
      <c r="O321" s="191">
        <f t="shared" ref="O321" si="238">N321/M321</f>
        <v>1</v>
      </c>
      <c r="P321" s="80">
        <f t="shared" ref="P321" si="239">ROUND(K321*N321/M321,0)</f>
        <v>28571</v>
      </c>
      <c r="Q321" s="80">
        <v>0</v>
      </c>
      <c r="R321" s="159">
        <f t="shared" ref="R321" si="240">N321/M321-P321/K321</f>
        <v>1.4999999999987246E-5</v>
      </c>
      <c r="S321" s="113">
        <v>0.13</v>
      </c>
      <c r="T321" s="86">
        <v>44574</v>
      </c>
      <c r="U321" s="64"/>
      <c r="V321" s="64"/>
      <c r="W321" s="64"/>
      <c r="X321" s="15">
        <v>1</v>
      </c>
      <c r="Y321" s="15" t="str">
        <f>VLOOKUP(B321,[1]Sheet1!$C$2:$D$906,2,0)</f>
        <v>8488690673</v>
      </c>
      <c r="AA321" t="e">
        <f>IF(VLOOKUP(LEFT(Y321,10),'Havi béradatok'!$B:$E,2,0)=D321,"EGYEZIK","HIBÁS")</f>
        <v>#N/A</v>
      </c>
      <c r="AB321" t="e">
        <f>(VLOOKUP(LEFT(Y321,10),'Havi béradatok'!$B:$E,3,0)-K321)</f>
        <v>#N/A</v>
      </c>
      <c r="AC321" s="3" t="e">
        <f>(VLOOKUP(LEFT(Y321,10),'Havi béradatok'!$B:$E,4,0)-L321)</f>
        <v>#N/A</v>
      </c>
    </row>
    <row r="322" spans="1:29" s="15" customFormat="1" ht="14.45" customHeight="1" x14ac:dyDescent="0.25">
      <c r="A322" s="38"/>
      <c r="B322" s="173" t="s">
        <v>181</v>
      </c>
      <c r="C322" s="62" t="s">
        <v>177</v>
      </c>
      <c r="D322" s="62" t="s">
        <v>203</v>
      </c>
      <c r="E322" s="62" t="s">
        <v>179</v>
      </c>
      <c r="F322" s="77" t="s">
        <v>169</v>
      </c>
      <c r="G322" s="77" t="s">
        <v>174</v>
      </c>
      <c r="H322" s="62" t="s">
        <v>117</v>
      </c>
      <c r="I322" s="77" t="s">
        <v>11</v>
      </c>
      <c r="J322" s="38" t="s">
        <v>37</v>
      </c>
      <c r="K322" s="6">
        <v>0</v>
      </c>
      <c r="L322" s="175">
        <v>0</v>
      </c>
      <c r="M322" s="79">
        <v>44</v>
      </c>
      <c r="N322" s="79">
        <v>44</v>
      </c>
      <c r="O322" s="191">
        <f t="shared" si="237"/>
        <v>1</v>
      </c>
      <c r="P322" s="80">
        <f t="shared" si="186"/>
        <v>0</v>
      </c>
      <c r="Q322" s="80">
        <v>0</v>
      </c>
      <c r="R322" s="159" t="e">
        <f t="shared" ref="R322:R323" si="241">N322/M322-P322/K322</f>
        <v>#DIV/0!</v>
      </c>
      <c r="S322" s="113">
        <v>0.13</v>
      </c>
      <c r="T322" s="86">
        <v>44908</v>
      </c>
      <c r="U322" s="64"/>
      <c r="V322" s="64"/>
      <c r="W322" s="64"/>
      <c r="X322" s="15">
        <v>1</v>
      </c>
      <c r="Y322" s="15" t="str">
        <f>VLOOKUP(B322,[1]Sheet1!$C$2:$D$906,2,0)</f>
        <v>8488690673</v>
      </c>
      <c r="AA322" t="e">
        <f>IF(VLOOKUP(LEFT(Y322,10),'Havi béradatok'!$B:$E,2,0)=D322,"EGYEZIK","HIBÁS")</f>
        <v>#N/A</v>
      </c>
      <c r="AB322" t="e">
        <f>(VLOOKUP(LEFT(Y322,10),'Havi béradatok'!$B:$E,3,0)-K322)</f>
        <v>#N/A</v>
      </c>
      <c r="AC322" s="3" t="e">
        <f>(VLOOKUP(LEFT(Y322,10),'Havi béradatok'!$B:$E,4,0)-L322)</f>
        <v>#N/A</v>
      </c>
    </row>
    <row r="323" spans="1:29" s="15" customFormat="1" ht="14.45" customHeight="1" x14ac:dyDescent="0.25">
      <c r="A323" s="38"/>
      <c r="B323" s="173" t="s">
        <v>181</v>
      </c>
      <c r="C323" s="62" t="s">
        <v>177</v>
      </c>
      <c r="D323" s="62" t="s">
        <v>203</v>
      </c>
      <c r="E323" s="62" t="s">
        <v>179</v>
      </c>
      <c r="F323" s="77" t="s">
        <v>169</v>
      </c>
      <c r="G323" s="77" t="s">
        <v>174</v>
      </c>
      <c r="H323" s="62" t="s">
        <v>118</v>
      </c>
      <c r="I323" s="77" t="s">
        <v>11</v>
      </c>
      <c r="J323" s="38" t="s">
        <v>37</v>
      </c>
      <c r="K323" s="6">
        <v>0</v>
      </c>
      <c r="L323" s="175">
        <f t="shared" si="195"/>
        <v>0</v>
      </c>
      <c r="M323" s="79">
        <v>44</v>
      </c>
      <c r="N323" s="79">
        <v>44</v>
      </c>
      <c r="O323" s="191">
        <f t="shared" si="237"/>
        <v>1</v>
      </c>
      <c r="P323" s="80">
        <f t="shared" si="186"/>
        <v>0</v>
      </c>
      <c r="Q323" s="80">
        <f t="shared" si="196"/>
        <v>0</v>
      </c>
      <c r="R323" s="159" t="e">
        <f t="shared" si="241"/>
        <v>#DIV/0!</v>
      </c>
      <c r="S323" s="113">
        <v>0.13</v>
      </c>
      <c r="T323" s="86">
        <v>44908</v>
      </c>
      <c r="U323" s="64"/>
      <c r="V323" s="64"/>
      <c r="W323" s="64"/>
      <c r="X323" s="15">
        <v>1</v>
      </c>
      <c r="Y323" s="15" t="str">
        <f>VLOOKUP(B323,[1]Sheet1!$C$2:$D$906,2,0)</f>
        <v>8488690673</v>
      </c>
      <c r="AA323" t="e">
        <f>IF(VLOOKUP(LEFT(Y323,10),'Havi béradatok'!$B:$E,2,0)=D323,"EGYEZIK","HIBÁS")</f>
        <v>#N/A</v>
      </c>
      <c r="AB323" t="e">
        <f>(VLOOKUP(LEFT(Y323,10),'Havi béradatok'!$B:$E,3,0)-K323)</f>
        <v>#N/A</v>
      </c>
      <c r="AC323" s="3" t="e">
        <f>(VLOOKUP(LEFT(Y323,10),'Havi béradatok'!$B:$E,4,0)-L323)</f>
        <v>#N/A</v>
      </c>
    </row>
    <row r="324" spans="1:29" s="15" customFormat="1" ht="14.45" customHeight="1" x14ac:dyDescent="0.25">
      <c r="A324" s="38"/>
      <c r="B324" s="38" t="s">
        <v>214</v>
      </c>
      <c r="C324" s="62" t="s">
        <v>177</v>
      </c>
      <c r="D324" s="62" t="s">
        <v>205</v>
      </c>
      <c r="E324" s="62" t="s">
        <v>179</v>
      </c>
      <c r="F324" s="77" t="s">
        <v>169</v>
      </c>
      <c r="G324" s="77" t="s">
        <v>174</v>
      </c>
      <c r="H324" s="62" t="s">
        <v>90</v>
      </c>
      <c r="I324" s="77" t="s">
        <v>11</v>
      </c>
      <c r="J324" s="38" t="s">
        <v>37</v>
      </c>
      <c r="K324" s="6">
        <f>1000000-100000</f>
        <v>900000</v>
      </c>
      <c r="L324" s="78">
        <f t="shared" si="195"/>
        <v>117000</v>
      </c>
      <c r="M324" s="79">
        <v>174</v>
      </c>
      <c r="N324" s="79">
        <v>18</v>
      </c>
      <c r="O324" s="191">
        <f t="shared" si="237"/>
        <v>0.10344827586206896</v>
      </c>
      <c r="P324" s="80">
        <f t="shared" ref="P324:P336" si="242">ROUND(K324*N324/M324,0)</f>
        <v>93103</v>
      </c>
      <c r="Q324" s="80">
        <f t="shared" ref="Q324:Q336" si="243">ROUND(P324*S324,0)</f>
        <v>12103</v>
      </c>
      <c r="R324" s="159">
        <f t="shared" ref="R324:R332" si="244">N324/M324-P324/K324</f>
        <v>4.9808429118669562E-7</v>
      </c>
      <c r="S324" s="113">
        <v>0.13</v>
      </c>
      <c r="T324" s="86">
        <v>44727</v>
      </c>
      <c r="U324" s="64">
        <v>2</v>
      </c>
      <c r="V324" s="64"/>
      <c r="W324" s="64"/>
      <c r="X324" s="15">
        <v>1</v>
      </c>
      <c r="Y324" s="15" t="str">
        <f>VLOOKUP(B324,[1]Sheet1!$C$2:$D$906,2,0)</f>
        <v>8397324542</v>
      </c>
    </row>
    <row r="325" spans="1:29" s="15" customFormat="1" ht="14.45" customHeight="1" x14ac:dyDescent="0.25">
      <c r="A325" s="38"/>
      <c r="B325" s="38" t="s">
        <v>214</v>
      </c>
      <c r="C325" s="62" t="s">
        <v>177</v>
      </c>
      <c r="D325" s="62" t="s">
        <v>205</v>
      </c>
      <c r="E325" s="62" t="s">
        <v>179</v>
      </c>
      <c r="F325" s="77" t="s">
        <v>169</v>
      </c>
      <c r="G325" s="77" t="s">
        <v>174</v>
      </c>
      <c r="H325" s="62" t="s">
        <v>91</v>
      </c>
      <c r="I325" s="77" t="s">
        <v>11</v>
      </c>
      <c r="J325" s="38" t="s">
        <v>37</v>
      </c>
      <c r="K325" s="6">
        <f t="shared" ref="K325:K336" si="245">1000000-100000</f>
        <v>900000</v>
      </c>
      <c r="L325" s="78">
        <f t="shared" si="195"/>
        <v>117000</v>
      </c>
      <c r="M325" s="79">
        <v>174</v>
      </c>
      <c r="N325" s="79">
        <v>18</v>
      </c>
      <c r="O325" s="191">
        <f t="shared" si="237"/>
        <v>0.10344827586206896</v>
      </c>
      <c r="P325" s="80">
        <f t="shared" si="242"/>
        <v>93103</v>
      </c>
      <c r="Q325" s="80">
        <f t="shared" si="243"/>
        <v>12103</v>
      </c>
      <c r="R325" s="159">
        <f t="shared" si="244"/>
        <v>4.9808429118669562E-7</v>
      </c>
      <c r="S325" s="113">
        <v>0.13</v>
      </c>
      <c r="T325" s="86">
        <v>44727</v>
      </c>
      <c r="U325" s="64">
        <v>2</v>
      </c>
      <c r="V325" s="64"/>
      <c r="W325" s="64"/>
      <c r="X325" s="15">
        <v>1</v>
      </c>
      <c r="Y325" s="15" t="str">
        <f>VLOOKUP(B325,[1]Sheet1!$C$2:$D$906,2,0)</f>
        <v>8397324542</v>
      </c>
    </row>
    <row r="326" spans="1:29" s="15" customFormat="1" ht="14.45" customHeight="1" x14ac:dyDescent="0.25">
      <c r="A326" s="38"/>
      <c r="B326" s="38" t="s">
        <v>214</v>
      </c>
      <c r="C326" s="62" t="s">
        <v>177</v>
      </c>
      <c r="D326" s="62" t="s">
        <v>205</v>
      </c>
      <c r="E326" s="62" t="s">
        <v>179</v>
      </c>
      <c r="F326" s="77" t="s">
        <v>169</v>
      </c>
      <c r="G326" s="77" t="s">
        <v>174</v>
      </c>
      <c r="H326" s="62" t="s">
        <v>92</v>
      </c>
      <c r="I326" s="77" t="s">
        <v>11</v>
      </c>
      <c r="J326" s="38" t="s">
        <v>37</v>
      </c>
      <c r="K326" s="6">
        <f t="shared" si="245"/>
        <v>900000</v>
      </c>
      <c r="L326" s="78">
        <f t="shared" si="195"/>
        <v>117000</v>
      </c>
      <c r="M326" s="79">
        <v>174</v>
      </c>
      <c r="N326" s="79">
        <v>18</v>
      </c>
      <c r="O326" s="191">
        <f t="shared" si="237"/>
        <v>0.10344827586206896</v>
      </c>
      <c r="P326" s="80">
        <f t="shared" si="242"/>
        <v>93103</v>
      </c>
      <c r="Q326" s="80">
        <f t="shared" si="243"/>
        <v>12103</v>
      </c>
      <c r="R326" s="159">
        <f t="shared" si="244"/>
        <v>4.9808429118669562E-7</v>
      </c>
      <c r="S326" s="113">
        <v>0.13</v>
      </c>
      <c r="T326" s="86">
        <v>44727</v>
      </c>
      <c r="U326" s="64">
        <v>2</v>
      </c>
      <c r="V326" s="64"/>
      <c r="W326" s="64"/>
      <c r="X326" s="15">
        <v>1</v>
      </c>
      <c r="Y326" s="15" t="str">
        <f>VLOOKUP(B326,[1]Sheet1!$C$2:$D$906,2,0)</f>
        <v>8397324542</v>
      </c>
    </row>
    <row r="327" spans="1:29" s="15" customFormat="1" ht="14.45" customHeight="1" x14ac:dyDescent="0.25">
      <c r="A327" s="38"/>
      <c r="B327" s="38" t="s">
        <v>214</v>
      </c>
      <c r="C327" s="62" t="s">
        <v>177</v>
      </c>
      <c r="D327" s="62" t="s">
        <v>205</v>
      </c>
      <c r="E327" s="62" t="s">
        <v>179</v>
      </c>
      <c r="F327" s="77" t="s">
        <v>169</v>
      </c>
      <c r="G327" s="77" t="s">
        <v>174</v>
      </c>
      <c r="H327" s="62" t="s">
        <v>93</v>
      </c>
      <c r="I327" s="77" t="s">
        <v>11</v>
      </c>
      <c r="J327" s="38" t="s">
        <v>37</v>
      </c>
      <c r="K327" s="6">
        <f t="shared" si="245"/>
        <v>900000</v>
      </c>
      <c r="L327" s="78">
        <f t="shared" si="195"/>
        <v>117000</v>
      </c>
      <c r="M327" s="79">
        <v>174</v>
      </c>
      <c r="N327" s="79">
        <v>18</v>
      </c>
      <c r="O327" s="191">
        <f t="shared" si="237"/>
        <v>0.10344827586206896</v>
      </c>
      <c r="P327" s="80">
        <f t="shared" si="242"/>
        <v>93103</v>
      </c>
      <c r="Q327" s="80">
        <f t="shared" si="243"/>
        <v>12103</v>
      </c>
      <c r="R327" s="159">
        <f t="shared" si="244"/>
        <v>4.9808429118669562E-7</v>
      </c>
      <c r="S327" s="113">
        <v>0.13</v>
      </c>
      <c r="T327" s="86">
        <v>44727</v>
      </c>
      <c r="U327" s="64">
        <v>2</v>
      </c>
      <c r="V327" s="64"/>
      <c r="W327" s="64"/>
      <c r="X327" s="15">
        <v>1</v>
      </c>
      <c r="Y327" s="15" t="str">
        <f>VLOOKUP(B327,[1]Sheet1!$C$2:$D$906,2,0)</f>
        <v>8397324542</v>
      </c>
    </row>
    <row r="328" spans="1:29" s="15" customFormat="1" ht="14.45" customHeight="1" x14ac:dyDescent="0.25">
      <c r="A328" s="38"/>
      <c r="B328" s="38" t="s">
        <v>214</v>
      </c>
      <c r="C328" s="62" t="s">
        <v>177</v>
      </c>
      <c r="D328" s="62" t="s">
        <v>205</v>
      </c>
      <c r="E328" s="62" t="s">
        <v>179</v>
      </c>
      <c r="F328" s="77" t="s">
        <v>169</v>
      </c>
      <c r="G328" s="77" t="s">
        <v>174</v>
      </c>
      <c r="H328" s="62" t="s">
        <v>94</v>
      </c>
      <c r="I328" s="77" t="s">
        <v>11</v>
      </c>
      <c r="J328" s="38" t="s">
        <v>37</v>
      </c>
      <c r="K328" s="6">
        <f t="shared" si="245"/>
        <v>900000</v>
      </c>
      <c r="L328" s="78">
        <f t="shared" si="195"/>
        <v>117000</v>
      </c>
      <c r="M328" s="79">
        <v>174</v>
      </c>
      <c r="N328" s="79">
        <v>18</v>
      </c>
      <c r="O328" s="191">
        <f t="shared" si="237"/>
        <v>0.10344827586206896</v>
      </c>
      <c r="P328" s="80">
        <f t="shared" si="242"/>
        <v>93103</v>
      </c>
      <c r="Q328" s="80">
        <f t="shared" si="243"/>
        <v>12103</v>
      </c>
      <c r="R328" s="159">
        <f t="shared" si="244"/>
        <v>4.9808429118669562E-7</v>
      </c>
      <c r="S328" s="113">
        <v>0.13</v>
      </c>
      <c r="T328" s="86">
        <v>44727</v>
      </c>
      <c r="U328" s="64">
        <v>2</v>
      </c>
      <c r="V328" s="64"/>
      <c r="W328" s="64"/>
      <c r="X328" s="15">
        <v>1</v>
      </c>
      <c r="Y328" s="15" t="str">
        <f>VLOOKUP(B328,[1]Sheet1!$C$2:$D$906,2,0)</f>
        <v>8397324542</v>
      </c>
    </row>
    <row r="329" spans="1:29" s="15" customFormat="1" ht="14.45" customHeight="1" x14ac:dyDescent="0.25">
      <c r="A329" s="38"/>
      <c r="B329" s="38" t="s">
        <v>214</v>
      </c>
      <c r="C329" s="62" t="s">
        <v>177</v>
      </c>
      <c r="D329" s="62" t="s">
        <v>205</v>
      </c>
      <c r="E329" s="62" t="s">
        <v>179</v>
      </c>
      <c r="F329" s="77" t="s">
        <v>169</v>
      </c>
      <c r="G329" s="77" t="s">
        <v>174</v>
      </c>
      <c r="H329" s="174" t="s">
        <v>281</v>
      </c>
      <c r="I329" s="77" t="s">
        <v>11</v>
      </c>
      <c r="J329" s="38" t="s">
        <v>37</v>
      </c>
      <c r="K329" s="6">
        <f>(1000000-100000)/21*13</f>
        <v>557142.85714285716</v>
      </c>
      <c r="L329" s="78">
        <f t="shared" si="195"/>
        <v>72429</v>
      </c>
      <c r="M329" s="79">
        <v>174</v>
      </c>
      <c r="N329" s="79">
        <v>18</v>
      </c>
      <c r="O329" s="191">
        <f t="shared" si="237"/>
        <v>0.10344827586206896</v>
      </c>
      <c r="P329" s="80">
        <f t="shared" si="242"/>
        <v>57635</v>
      </c>
      <c r="Q329" s="80">
        <f t="shared" si="243"/>
        <v>7493</v>
      </c>
      <c r="R329" s="159">
        <f t="shared" si="244"/>
        <v>8.3996463307034475E-7</v>
      </c>
      <c r="S329" s="113">
        <v>0.13</v>
      </c>
      <c r="T329" s="86">
        <v>44727</v>
      </c>
      <c r="U329" s="64">
        <v>2</v>
      </c>
      <c r="V329" s="64"/>
      <c r="W329" s="64"/>
      <c r="X329" s="15">
        <v>1</v>
      </c>
      <c r="Y329" s="15" t="str">
        <f>VLOOKUP(B329,[1]Sheet1!$C$2:$D$906,2,0)</f>
        <v>8397324542</v>
      </c>
      <c r="AA329" t="str">
        <f>IF(VLOOKUP(LEFT(Y329,10),'Havi béradatok'!$B:$E,2,0)=D329,"EGYEZIK","HIBÁS")</f>
        <v>EGYEZIK</v>
      </c>
      <c r="AB329">
        <f>(VLOOKUP(LEFT(Y329,10),'Havi béradatok'!$B:$E,3,0)-K329)</f>
        <v>492857.14285714284</v>
      </c>
      <c r="AC329" s="3">
        <f>(VLOOKUP(LEFT(Y329,10),'Havi béradatok'!$B:$E,4,0)-L329)</f>
        <v>64071</v>
      </c>
    </row>
    <row r="330" spans="1:29" s="15" customFormat="1" ht="14.45" customHeight="1" x14ac:dyDescent="0.25">
      <c r="A330" s="38"/>
      <c r="B330" s="38" t="s">
        <v>214</v>
      </c>
      <c r="C330" s="62" t="s">
        <v>177</v>
      </c>
      <c r="D330" s="62" t="s">
        <v>205</v>
      </c>
      <c r="E330" s="62" t="s">
        <v>179</v>
      </c>
      <c r="F330" s="77" t="s">
        <v>169</v>
      </c>
      <c r="G330" s="77" t="s">
        <v>174</v>
      </c>
      <c r="H330" s="174" t="s">
        <v>280</v>
      </c>
      <c r="I330" s="77" t="s">
        <v>11</v>
      </c>
      <c r="J330" s="38" t="s">
        <v>37</v>
      </c>
      <c r="K330" s="6">
        <f>(1000000-100000)/21*8</f>
        <v>342857.14285714284</v>
      </c>
      <c r="L330" s="78">
        <f t="shared" ref="L330" si="246">ROUND(K330*S330,0)</f>
        <v>44571</v>
      </c>
      <c r="M330" s="79">
        <v>174</v>
      </c>
      <c r="N330" s="79">
        <v>18</v>
      </c>
      <c r="O330" s="191">
        <f t="shared" ref="O330" si="247">N330/M330</f>
        <v>0.10344827586206896</v>
      </c>
      <c r="P330" s="80">
        <f t="shared" ref="P330" si="248">ROUND(K330*N330/M330,0)</f>
        <v>35468</v>
      </c>
      <c r="Q330" s="80">
        <f t="shared" ref="Q330" si="249">ROUND(P330*S330,0)</f>
        <v>4611</v>
      </c>
      <c r="R330" s="159">
        <f t="shared" ref="R330" si="250">N330/M330-P330/K330</f>
        <v>-5.7471264372499498E-8</v>
      </c>
      <c r="S330" s="113">
        <v>0.13</v>
      </c>
      <c r="T330" s="86">
        <v>44727</v>
      </c>
      <c r="U330" s="64"/>
      <c r="V330" s="64"/>
      <c r="W330" s="64"/>
      <c r="X330" s="15">
        <v>1</v>
      </c>
      <c r="Y330" s="15" t="str">
        <f>VLOOKUP(B330,[1]Sheet1!$C$2:$D$906,2,0)</f>
        <v>8397324542</v>
      </c>
      <c r="AA330" t="str">
        <f>IF(VLOOKUP(LEFT(Y330,10),'Havi béradatok'!$B:$E,2,0)=D330,"EGYEZIK","HIBÁS")</f>
        <v>EGYEZIK</v>
      </c>
      <c r="AB330">
        <f>(VLOOKUP(LEFT(Y330,10),'Havi béradatok'!$B:$E,3,0)-K330)</f>
        <v>707142.85714285716</v>
      </c>
      <c r="AC330" s="3">
        <f>(VLOOKUP(LEFT(Y330,10),'Havi béradatok'!$B:$E,4,0)-L330)</f>
        <v>91929</v>
      </c>
    </row>
    <row r="331" spans="1:29" s="15" customFormat="1" ht="14.45" customHeight="1" x14ac:dyDescent="0.25">
      <c r="A331" s="38"/>
      <c r="B331" s="38" t="s">
        <v>214</v>
      </c>
      <c r="C331" s="62" t="s">
        <v>177</v>
      </c>
      <c r="D331" s="62" t="s">
        <v>205</v>
      </c>
      <c r="E331" s="62" t="s">
        <v>179</v>
      </c>
      <c r="F331" s="77" t="s">
        <v>169</v>
      </c>
      <c r="G331" s="77" t="s">
        <v>174</v>
      </c>
      <c r="H331" s="62" t="s">
        <v>117</v>
      </c>
      <c r="I331" s="77" t="s">
        <v>11</v>
      </c>
      <c r="J331" s="38" t="s">
        <v>37</v>
      </c>
      <c r="K331" s="6">
        <f t="shared" si="245"/>
        <v>900000</v>
      </c>
      <c r="L331" s="78">
        <f t="shared" si="195"/>
        <v>117000</v>
      </c>
      <c r="M331" s="79">
        <v>174</v>
      </c>
      <c r="N331" s="79">
        <v>17</v>
      </c>
      <c r="O331" s="191">
        <f t="shared" si="237"/>
        <v>9.7701149425287362E-2</v>
      </c>
      <c r="P331" s="80">
        <f t="shared" si="242"/>
        <v>87931</v>
      </c>
      <c r="Q331" s="80">
        <f t="shared" si="243"/>
        <v>11431</v>
      </c>
      <c r="R331" s="159">
        <f t="shared" si="244"/>
        <v>3.8314176248332998E-8</v>
      </c>
      <c r="S331" s="113">
        <v>0.13</v>
      </c>
      <c r="T331" s="86">
        <v>44929</v>
      </c>
      <c r="U331" s="64"/>
      <c r="V331" s="64"/>
      <c r="W331" s="64"/>
      <c r="X331" s="15">
        <v>1</v>
      </c>
      <c r="Y331" s="15" t="str">
        <f>VLOOKUP(B331,[1]Sheet1!$C$2:$D$906,2,0)</f>
        <v>8397324542</v>
      </c>
      <c r="AA331" t="str">
        <f>IF(VLOOKUP(LEFT(Y331,10),'Havi béradatok'!$B:$E,2,0)=D331,"EGYEZIK","HIBÁS")</f>
        <v>EGYEZIK</v>
      </c>
      <c r="AB331">
        <f>(VLOOKUP(LEFT(Y331,10),'Havi béradatok'!$B:$E,3,0)-K331)</f>
        <v>150000</v>
      </c>
      <c r="AC331" s="3">
        <f>(VLOOKUP(LEFT(Y331,10),'Havi béradatok'!$B:$E,4,0)-L331)</f>
        <v>19500</v>
      </c>
    </row>
    <row r="332" spans="1:29" s="15" customFormat="1" ht="14.45" customHeight="1" x14ac:dyDescent="0.25">
      <c r="A332" s="38"/>
      <c r="B332" s="38" t="s">
        <v>214</v>
      </c>
      <c r="C332" s="62" t="s">
        <v>177</v>
      </c>
      <c r="D332" s="62" t="s">
        <v>205</v>
      </c>
      <c r="E332" s="62" t="s">
        <v>179</v>
      </c>
      <c r="F332" s="77" t="s">
        <v>169</v>
      </c>
      <c r="G332" s="77" t="s">
        <v>174</v>
      </c>
      <c r="H332" s="62" t="s">
        <v>118</v>
      </c>
      <c r="I332" s="77" t="s">
        <v>11</v>
      </c>
      <c r="J332" s="38" t="s">
        <v>37</v>
      </c>
      <c r="K332" s="6">
        <f t="shared" si="245"/>
        <v>900000</v>
      </c>
      <c r="L332" s="78">
        <f t="shared" si="195"/>
        <v>117000</v>
      </c>
      <c r="M332" s="79">
        <v>174</v>
      </c>
      <c r="N332" s="79">
        <v>17</v>
      </c>
      <c r="O332" s="191">
        <f t="shared" si="237"/>
        <v>9.7701149425287362E-2</v>
      </c>
      <c r="P332" s="80">
        <f t="shared" si="242"/>
        <v>87931</v>
      </c>
      <c r="Q332" s="80">
        <f t="shared" si="243"/>
        <v>11431</v>
      </c>
      <c r="R332" s="159">
        <f t="shared" si="244"/>
        <v>3.8314176248332998E-8</v>
      </c>
      <c r="S332" s="113">
        <v>0.13</v>
      </c>
      <c r="T332" s="86">
        <v>44929</v>
      </c>
      <c r="U332" s="64"/>
      <c r="V332" s="64"/>
      <c r="W332" s="64"/>
      <c r="X332" s="15">
        <v>1</v>
      </c>
      <c r="Y332" s="15" t="str">
        <f>VLOOKUP(B332,[1]Sheet1!$C$2:$D$906,2,0)</f>
        <v>8397324542</v>
      </c>
      <c r="AA332" t="str">
        <f>IF(VLOOKUP(LEFT(Y332,10),'Havi béradatok'!$B:$E,2,0)=D332,"EGYEZIK","HIBÁS")</f>
        <v>EGYEZIK</v>
      </c>
      <c r="AB332">
        <f>(VLOOKUP(LEFT(Y332,10),'Havi béradatok'!$B:$E,3,0)-K332)</f>
        <v>150000</v>
      </c>
      <c r="AC332" s="3">
        <f>(VLOOKUP(LEFT(Y332,10),'Havi béradatok'!$B:$E,4,0)-L332)</f>
        <v>19500</v>
      </c>
    </row>
    <row r="333" spans="1:29" s="15" customFormat="1" ht="14.45" customHeight="1" x14ac:dyDescent="0.25">
      <c r="A333" s="38"/>
      <c r="B333" s="38" t="s">
        <v>214</v>
      </c>
      <c r="C333" s="62" t="s">
        <v>177</v>
      </c>
      <c r="D333" s="62" t="s">
        <v>205</v>
      </c>
      <c r="E333" s="62" t="s">
        <v>179</v>
      </c>
      <c r="F333" s="77" t="s">
        <v>169</v>
      </c>
      <c r="G333" s="77" t="s">
        <v>174</v>
      </c>
      <c r="H333" s="62" t="s">
        <v>119</v>
      </c>
      <c r="I333" s="77" t="s">
        <v>11</v>
      </c>
      <c r="J333" s="38" t="s">
        <v>37</v>
      </c>
      <c r="K333" s="6">
        <f t="shared" si="245"/>
        <v>900000</v>
      </c>
      <c r="L333" s="78">
        <f t="shared" si="195"/>
        <v>117000</v>
      </c>
      <c r="M333" s="79">
        <v>174</v>
      </c>
      <c r="N333" s="79">
        <v>41</v>
      </c>
      <c r="O333" s="191">
        <f t="shared" si="237"/>
        <v>0.23563218390804597</v>
      </c>
      <c r="P333" s="80">
        <f t="shared" si="242"/>
        <v>212069</v>
      </c>
      <c r="Q333" s="80">
        <f t="shared" si="243"/>
        <v>27569</v>
      </c>
      <c r="R333" s="159">
        <f t="shared" ref="R333:R336" si="251">N333/M333-P333/K333</f>
        <v>-3.8314176248332998E-8</v>
      </c>
      <c r="S333" s="113">
        <v>0.13</v>
      </c>
      <c r="T333" s="86">
        <v>44967</v>
      </c>
      <c r="U333" s="64"/>
      <c r="V333" s="64"/>
      <c r="W333" s="64"/>
      <c r="X333" s="15">
        <v>1</v>
      </c>
      <c r="Y333" s="15" t="str">
        <f>VLOOKUP(B333,[1]Sheet1!$C$2:$D$906,2,0)</f>
        <v>8397324542</v>
      </c>
      <c r="AA333" t="str">
        <f>IF(VLOOKUP(LEFT(Y333,10),'Havi béradatok'!$B:$E,2,0)=D333,"EGYEZIK","HIBÁS")</f>
        <v>EGYEZIK</v>
      </c>
      <c r="AB333">
        <f>(VLOOKUP(LEFT(Y333,10),'Havi béradatok'!$B:$E,3,0)-K333)</f>
        <v>150000</v>
      </c>
      <c r="AC333" s="3">
        <f>(VLOOKUP(LEFT(Y333,10),'Havi béradatok'!$B:$E,4,0)-L333)</f>
        <v>19500</v>
      </c>
    </row>
    <row r="334" spans="1:29" s="15" customFormat="1" ht="14.45" hidden="1" customHeight="1" x14ac:dyDescent="0.25">
      <c r="A334" s="38"/>
      <c r="B334" s="38" t="s">
        <v>214</v>
      </c>
      <c r="C334" s="62" t="s">
        <v>177</v>
      </c>
      <c r="D334" s="62" t="s">
        <v>205</v>
      </c>
      <c r="E334" s="62" t="s">
        <v>179</v>
      </c>
      <c r="F334" s="77" t="s">
        <v>169</v>
      </c>
      <c r="G334" s="77" t="s">
        <v>174</v>
      </c>
      <c r="H334" s="62" t="s">
        <v>120</v>
      </c>
      <c r="I334" s="77" t="s">
        <v>12</v>
      </c>
      <c r="J334" s="38" t="s">
        <v>37</v>
      </c>
      <c r="K334" s="6">
        <f t="shared" si="245"/>
        <v>900000</v>
      </c>
      <c r="L334" s="78">
        <f t="shared" si="195"/>
        <v>117000</v>
      </c>
      <c r="M334" s="79">
        <v>174</v>
      </c>
      <c r="N334" s="79">
        <v>41</v>
      </c>
      <c r="O334" s="191">
        <f t="shared" si="237"/>
        <v>0.23563218390804597</v>
      </c>
      <c r="P334" s="80">
        <f t="shared" si="242"/>
        <v>212069</v>
      </c>
      <c r="Q334" s="80">
        <f t="shared" si="243"/>
        <v>27569</v>
      </c>
      <c r="R334" s="159">
        <f t="shared" si="251"/>
        <v>-3.8314176248332998E-8</v>
      </c>
      <c r="S334" s="113">
        <v>0.13</v>
      </c>
      <c r="T334" s="86">
        <v>44967</v>
      </c>
      <c r="U334" s="64"/>
      <c r="V334" s="64"/>
      <c r="W334" s="64"/>
      <c r="Y334" s="15" t="str">
        <f>VLOOKUP(B334,[1]Sheet1!$C$2:$D$906,2,0)</f>
        <v>8397324542</v>
      </c>
    </row>
    <row r="335" spans="1:29" s="15" customFormat="1" ht="14.45" hidden="1" customHeight="1" x14ac:dyDescent="0.25">
      <c r="A335" s="38"/>
      <c r="B335" s="38" t="s">
        <v>214</v>
      </c>
      <c r="C335" s="62" t="s">
        <v>177</v>
      </c>
      <c r="D335" s="62" t="s">
        <v>205</v>
      </c>
      <c r="E335" s="62" t="s">
        <v>179</v>
      </c>
      <c r="F335" s="77" t="s">
        <v>169</v>
      </c>
      <c r="G335" s="77" t="s">
        <v>174</v>
      </c>
      <c r="H335" s="62" t="s">
        <v>121</v>
      </c>
      <c r="I335" s="77" t="s">
        <v>12</v>
      </c>
      <c r="J335" s="38" t="s">
        <v>37</v>
      </c>
      <c r="K335" s="6">
        <f t="shared" si="245"/>
        <v>900000</v>
      </c>
      <c r="L335" s="78">
        <f t="shared" si="195"/>
        <v>117000</v>
      </c>
      <c r="M335" s="79">
        <v>174</v>
      </c>
      <c r="N335" s="79">
        <v>41</v>
      </c>
      <c r="O335" s="191">
        <f t="shared" si="237"/>
        <v>0.23563218390804597</v>
      </c>
      <c r="P335" s="80">
        <f t="shared" si="242"/>
        <v>212069</v>
      </c>
      <c r="Q335" s="80">
        <f t="shared" si="243"/>
        <v>27569</v>
      </c>
      <c r="R335" s="159">
        <f t="shared" si="251"/>
        <v>-3.8314176248332998E-8</v>
      </c>
      <c r="S335" s="113">
        <v>0.13</v>
      </c>
      <c r="T335" s="86">
        <v>44967</v>
      </c>
      <c r="U335" s="64"/>
      <c r="V335" s="64"/>
      <c r="W335" s="64"/>
      <c r="Y335" s="15" t="str">
        <f>VLOOKUP(B335,[1]Sheet1!$C$2:$D$906,2,0)</f>
        <v>8397324542</v>
      </c>
    </row>
    <row r="336" spans="1:29" s="15" customFormat="1" ht="14.45" hidden="1" customHeight="1" x14ac:dyDescent="0.25">
      <c r="A336" s="38"/>
      <c r="B336" s="38" t="s">
        <v>214</v>
      </c>
      <c r="C336" s="62" t="s">
        <v>177</v>
      </c>
      <c r="D336" s="62" t="s">
        <v>205</v>
      </c>
      <c r="E336" s="62" t="s">
        <v>179</v>
      </c>
      <c r="F336" s="77" t="s">
        <v>169</v>
      </c>
      <c r="G336" s="77" t="s">
        <v>174</v>
      </c>
      <c r="H336" s="62" t="s">
        <v>122</v>
      </c>
      <c r="I336" s="77" t="s">
        <v>12</v>
      </c>
      <c r="J336" s="38" t="s">
        <v>37</v>
      </c>
      <c r="K336" s="6">
        <f t="shared" si="245"/>
        <v>900000</v>
      </c>
      <c r="L336" s="78">
        <f t="shared" si="195"/>
        <v>117000</v>
      </c>
      <c r="M336" s="79">
        <v>174</v>
      </c>
      <c r="N336" s="79">
        <v>41</v>
      </c>
      <c r="O336" s="191">
        <f t="shared" si="237"/>
        <v>0.23563218390804597</v>
      </c>
      <c r="P336" s="80">
        <f t="shared" si="242"/>
        <v>212069</v>
      </c>
      <c r="Q336" s="80">
        <f t="shared" si="243"/>
        <v>27569</v>
      </c>
      <c r="R336" s="159">
        <f t="shared" si="251"/>
        <v>-3.8314176248332998E-8</v>
      </c>
      <c r="S336" s="113">
        <v>0.13</v>
      </c>
      <c r="T336" s="86">
        <v>44967</v>
      </c>
      <c r="U336" s="64"/>
      <c r="V336" s="64"/>
      <c r="W336" s="64"/>
      <c r="Y336" s="15" t="str">
        <f>VLOOKUP(B336,[1]Sheet1!$C$2:$D$906,2,0)</f>
        <v>8397324542</v>
      </c>
    </row>
    <row r="337" spans="1:29" s="15" customFormat="1" ht="14.45" customHeight="1" x14ac:dyDescent="0.25">
      <c r="A337" s="38"/>
      <c r="B337" s="38" t="s">
        <v>186</v>
      </c>
      <c r="C337" s="62" t="s">
        <v>177</v>
      </c>
      <c r="D337" s="62" t="s">
        <v>206</v>
      </c>
      <c r="E337" s="62" t="s">
        <v>183</v>
      </c>
      <c r="F337" s="77" t="s">
        <v>166</v>
      </c>
      <c r="G337" s="77" t="s">
        <v>172</v>
      </c>
      <c r="H337" s="62" t="s">
        <v>85</v>
      </c>
      <c r="I337" s="77" t="s">
        <v>11</v>
      </c>
      <c r="J337" s="38" t="s">
        <v>37</v>
      </c>
      <c r="K337" s="6">
        <v>770000</v>
      </c>
      <c r="L337" s="78">
        <f t="shared" si="195"/>
        <v>100100</v>
      </c>
      <c r="M337" s="79">
        <v>174</v>
      </c>
      <c r="N337" s="79">
        <v>50</v>
      </c>
      <c r="O337" s="191">
        <f t="shared" si="237"/>
        <v>0.28735632183908044</v>
      </c>
      <c r="P337" s="80">
        <f t="shared" si="186"/>
        <v>221264</v>
      </c>
      <c r="Q337" s="80">
        <f t="shared" ref="Q337:Q343" si="252">ROUND(P337*S337,0)</f>
        <v>28764</v>
      </c>
      <c r="R337" s="159">
        <f t="shared" ref="R337:R343" si="253">N337/M337-P337/K337</f>
        <v>4.7768323629959752E-7</v>
      </c>
      <c r="S337" s="113">
        <v>0.13</v>
      </c>
      <c r="T337" s="86">
        <v>44585</v>
      </c>
      <c r="U337" s="64">
        <v>1</v>
      </c>
      <c r="V337" s="64"/>
      <c r="W337" s="64"/>
      <c r="X337" s="15">
        <v>1</v>
      </c>
      <c r="Y337" s="15" t="str">
        <f>VLOOKUP(B337,[1]Sheet1!$C$2:$D$906,2,0)</f>
        <v>8372793190</v>
      </c>
    </row>
    <row r="338" spans="1:29" s="15" customFormat="1" ht="14.45" customHeight="1" x14ac:dyDescent="0.25">
      <c r="A338" s="38"/>
      <c r="B338" s="38" t="s">
        <v>186</v>
      </c>
      <c r="C338" s="62" t="s">
        <v>177</v>
      </c>
      <c r="D338" s="62" t="s">
        <v>206</v>
      </c>
      <c r="E338" s="62" t="s">
        <v>183</v>
      </c>
      <c r="F338" s="77" t="s">
        <v>166</v>
      </c>
      <c r="G338" s="77" t="s">
        <v>172</v>
      </c>
      <c r="H338" s="62" t="s">
        <v>86</v>
      </c>
      <c r="I338" s="77" t="s">
        <v>11</v>
      </c>
      <c r="J338" s="38" t="s">
        <v>37</v>
      </c>
      <c r="K338" s="6">
        <v>1020000</v>
      </c>
      <c r="L338" s="78">
        <f t="shared" ref="L338:L386" si="254">ROUND(K338*S338,0)</f>
        <v>132600</v>
      </c>
      <c r="M338" s="79">
        <v>174</v>
      </c>
      <c r="N338" s="79">
        <v>38</v>
      </c>
      <c r="O338" s="191">
        <f t="shared" si="237"/>
        <v>0.21839080459770116</v>
      </c>
      <c r="P338" s="80">
        <f t="shared" si="186"/>
        <v>222759</v>
      </c>
      <c r="Q338" s="80">
        <f t="shared" si="252"/>
        <v>28959</v>
      </c>
      <c r="R338" s="159">
        <f t="shared" si="253"/>
        <v>-3.7187288706719279E-7</v>
      </c>
      <c r="S338" s="113">
        <v>0.13</v>
      </c>
      <c r="T338" s="86">
        <v>44608</v>
      </c>
      <c r="U338" s="64">
        <v>1</v>
      </c>
      <c r="V338" s="64"/>
      <c r="W338" s="64"/>
      <c r="X338" s="15">
        <v>1</v>
      </c>
      <c r="Y338" s="15" t="str">
        <f>VLOOKUP(B338,[1]Sheet1!$C$2:$D$906,2,0)</f>
        <v>8372793190</v>
      </c>
    </row>
    <row r="339" spans="1:29" s="15" customFormat="1" ht="14.45" customHeight="1" x14ac:dyDescent="0.25">
      <c r="A339" s="38"/>
      <c r="B339" s="38" t="s">
        <v>186</v>
      </c>
      <c r="C339" s="62" t="s">
        <v>177</v>
      </c>
      <c r="D339" s="62" t="s">
        <v>206</v>
      </c>
      <c r="E339" s="62" t="s">
        <v>183</v>
      </c>
      <c r="F339" s="77" t="s">
        <v>166</v>
      </c>
      <c r="G339" s="77" t="s">
        <v>172</v>
      </c>
      <c r="H339" s="62" t="s">
        <v>87</v>
      </c>
      <c r="I339" s="77" t="s">
        <v>11</v>
      </c>
      <c r="J339" s="38" t="s">
        <v>37</v>
      </c>
      <c r="K339" s="6">
        <v>1020000</v>
      </c>
      <c r="L339" s="78">
        <f t="shared" si="254"/>
        <v>132600</v>
      </c>
      <c r="M339" s="79">
        <v>174</v>
      </c>
      <c r="N339" s="79">
        <v>38</v>
      </c>
      <c r="O339" s="191">
        <f t="shared" si="237"/>
        <v>0.21839080459770116</v>
      </c>
      <c r="P339" s="80">
        <f t="shared" si="186"/>
        <v>222759</v>
      </c>
      <c r="Q339" s="80">
        <f t="shared" si="252"/>
        <v>28959</v>
      </c>
      <c r="R339" s="159">
        <f t="shared" si="253"/>
        <v>-3.7187288706719279E-7</v>
      </c>
      <c r="S339" s="113">
        <v>0.13</v>
      </c>
      <c r="T339" s="86">
        <v>44608</v>
      </c>
      <c r="U339" s="64">
        <v>1</v>
      </c>
      <c r="V339" s="64"/>
      <c r="W339" s="64"/>
      <c r="X339" s="15">
        <v>1</v>
      </c>
      <c r="Y339" s="15" t="str">
        <f>VLOOKUP(B339,[1]Sheet1!$C$2:$D$906,2,0)</f>
        <v>8372793190</v>
      </c>
    </row>
    <row r="340" spans="1:29" s="15" customFormat="1" ht="14.45" customHeight="1" x14ac:dyDescent="0.25">
      <c r="A340" s="38"/>
      <c r="B340" s="38" t="s">
        <v>186</v>
      </c>
      <c r="C340" s="62" t="s">
        <v>177</v>
      </c>
      <c r="D340" s="62" t="s">
        <v>206</v>
      </c>
      <c r="E340" s="62" t="s">
        <v>183</v>
      </c>
      <c r="F340" s="77" t="s">
        <v>166</v>
      </c>
      <c r="G340" s="77" t="s">
        <v>172</v>
      </c>
      <c r="H340" s="62" t="s">
        <v>88</v>
      </c>
      <c r="I340" s="77" t="s">
        <v>11</v>
      </c>
      <c r="J340" s="38" t="s">
        <v>37</v>
      </c>
      <c r="K340" s="6">
        <v>1020000</v>
      </c>
      <c r="L340" s="78">
        <f t="shared" si="254"/>
        <v>132600</v>
      </c>
      <c r="M340" s="79">
        <v>174</v>
      </c>
      <c r="N340" s="79">
        <v>38</v>
      </c>
      <c r="O340" s="191">
        <f t="shared" si="237"/>
        <v>0.21839080459770116</v>
      </c>
      <c r="P340" s="80">
        <f t="shared" si="186"/>
        <v>222759</v>
      </c>
      <c r="Q340" s="80">
        <f t="shared" si="252"/>
        <v>28959</v>
      </c>
      <c r="R340" s="159">
        <f t="shared" si="253"/>
        <v>-3.7187288706719279E-7</v>
      </c>
      <c r="S340" s="113">
        <v>0.13</v>
      </c>
      <c r="T340" s="86">
        <v>44608</v>
      </c>
      <c r="U340" s="64">
        <v>1</v>
      </c>
      <c r="V340" s="64"/>
      <c r="W340" s="64"/>
      <c r="X340" s="15">
        <v>1</v>
      </c>
      <c r="Y340" s="15" t="str">
        <f>VLOOKUP(B340,[1]Sheet1!$C$2:$D$906,2,0)</f>
        <v>8372793190</v>
      </c>
    </row>
    <row r="341" spans="1:29" s="15" customFormat="1" ht="14.45" customHeight="1" x14ac:dyDescent="0.25">
      <c r="A341" s="38"/>
      <c r="B341" s="38" t="s">
        <v>186</v>
      </c>
      <c r="C341" s="62" t="s">
        <v>177</v>
      </c>
      <c r="D341" s="62" t="s">
        <v>206</v>
      </c>
      <c r="E341" s="62" t="s">
        <v>183</v>
      </c>
      <c r="F341" s="77" t="s">
        <v>166</v>
      </c>
      <c r="G341" s="77" t="s">
        <v>172</v>
      </c>
      <c r="H341" s="62" t="s">
        <v>89</v>
      </c>
      <c r="I341" s="77" t="s">
        <v>11</v>
      </c>
      <c r="J341" s="38" t="s">
        <v>37</v>
      </c>
      <c r="K341" s="6">
        <v>1031000</v>
      </c>
      <c r="L341" s="78">
        <f t="shared" si="254"/>
        <v>134030</v>
      </c>
      <c r="M341" s="79">
        <v>174</v>
      </c>
      <c r="N341" s="79">
        <v>37</v>
      </c>
      <c r="O341" s="191">
        <f t="shared" si="237"/>
        <v>0.21264367816091953</v>
      </c>
      <c r="P341" s="80">
        <f t="shared" si="186"/>
        <v>219236</v>
      </c>
      <c r="Q341" s="80">
        <f t="shared" si="252"/>
        <v>28501</v>
      </c>
      <c r="R341" s="159">
        <f t="shared" si="253"/>
        <v>-3.5675663623280229E-7</v>
      </c>
      <c r="S341" s="113">
        <v>0.13</v>
      </c>
      <c r="T341" s="86">
        <v>44694</v>
      </c>
      <c r="U341" s="64">
        <v>2</v>
      </c>
      <c r="V341" s="64"/>
      <c r="W341" s="64"/>
      <c r="X341" s="15">
        <v>1</v>
      </c>
      <c r="Y341" s="15" t="str">
        <f>VLOOKUP(B341,[1]Sheet1!$C$2:$D$906,2,0)</f>
        <v>8372793190</v>
      </c>
    </row>
    <row r="342" spans="1:29" s="15" customFormat="1" ht="14.45" customHeight="1" x14ac:dyDescent="0.25">
      <c r="A342" s="38"/>
      <c r="B342" s="38" t="s">
        <v>186</v>
      </c>
      <c r="C342" s="62" t="s">
        <v>177</v>
      </c>
      <c r="D342" s="62" t="s">
        <v>206</v>
      </c>
      <c r="E342" s="62" t="s">
        <v>183</v>
      </c>
      <c r="F342" s="77" t="s">
        <v>166</v>
      </c>
      <c r="G342" s="77" t="s">
        <v>172</v>
      </c>
      <c r="H342" s="62" t="s">
        <v>90</v>
      </c>
      <c r="I342" s="77" t="s">
        <v>11</v>
      </c>
      <c r="J342" s="38" t="s">
        <v>37</v>
      </c>
      <c r="K342" s="6">
        <v>1031000</v>
      </c>
      <c r="L342" s="78">
        <f t="shared" si="254"/>
        <v>134030</v>
      </c>
      <c r="M342" s="79">
        <v>174</v>
      </c>
      <c r="N342" s="79">
        <v>37</v>
      </c>
      <c r="O342" s="191">
        <f t="shared" si="237"/>
        <v>0.21264367816091953</v>
      </c>
      <c r="P342" s="80">
        <f t="shared" si="186"/>
        <v>219236</v>
      </c>
      <c r="Q342" s="80">
        <f t="shared" si="252"/>
        <v>28501</v>
      </c>
      <c r="R342" s="159">
        <f t="shared" si="253"/>
        <v>-3.5675663623280229E-7</v>
      </c>
      <c r="S342" s="113">
        <v>0.13</v>
      </c>
      <c r="T342" s="86">
        <v>44694</v>
      </c>
      <c r="U342" s="64">
        <v>2</v>
      </c>
      <c r="V342" s="64"/>
      <c r="W342" s="64"/>
      <c r="X342" s="15">
        <v>1</v>
      </c>
      <c r="Y342" s="15" t="str">
        <f>VLOOKUP(B342,[1]Sheet1!$C$2:$D$906,2,0)</f>
        <v>8372793190</v>
      </c>
    </row>
    <row r="343" spans="1:29" s="15" customFormat="1" ht="14.45" customHeight="1" x14ac:dyDescent="0.25">
      <c r="A343" s="38"/>
      <c r="B343" s="38" t="s">
        <v>186</v>
      </c>
      <c r="C343" s="62" t="s">
        <v>177</v>
      </c>
      <c r="D343" s="62" t="s">
        <v>206</v>
      </c>
      <c r="E343" s="62" t="s">
        <v>183</v>
      </c>
      <c r="F343" s="77" t="s">
        <v>166</v>
      </c>
      <c r="G343" s="77" t="s">
        <v>172</v>
      </c>
      <c r="H343" s="62" t="s">
        <v>91</v>
      </c>
      <c r="I343" s="77" t="s">
        <v>11</v>
      </c>
      <c r="J343" s="38" t="s">
        <v>37</v>
      </c>
      <c r="K343" s="6">
        <v>1031000</v>
      </c>
      <c r="L343" s="78">
        <f t="shared" si="254"/>
        <v>134030</v>
      </c>
      <c r="M343" s="79">
        <v>174</v>
      </c>
      <c r="N343" s="79">
        <v>37</v>
      </c>
      <c r="O343" s="191">
        <f t="shared" si="237"/>
        <v>0.21264367816091953</v>
      </c>
      <c r="P343" s="80">
        <f t="shared" si="186"/>
        <v>219236</v>
      </c>
      <c r="Q343" s="80">
        <f t="shared" si="252"/>
        <v>28501</v>
      </c>
      <c r="R343" s="159">
        <f t="shared" si="253"/>
        <v>-3.5675663623280229E-7</v>
      </c>
      <c r="S343" s="113">
        <v>0.13</v>
      </c>
      <c r="T343" s="86">
        <v>44694</v>
      </c>
      <c r="U343" s="64">
        <v>2</v>
      </c>
      <c r="V343" s="64"/>
      <c r="W343" s="64"/>
      <c r="X343" s="15">
        <v>1</v>
      </c>
      <c r="Y343" s="15" t="str">
        <f>VLOOKUP(B343,[1]Sheet1!$C$2:$D$906,2,0)</f>
        <v>8372793190</v>
      </c>
    </row>
    <row r="344" spans="1:29" s="15" customFormat="1" ht="14.45" customHeight="1" x14ac:dyDescent="0.25">
      <c r="A344" s="38"/>
      <c r="B344" s="38" t="s">
        <v>186</v>
      </c>
      <c r="C344" s="62" t="s">
        <v>177</v>
      </c>
      <c r="D344" s="62" t="s">
        <v>206</v>
      </c>
      <c r="E344" s="62" t="s">
        <v>183</v>
      </c>
      <c r="F344" s="77" t="s">
        <v>166</v>
      </c>
      <c r="G344" s="77" t="s">
        <v>172</v>
      </c>
      <c r="H344" s="62" t="s">
        <v>92</v>
      </c>
      <c r="I344" s="77" t="s">
        <v>11</v>
      </c>
      <c r="J344" s="38" t="s">
        <v>37</v>
      </c>
      <c r="K344" s="6">
        <v>900000</v>
      </c>
      <c r="L344" s="78">
        <f t="shared" si="254"/>
        <v>117000</v>
      </c>
      <c r="M344" s="79">
        <v>174</v>
      </c>
      <c r="N344" s="79">
        <v>39</v>
      </c>
      <c r="O344" s="191">
        <f t="shared" si="237"/>
        <v>0.22413793103448276</v>
      </c>
      <c r="P344" s="80">
        <f t="shared" ref="P344:P347" si="255">ROUND(K344*N344/M344,0)</f>
        <v>201724</v>
      </c>
      <c r="Q344" s="80">
        <f t="shared" ref="Q344:Q347" si="256">ROUND(P344*S344,0)</f>
        <v>26224</v>
      </c>
      <c r="R344" s="159">
        <f t="shared" ref="R344:R347" si="257">N344/M344-P344/K344</f>
        <v>1.5325670499333199E-7</v>
      </c>
      <c r="S344" s="113">
        <v>0.13</v>
      </c>
      <c r="T344" s="86"/>
      <c r="U344" s="64">
        <v>2</v>
      </c>
      <c r="V344" s="64"/>
      <c r="W344" s="64"/>
      <c r="Y344" s="15" t="str">
        <f>VLOOKUP(B344,[1]Sheet1!$C$2:$D$906,2,0)</f>
        <v>8372793190</v>
      </c>
    </row>
    <row r="345" spans="1:29" s="15" customFormat="1" ht="14.45" customHeight="1" x14ac:dyDescent="0.25">
      <c r="A345" s="38"/>
      <c r="B345" s="38" t="s">
        <v>186</v>
      </c>
      <c r="C345" s="62" t="s">
        <v>177</v>
      </c>
      <c r="D345" s="62" t="s">
        <v>206</v>
      </c>
      <c r="E345" s="62" t="s">
        <v>183</v>
      </c>
      <c r="F345" s="77" t="s">
        <v>166</v>
      </c>
      <c r="G345" s="77" t="s">
        <v>172</v>
      </c>
      <c r="H345" s="62" t="s">
        <v>93</v>
      </c>
      <c r="I345" s="77" t="s">
        <v>11</v>
      </c>
      <c r="J345" s="38" t="s">
        <v>37</v>
      </c>
      <c r="K345" s="6">
        <v>1162000</v>
      </c>
      <c r="L345" s="78">
        <f t="shared" si="254"/>
        <v>151060</v>
      </c>
      <c r="M345" s="79">
        <v>174</v>
      </c>
      <c r="N345" s="79">
        <v>30</v>
      </c>
      <c r="O345" s="191">
        <f t="shared" si="237"/>
        <v>0.17241379310344829</v>
      </c>
      <c r="P345" s="80">
        <f t="shared" si="255"/>
        <v>200345</v>
      </c>
      <c r="Q345" s="80">
        <f t="shared" si="256"/>
        <v>26045</v>
      </c>
      <c r="R345" s="159">
        <f t="shared" si="257"/>
        <v>-1.4837675824108665E-7</v>
      </c>
      <c r="S345" s="113">
        <v>0.13</v>
      </c>
      <c r="T345" s="86">
        <v>44825</v>
      </c>
      <c r="U345" s="64">
        <v>2</v>
      </c>
      <c r="V345" s="64"/>
      <c r="W345" s="64"/>
      <c r="X345" s="15">
        <v>1</v>
      </c>
      <c r="Y345" s="15" t="str">
        <f>VLOOKUP(B345,[1]Sheet1!$C$2:$D$906,2,0)</f>
        <v>8372793190</v>
      </c>
    </row>
    <row r="346" spans="1:29" s="15" customFormat="1" ht="14.45" customHeight="1" x14ac:dyDescent="0.25">
      <c r="A346" s="38"/>
      <c r="B346" s="38" t="s">
        <v>186</v>
      </c>
      <c r="C346" s="62" t="s">
        <v>177</v>
      </c>
      <c r="D346" s="62" t="s">
        <v>206</v>
      </c>
      <c r="E346" s="62" t="s">
        <v>183</v>
      </c>
      <c r="F346" s="77" t="s">
        <v>166</v>
      </c>
      <c r="G346" s="77" t="s">
        <v>172</v>
      </c>
      <c r="H346" s="62" t="s">
        <v>94</v>
      </c>
      <c r="I346" s="77" t="s">
        <v>11</v>
      </c>
      <c r="J346" s="38" t="s">
        <v>37</v>
      </c>
      <c r="K346" s="6">
        <v>1030000</v>
      </c>
      <c r="L346" s="78">
        <f t="shared" si="254"/>
        <v>133900</v>
      </c>
      <c r="M346" s="79">
        <v>174</v>
      </c>
      <c r="N346" s="79">
        <v>34</v>
      </c>
      <c r="O346" s="191">
        <f t="shared" si="237"/>
        <v>0.19540229885057472</v>
      </c>
      <c r="P346" s="80">
        <f t="shared" si="255"/>
        <v>201264</v>
      </c>
      <c r="Q346" s="80">
        <f t="shared" si="256"/>
        <v>26164</v>
      </c>
      <c r="R346" s="159">
        <f t="shared" si="257"/>
        <v>3.5710300191893474E-7</v>
      </c>
      <c r="S346" s="113">
        <v>0.13</v>
      </c>
      <c r="T346" s="86">
        <v>44825</v>
      </c>
      <c r="U346" s="64">
        <v>2</v>
      </c>
      <c r="V346" s="64"/>
      <c r="W346" s="64"/>
      <c r="X346" s="15">
        <v>1</v>
      </c>
      <c r="Y346" s="15" t="str">
        <f>VLOOKUP(B346,[1]Sheet1!$C$2:$D$906,2,0)</f>
        <v>8372793190</v>
      </c>
    </row>
    <row r="347" spans="1:29" s="15" customFormat="1" ht="14.45" customHeight="1" x14ac:dyDescent="0.25">
      <c r="A347" s="38"/>
      <c r="B347" s="38" t="s">
        <v>186</v>
      </c>
      <c r="C347" s="62" t="s">
        <v>177</v>
      </c>
      <c r="D347" s="62" t="s">
        <v>206</v>
      </c>
      <c r="E347" s="62" t="s">
        <v>183</v>
      </c>
      <c r="F347" s="77" t="s">
        <v>166</v>
      </c>
      <c r="G347" s="77" t="s">
        <v>172</v>
      </c>
      <c r="H347" s="174" t="s">
        <v>281</v>
      </c>
      <c r="I347" s="77" t="s">
        <v>11</v>
      </c>
      <c r="J347" s="38" t="s">
        <v>37</v>
      </c>
      <c r="K347" s="6">
        <f>1030000/21*13</f>
        <v>637619.04761904757</v>
      </c>
      <c r="L347" s="78">
        <f t="shared" si="254"/>
        <v>82890</v>
      </c>
      <c r="M347" s="79">
        <v>174</v>
      </c>
      <c r="N347" s="79">
        <v>34</v>
      </c>
      <c r="O347" s="191">
        <f t="shared" si="237"/>
        <v>0.19540229885057472</v>
      </c>
      <c r="P347" s="80">
        <f t="shared" si="255"/>
        <v>124592</v>
      </c>
      <c r="Q347" s="80">
        <f t="shared" si="256"/>
        <v>16197</v>
      </c>
      <c r="R347" s="159">
        <f t="shared" si="257"/>
        <v>3.5710300189117916E-7</v>
      </c>
      <c r="S347" s="113">
        <v>0.13</v>
      </c>
      <c r="T347" s="86">
        <v>44825</v>
      </c>
      <c r="U347" s="64">
        <v>2</v>
      </c>
      <c r="V347" s="64"/>
      <c r="W347" s="64"/>
      <c r="X347" s="15">
        <v>1</v>
      </c>
      <c r="Y347" s="15" t="str">
        <f>VLOOKUP(B347,[1]Sheet1!$C$2:$D$906,2,0)</f>
        <v>8372793190</v>
      </c>
      <c r="AA347" t="str">
        <f>IF(VLOOKUP(LEFT(Y347,10),'Havi béradatok'!$B:$E,2,0)=D347,"EGYEZIK","HIBÁS")</f>
        <v>EGYEZIK</v>
      </c>
      <c r="AB347">
        <f>(VLOOKUP(LEFT(Y347,10),'Havi béradatok'!$B:$E,3,0)-K347)</f>
        <v>392380.95238095243</v>
      </c>
      <c r="AC347" s="3">
        <f>(VLOOKUP(LEFT(Y347,10),'Havi béradatok'!$B:$E,4,0)-L347)</f>
        <v>51010</v>
      </c>
    </row>
    <row r="348" spans="1:29" s="15" customFormat="1" ht="14.45" customHeight="1" x14ac:dyDescent="0.25">
      <c r="A348" s="38"/>
      <c r="B348" s="38" t="s">
        <v>186</v>
      </c>
      <c r="C348" s="62" t="s">
        <v>177</v>
      </c>
      <c r="D348" s="62" t="s">
        <v>206</v>
      </c>
      <c r="E348" s="62" t="s">
        <v>183</v>
      </c>
      <c r="F348" s="77" t="s">
        <v>166</v>
      </c>
      <c r="G348" s="77" t="s">
        <v>172</v>
      </c>
      <c r="H348" s="174" t="s">
        <v>280</v>
      </c>
      <c r="I348" s="77" t="s">
        <v>11</v>
      </c>
      <c r="J348" s="38" t="s">
        <v>37</v>
      </c>
      <c r="K348" s="6">
        <f>1030000/21*8</f>
        <v>392380.95238095237</v>
      </c>
      <c r="L348" s="78">
        <f t="shared" ref="L348" si="258">ROUND(K348*S348,0)</f>
        <v>51010</v>
      </c>
      <c r="M348" s="79">
        <v>174</v>
      </c>
      <c r="N348" s="79">
        <v>34</v>
      </c>
      <c r="O348" s="191">
        <f t="shared" ref="O348" si="259">N348/M348</f>
        <v>0.19540229885057472</v>
      </c>
      <c r="P348" s="80">
        <f t="shared" ref="P348" si="260">ROUND(K348*N348/M348,0)</f>
        <v>76672</v>
      </c>
      <c r="Q348" s="80">
        <f t="shared" ref="Q348" si="261">ROUND(P348*S348,0)</f>
        <v>9967</v>
      </c>
      <c r="R348" s="159">
        <f t="shared" ref="R348" si="262">N348/M348-P348/K348</f>
        <v>3.5710300189117916E-7</v>
      </c>
      <c r="S348" s="113">
        <v>0.13</v>
      </c>
      <c r="T348" s="86">
        <v>44825</v>
      </c>
      <c r="U348" s="64"/>
      <c r="V348" s="64"/>
      <c r="W348" s="64"/>
      <c r="X348" s="15">
        <v>1</v>
      </c>
      <c r="Y348" s="15" t="str">
        <f>VLOOKUP(B348,[1]Sheet1!$C$2:$D$906,2,0)</f>
        <v>8372793190</v>
      </c>
      <c r="AA348" t="str">
        <f>IF(VLOOKUP(LEFT(Y348,10),'Havi béradatok'!$B:$E,2,0)=D348,"EGYEZIK","HIBÁS")</f>
        <v>EGYEZIK</v>
      </c>
      <c r="AB348">
        <f>(VLOOKUP(LEFT(Y348,10),'Havi béradatok'!$B:$E,3,0)-K348)</f>
        <v>637619.04761904757</v>
      </c>
      <c r="AC348" s="3">
        <f>(VLOOKUP(LEFT(Y348,10),'Havi béradatok'!$B:$E,4,0)-L348)</f>
        <v>82890</v>
      </c>
    </row>
    <row r="349" spans="1:29" s="15" customFormat="1" ht="14.45" customHeight="1" x14ac:dyDescent="0.25">
      <c r="A349" s="38"/>
      <c r="B349" s="38" t="s">
        <v>186</v>
      </c>
      <c r="C349" s="62" t="s">
        <v>177</v>
      </c>
      <c r="D349" s="62" t="s">
        <v>206</v>
      </c>
      <c r="E349" s="62" t="s">
        <v>183</v>
      </c>
      <c r="F349" s="77" t="s">
        <v>166</v>
      </c>
      <c r="G349" s="77" t="s">
        <v>172</v>
      </c>
      <c r="H349" s="174" t="s">
        <v>117</v>
      </c>
      <c r="I349" s="77" t="s">
        <v>11</v>
      </c>
      <c r="J349" s="38" t="s">
        <v>37</v>
      </c>
      <c r="K349" s="6">
        <v>1030000</v>
      </c>
      <c r="L349" s="78">
        <f t="shared" ref="L349:L351" si="263">ROUND(K349*S349,0)</f>
        <v>133900</v>
      </c>
      <c r="M349" s="79">
        <v>174</v>
      </c>
      <c r="N349" s="79">
        <v>34</v>
      </c>
      <c r="O349" s="191">
        <f t="shared" si="237"/>
        <v>0.19540229885057472</v>
      </c>
      <c r="P349" s="80">
        <f t="shared" ref="P349" si="264">ROUND(K349*N349/M349,0)</f>
        <v>201264</v>
      </c>
      <c r="Q349" s="80">
        <f t="shared" ref="Q349" si="265">ROUND(P349*S349,0)</f>
        <v>26164</v>
      </c>
      <c r="R349" s="159">
        <f t="shared" ref="R349:R351" si="266">N349/M349-P349/K349</f>
        <v>3.5710300191893474E-7</v>
      </c>
      <c r="S349" s="113">
        <v>0.13</v>
      </c>
      <c r="T349" s="86"/>
      <c r="U349" s="64"/>
      <c r="V349" s="64"/>
      <c r="W349" s="64"/>
      <c r="X349" s="15">
        <v>1</v>
      </c>
      <c r="Y349" s="15" t="str">
        <f>VLOOKUP(B349,[1]Sheet1!$C$2:$D$906,2,0)</f>
        <v>8372793190</v>
      </c>
      <c r="AA349" t="str">
        <f>IF(VLOOKUP(LEFT(Y349,10),'Havi béradatok'!$B:$E,2,0)=D349,"EGYEZIK","HIBÁS")</f>
        <v>EGYEZIK</v>
      </c>
      <c r="AB349">
        <f>(VLOOKUP(LEFT(Y349,10),'Havi béradatok'!$B:$E,3,0)-K349)</f>
        <v>0</v>
      </c>
      <c r="AC349" s="3">
        <f>(VLOOKUP(LEFT(Y349,10),'Havi béradatok'!$B:$E,4,0)-L349)</f>
        <v>0</v>
      </c>
    </row>
    <row r="350" spans="1:29" s="15" customFormat="1" ht="14.45" customHeight="1" x14ac:dyDescent="0.25">
      <c r="A350" s="38"/>
      <c r="B350" s="38" t="s">
        <v>186</v>
      </c>
      <c r="C350" s="62" t="s">
        <v>177</v>
      </c>
      <c r="D350" s="62" t="s">
        <v>206</v>
      </c>
      <c r="E350" s="62" t="s">
        <v>183</v>
      </c>
      <c r="F350" s="77" t="s">
        <v>166</v>
      </c>
      <c r="G350" s="77" t="s">
        <v>172</v>
      </c>
      <c r="H350" s="174" t="s">
        <v>118</v>
      </c>
      <c r="I350" s="77" t="s">
        <v>11</v>
      </c>
      <c r="J350" s="38" t="s">
        <v>37</v>
      </c>
      <c r="K350" s="6">
        <v>1030000</v>
      </c>
      <c r="L350" s="78">
        <f t="shared" si="263"/>
        <v>133900</v>
      </c>
      <c r="M350" s="79">
        <v>174</v>
      </c>
      <c r="N350" s="79">
        <v>34</v>
      </c>
      <c r="O350" s="191">
        <f t="shared" si="237"/>
        <v>0.19540229885057472</v>
      </c>
      <c r="P350" s="80">
        <f t="shared" ref="P350:P351" si="267">ROUND(K350*N350/M350,0)</f>
        <v>201264</v>
      </c>
      <c r="Q350" s="80">
        <f t="shared" ref="Q350:Q351" si="268">ROUND(P350*S350,0)</f>
        <v>26164</v>
      </c>
      <c r="R350" s="159">
        <f t="shared" si="266"/>
        <v>3.5710300191893474E-7</v>
      </c>
      <c r="S350" s="113">
        <v>0.13</v>
      </c>
      <c r="T350" s="86"/>
      <c r="U350" s="64"/>
      <c r="V350" s="64"/>
      <c r="W350" s="64"/>
      <c r="X350" s="15">
        <v>1</v>
      </c>
      <c r="Y350" s="15" t="str">
        <f>VLOOKUP(B350,[1]Sheet1!$C$2:$D$906,2,0)</f>
        <v>8372793190</v>
      </c>
      <c r="AA350" t="str">
        <f>IF(VLOOKUP(LEFT(Y350,10),'Havi béradatok'!$B:$E,2,0)=D350,"EGYEZIK","HIBÁS")</f>
        <v>EGYEZIK</v>
      </c>
      <c r="AB350">
        <f>(VLOOKUP(LEFT(Y350,10),'Havi béradatok'!$B:$E,3,0)-K350)</f>
        <v>0</v>
      </c>
      <c r="AC350" s="3">
        <f>(VLOOKUP(LEFT(Y350,10),'Havi béradatok'!$B:$E,4,0)-L350)</f>
        <v>0</v>
      </c>
    </row>
    <row r="351" spans="1:29" s="15" customFormat="1" ht="14.45" customHeight="1" x14ac:dyDescent="0.25">
      <c r="A351" s="38"/>
      <c r="B351" s="38" t="s">
        <v>186</v>
      </c>
      <c r="C351" s="62" t="s">
        <v>177</v>
      </c>
      <c r="D351" s="62" t="s">
        <v>206</v>
      </c>
      <c r="E351" s="62" t="s">
        <v>183</v>
      </c>
      <c r="F351" s="77" t="s">
        <v>166</v>
      </c>
      <c r="G351" s="77" t="s">
        <v>172</v>
      </c>
      <c r="H351" s="174" t="s">
        <v>119</v>
      </c>
      <c r="I351" s="77" t="s">
        <v>11</v>
      </c>
      <c r="J351" s="38" t="s">
        <v>37</v>
      </c>
      <c r="K351" s="6">
        <v>1030000</v>
      </c>
      <c r="L351" s="78">
        <f t="shared" si="263"/>
        <v>133900</v>
      </c>
      <c r="M351" s="79">
        <v>174</v>
      </c>
      <c r="N351" s="79">
        <v>34</v>
      </c>
      <c r="O351" s="191">
        <f t="shared" si="237"/>
        <v>0.19540229885057472</v>
      </c>
      <c r="P351" s="80">
        <f t="shared" si="267"/>
        <v>201264</v>
      </c>
      <c r="Q351" s="80">
        <f t="shared" si="268"/>
        <v>26164</v>
      </c>
      <c r="R351" s="159">
        <f t="shared" si="266"/>
        <v>3.5710300191893474E-7</v>
      </c>
      <c r="S351" s="113">
        <v>0.13</v>
      </c>
      <c r="T351" s="86">
        <v>44967</v>
      </c>
      <c r="U351" s="64"/>
      <c r="V351" s="64"/>
      <c r="W351" s="64"/>
      <c r="X351" s="15">
        <v>1</v>
      </c>
      <c r="Y351" s="15" t="str">
        <f>VLOOKUP(B351,[1]Sheet1!$C$2:$D$906,2,0)</f>
        <v>8372793190</v>
      </c>
      <c r="AA351" t="str">
        <f>IF(VLOOKUP(LEFT(Y351,10),'Havi béradatok'!$B:$E,2,0)=D351,"EGYEZIK","HIBÁS")</f>
        <v>EGYEZIK</v>
      </c>
      <c r="AB351">
        <f>(VLOOKUP(LEFT(Y351,10),'Havi béradatok'!$B:$E,3,0)-K351)</f>
        <v>0</v>
      </c>
      <c r="AC351" s="3">
        <f>(VLOOKUP(LEFT(Y351,10),'Havi béradatok'!$B:$E,4,0)-L351)</f>
        <v>0</v>
      </c>
    </row>
    <row r="352" spans="1:29" s="15" customFormat="1" ht="14.45" hidden="1" customHeight="1" x14ac:dyDescent="0.25">
      <c r="A352" s="38"/>
      <c r="B352" s="173" t="s">
        <v>186</v>
      </c>
      <c r="C352" s="62" t="s">
        <v>177</v>
      </c>
      <c r="D352" s="62" t="s">
        <v>206</v>
      </c>
      <c r="E352" s="62" t="s">
        <v>183</v>
      </c>
      <c r="F352" s="77" t="s">
        <v>166</v>
      </c>
      <c r="G352" s="77" t="s">
        <v>172</v>
      </c>
      <c r="H352" s="174" t="s">
        <v>120</v>
      </c>
      <c r="I352" s="77" t="s">
        <v>12</v>
      </c>
      <c r="J352" s="38" t="s">
        <v>37</v>
      </c>
      <c r="K352" s="6">
        <v>1030000</v>
      </c>
      <c r="L352" s="78">
        <f t="shared" ref="L352:L353" si="269">ROUND(K352*S352,0)</f>
        <v>133900</v>
      </c>
      <c r="M352" s="79">
        <v>174</v>
      </c>
      <c r="N352" s="79">
        <v>34</v>
      </c>
      <c r="O352" s="191">
        <f t="shared" ref="O352:O353" si="270">N352/M352</f>
        <v>0.19540229885057472</v>
      </c>
      <c r="P352" s="80">
        <f t="shared" ref="P352:P353" si="271">ROUND(K352*N352/M352,0)</f>
        <v>201264</v>
      </c>
      <c r="Q352" s="80">
        <f t="shared" ref="Q352:Q353" si="272">ROUND(P352*S352,0)</f>
        <v>26164</v>
      </c>
      <c r="R352" s="159">
        <f t="shared" ref="R352:R353" si="273">N352/M352-P352/K352</f>
        <v>3.5710300191893474E-7</v>
      </c>
      <c r="S352" s="113">
        <v>0.13</v>
      </c>
      <c r="T352" s="86">
        <v>45005</v>
      </c>
      <c r="U352" s="64"/>
      <c r="V352" s="64"/>
      <c r="W352" s="64"/>
      <c r="X352" s="15">
        <v>1</v>
      </c>
      <c r="Y352" s="15" t="str">
        <f>VLOOKUP(B352,[1]Sheet1!$C$2:$D$906,2,0)</f>
        <v>8372793190</v>
      </c>
    </row>
    <row r="353" spans="1:29" s="15" customFormat="1" ht="14.45" hidden="1" customHeight="1" x14ac:dyDescent="0.25">
      <c r="A353" s="38"/>
      <c r="B353" s="173" t="s">
        <v>186</v>
      </c>
      <c r="C353" s="62" t="s">
        <v>177</v>
      </c>
      <c r="D353" s="62" t="s">
        <v>206</v>
      </c>
      <c r="E353" s="62" t="s">
        <v>183</v>
      </c>
      <c r="F353" s="77" t="s">
        <v>166</v>
      </c>
      <c r="G353" s="77" t="s">
        <v>172</v>
      </c>
      <c r="H353" s="174" t="s">
        <v>121</v>
      </c>
      <c r="I353" s="77" t="s">
        <v>12</v>
      </c>
      <c r="J353" s="38" t="s">
        <v>37</v>
      </c>
      <c r="K353" s="6">
        <v>1030000</v>
      </c>
      <c r="L353" s="78">
        <f t="shared" si="269"/>
        <v>133900</v>
      </c>
      <c r="M353" s="79">
        <v>174</v>
      </c>
      <c r="N353" s="79">
        <v>34</v>
      </c>
      <c r="O353" s="191">
        <f t="shared" si="270"/>
        <v>0.19540229885057472</v>
      </c>
      <c r="P353" s="80">
        <f t="shared" si="271"/>
        <v>201264</v>
      </c>
      <c r="Q353" s="80">
        <f t="shared" si="272"/>
        <v>26164</v>
      </c>
      <c r="R353" s="159">
        <f t="shared" si="273"/>
        <v>3.5710300191893474E-7</v>
      </c>
      <c r="S353" s="113">
        <v>0.13</v>
      </c>
      <c r="T353" s="86">
        <v>45005</v>
      </c>
      <c r="U353" s="64"/>
      <c r="V353" s="64"/>
      <c r="W353" s="64"/>
      <c r="X353" s="15">
        <v>1</v>
      </c>
      <c r="Y353" s="15" t="str">
        <f>VLOOKUP(B353,[1]Sheet1!$C$2:$D$906,2,0)</f>
        <v>8372793190</v>
      </c>
    </row>
    <row r="354" spans="1:29" s="15" customFormat="1" ht="14.45" customHeight="1" x14ac:dyDescent="0.25">
      <c r="A354" s="38"/>
      <c r="B354" s="38" t="s">
        <v>191</v>
      </c>
      <c r="C354" s="62" t="s">
        <v>177</v>
      </c>
      <c r="D354" s="62" t="s">
        <v>205</v>
      </c>
      <c r="E354" s="62" t="s">
        <v>179</v>
      </c>
      <c r="F354" s="77" t="s">
        <v>169</v>
      </c>
      <c r="G354" s="77" t="s">
        <v>174</v>
      </c>
      <c r="H354" s="62" t="s">
        <v>85</v>
      </c>
      <c r="I354" s="77" t="s">
        <v>11</v>
      </c>
      <c r="J354" s="38" t="s">
        <v>37</v>
      </c>
      <c r="K354" s="6">
        <v>900000</v>
      </c>
      <c r="L354" s="78">
        <f t="shared" si="254"/>
        <v>117000</v>
      </c>
      <c r="M354" s="79">
        <v>174</v>
      </c>
      <c r="N354" s="79">
        <v>18</v>
      </c>
      <c r="O354" s="191">
        <f t="shared" si="237"/>
        <v>0.10344827586206896</v>
      </c>
      <c r="P354" s="80">
        <v>93103</v>
      </c>
      <c r="Q354" s="80">
        <f t="shared" ref="Q354:Q371" si="274">ROUND(P354*S354,0)</f>
        <v>12103</v>
      </c>
      <c r="R354" s="159">
        <f t="shared" ref="R354:R364" si="275">N354/M354-P354/K354</f>
        <v>4.9808429118669562E-7</v>
      </c>
      <c r="S354" s="113">
        <v>0.13</v>
      </c>
      <c r="T354" s="86">
        <v>44936</v>
      </c>
      <c r="U354" s="64">
        <v>1</v>
      </c>
      <c r="V354" s="64"/>
      <c r="W354" s="64"/>
      <c r="X354" s="15">
        <v>1</v>
      </c>
      <c r="Y354" s="15" t="str">
        <f>VLOOKUP(B354,[1]Sheet1!$C$2:$D$906,2,0)</f>
        <v>8409494051</v>
      </c>
    </row>
    <row r="355" spans="1:29" s="15" customFormat="1" ht="14.45" customHeight="1" x14ac:dyDescent="0.25">
      <c r="A355" s="38"/>
      <c r="B355" s="38" t="s">
        <v>191</v>
      </c>
      <c r="C355" s="62" t="s">
        <v>177</v>
      </c>
      <c r="D355" s="62" t="s">
        <v>205</v>
      </c>
      <c r="E355" s="62" t="s">
        <v>179</v>
      </c>
      <c r="F355" s="77" t="s">
        <v>169</v>
      </c>
      <c r="G355" s="77" t="s">
        <v>174</v>
      </c>
      <c r="H355" s="62" t="s">
        <v>86</v>
      </c>
      <c r="I355" s="77" t="s">
        <v>11</v>
      </c>
      <c r="J355" s="38" t="s">
        <v>37</v>
      </c>
      <c r="K355" s="6">
        <v>900000</v>
      </c>
      <c r="L355" s="78">
        <f t="shared" si="254"/>
        <v>117000</v>
      </c>
      <c r="M355" s="79">
        <v>174</v>
      </c>
      <c r="N355" s="79">
        <v>17</v>
      </c>
      <c r="O355" s="191">
        <f t="shared" si="237"/>
        <v>9.7701149425287362E-2</v>
      </c>
      <c r="P355" s="80">
        <f t="shared" ref="P355:P358" si="276">ROUND(K355*N355/M355,0)</f>
        <v>87931</v>
      </c>
      <c r="Q355" s="80">
        <f t="shared" si="274"/>
        <v>11431</v>
      </c>
      <c r="R355" s="159">
        <f t="shared" si="275"/>
        <v>3.8314176248332998E-8</v>
      </c>
      <c r="S355" s="113">
        <v>0.13</v>
      </c>
      <c r="T355" s="86">
        <v>44608</v>
      </c>
      <c r="U355" s="64">
        <v>1</v>
      </c>
      <c r="V355" s="64"/>
      <c r="W355" s="64"/>
      <c r="X355" s="15">
        <v>1</v>
      </c>
      <c r="Y355" s="15" t="str">
        <f>VLOOKUP(B355,[1]Sheet1!$C$2:$D$906,2,0)</f>
        <v>8409494051</v>
      </c>
    </row>
    <row r="356" spans="1:29" s="15" customFormat="1" ht="14.45" customHeight="1" x14ac:dyDescent="0.25">
      <c r="A356" s="38"/>
      <c r="B356" s="38" t="s">
        <v>191</v>
      </c>
      <c r="C356" s="62" t="s">
        <v>177</v>
      </c>
      <c r="D356" s="62" t="s">
        <v>205</v>
      </c>
      <c r="E356" s="62" t="s">
        <v>179</v>
      </c>
      <c r="F356" s="77" t="s">
        <v>169</v>
      </c>
      <c r="G356" s="77" t="s">
        <v>174</v>
      </c>
      <c r="H356" s="62" t="s">
        <v>87</v>
      </c>
      <c r="I356" s="77" t="s">
        <v>11</v>
      </c>
      <c r="J356" s="38" t="s">
        <v>37</v>
      </c>
      <c r="K356" s="6">
        <v>900000</v>
      </c>
      <c r="L356" s="78">
        <f t="shared" si="254"/>
        <v>117000</v>
      </c>
      <c r="M356" s="79">
        <v>174</v>
      </c>
      <c r="N356" s="79">
        <v>17</v>
      </c>
      <c r="O356" s="191">
        <f t="shared" si="237"/>
        <v>9.7701149425287362E-2</v>
      </c>
      <c r="P356" s="80">
        <f t="shared" si="276"/>
        <v>87931</v>
      </c>
      <c r="Q356" s="80">
        <f t="shared" si="274"/>
        <v>11431</v>
      </c>
      <c r="R356" s="159">
        <f t="shared" si="275"/>
        <v>3.8314176248332998E-8</v>
      </c>
      <c r="S356" s="113">
        <v>0.13</v>
      </c>
      <c r="T356" s="86">
        <v>44608</v>
      </c>
      <c r="U356" s="64">
        <v>1</v>
      </c>
      <c r="V356" s="64"/>
      <c r="W356" s="64"/>
      <c r="X356" s="15">
        <v>1</v>
      </c>
      <c r="Y356" s="15" t="str">
        <f>VLOOKUP(B356,[1]Sheet1!$C$2:$D$906,2,0)</f>
        <v>8409494051</v>
      </c>
    </row>
    <row r="357" spans="1:29" s="15" customFormat="1" ht="14.45" customHeight="1" x14ac:dyDescent="0.25">
      <c r="A357" s="38"/>
      <c r="B357" s="38" t="s">
        <v>191</v>
      </c>
      <c r="C357" s="62" t="s">
        <v>177</v>
      </c>
      <c r="D357" s="62" t="s">
        <v>205</v>
      </c>
      <c r="E357" s="62" t="s">
        <v>179</v>
      </c>
      <c r="F357" s="77" t="s">
        <v>169</v>
      </c>
      <c r="G357" s="77" t="s">
        <v>174</v>
      </c>
      <c r="H357" s="62" t="s">
        <v>88</v>
      </c>
      <c r="I357" s="77" t="s">
        <v>11</v>
      </c>
      <c r="J357" s="38" t="s">
        <v>37</v>
      </c>
      <c r="K357" s="6">
        <v>900000</v>
      </c>
      <c r="L357" s="78">
        <f t="shared" si="254"/>
        <v>117000</v>
      </c>
      <c r="M357" s="79">
        <v>174</v>
      </c>
      <c r="N357" s="79">
        <v>17</v>
      </c>
      <c r="O357" s="191">
        <f t="shared" si="237"/>
        <v>9.7701149425287362E-2</v>
      </c>
      <c r="P357" s="80">
        <f t="shared" si="276"/>
        <v>87931</v>
      </c>
      <c r="Q357" s="80">
        <f t="shared" si="274"/>
        <v>11431</v>
      </c>
      <c r="R357" s="159">
        <f t="shared" si="275"/>
        <v>3.8314176248332998E-8</v>
      </c>
      <c r="S357" s="113">
        <v>0.13</v>
      </c>
      <c r="T357" s="86">
        <v>44608</v>
      </c>
      <c r="U357" s="64">
        <v>1</v>
      </c>
      <c r="V357" s="64"/>
      <c r="W357" s="64"/>
      <c r="X357" s="15">
        <v>1</v>
      </c>
      <c r="Y357" s="15" t="str">
        <f>VLOOKUP(B357,[1]Sheet1!$C$2:$D$906,2,0)</f>
        <v>8409494051</v>
      </c>
    </row>
    <row r="358" spans="1:29" s="15" customFormat="1" ht="14.45" customHeight="1" x14ac:dyDescent="0.25">
      <c r="A358" s="38"/>
      <c r="B358" s="38" t="s">
        <v>191</v>
      </c>
      <c r="C358" s="62" t="s">
        <v>177</v>
      </c>
      <c r="D358" s="62" t="s">
        <v>205</v>
      </c>
      <c r="E358" s="62" t="s">
        <v>179</v>
      </c>
      <c r="F358" s="77" t="s">
        <v>169</v>
      </c>
      <c r="G358" s="77" t="s">
        <v>174</v>
      </c>
      <c r="H358" s="62" t="s">
        <v>89</v>
      </c>
      <c r="I358" s="77" t="s">
        <v>11</v>
      </c>
      <c r="J358" s="38" t="s">
        <v>37</v>
      </c>
      <c r="K358" s="6">
        <v>900000</v>
      </c>
      <c r="L358" s="78">
        <f t="shared" si="254"/>
        <v>117000</v>
      </c>
      <c r="M358" s="79">
        <v>174</v>
      </c>
      <c r="N358" s="79">
        <v>17</v>
      </c>
      <c r="O358" s="191">
        <f t="shared" si="237"/>
        <v>9.7701149425287362E-2</v>
      </c>
      <c r="P358" s="80">
        <f t="shared" si="276"/>
        <v>87931</v>
      </c>
      <c r="Q358" s="80">
        <f t="shared" si="274"/>
        <v>11431</v>
      </c>
      <c r="R358" s="159">
        <f t="shared" si="275"/>
        <v>3.8314176248332998E-8</v>
      </c>
      <c r="S358" s="113">
        <v>0.13</v>
      </c>
      <c r="T358" s="86">
        <v>44608</v>
      </c>
      <c r="U358" s="64">
        <v>2</v>
      </c>
      <c r="V358" s="64"/>
      <c r="W358" s="64"/>
      <c r="X358" s="15">
        <v>1</v>
      </c>
      <c r="Y358" s="15" t="str">
        <f>VLOOKUP(B358,[1]Sheet1!$C$2:$D$906,2,0)</f>
        <v>8409494051</v>
      </c>
    </row>
    <row r="359" spans="1:29" s="15" customFormat="1" ht="14.45" customHeight="1" x14ac:dyDescent="0.25">
      <c r="A359" s="38"/>
      <c r="B359" s="38" t="s">
        <v>191</v>
      </c>
      <c r="C359" s="62" t="s">
        <v>177</v>
      </c>
      <c r="D359" s="62" t="s">
        <v>205</v>
      </c>
      <c r="E359" s="62" t="s">
        <v>179</v>
      </c>
      <c r="F359" s="77" t="s">
        <v>169</v>
      </c>
      <c r="G359" s="77" t="s">
        <v>174</v>
      </c>
      <c r="H359" s="62" t="s">
        <v>90</v>
      </c>
      <c r="I359" s="77" t="s">
        <v>11</v>
      </c>
      <c r="J359" s="38" t="s">
        <v>37</v>
      </c>
      <c r="K359" s="6">
        <v>900000</v>
      </c>
      <c r="L359" s="78">
        <f t="shared" si="254"/>
        <v>117000</v>
      </c>
      <c r="M359" s="79">
        <v>174</v>
      </c>
      <c r="N359" s="79">
        <v>13</v>
      </c>
      <c r="O359" s="191">
        <f t="shared" si="237"/>
        <v>7.4712643678160925E-2</v>
      </c>
      <c r="P359" s="80">
        <v>67241</v>
      </c>
      <c r="Q359" s="80">
        <f t="shared" si="274"/>
        <v>8741</v>
      </c>
      <c r="R359" s="159">
        <f t="shared" si="275"/>
        <v>4.2145593870390741E-7</v>
      </c>
      <c r="S359" s="113">
        <v>0.13</v>
      </c>
      <c r="T359" s="86">
        <v>44732</v>
      </c>
      <c r="U359" s="64">
        <v>2</v>
      </c>
      <c r="V359" s="64"/>
      <c r="W359" s="64"/>
      <c r="X359" s="15">
        <v>1</v>
      </c>
      <c r="Y359" s="15" t="str">
        <f>VLOOKUP(B359,[1]Sheet1!$C$2:$D$906,2,0)</f>
        <v>8409494051</v>
      </c>
    </row>
    <row r="360" spans="1:29" s="15" customFormat="1" ht="14.45" customHeight="1" x14ac:dyDescent="0.25">
      <c r="A360" s="38"/>
      <c r="B360" s="38" t="s">
        <v>191</v>
      </c>
      <c r="C360" s="62" t="s">
        <v>177</v>
      </c>
      <c r="D360" s="62" t="s">
        <v>205</v>
      </c>
      <c r="E360" s="62" t="s">
        <v>179</v>
      </c>
      <c r="F360" s="77" t="s">
        <v>169</v>
      </c>
      <c r="G360" s="77" t="s">
        <v>174</v>
      </c>
      <c r="H360" s="62" t="s">
        <v>91</v>
      </c>
      <c r="I360" s="77" t="s">
        <v>11</v>
      </c>
      <c r="J360" s="38" t="s">
        <v>37</v>
      </c>
      <c r="K360" s="6">
        <v>900000</v>
      </c>
      <c r="L360" s="78">
        <f t="shared" si="254"/>
        <v>117000</v>
      </c>
      <c r="M360" s="79">
        <v>174</v>
      </c>
      <c r="N360" s="79">
        <v>13</v>
      </c>
      <c r="O360" s="191">
        <f t="shared" si="237"/>
        <v>7.4712643678160925E-2</v>
      </c>
      <c r="P360" s="80">
        <v>67241</v>
      </c>
      <c r="Q360" s="80">
        <f t="shared" si="274"/>
        <v>8741</v>
      </c>
      <c r="R360" s="159">
        <f t="shared" si="275"/>
        <v>4.2145593870390741E-7</v>
      </c>
      <c r="S360" s="113">
        <v>0.13</v>
      </c>
      <c r="T360" s="86">
        <v>44732</v>
      </c>
      <c r="U360" s="64">
        <v>2</v>
      </c>
      <c r="V360" s="64"/>
      <c r="W360" s="64"/>
      <c r="X360" s="15">
        <v>1</v>
      </c>
      <c r="Y360" s="15" t="str">
        <f>VLOOKUP(B360,[1]Sheet1!$C$2:$D$906,2,0)</f>
        <v>8409494051</v>
      </c>
    </row>
    <row r="361" spans="1:29" s="15" customFormat="1" ht="14.45" customHeight="1" x14ac:dyDescent="0.25">
      <c r="A361" s="38"/>
      <c r="B361" s="38" t="s">
        <v>191</v>
      </c>
      <c r="C361" s="62" t="s">
        <v>177</v>
      </c>
      <c r="D361" s="62" t="s">
        <v>205</v>
      </c>
      <c r="E361" s="62" t="s">
        <v>179</v>
      </c>
      <c r="F361" s="77" t="s">
        <v>169</v>
      </c>
      <c r="G361" s="77" t="s">
        <v>174</v>
      </c>
      <c r="H361" s="62" t="s">
        <v>92</v>
      </c>
      <c r="I361" s="77" t="s">
        <v>11</v>
      </c>
      <c r="J361" s="38" t="s">
        <v>37</v>
      </c>
      <c r="K361" s="6">
        <v>900000</v>
      </c>
      <c r="L361" s="78">
        <f t="shared" si="254"/>
        <v>117000</v>
      </c>
      <c r="M361" s="79">
        <v>174</v>
      </c>
      <c r="N361" s="79">
        <v>13</v>
      </c>
      <c r="O361" s="191">
        <f t="shared" si="237"/>
        <v>7.4712643678160925E-2</v>
      </c>
      <c r="P361" s="80">
        <v>67241</v>
      </c>
      <c r="Q361" s="80">
        <f t="shared" si="274"/>
        <v>8741</v>
      </c>
      <c r="R361" s="159">
        <f t="shared" si="275"/>
        <v>4.2145593870390741E-7</v>
      </c>
      <c r="S361" s="113">
        <v>0.13</v>
      </c>
      <c r="T361" s="86">
        <v>44732</v>
      </c>
      <c r="U361" s="64">
        <v>2</v>
      </c>
      <c r="V361" s="64"/>
      <c r="W361" s="64"/>
      <c r="X361" s="15">
        <v>1</v>
      </c>
      <c r="Y361" s="15" t="str">
        <f>VLOOKUP(B361,[1]Sheet1!$C$2:$D$906,2,0)</f>
        <v>8409494051</v>
      </c>
    </row>
    <row r="362" spans="1:29" s="15" customFormat="1" ht="14.45" customHeight="1" x14ac:dyDescent="0.25">
      <c r="A362" s="38"/>
      <c r="B362" s="38" t="s">
        <v>191</v>
      </c>
      <c r="C362" s="62" t="s">
        <v>177</v>
      </c>
      <c r="D362" s="62" t="s">
        <v>205</v>
      </c>
      <c r="E362" s="62" t="s">
        <v>179</v>
      </c>
      <c r="F362" s="77" t="s">
        <v>169</v>
      </c>
      <c r="G362" s="77" t="s">
        <v>174</v>
      </c>
      <c r="H362" s="62" t="s">
        <v>93</v>
      </c>
      <c r="I362" s="77" t="s">
        <v>11</v>
      </c>
      <c r="J362" s="38" t="s">
        <v>37</v>
      </c>
      <c r="K362" s="6">
        <v>900000</v>
      </c>
      <c r="L362" s="78">
        <f t="shared" si="254"/>
        <v>117000</v>
      </c>
      <c r="M362" s="79">
        <v>174</v>
      </c>
      <c r="N362" s="79">
        <v>13</v>
      </c>
      <c r="O362" s="191">
        <f t="shared" si="237"/>
        <v>7.4712643678160925E-2</v>
      </c>
      <c r="P362" s="80">
        <v>67241</v>
      </c>
      <c r="Q362" s="80">
        <f t="shared" si="274"/>
        <v>8741</v>
      </c>
      <c r="R362" s="159">
        <f t="shared" si="275"/>
        <v>4.2145593870390741E-7</v>
      </c>
      <c r="S362" s="113">
        <v>0.13</v>
      </c>
      <c r="T362" s="86">
        <v>44732</v>
      </c>
      <c r="U362" s="64">
        <v>2</v>
      </c>
      <c r="V362" s="64"/>
      <c r="W362" s="64"/>
      <c r="X362" s="15">
        <v>1</v>
      </c>
      <c r="Y362" s="15" t="str">
        <f>VLOOKUP(B362,[1]Sheet1!$C$2:$D$906,2,0)</f>
        <v>8409494051</v>
      </c>
    </row>
    <row r="363" spans="1:29" s="15" customFormat="1" ht="14.45" customHeight="1" x14ac:dyDescent="0.25">
      <c r="A363" s="38"/>
      <c r="B363" s="38" t="s">
        <v>191</v>
      </c>
      <c r="C363" s="62" t="s">
        <v>177</v>
      </c>
      <c r="D363" s="62" t="s">
        <v>205</v>
      </c>
      <c r="E363" s="62" t="s">
        <v>179</v>
      </c>
      <c r="F363" s="77" t="s">
        <v>169</v>
      </c>
      <c r="G363" s="77" t="s">
        <v>174</v>
      </c>
      <c r="H363" s="62" t="s">
        <v>94</v>
      </c>
      <c r="I363" s="77" t="s">
        <v>11</v>
      </c>
      <c r="J363" s="38" t="s">
        <v>37</v>
      </c>
      <c r="K363" s="6">
        <v>900000</v>
      </c>
      <c r="L363" s="78">
        <f t="shared" si="254"/>
        <v>117000</v>
      </c>
      <c r="M363" s="79">
        <v>174</v>
      </c>
      <c r="N363" s="79">
        <v>13</v>
      </c>
      <c r="O363" s="191">
        <f t="shared" si="237"/>
        <v>7.4712643678160925E-2</v>
      </c>
      <c r="P363" s="80">
        <v>67241</v>
      </c>
      <c r="Q363" s="80">
        <f t="shared" si="274"/>
        <v>8741</v>
      </c>
      <c r="R363" s="159">
        <f t="shared" si="275"/>
        <v>4.2145593870390741E-7</v>
      </c>
      <c r="S363" s="113">
        <v>0.13</v>
      </c>
      <c r="T363" s="86">
        <v>44732</v>
      </c>
      <c r="U363" s="64">
        <v>2</v>
      </c>
      <c r="V363" s="64"/>
      <c r="W363" s="64"/>
      <c r="X363" s="15">
        <v>1</v>
      </c>
      <c r="Y363" s="15" t="str">
        <f>VLOOKUP(B363,[1]Sheet1!$C$2:$D$906,2,0)</f>
        <v>8409494051</v>
      </c>
    </row>
    <row r="364" spans="1:29" s="15" customFormat="1" ht="14.45" customHeight="1" x14ac:dyDescent="0.25">
      <c r="A364" s="38"/>
      <c r="B364" s="38" t="s">
        <v>191</v>
      </c>
      <c r="C364" s="62" t="s">
        <v>177</v>
      </c>
      <c r="D364" s="62" t="s">
        <v>205</v>
      </c>
      <c r="E364" s="62" t="s">
        <v>179</v>
      </c>
      <c r="F364" s="77" t="s">
        <v>169</v>
      </c>
      <c r="G364" s="77" t="s">
        <v>174</v>
      </c>
      <c r="H364" s="174" t="s">
        <v>281</v>
      </c>
      <c r="I364" s="77" t="s">
        <v>11</v>
      </c>
      <c r="J364" s="38" t="s">
        <v>37</v>
      </c>
      <c r="K364" s="6">
        <f>900000/21*13</f>
        <v>557142.85714285716</v>
      </c>
      <c r="L364" s="78">
        <f t="shared" si="254"/>
        <v>72429</v>
      </c>
      <c r="M364" s="79">
        <v>174</v>
      </c>
      <c r="N364" s="79">
        <v>13</v>
      </c>
      <c r="O364" s="191">
        <f t="shared" si="237"/>
        <v>7.4712643678160925E-2</v>
      </c>
      <c r="P364" s="80">
        <f>67241/21*13</f>
        <v>41625.380952380947</v>
      </c>
      <c r="Q364" s="80">
        <f t="shared" si="274"/>
        <v>5411</v>
      </c>
      <c r="R364" s="159">
        <f t="shared" si="275"/>
        <v>4.2145593871778519E-7</v>
      </c>
      <c r="S364" s="113">
        <v>0.13</v>
      </c>
      <c r="T364" s="86">
        <v>44732</v>
      </c>
      <c r="U364" s="64">
        <v>2</v>
      </c>
      <c r="V364" s="64"/>
      <c r="W364" s="64"/>
      <c r="X364" s="15">
        <v>1</v>
      </c>
      <c r="Y364" s="15" t="str">
        <f>VLOOKUP(B364,[1]Sheet1!$C$2:$D$906,2,0)</f>
        <v>8409494051</v>
      </c>
      <c r="AA364" t="str">
        <f>IF(VLOOKUP(LEFT(Y364,10),'Havi béradatok'!$B:$E,2,0)=D364,"EGYEZIK","HIBÁS")</f>
        <v>EGYEZIK</v>
      </c>
      <c r="AB364">
        <f>(VLOOKUP(LEFT(Y364,10),'Havi béradatok'!$B:$E,3,0)-K364)</f>
        <v>742857.14285714284</v>
      </c>
      <c r="AC364" s="3">
        <f>(VLOOKUP(LEFT(Y364,10),'Havi béradatok'!$B:$E,4,0)-L364)</f>
        <v>96571</v>
      </c>
    </row>
    <row r="365" spans="1:29" s="15" customFormat="1" ht="14.45" customHeight="1" x14ac:dyDescent="0.25">
      <c r="A365" s="38"/>
      <c r="B365" s="38" t="s">
        <v>191</v>
      </c>
      <c r="C365" s="62" t="s">
        <v>177</v>
      </c>
      <c r="D365" s="62" t="s">
        <v>205</v>
      </c>
      <c r="E365" s="62" t="s">
        <v>179</v>
      </c>
      <c r="F365" s="77" t="s">
        <v>169</v>
      </c>
      <c r="G365" s="77" t="s">
        <v>174</v>
      </c>
      <c r="H365" s="174" t="s">
        <v>280</v>
      </c>
      <c r="I365" s="77" t="s">
        <v>11</v>
      </c>
      <c r="J365" s="38" t="s">
        <v>37</v>
      </c>
      <c r="K365" s="6">
        <f>900000/21*8</f>
        <v>342857.14285714284</v>
      </c>
      <c r="L365" s="78">
        <f t="shared" ref="L365" si="277">ROUND(K365*S365,0)</f>
        <v>44571</v>
      </c>
      <c r="M365" s="79">
        <v>174</v>
      </c>
      <c r="N365" s="79">
        <v>13</v>
      </c>
      <c r="O365" s="191">
        <f t="shared" ref="O365" si="278">N365/M365</f>
        <v>7.4712643678160925E-2</v>
      </c>
      <c r="P365" s="80">
        <f>67241/21*8</f>
        <v>25615.619047619046</v>
      </c>
      <c r="Q365" s="80">
        <f t="shared" ref="Q365" si="279">ROUND(P365*S365,0)</f>
        <v>3330</v>
      </c>
      <c r="R365" s="159">
        <f t="shared" ref="R365" si="280">N365/M365-P365/K365</f>
        <v>4.2145593870390741E-7</v>
      </c>
      <c r="S365" s="113">
        <v>0.13</v>
      </c>
      <c r="T365" s="86">
        <v>44732</v>
      </c>
      <c r="U365" s="64"/>
      <c r="V365" s="64"/>
      <c r="W365" s="64"/>
      <c r="X365" s="15">
        <v>1</v>
      </c>
      <c r="Y365" s="15" t="str">
        <f>VLOOKUP(B365,[1]Sheet1!$C$2:$D$906,2,0)</f>
        <v>8409494051</v>
      </c>
      <c r="AA365" t="str">
        <f>IF(VLOOKUP(LEFT(Y365,10),'Havi béradatok'!$B:$E,2,0)=D365,"EGYEZIK","HIBÁS")</f>
        <v>EGYEZIK</v>
      </c>
      <c r="AB365">
        <f>(VLOOKUP(LEFT(Y365,10),'Havi béradatok'!$B:$E,3,0)-K365)</f>
        <v>957142.85714285716</v>
      </c>
      <c r="AC365" s="3">
        <f>(VLOOKUP(LEFT(Y365,10),'Havi béradatok'!$B:$E,4,0)-L365)</f>
        <v>124429</v>
      </c>
    </row>
    <row r="366" spans="1:29" s="15" customFormat="1" ht="14.45" customHeight="1" x14ac:dyDescent="0.25">
      <c r="A366" s="38"/>
      <c r="B366" s="38" t="s">
        <v>191</v>
      </c>
      <c r="C366" s="62" t="s">
        <v>177</v>
      </c>
      <c r="D366" s="62" t="s">
        <v>205</v>
      </c>
      <c r="E366" s="62" t="s">
        <v>179</v>
      </c>
      <c r="F366" s="77" t="s">
        <v>169</v>
      </c>
      <c r="G366" s="77" t="s">
        <v>174</v>
      </c>
      <c r="H366" s="62" t="s">
        <v>117</v>
      </c>
      <c r="I366" s="77" t="s">
        <v>11</v>
      </c>
      <c r="J366" s="38" t="s">
        <v>37</v>
      </c>
      <c r="K366" s="6">
        <v>900000</v>
      </c>
      <c r="L366" s="78">
        <f t="shared" si="254"/>
        <v>117000</v>
      </c>
      <c r="M366" s="79">
        <v>174</v>
      </c>
      <c r="N366" s="79">
        <v>13</v>
      </c>
      <c r="O366" s="191">
        <f t="shared" si="237"/>
        <v>7.4712643678160925E-2</v>
      </c>
      <c r="P366" s="80">
        <v>67241</v>
      </c>
      <c r="Q366" s="80">
        <f t="shared" si="274"/>
        <v>8741</v>
      </c>
      <c r="R366" s="159">
        <f t="shared" ref="R366:R371" si="281">N366/M366-P366/K366</f>
        <v>4.2145593870390741E-7</v>
      </c>
      <c r="S366" s="113">
        <v>0.13</v>
      </c>
      <c r="T366" s="86">
        <v>44935</v>
      </c>
      <c r="U366" s="64"/>
      <c r="V366" s="64"/>
      <c r="W366" s="64"/>
      <c r="X366" s="15">
        <v>1</v>
      </c>
      <c r="Y366" s="15" t="str">
        <f>VLOOKUP(B366,[1]Sheet1!$C$2:$D$906,2,0)</f>
        <v>8409494051</v>
      </c>
      <c r="AA366" t="str">
        <f>IF(VLOOKUP(LEFT(Y366,10),'Havi béradatok'!$B:$E,2,0)=D366,"EGYEZIK","HIBÁS")</f>
        <v>EGYEZIK</v>
      </c>
      <c r="AB366">
        <f>(VLOOKUP(LEFT(Y366,10),'Havi béradatok'!$B:$E,3,0)-K366)</f>
        <v>400000</v>
      </c>
      <c r="AC366" s="3">
        <f>(VLOOKUP(LEFT(Y366,10),'Havi béradatok'!$B:$E,4,0)-L366)</f>
        <v>52000</v>
      </c>
    </row>
    <row r="367" spans="1:29" s="15" customFormat="1" ht="14.45" customHeight="1" x14ac:dyDescent="0.25">
      <c r="A367" s="38"/>
      <c r="B367" s="38" t="s">
        <v>191</v>
      </c>
      <c r="C367" s="62" t="s">
        <v>177</v>
      </c>
      <c r="D367" s="62" t="s">
        <v>205</v>
      </c>
      <c r="E367" s="62" t="s">
        <v>179</v>
      </c>
      <c r="F367" s="77" t="s">
        <v>169</v>
      </c>
      <c r="G367" s="77" t="s">
        <v>174</v>
      </c>
      <c r="H367" s="62" t="s">
        <v>118</v>
      </c>
      <c r="I367" s="77" t="s">
        <v>11</v>
      </c>
      <c r="J367" s="38" t="s">
        <v>37</v>
      </c>
      <c r="K367" s="6">
        <v>900000</v>
      </c>
      <c r="L367" s="78">
        <f t="shared" si="254"/>
        <v>117000</v>
      </c>
      <c r="M367" s="79">
        <v>174</v>
      </c>
      <c r="N367" s="79">
        <v>13</v>
      </c>
      <c r="O367" s="191">
        <f t="shared" si="237"/>
        <v>7.4712643678160925E-2</v>
      </c>
      <c r="P367" s="80">
        <v>67241</v>
      </c>
      <c r="Q367" s="80">
        <f t="shared" si="274"/>
        <v>8741</v>
      </c>
      <c r="R367" s="159">
        <f t="shared" si="281"/>
        <v>4.2145593870390741E-7</v>
      </c>
      <c r="S367" s="113">
        <v>0.13</v>
      </c>
      <c r="T367" s="86">
        <v>44935</v>
      </c>
      <c r="U367" s="64"/>
      <c r="V367" s="64"/>
      <c r="W367" s="64"/>
      <c r="X367" s="15">
        <v>1</v>
      </c>
      <c r="Y367" s="15" t="str">
        <f>VLOOKUP(B367,[1]Sheet1!$C$2:$D$906,2,0)</f>
        <v>8409494051</v>
      </c>
      <c r="AA367" t="str">
        <f>IF(VLOOKUP(LEFT(Y367,10),'Havi béradatok'!$B:$E,2,0)=D367,"EGYEZIK","HIBÁS")</f>
        <v>EGYEZIK</v>
      </c>
      <c r="AB367">
        <f>(VLOOKUP(LEFT(Y367,10),'Havi béradatok'!$B:$E,3,0)-K367)</f>
        <v>400000</v>
      </c>
      <c r="AC367" s="3">
        <f>(VLOOKUP(LEFT(Y367,10),'Havi béradatok'!$B:$E,4,0)-L367)</f>
        <v>52000</v>
      </c>
    </row>
    <row r="368" spans="1:29" s="15" customFormat="1" ht="14.45" customHeight="1" x14ac:dyDescent="0.25">
      <c r="A368" s="38"/>
      <c r="B368" s="38" t="s">
        <v>191</v>
      </c>
      <c r="C368" s="62" t="s">
        <v>177</v>
      </c>
      <c r="D368" s="62" t="s">
        <v>205</v>
      </c>
      <c r="E368" s="62" t="s">
        <v>179</v>
      </c>
      <c r="F368" s="77" t="s">
        <v>169</v>
      </c>
      <c r="G368" s="77" t="s">
        <v>174</v>
      </c>
      <c r="H368" s="62" t="s">
        <v>119</v>
      </c>
      <c r="I368" s="77" t="s">
        <v>11</v>
      </c>
      <c r="J368" s="38" t="s">
        <v>37</v>
      </c>
      <c r="K368" s="6">
        <v>900000</v>
      </c>
      <c r="L368" s="78">
        <f t="shared" si="254"/>
        <v>117000</v>
      </c>
      <c r="M368" s="79">
        <v>174</v>
      </c>
      <c r="N368" s="79">
        <v>13</v>
      </c>
      <c r="O368" s="191">
        <f t="shared" si="237"/>
        <v>7.4712643678160925E-2</v>
      </c>
      <c r="P368" s="80">
        <v>67241</v>
      </c>
      <c r="Q368" s="80">
        <f t="shared" si="274"/>
        <v>8741</v>
      </c>
      <c r="R368" s="159">
        <f t="shared" si="281"/>
        <v>4.2145593870390741E-7</v>
      </c>
      <c r="S368" s="113">
        <v>0.13</v>
      </c>
      <c r="T368" s="86">
        <v>44935</v>
      </c>
      <c r="U368" s="64"/>
      <c r="V368" s="64"/>
      <c r="W368" s="64"/>
      <c r="X368" s="15">
        <v>1</v>
      </c>
      <c r="Y368" s="15" t="str">
        <f>VLOOKUP(B368,[1]Sheet1!$C$2:$D$906,2,0)</f>
        <v>8409494051</v>
      </c>
      <c r="AA368" t="str">
        <f>IF(VLOOKUP(LEFT(Y368,10),'Havi béradatok'!$B:$E,2,0)=D368,"EGYEZIK","HIBÁS")</f>
        <v>EGYEZIK</v>
      </c>
      <c r="AB368">
        <f>(VLOOKUP(LEFT(Y368,10),'Havi béradatok'!$B:$E,3,0)-K368)</f>
        <v>400000</v>
      </c>
      <c r="AC368" s="3">
        <f>(VLOOKUP(LEFT(Y368,10),'Havi béradatok'!$B:$E,4,0)-L368)</f>
        <v>52000</v>
      </c>
    </row>
    <row r="369" spans="1:29" s="15" customFormat="1" ht="14.45" hidden="1" customHeight="1" x14ac:dyDescent="0.25">
      <c r="A369" s="38"/>
      <c r="B369" s="38" t="s">
        <v>191</v>
      </c>
      <c r="C369" s="62" t="s">
        <v>177</v>
      </c>
      <c r="D369" s="62" t="s">
        <v>205</v>
      </c>
      <c r="E369" s="62" t="s">
        <v>179</v>
      </c>
      <c r="F369" s="77" t="s">
        <v>169</v>
      </c>
      <c r="G369" s="77" t="s">
        <v>174</v>
      </c>
      <c r="H369" s="62" t="s">
        <v>120</v>
      </c>
      <c r="I369" s="77" t="s">
        <v>12</v>
      </c>
      <c r="J369" s="38" t="s">
        <v>37</v>
      </c>
      <c r="K369" s="6">
        <v>900000</v>
      </c>
      <c r="L369" s="78">
        <f t="shared" si="254"/>
        <v>117000</v>
      </c>
      <c r="M369" s="79">
        <v>174</v>
      </c>
      <c r="N369" s="79">
        <v>13</v>
      </c>
      <c r="O369" s="191">
        <f t="shared" si="237"/>
        <v>7.4712643678160925E-2</v>
      </c>
      <c r="P369" s="80">
        <v>67241</v>
      </c>
      <c r="Q369" s="80">
        <f t="shared" si="274"/>
        <v>8741</v>
      </c>
      <c r="R369" s="159">
        <f t="shared" si="281"/>
        <v>4.2145593870390741E-7</v>
      </c>
      <c r="S369" s="113">
        <v>0.13</v>
      </c>
      <c r="T369" s="86">
        <v>45005</v>
      </c>
      <c r="U369" s="64"/>
      <c r="V369" s="64"/>
      <c r="W369" s="64"/>
      <c r="X369" s="15">
        <v>1</v>
      </c>
      <c r="Y369" s="15" t="str">
        <f>VLOOKUP(B369,[1]Sheet1!$C$2:$D$906,2,0)</f>
        <v>8409494051</v>
      </c>
    </row>
    <row r="370" spans="1:29" s="15" customFormat="1" ht="14.45" hidden="1" customHeight="1" x14ac:dyDescent="0.25">
      <c r="A370" s="38"/>
      <c r="B370" s="38" t="s">
        <v>191</v>
      </c>
      <c r="C370" s="62" t="s">
        <v>177</v>
      </c>
      <c r="D370" s="62" t="s">
        <v>205</v>
      </c>
      <c r="E370" s="62" t="s">
        <v>179</v>
      </c>
      <c r="F370" s="77" t="s">
        <v>169</v>
      </c>
      <c r="G370" s="77" t="s">
        <v>174</v>
      </c>
      <c r="H370" s="62" t="s">
        <v>121</v>
      </c>
      <c r="I370" s="77" t="s">
        <v>12</v>
      </c>
      <c r="J370" s="38" t="s">
        <v>37</v>
      </c>
      <c r="K370" s="6">
        <v>900000</v>
      </c>
      <c r="L370" s="78">
        <f t="shared" si="254"/>
        <v>117000</v>
      </c>
      <c r="M370" s="79">
        <v>174</v>
      </c>
      <c r="N370" s="79">
        <v>13</v>
      </c>
      <c r="O370" s="191">
        <f t="shared" si="237"/>
        <v>7.4712643678160925E-2</v>
      </c>
      <c r="P370" s="80">
        <v>67241</v>
      </c>
      <c r="Q370" s="80">
        <f t="shared" si="274"/>
        <v>8741</v>
      </c>
      <c r="R370" s="159">
        <f t="shared" si="281"/>
        <v>4.2145593870390741E-7</v>
      </c>
      <c r="S370" s="113">
        <v>0.13</v>
      </c>
      <c r="T370" s="86">
        <v>45005</v>
      </c>
      <c r="U370" s="64"/>
      <c r="V370" s="64"/>
      <c r="W370" s="64"/>
      <c r="X370" s="15">
        <v>1</v>
      </c>
      <c r="Y370" s="15" t="str">
        <f>VLOOKUP(B370,[1]Sheet1!$C$2:$D$906,2,0)</f>
        <v>8409494051</v>
      </c>
    </row>
    <row r="371" spans="1:29" s="15" customFormat="1" ht="14.45" hidden="1" customHeight="1" x14ac:dyDescent="0.25">
      <c r="A371" s="38"/>
      <c r="B371" s="38" t="s">
        <v>191</v>
      </c>
      <c r="C371" s="62" t="s">
        <v>177</v>
      </c>
      <c r="D371" s="62" t="s">
        <v>205</v>
      </c>
      <c r="E371" s="62" t="s">
        <v>179</v>
      </c>
      <c r="F371" s="77" t="s">
        <v>169</v>
      </c>
      <c r="G371" s="77" t="s">
        <v>174</v>
      </c>
      <c r="H371" s="62" t="s">
        <v>122</v>
      </c>
      <c r="I371" s="77" t="s">
        <v>12</v>
      </c>
      <c r="J371" s="38" t="s">
        <v>37</v>
      </c>
      <c r="K371" s="6">
        <v>900000</v>
      </c>
      <c r="L371" s="78">
        <f t="shared" si="254"/>
        <v>117000</v>
      </c>
      <c r="M371" s="79">
        <v>174</v>
      </c>
      <c r="N371" s="79">
        <v>13</v>
      </c>
      <c r="O371" s="191">
        <f t="shared" si="237"/>
        <v>7.4712643678160925E-2</v>
      </c>
      <c r="P371" s="80">
        <v>67241</v>
      </c>
      <c r="Q371" s="80">
        <f t="shared" si="274"/>
        <v>8741</v>
      </c>
      <c r="R371" s="159">
        <f t="shared" si="281"/>
        <v>4.2145593870390741E-7</v>
      </c>
      <c r="S371" s="113">
        <v>0.13</v>
      </c>
      <c r="T371" s="86">
        <v>45005</v>
      </c>
      <c r="U371" s="64"/>
      <c r="V371" s="64"/>
      <c r="W371" s="64"/>
      <c r="X371" s="15">
        <v>1</v>
      </c>
      <c r="Y371" s="15" t="str">
        <f>VLOOKUP(B371,[1]Sheet1!$C$2:$D$906,2,0)</f>
        <v>8409494051</v>
      </c>
    </row>
    <row r="372" spans="1:29" s="15" customFormat="1" ht="14.45" customHeight="1" x14ac:dyDescent="0.25">
      <c r="A372" s="38"/>
      <c r="B372" s="38" t="s">
        <v>187</v>
      </c>
      <c r="C372" s="62" t="s">
        <v>177</v>
      </c>
      <c r="D372" s="62" t="s">
        <v>204</v>
      </c>
      <c r="E372" s="62" t="s">
        <v>183</v>
      </c>
      <c r="F372" s="77" t="s">
        <v>166</v>
      </c>
      <c r="G372" s="77" t="s">
        <v>172</v>
      </c>
      <c r="H372" s="62" t="s">
        <v>85</v>
      </c>
      <c r="I372" s="77" t="s">
        <v>11</v>
      </c>
      <c r="J372" s="38" t="s">
        <v>37</v>
      </c>
      <c r="K372" s="6">
        <v>790000</v>
      </c>
      <c r="L372" s="78">
        <f t="shared" si="254"/>
        <v>102700</v>
      </c>
      <c r="M372" s="79">
        <v>174</v>
      </c>
      <c r="N372" s="79">
        <v>55</v>
      </c>
      <c r="O372" s="191">
        <f t="shared" si="237"/>
        <v>0.31609195402298851</v>
      </c>
      <c r="P372" s="80">
        <f t="shared" ref="P372:P378" si="282">ROUND(K372*N372/M372,0)</f>
        <v>249713</v>
      </c>
      <c r="Q372" s="80">
        <f t="shared" ref="Q372:Q378" si="283">ROUND(P372*S372,0)</f>
        <v>32463</v>
      </c>
      <c r="R372" s="159">
        <f t="shared" ref="R372:R378" si="284">N372/M372-P372/K372</f>
        <v>-4.5104030260700867E-7</v>
      </c>
      <c r="S372" s="113">
        <v>0.13</v>
      </c>
      <c r="T372" s="86">
        <v>44585</v>
      </c>
      <c r="U372" s="64">
        <v>1</v>
      </c>
      <c r="V372" s="64"/>
      <c r="W372" s="64"/>
      <c r="X372" s="15">
        <v>1</v>
      </c>
      <c r="Y372" s="15" t="str">
        <f>VLOOKUP(B372,[1]Sheet1!$C$2:$D$906,2,0)</f>
        <v>8444651087</v>
      </c>
    </row>
    <row r="373" spans="1:29" s="15" customFormat="1" ht="14.45" customHeight="1" x14ac:dyDescent="0.25">
      <c r="A373" s="38"/>
      <c r="B373" s="38" t="s">
        <v>187</v>
      </c>
      <c r="C373" s="62" t="s">
        <v>177</v>
      </c>
      <c r="D373" s="62" t="s">
        <v>204</v>
      </c>
      <c r="E373" s="62" t="s">
        <v>183</v>
      </c>
      <c r="F373" s="77" t="s">
        <v>166</v>
      </c>
      <c r="G373" s="77" t="s">
        <v>172</v>
      </c>
      <c r="H373" s="62" t="s">
        <v>86</v>
      </c>
      <c r="I373" s="77" t="s">
        <v>11</v>
      </c>
      <c r="J373" s="38" t="s">
        <v>37</v>
      </c>
      <c r="K373" s="6">
        <v>1040000</v>
      </c>
      <c r="L373" s="78">
        <f t="shared" si="254"/>
        <v>135200</v>
      </c>
      <c r="M373" s="79">
        <v>174</v>
      </c>
      <c r="N373" s="79">
        <v>42</v>
      </c>
      <c r="O373" s="191">
        <f t="shared" si="237"/>
        <v>0.2413793103448276</v>
      </c>
      <c r="P373" s="80">
        <f t="shared" si="282"/>
        <v>251034</v>
      </c>
      <c r="Q373" s="80">
        <f t="shared" si="283"/>
        <v>32634</v>
      </c>
      <c r="R373" s="159">
        <f t="shared" si="284"/>
        <v>4.6419098143068993E-7</v>
      </c>
      <c r="S373" s="113">
        <v>0.13</v>
      </c>
      <c r="T373" s="86">
        <v>44608</v>
      </c>
      <c r="U373" s="64">
        <v>1</v>
      </c>
      <c r="V373" s="64"/>
      <c r="W373" s="64"/>
      <c r="X373" s="15">
        <v>1</v>
      </c>
      <c r="Y373" s="15" t="str">
        <f>VLOOKUP(B373,[1]Sheet1!$C$2:$D$906,2,0)</f>
        <v>8444651087</v>
      </c>
    </row>
    <row r="374" spans="1:29" s="15" customFormat="1" ht="14.45" customHeight="1" x14ac:dyDescent="0.25">
      <c r="A374" s="38"/>
      <c r="B374" s="38" t="s">
        <v>187</v>
      </c>
      <c r="C374" s="62" t="s">
        <v>177</v>
      </c>
      <c r="D374" s="62" t="s">
        <v>204</v>
      </c>
      <c r="E374" s="62" t="s">
        <v>183</v>
      </c>
      <c r="F374" s="77" t="s">
        <v>166</v>
      </c>
      <c r="G374" s="77" t="s">
        <v>172</v>
      </c>
      <c r="H374" s="62" t="s">
        <v>87</v>
      </c>
      <c r="I374" s="77" t="s">
        <v>11</v>
      </c>
      <c r="J374" s="38" t="s">
        <v>37</v>
      </c>
      <c r="K374" s="6">
        <v>1040000</v>
      </c>
      <c r="L374" s="78">
        <f t="shared" si="254"/>
        <v>135200</v>
      </c>
      <c r="M374" s="79">
        <v>174</v>
      </c>
      <c r="N374" s="79">
        <v>42</v>
      </c>
      <c r="O374" s="191">
        <f t="shared" si="237"/>
        <v>0.2413793103448276</v>
      </c>
      <c r="P374" s="80">
        <f t="shared" si="282"/>
        <v>251034</v>
      </c>
      <c r="Q374" s="80">
        <f t="shared" si="283"/>
        <v>32634</v>
      </c>
      <c r="R374" s="159">
        <f t="shared" si="284"/>
        <v>4.6419098143068993E-7</v>
      </c>
      <c r="S374" s="113">
        <v>0.13</v>
      </c>
      <c r="T374" s="86">
        <v>44608</v>
      </c>
      <c r="U374" s="64">
        <v>1</v>
      </c>
      <c r="V374" s="64"/>
      <c r="W374" s="64"/>
      <c r="X374" s="15">
        <v>1</v>
      </c>
      <c r="Y374" s="15" t="str">
        <f>VLOOKUP(B374,[1]Sheet1!$C$2:$D$906,2,0)</f>
        <v>8444651087</v>
      </c>
    </row>
    <row r="375" spans="1:29" s="15" customFormat="1" ht="14.45" customHeight="1" x14ac:dyDescent="0.25">
      <c r="A375" s="38"/>
      <c r="B375" s="38" t="s">
        <v>187</v>
      </c>
      <c r="C375" s="62" t="s">
        <v>177</v>
      </c>
      <c r="D375" s="62" t="s">
        <v>204</v>
      </c>
      <c r="E375" s="62" t="s">
        <v>183</v>
      </c>
      <c r="F375" s="77" t="s">
        <v>166</v>
      </c>
      <c r="G375" s="77" t="s">
        <v>172</v>
      </c>
      <c r="H375" s="62" t="s">
        <v>88</v>
      </c>
      <c r="I375" s="77" t="s">
        <v>11</v>
      </c>
      <c r="J375" s="38" t="s">
        <v>37</v>
      </c>
      <c r="K375" s="6">
        <v>1040000</v>
      </c>
      <c r="L375" s="78">
        <f t="shared" si="254"/>
        <v>135200</v>
      </c>
      <c r="M375" s="79">
        <v>174</v>
      </c>
      <c r="N375" s="79">
        <v>42</v>
      </c>
      <c r="O375" s="191">
        <f t="shared" si="237"/>
        <v>0.2413793103448276</v>
      </c>
      <c r="P375" s="80">
        <f t="shared" si="282"/>
        <v>251034</v>
      </c>
      <c r="Q375" s="80">
        <f t="shared" si="283"/>
        <v>32634</v>
      </c>
      <c r="R375" s="159">
        <f t="shared" si="284"/>
        <v>4.6419098143068993E-7</v>
      </c>
      <c r="S375" s="113">
        <v>0.13</v>
      </c>
      <c r="T375" s="86">
        <v>44608</v>
      </c>
      <c r="U375" s="64">
        <v>1</v>
      </c>
      <c r="V375" s="64"/>
      <c r="W375" s="64"/>
      <c r="X375" s="15">
        <v>1</v>
      </c>
      <c r="Y375" s="15" t="str">
        <f>VLOOKUP(B375,[1]Sheet1!$C$2:$D$906,2,0)</f>
        <v>8444651087</v>
      </c>
    </row>
    <row r="376" spans="1:29" s="15" customFormat="1" ht="14.45" customHeight="1" x14ac:dyDescent="0.25">
      <c r="A376" s="38"/>
      <c r="B376" s="38" t="s">
        <v>187</v>
      </c>
      <c r="C376" s="62" t="s">
        <v>177</v>
      </c>
      <c r="D376" s="62" t="s">
        <v>204</v>
      </c>
      <c r="E376" s="62" t="s">
        <v>183</v>
      </c>
      <c r="F376" s="77" t="s">
        <v>166</v>
      </c>
      <c r="G376" s="77" t="s">
        <v>172</v>
      </c>
      <c r="H376" s="62" t="s">
        <v>89</v>
      </c>
      <c r="I376" s="77" t="s">
        <v>11</v>
      </c>
      <c r="J376" s="38" t="s">
        <v>37</v>
      </c>
      <c r="K376" s="6">
        <v>1051000</v>
      </c>
      <c r="L376" s="78">
        <f t="shared" si="254"/>
        <v>136630</v>
      </c>
      <c r="M376" s="79">
        <v>174</v>
      </c>
      <c r="N376" s="79">
        <v>41</v>
      </c>
      <c r="O376" s="191">
        <f t="shared" si="237"/>
        <v>0.23563218390804597</v>
      </c>
      <c r="P376" s="80">
        <f t="shared" si="282"/>
        <v>247649</v>
      </c>
      <c r="Q376" s="80">
        <f t="shared" si="283"/>
        <v>32194</v>
      </c>
      <c r="R376" s="159">
        <f t="shared" si="284"/>
        <v>4.0465019629509769E-7</v>
      </c>
      <c r="S376" s="113">
        <v>0.13</v>
      </c>
      <c r="T376" s="86">
        <v>44692</v>
      </c>
      <c r="U376" s="64">
        <v>2</v>
      </c>
      <c r="V376" s="64"/>
      <c r="W376" s="64"/>
      <c r="X376" s="15">
        <v>1</v>
      </c>
      <c r="Y376" s="15" t="str">
        <f>VLOOKUP(B376,[1]Sheet1!$C$2:$D$906,2,0)</f>
        <v>8444651087</v>
      </c>
    </row>
    <row r="377" spans="1:29" s="15" customFormat="1" ht="14.45" customHeight="1" x14ac:dyDescent="0.25">
      <c r="A377" s="38"/>
      <c r="B377" s="38" t="s">
        <v>187</v>
      </c>
      <c r="C377" s="62" t="s">
        <v>177</v>
      </c>
      <c r="D377" s="62" t="s">
        <v>204</v>
      </c>
      <c r="E377" s="62" t="s">
        <v>183</v>
      </c>
      <c r="F377" s="77" t="s">
        <v>166</v>
      </c>
      <c r="G377" s="77" t="s">
        <v>172</v>
      </c>
      <c r="H377" s="62" t="s">
        <v>90</v>
      </c>
      <c r="I377" s="77" t="s">
        <v>11</v>
      </c>
      <c r="J377" s="38" t="s">
        <v>37</v>
      </c>
      <c r="K377" s="6">
        <v>1051000</v>
      </c>
      <c r="L377" s="78">
        <f t="shared" si="254"/>
        <v>136630</v>
      </c>
      <c r="M377" s="79">
        <v>174</v>
      </c>
      <c r="N377" s="79">
        <v>41</v>
      </c>
      <c r="O377" s="191">
        <f t="shared" si="237"/>
        <v>0.23563218390804597</v>
      </c>
      <c r="P377" s="80">
        <f t="shared" si="282"/>
        <v>247649</v>
      </c>
      <c r="Q377" s="80">
        <f t="shared" si="283"/>
        <v>32194</v>
      </c>
      <c r="R377" s="159">
        <f t="shared" si="284"/>
        <v>4.0465019629509769E-7</v>
      </c>
      <c r="S377" s="113">
        <v>0.13</v>
      </c>
      <c r="T377" s="86">
        <v>44692</v>
      </c>
      <c r="U377" s="64">
        <v>2</v>
      </c>
      <c r="V377" s="64"/>
      <c r="W377" s="64"/>
      <c r="X377" s="15">
        <v>1</v>
      </c>
      <c r="Y377" s="15" t="str">
        <f>VLOOKUP(B377,[1]Sheet1!$C$2:$D$906,2,0)</f>
        <v>8444651087</v>
      </c>
    </row>
    <row r="378" spans="1:29" s="15" customFormat="1" ht="14.45" customHeight="1" x14ac:dyDescent="0.25">
      <c r="A378" s="38"/>
      <c r="B378" s="38" t="s">
        <v>187</v>
      </c>
      <c r="C378" s="62" t="s">
        <v>177</v>
      </c>
      <c r="D378" s="62" t="s">
        <v>204</v>
      </c>
      <c r="E378" s="62" t="s">
        <v>183</v>
      </c>
      <c r="F378" s="77" t="s">
        <v>166</v>
      </c>
      <c r="G378" s="77" t="s">
        <v>172</v>
      </c>
      <c r="H378" s="62" t="s">
        <v>91</v>
      </c>
      <c r="I378" s="77" t="s">
        <v>11</v>
      </c>
      <c r="J378" s="38" t="s">
        <v>37</v>
      </c>
      <c r="K378" s="6">
        <v>1051000</v>
      </c>
      <c r="L378" s="78">
        <f t="shared" si="254"/>
        <v>136630</v>
      </c>
      <c r="M378" s="79">
        <v>174</v>
      </c>
      <c r="N378" s="79">
        <v>41</v>
      </c>
      <c r="O378" s="191">
        <f t="shared" si="237"/>
        <v>0.23563218390804597</v>
      </c>
      <c r="P378" s="80">
        <f t="shared" si="282"/>
        <v>247649</v>
      </c>
      <c r="Q378" s="80">
        <f t="shared" si="283"/>
        <v>32194</v>
      </c>
      <c r="R378" s="159">
        <f t="shared" si="284"/>
        <v>4.0465019629509769E-7</v>
      </c>
      <c r="S378" s="113">
        <v>0.13</v>
      </c>
      <c r="T378" s="86">
        <v>44692</v>
      </c>
      <c r="U378" s="64">
        <v>2</v>
      </c>
      <c r="V378" s="64"/>
      <c r="W378" s="64"/>
      <c r="X378" s="15">
        <v>1</v>
      </c>
      <c r="Y378" s="15" t="str">
        <f>VLOOKUP(B378,[1]Sheet1!$C$2:$D$906,2,0)</f>
        <v>8444651087</v>
      </c>
    </row>
    <row r="379" spans="1:29" s="15" customFormat="1" ht="14.45" customHeight="1" x14ac:dyDescent="0.25">
      <c r="A379" s="38"/>
      <c r="B379" s="38" t="s">
        <v>187</v>
      </c>
      <c r="C379" s="62" t="s">
        <v>177</v>
      </c>
      <c r="D379" s="62" t="s">
        <v>204</v>
      </c>
      <c r="E379" s="62" t="s">
        <v>183</v>
      </c>
      <c r="F379" s="77" t="s">
        <v>166</v>
      </c>
      <c r="G379" s="77" t="s">
        <v>172</v>
      </c>
      <c r="H379" s="62" t="s">
        <v>92</v>
      </c>
      <c r="I379" s="77" t="s">
        <v>11</v>
      </c>
      <c r="J379" s="38" t="s">
        <v>37</v>
      </c>
      <c r="K379" s="6">
        <v>950000</v>
      </c>
      <c r="L379" s="78">
        <f t="shared" si="254"/>
        <v>123500</v>
      </c>
      <c r="M379" s="79">
        <v>174</v>
      </c>
      <c r="N379" s="79">
        <v>45</v>
      </c>
      <c r="O379" s="191">
        <f t="shared" si="237"/>
        <v>0.25862068965517243</v>
      </c>
      <c r="P379" s="80">
        <f t="shared" ref="P379:P386" si="285">ROUND(K379*N379/M379,0)</f>
        <v>245690</v>
      </c>
      <c r="Q379" s="80">
        <f t="shared" ref="Q379:Q386" si="286">ROUND(P379*S379,0)</f>
        <v>31940</v>
      </c>
      <c r="R379" s="159">
        <f t="shared" ref="R379:R386" si="287">N379/M379-P379/K379</f>
        <v>-3.6297640654270324E-7</v>
      </c>
      <c r="S379" s="113">
        <v>0.13</v>
      </c>
      <c r="T379" s="86"/>
      <c r="U379" s="64">
        <v>2</v>
      </c>
      <c r="V379" s="64"/>
      <c r="W379" s="64"/>
      <c r="X379" s="15">
        <v>1</v>
      </c>
      <c r="Y379" s="15" t="str">
        <f>VLOOKUP(B379,[1]Sheet1!$C$2:$D$906,2,0)</f>
        <v>8444651087</v>
      </c>
    </row>
    <row r="380" spans="1:29" s="15" customFormat="1" ht="14.45" customHeight="1" x14ac:dyDescent="0.25">
      <c r="A380" s="38"/>
      <c r="B380" s="38" t="s">
        <v>187</v>
      </c>
      <c r="C380" s="62" t="s">
        <v>177</v>
      </c>
      <c r="D380" s="62" t="s">
        <v>204</v>
      </c>
      <c r="E380" s="62" t="s">
        <v>183</v>
      </c>
      <c r="F380" s="77" t="s">
        <v>166</v>
      </c>
      <c r="G380" s="77" t="s">
        <v>172</v>
      </c>
      <c r="H380" s="62" t="s">
        <v>93</v>
      </c>
      <c r="I380" s="77" t="s">
        <v>11</v>
      </c>
      <c r="J380" s="38" t="s">
        <v>37</v>
      </c>
      <c r="K380" s="6">
        <v>1152000</v>
      </c>
      <c r="L380" s="78">
        <f t="shared" si="254"/>
        <v>149760</v>
      </c>
      <c r="M380" s="79">
        <v>174</v>
      </c>
      <c r="N380" s="79">
        <v>37</v>
      </c>
      <c r="O380" s="191">
        <f t="shared" ref="O380:O400" si="288">N380/M380</f>
        <v>0.21264367816091953</v>
      </c>
      <c r="P380" s="80">
        <f t="shared" si="285"/>
        <v>244966</v>
      </c>
      <c r="Q380" s="80">
        <f t="shared" si="286"/>
        <v>31846</v>
      </c>
      <c r="R380" s="159">
        <f t="shared" si="287"/>
        <v>-4.1906130268665187E-7</v>
      </c>
      <c r="S380" s="113">
        <v>0.13</v>
      </c>
      <c r="T380" s="86">
        <v>44820</v>
      </c>
      <c r="U380" s="64">
        <v>2</v>
      </c>
      <c r="V380" s="64"/>
      <c r="W380" s="64"/>
      <c r="X380" s="15">
        <v>1</v>
      </c>
      <c r="Y380" s="15" t="str">
        <f>VLOOKUP(B380,[1]Sheet1!$C$2:$D$906,2,0)</f>
        <v>8444651087</v>
      </c>
    </row>
    <row r="381" spans="1:29" s="15" customFormat="1" ht="14.45" customHeight="1" x14ac:dyDescent="0.25">
      <c r="A381" s="38"/>
      <c r="B381" s="38" t="s">
        <v>187</v>
      </c>
      <c r="C381" s="62" t="s">
        <v>177</v>
      </c>
      <c r="D381" s="62" t="s">
        <v>204</v>
      </c>
      <c r="E381" s="62" t="s">
        <v>183</v>
      </c>
      <c r="F381" s="77" t="s">
        <v>166</v>
      </c>
      <c r="G381" s="77" t="s">
        <v>172</v>
      </c>
      <c r="H381" s="62" t="s">
        <v>94</v>
      </c>
      <c r="I381" s="77" t="s">
        <v>11</v>
      </c>
      <c r="J381" s="38" t="s">
        <v>37</v>
      </c>
      <c r="K381" s="6">
        <v>1050000</v>
      </c>
      <c r="L381" s="78">
        <f t="shared" si="254"/>
        <v>136500</v>
      </c>
      <c r="M381" s="79">
        <v>174</v>
      </c>
      <c r="N381" s="79">
        <v>36</v>
      </c>
      <c r="O381" s="191">
        <f t="shared" si="288"/>
        <v>0.20689655172413793</v>
      </c>
      <c r="P381" s="80">
        <f t="shared" si="285"/>
        <v>217241</v>
      </c>
      <c r="Q381" s="80">
        <f t="shared" si="286"/>
        <v>28241</v>
      </c>
      <c r="R381" s="159">
        <f t="shared" si="287"/>
        <v>3.6124794744463173E-7</v>
      </c>
      <c r="S381" s="113">
        <v>0.13</v>
      </c>
      <c r="T381" s="86">
        <v>44820</v>
      </c>
      <c r="U381" s="64">
        <v>2</v>
      </c>
      <c r="V381" s="64"/>
      <c r="W381" s="64"/>
      <c r="X381" s="15">
        <v>1</v>
      </c>
      <c r="Y381" s="15" t="str">
        <f>VLOOKUP(B381,[1]Sheet1!$C$2:$D$906,2,0)</f>
        <v>8444651087</v>
      </c>
    </row>
    <row r="382" spans="1:29" s="15" customFormat="1" ht="14.45" customHeight="1" x14ac:dyDescent="0.25">
      <c r="A382" s="38"/>
      <c r="B382" s="38" t="s">
        <v>187</v>
      </c>
      <c r="C382" s="62" t="s">
        <v>177</v>
      </c>
      <c r="D382" s="62" t="s">
        <v>204</v>
      </c>
      <c r="E382" s="62" t="s">
        <v>183</v>
      </c>
      <c r="F382" s="77" t="s">
        <v>166</v>
      </c>
      <c r="G382" s="77" t="s">
        <v>172</v>
      </c>
      <c r="H382" s="174" t="s">
        <v>281</v>
      </c>
      <c r="I382" s="77" t="s">
        <v>11</v>
      </c>
      <c r="J382" s="38" t="s">
        <v>37</v>
      </c>
      <c r="K382" s="6">
        <f>1050000/21*13</f>
        <v>650000</v>
      </c>
      <c r="L382" s="78">
        <f t="shared" si="254"/>
        <v>84500</v>
      </c>
      <c r="M382" s="79">
        <v>174</v>
      </c>
      <c r="N382" s="79">
        <v>36</v>
      </c>
      <c r="O382" s="191">
        <f t="shared" si="288"/>
        <v>0.20689655172413793</v>
      </c>
      <c r="P382" s="80">
        <f t="shared" si="285"/>
        <v>134483</v>
      </c>
      <c r="Q382" s="80">
        <f t="shared" si="286"/>
        <v>17483</v>
      </c>
      <c r="R382" s="159">
        <f t="shared" si="287"/>
        <v>-3.7135278516120529E-7</v>
      </c>
      <c r="S382" s="113">
        <v>0.13</v>
      </c>
      <c r="T382" s="86">
        <v>44820</v>
      </c>
      <c r="U382" s="64">
        <v>2</v>
      </c>
      <c r="V382" s="64"/>
      <c r="W382" s="64"/>
      <c r="X382" s="15">
        <v>1</v>
      </c>
      <c r="Y382" s="15" t="str">
        <f>VLOOKUP(B382,[1]Sheet1!$C$2:$D$906,2,0)</f>
        <v>8444651087</v>
      </c>
      <c r="AA382" t="str">
        <f>IF(VLOOKUP(LEFT(Y382,10),'Havi béradatok'!$B:$E,2,0)=D382,"EGYEZIK","HIBÁS")</f>
        <v>EGYEZIK</v>
      </c>
      <c r="AB382">
        <f>(VLOOKUP(LEFT(Y382,10),'Havi béradatok'!$B:$E,3,0)-K382)</f>
        <v>400000</v>
      </c>
      <c r="AC382" s="3">
        <f>(VLOOKUP(LEFT(Y382,10),'Havi béradatok'!$B:$E,4,0)-L382)</f>
        <v>52000</v>
      </c>
    </row>
    <row r="383" spans="1:29" s="15" customFormat="1" ht="14.45" customHeight="1" x14ac:dyDescent="0.25">
      <c r="A383" s="38"/>
      <c r="B383" s="38" t="s">
        <v>187</v>
      </c>
      <c r="C383" s="62" t="s">
        <v>177</v>
      </c>
      <c r="D383" s="62" t="s">
        <v>204</v>
      </c>
      <c r="E383" s="62" t="s">
        <v>183</v>
      </c>
      <c r="F383" s="77" t="s">
        <v>166</v>
      </c>
      <c r="G383" s="77" t="s">
        <v>172</v>
      </c>
      <c r="H383" s="174" t="s">
        <v>280</v>
      </c>
      <c r="I383" s="77" t="s">
        <v>11</v>
      </c>
      <c r="J383" s="38" t="s">
        <v>37</v>
      </c>
      <c r="K383" s="6">
        <f>1050000/21*8</f>
        <v>400000</v>
      </c>
      <c r="L383" s="78">
        <f t="shared" ref="L383" si="289">ROUND(K383*S383,0)</f>
        <v>52000</v>
      </c>
      <c r="M383" s="79">
        <v>174</v>
      </c>
      <c r="N383" s="79">
        <v>36</v>
      </c>
      <c r="O383" s="191">
        <f t="shared" ref="O383" si="290">N383/M383</f>
        <v>0.20689655172413793</v>
      </c>
      <c r="P383" s="80">
        <f t="shared" ref="P383" si="291">ROUND(K383*N383/M383,0)</f>
        <v>82759</v>
      </c>
      <c r="Q383" s="80">
        <f t="shared" ref="Q383" si="292">ROUND(P383*S383,0)</f>
        <v>10759</v>
      </c>
      <c r="R383" s="159">
        <f t="shared" ref="R383" si="293">N383/M383-P383/K383</f>
        <v>-9.4827586208379167E-7</v>
      </c>
      <c r="S383" s="113">
        <v>0.13</v>
      </c>
      <c r="T383" s="86">
        <v>44820</v>
      </c>
      <c r="U383" s="64"/>
      <c r="V383" s="64"/>
      <c r="W383" s="64"/>
      <c r="X383" s="15">
        <v>1</v>
      </c>
      <c r="Y383" s="15" t="str">
        <f>VLOOKUP(B383,[1]Sheet1!$C$2:$D$906,2,0)</f>
        <v>8444651087</v>
      </c>
      <c r="AA383" t="str">
        <f>IF(VLOOKUP(LEFT(Y383,10),'Havi béradatok'!$B:$E,2,0)=D383,"EGYEZIK","HIBÁS")</f>
        <v>EGYEZIK</v>
      </c>
      <c r="AB383">
        <f>(VLOOKUP(LEFT(Y383,10),'Havi béradatok'!$B:$E,3,0)-K383)</f>
        <v>650000</v>
      </c>
      <c r="AC383" s="3">
        <f>(VLOOKUP(LEFT(Y383,10),'Havi béradatok'!$B:$E,4,0)-L383)</f>
        <v>84500</v>
      </c>
    </row>
    <row r="384" spans="1:29" s="15" customFormat="1" ht="14.45" customHeight="1" x14ac:dyDescent="0.25">
      <c r="A384" s="38"/>
      <c r="B384" s="38" t="s">
        <v>187</v>
      </c>
      <c r="C384" s="62" t="s">
        <v>177</v>
      </c>
      <c r="D384" s="62" t="s">
        <v>204</v>
      </c>
      <c r="E384" s="62" t="s">
        <v>183</v>
      </c>
      <c r="F384" s="77" t="s">
        <v>166</v>
      </c>
      <c r="G384" s="77" t="s">
        <v>172</v>
      </c>
      <c r="H384" s="62" t="s">
        <v>117</v>
      </c>
      <c r="I384" s="77" t="s">
        <v>11</v>
      </c>
      <c r="J384" s="38" t="s">
        <v>37</v>
      </c>
      <c r="K384" s="6">
        <v>1050000</v>
      </c>
      <c r="L384" s="78">
        <f t="shared" si="254"/>
        <v>136500</v>
      </c>
      <c r="M384" s="79">
        <v>174</v>
      </c>
      <c r="N384" s="79">
        <v>34</v>
      </c>
      <c r="O384" s="191">
        <f t="shared" si="288"/>
        <v>0.19540229885057472</v>
      </c>
      <c r="P384" s="80">
        <f t="shared" si="285"/>
        <v>205172</v>
      </c>
      <c r="Q384" s="80">
        <f t="shared" si="286"/>
        <v>26672</v>
      </c>
      <c r="R384" s="159">
        <f t="shared" si="287"/>
        <v>3.9408866997492353E-7</v>
      </c>
      <c r="S384" s="113">
        <v>0.13</v>
      </c>
      <c r="T384" s="86">
        <v>44936</v>
      </c>
      <c r="U384" s="64"/>
      <c r="V384" s="64"/>
      <c r="W384" s="64"/>
      <c r="X384" s="15">
        <v>1</v>
      </c>
      <c r="Y384" s="15" t="str">
        <f>VLOOKUP(B384,[1]Sheet1!$C$2:$D$906,2,0)</f>
        <v>8444651087</v>
      </c>
      <c r="AA384" t="str">
        <f>IF(VLOOKUP(LEFT(Y384,10),'Havi béradatok'!$B:$E,2,0)=D384,"EGYEZIK","HIBÁS")</f>
        <v>EGYEZIK</v>
      </c>
      <c r="AB384">
        <f>(VLOOKUP(LEFT(Y384,10),'Havi béradatok'!$B:$E,3,0)-K384)</f>
        <v>0</v>
      </c>
      <c r="AC384" s="3">
        <f>(VLOOKUP(LEFT(Y384,10),'Havi béradatok'!$B:$E,4,0)-L384)</f>
        <v>0</v>
      </c>
    </row>
    <row r="385" spans="1:29" s="15" customFormat="1" ht="14.45" customHeight="1" x14ac:dyDescent="0.25">
      <c r="A385" s="38"/>
      <c r="B385" s="38" t="s">
        <v>187</v>
      </c>
      <c r="C385" s="62" t="s">
        <v>177</v>
      </c>
      <c r="D385" s="62" t="s">
        <v>204</v>
      </c>
      <c r="E385" s="62" t="s">
        <v>183</v>
      </c>
      <c r="F385" s="77" t="s">
        <v>166</v>
      </c>
      <c r="G385" s="77" t="s">
        <v>172</v>
      </c>
      <c r="H385" s="62" t="s">
        <v>118</v>
      </c>
      <c r="I385" s="77" t="s">
        <v>11</v>
      </c>
      <c r="J385" s="38" t="s">
        <v>37</v>
      </c>
      <c r="K385" s="6">
        <v>1050000</v>
      </c>
      <c r="L385" s="78">
        <f t="shared" si="254"/>
        <v>136500</v>
      </c>
      <c r="M385" s="79">
        <v>174</v>
      </c>
      <c r="N385" s="79">
        <v>34</v>
      </c>
      <c r="O385" s="191">
        <f t="shared" si="288"/>
        <v>0.19540229885057472</v>
      </c>
      <c r="P385" s="80">
        <f t="shared" si="285"/>
        <v>205172</v>
      </c>
      <c r="Q385" s="80">
        <f t="shared" si="286"/>
        <v>26672</v>
      </c>
      <c r="R385" s="159">
        <f t="shared" si="287"/>
        <v>3.9408866997492353E-7</v>
      </c>
      <c r="S385" s="113">
        <v>0.13</v>
      </c>
      <c r="T385" s="86">
        <v>44936</v>
      </c>
      <c r="U385" s="64"/>
      <c r="V385" s="64"/>
      <c r="W385" s="64"/>
      <c r="X385" s="15">
        <v>1</v>
      </c>
      <c r="Y385" s="15" t="str">
        <f>VLOOKUP(B385,[1]Sheet1!$C$2:$D$906,2,0)</f>
        <v>8444651087</v>
      </c>
      <c r="AA385" t="str">
        <f>IF(VLOOKUP(LEFT(Y385,10),'Havi béradatok'!$B:$E,2,0)=D385,"EGYEZIK","HIBÁS")</f>
        <v>EGYEZIK</v>
      </c>
      <c r="AB385">
        <f>(VLOOKUP(LEFT(Y385,10),'Havi béradatok'!$B:$E,3,0)-K385)</f>
        <v>0</v>
      </c>
      <c r="AC385" s="3">
        <f>(VLOOKUP(LEFT(Y385,10),'Havi béradatok'!$B:$E,4,0)-L385)</f>
        <v>0</v>
      </c>
    </row>
    <row r="386" spans="1:29" s="15" customFormat="1" ht="14.45" customHeight="1" x14ac:dyDescent="0.25">
      <c r="A386" s="38"/>
      <c r="B386" s="38" t="s">
        <v>187</v>
      </c>
      <c r="C386" s="62" t="s">
        <v>177</v>
      </c>
      <c r="D386" s="62" t="s">
        <v>204</v>
      </c>
      <c r="E386" s="62" t="s">
        <v>183</v>
      </c>
      <c r="F386" s="77" t="s">
        <v>166</v>
      </c>
      <c r="G386" s="77" t="s">
        <v>172</v>
      </c>
      <c r="H386" s="62" t="s">
        <v>119</v>
      </c>
      <c r="I386" s="77" t="s">
        <v>11</v>
      </c>
      <c r="J386" s="38" t="s">
        <v>37</v>
      </c>
      <c r="K386" s="6">
        <v>1050000</v>
      </c>
      <c r="L386" s="78">
        <f t="shared" si="254"/>
        <v>136500</v>
      </c>
      <c r="M386" s="79">
        <v>174</v>
      </c>
      <c r="N386" s="79">
        <v>34</v>
      </c>
      <c r="O386" s="191">
        <f t="shared" si="288"/>
        <v>0.19540229885057472</v>
      </c>
      <c r="P386" s="80">
        <f t="shared" si="285"/>
        <v>205172</v>
      </c>
      <c r="Q386" s="80">
        <f t="shared" si="286"/>
        <v>26672</v>
      </c>
      <c r="R386" s="159">
        <f t="shared" si="287"/>
        <v>3.9408866997492353E-7</v>
      </c>
      <c r="S386" s="113">
        <v>0.13</v>
      </c>
      <c r="T386" s="86">
        <v>44936</v>
      </c>
      <c r="U386" s="64"/>
      <c r="V386" s="64"/>
      <c r="W386" s="64"/>
      <c r="X386" s="15">
        <v>1</v>
      </c>
      <c r="Y386" s="15" t="str">
        <f>VLOOKUP(B386,[1]Sheet1!$C$2:$D$906,2,0)</f>
        <v>8444651087</v>
      </c>
      <c r="AA386" t="str">
        <f>IF(VLOOKUP(LEFT(Y386,10),'Havi béradatok'!$B:$E,2,0)=D386,"EGYEZIK","HIBÁS")</f>
        <v>EGYEZIK</v>
      </c>
      <c r="AB386">
        <f>(VLOOKUP(LEFT(Y386,10),'Havi béradatok'!$B:$E,3,0)-K386)</f>
        <v>0</v>
      </c>
      <c r="AC386" s="3">
        <f>(VLOOKUP(LEFT(Y386,10),'Havi béradatok'!$B:$E,4,0)-L386)</f>
        <v>0</v>
      </c>
    </row>
    <row r="387" spans="1:29" s="15" customFormat="1" ht="14.45" hidden="1" customHeight="1" x14ac:dyDescent="0.25">
      <c r="A387" s="38"/>
      <c r="B387" s="38" t="s">
        <v>187</v>
      </c>
      <c r="C387" s="62" t="s">
        <v>177</v>
      </c>
      <c r="D387" s="62" t="s">
        <v>204</v>
      </c>
      <c r="E387" s="62" t="s">
        <v>183</v>
      </c>
      <c r="F387" s="77" t="s">
        <v>166</v>
      </c>
      <c r="G387" s="77" t="s">
        <v>172</v>
      </c>
      <c r="H387" s="62" t="s">
        <v>120</v>
      </c>
      <c r="I387" s="77" t="s">
        <v>12</v>
      </c>
      <c r="J387" s="38" t="s">
        <v>37</v>
      </c>
      <c r="K387" s="6">
        <v>1050000</v>
      </c>
      <c r="L387" s="78">
        <f t="shared" ref="L387:L389" si="294">ROUND(K387*S387,0)</f>
        <v>136500</v>
      </c>
      <c r="M387" s="79">
        <v>174</v>
      </c>
      <c r="N387" s="79">
        <v>34</v>
      </c>
      <c r="O387" s="191">
        <f t="shared" ref="O387:O389" si="295">N387/M387</f>
        <v>0.19540229885057472</v>
      </c>
      <c r="P387" s="80">
        <f t="shared" ref="P387:P389" si="296">ROUND(K387*N387/M387,0)</f>
        <v>205172</v>
      </c>
      <c r="Q387" s="80">
        <f t="shared" ref="Q387:Q389" si="297">ROUND(P387*S387,0)</f>
        <v>26672</v>
      </c>
      <c r="R387" s="159">
        <f t="shared" ref="R387:R389" si="298">N387/M387-P387/K387</f>
        <v>3.9408866997492353E-7</v>
      </c>
      <c r="S387" s="113">
        <v>0.13</v>
      </c>
      <c r="T387" s="86">
        <v>44995</v>
      </c>
      <c r="U387" s="64"/>
      <c r="V387" s="64"/>
      <c r="W387" s="64"/>
      <c r="X387" s="15">
        <v>1</v>
      </c>
      <c r="Y387" s="15" t="str">
        <f>VLOOKUP(B387,[1]Sheet1!$C$2:$D$906,2,0)</f>
        <v>8444651087</v>
      </c>
    </row>
    <row r="388" spans="1:29" s="15" customFormat="1" ht="14.45" hidden="1" customHeight="1" x14ac:dyDescent="0.25">
      <c r="A388" s="38"/>
      <c r="B388" s="38" t="s">
        <v>187</v>
      </c>
      <c r="C388" s="62" t="s">
        <v>177</v>
      </c>
      <c r="D388" s="62" t="s">
        <v>204</v>
      </c>
      <c r="E388" s="62" t="s">
        <v>183</v>
      </c>
      <c r="F388" s="77" t="s">
        <v>166</v>
      </c>
      <c r="G388" s="77" t="s">
        <v>172</v>
      </c>
      <c r="H388" s="62" t="s">
        <v>121</v>
      </c>
      <c r="I388" s="77" t="s">
        <v>12</v>
      </c>
      <c r="J388" s="38" t="s">
        <v>37</v>
      </c>
      <c r="K388" s="6">
        <v>1050000</v>
      </c>
      <c r="L388" s="78">
        <f t="shared" si="294"/>
        <v>136500</v>
      </c>
      <c r="M388" s="79">
        <v>174</v>
      </c>
      <c r="N388" s="79">
        <v>34</v>
      </c>
      <c r="O388" s="191">
        <f t="shared" si="295"/>
        <v>0.19540229885057472</v>
      </c>
      <c r="P388" s="80">
        <f t="shared" si="296"/>
        <v>205172</v>
      </c>
      <c r="Q388" s="80">
        <f t="shared" si="297"/>
        <v>26672</v>
      </c>
      <c r="R388" s="159">
        <f t="shared" si="298"/>
        <v>3.9408866997492353E-7</v>
      </c>
      <c r="S388" s="113">
        <v>0.13</v>
      </c>
      <c r="T388" s="86">
        <v>44995</v>
      </c>
      <c r="U388" s="64"/>
      <c r="V388" s="64"/>
      <c r="W388" s="64"/>
      <c r="X388" s="15">
        <v>1</v>
      </c>
      <c r="Y388" s="15" t="str">
        <f>VLOOKUP(B388,[1]Sheet1!$C$2:$D$906,2,0)</f>
        <v>8444651087</v>
      </c>
    </row>
    <row r="389" spans="1:29" s="15" customFormat="1" ht="14.45" hidden="1" customHeight="1" x14ac:dyDescent="0.25">
      <c r="A389" s="38"/>
      <c r="B389" s="38" t="s">
        <v>187</v>
      </c>
      <c r="C389" s="62" t="s">
        <v>177</v>
      </c>
      <c r="D389" s="62" t="s">
        <v>204</v>
      </c>
      <c r="E389" s="62" t="s">
        <v>183</v>
      </c>
      <c r="F389" s="77" t="s">
        <v>166</v>
      </c>
      <c r="G389" s="77" t="s">
        <v>172</v>
      </c>
      <c r="H389" s="62" t="s">
        <v>122</v>
      </c>
      <c r="I389" s="77" t="s">
        <v>12</v>
      </c>
      <c r="J389" s="38" t="s">
        <v>37</v>
      </c>
      <c r="K389" s="6">
        <v>1050000</v>
      </c>
      <c r="L389" s="78">
        <f t="shared" si="294"/>
        <v>136500</v>
      </c>
      <c r="M389" s="79">
        <v>174</v>
      </c>
      <c r="N389" s="79">
        <v>34</v>
      </c>
      <c r="O389" s="191">
        <f t="shared" si="295"/>
        <v>0.19540229885057472</v>
      </c>
      <c r="P389" s="80">
        <f t="shared" si="296"/>
        <v>205172</v>
      </c>
      <c r="Q389" s="80">
        <f t="shared" si="297"/>
        <v>26672</v>
      </c>
      <c r="R389" s="159">
        <f t="shared" si="298"/>
        <v>3.9408866997492353E-7</v>
      </c>
      <c r="S389" s="113">
        <v>0.13</v>
      </c>
      <c r="T389" s="86">
        <v>44995</v>
      </c>
      <c r="U389" s="64"/>
      <c r="V389" s="64"/>
      <c r="W389" s="64"/>
      <c r="X389" s="15">
        <v>1</v>
      </c>
      <c r="Y389" s="15" t="str">
        <f>VLOOKUP(B389,[1]Sheet1!$C$2:$D$906,2,0)</f>
        <v>8444651087</v>
      </c>
    </row>
    <row r="390" spans="1:29" s="15" customFormat="1" ht="14.45" customHeight="1" x14ac:dyDescent="0.25">
      <c r="A390" s="38"/>
      <c r="B390" s="38" t="s">
        <v>182</v>
      </c>
      <c r="C390" s="62" t="s">
        <v>177</v>
      </c>
      <c r="D390" s="62" t="s">
        <v>203</v>
      </c>
      <c r="E390" s="62" t="s">
        <v>183</v>
      </c>
      <c r="F390" s="77" t="s">
        <v>166</v>
      </c>
      <c r="G390" s="77" t="s">
        <v>172</v>
      </c>
      <c r="H390" s="62" t="s">
        <v>85</v>
      </c>
      <c r="I390" s="77" t="s">
        <v>11</v>
      </c>
      <c r="J390" s="38" t="s">
        <v>37</v>
      </c>
      <c r="K390" s="6">
        <v>150000</v>
      </c>
      <c r="L390" s="78">
        <f t="shared" si="195"/>
        <v>19500</v>
      </c>
      <c r="M390" s="79">
        <v>87</v>
      </c>
      <c r="N390" s="79">
        <v>87</v>
      </c>
      <c r="O390" s="191">
        <f t="shared" si="288"/>
        <v>1</v>
      </c>
      <c r="P390" s="80">
        <f t="shared" si="186"/>
        <v>150000</v>
      </c>
      <c r="Q390" s="80">
        <f t="shared" si="196"/>
        <v>19500</v>
      </c>
      <c r="R390" s="159">
        <f t="shared" si="187"/>
        <v>0</v>
      </c>
      <c r="S390" s="113">
        <v>0.13</v>
      </c>
      <c r="T390" s="86">
        <v>44574</v>
      </c>
      <c r="U390" s="64">
        <v>1</v>
      </c>
      <c r="V390" s="64"/>
      <c r="W390" s="64"/>
      <c r="X390" s="15">
        <v>1</v>
      </c>
      <c r="Y390" s="15">
        <v>8460831345</v>
      </c>
    </row>
    <row r="391" spans="1:29" s="15" customFormat="1" ht="14.45" customHeight="1" x14ac:dyDescent="0.25">
      <c r="A391" s="38"/>
      <c r="B391" s="38" t="s">
        <v>182</v>
      </c>
      <c r="C391" s="62" t="s">
        <v>177</v>
      </c>
      <c r="D391" s="62" t="s">
        <v>203</v>
      </c>
      <c r="E391" s="62" t="s">
        <v>183</v>
      </c>
      <c r="F391" s="77" t="s">
        <v>166</v>
      </c>
      <c r="G391" s="77" t="s">
        <v>172</v>
      </c>
      <c r="H391" s="62" t="s">
        <v>86</v>
      </c>
      <c r="I391" s="77" t="s">
        <v>11</v>
      </c>
      <c r="J391" s="38" t="s">
        <v>37</v>
      </c>
      <c r="K391" s="6">
        <v>150000</v>
      </c>
      <c r="L391" s="78">
        <f t="shared" si="195"/>
        <v>19500</v>
      </c>
      <c r="M391" s="79">
        <v>87</v>
      </c>
      <c r="N391" s="79">
        <v>87</v>
      </c>
      <c r="O391" s="191">
        <f t="shared" si="288"/>
        <v>1</v>
      </c>
      <c r="P391" s="80">
        <f t="shared" si="186"/>
        <v>150000</v>
      </c>
      <c r="Q391" s="80">
        <f t="shared" si="196"/>
        <v>19500</v>
      </c>
      <c r="R391" s="159">
        <f t="shared" si="187"/>
        <v>0</v>
      </c>
      <c r="S391" s="113">
        <v>0.13</v>
      </c>
      <c r="T391" s="86">
        <v>44574</v>
      </c>
      <c r="U391" s="64">
        <v>1</v>
      </c>
      <c r="V391" s="64"/>
      <c r="W391" s="64"/>
      <c r="X391" s="15">
        <v>1</v>
      </c>
      <c r="Y391" s="15">
        <v>8460831345</v>
      </c>
    </row>
    <row r="392" spans="1:29" s="15" customFormat="1" ht="14.45" customHeight="1" x14ac:dyDescent="0.25">
      <c r="A392" s="38"/>
      <c r="B392" s="38" t="s">
        <v>182</v>
      </c>
      <c r="C392" s="62" t="s">
        <v>177</v>
      </c>
      <c r="D392" s="62" t="s">
        <v>203</v>
      </c>
      <c r="E392" s="62" t="s">
        <v>183</v>
      </c>
      <c r="F392" s="77" t="s">
        <v>166</v>
      </c>
      <c r="G392" s="77" t="s">
        <v>172</v>
      </c>
      <c r="H392" s="62" t="s">
        <v>87</v>
      </c>
      <c r="I392" s="77" t="s">
        <v>11</v>
      </c>
      <c r="J392" s="38" t="s">
        <v>37</v>
      </c>
      <c r="K392" s="6">
        <v>150000</v>
      </c>
      <c r="L392" s="78">
        <f t="shared" si="195"/>
        <v>19500</v>
      </c>
      <c r="M392" s="79">
        <v>87</v>
      </c>
      <c r="N392" s="79">
        <v>87</v>
      </c>
      <c r="O392" s="191">
        <f t="shared" si="288"/>
        <v>1</v>
      </c>
      <c r="P392" s="80">
        <f t="shared" si="186"/>
        <v>150000</v>
      </c>
      <c r="Q392" s="80">
        <f t="shared" si="196"/>
        <v>19500</v>
      </c>
      <c r="R392" s="159">
        <f t="shared" si="187"/>
        <v>0</v>
      </c>
      <c r="S392" s="113">
        <v>0.13</v>
      </c>
      <c r="T392" s="86">
        <v>44574</v>
      </c>
      <c r="U392" s="64">
        <v>1</v>
      </c>
      <c r="V392" s="64"/>
      <c r="W392" s="64"/>
      <c r="X392" s="15">
        <v>1</v>
      </c>
      <c r="Y392" s="15">
        <v>8460831345</v>
      </c>
    </row>
    <row r="393" spans="1:29" s="15" customFormat="1" ht="14.45" customHeight="1" x14ac:dyDescent="0.25">
      <c r="A393" s="38"/>
      <c r="B393" s="38" t="s">
        <v>182</v>
      </c>
      <c r="C393" s="62" t="s">
        <v>177</v>
      </c>
      <c r="D393" s="62" t="s">
        <v>203</v>
      </c>
      <c r="E393" s="62" t="s">
        <v>183</v>
      </c>
      <c r="F393" s="77" t="s">
        <v>166</v>
      </c>
      <c r="G393" s="77" t="s">
        <v>172</v>
      </c>
      <c r="H393" s="62" t="s">
        <v>88</v>
      </c>
      <c r="I393" s="77" t="s">
        <v>11</v>
      </c>
      <c r="J393" s="38" t="s">
        <v>37</v>
      </c>
      <c r="K393" s="6">
        <v>150000</v>
      </c>
      <c r="L393" s="78">
        <f t="shared" si="195"/>
        <v>19500</v>
      </c>
      <c r="M393" s="79">
        <v>87</v>
      </c>
      <c r="N393" s="79">
        <v>87</v>
      </c>
      <c r="O393" s="191">
        <f t="shared" si="288"/>
        <v>1</v>
      </c>
      <c r="P393" s="80">
        <f t="shared" si="186"/>
        <v>150000</v>
      </c>
      <c r="Q393" s="80">
        <f t="shared" si="196"/>
        <v>19500</v>
      </c>
      <c r="R393" s="159">
        <f t="shared" si="187"/>
        <v>0</v>
      </c>
      <c r="S393" s="113">
        <v>0.13</v>
      </c>
      <c r="T393" s="86">
        <v>44574</v>
      </c>
      <c r="U393" s="64">
        <v>1</v>
      </c>
      <c r="V393" s="64"/>
      <c r="W393" s="64"/>
      <c r="X393" s="15">
        <v>1</v>
      </c>
      <c r="Y393" s="15">
        <v>8460831345</v>
      </c>
    </row>
    <row r="394" spans="1:29" s="15" customFormat="1" ht="14.45" customHeight="1" x14ac:dyDescent="0.25">
      <c r="A394" s="38"/>
      <c r="B394" s="38" t="s">
        <v>182</v>
      </c>
      <c r="C394" s="62" t="s">
        <v>177</v>
      </c>
      <c r="D394" s="62" t="s">
        <v>203</v>
      </c>
      <c r="E394" s="62" t="s">
        <v>183</v>
      </c>
      <c r="F394" s="77" t="s">
        <v>166</v>
      </c>
      <c r="G394" s="77" t="s">
        <v>172</v>
      </c>
      <c r="H394" s="62" t="s">
        <v>89</v>
      </c>
      <c r="I394" s="77" t="s">
        <v>11</v>
      </c>
      <c r="J394" s="38" t="s">
        <v>37</v>
      </c>
      <c r="K394" s="6">
        <v>150000</v>
      </c>
      <c r="L394" s="78">
        <f t="shared" si="195"/>
        <v>19500</v>
      </c>
      <c r="M394" s="79">
        <v>87</v>
      </c>
      <c r="N394" s="79">
        <v>87</v>
      </c>
      <c r="O394" s="191">
        <f t="shared" si="288"/>
        <v>1</v>
      </c>
      <c r="P394" s="80">
        <f t="shared" si="186"/>
        <v>150000</v>
      </c>
      <c r="Q394" s="80">
        <f t="shared" si="196"/>
        <v>19500</v>
      </c>
      <c r="R394" s="159">
        <f t="shared" si="187"/>
        <v>0</v>
      </c>
      <c r="S394" s="113">
        <v>0.13</v>
      </c>
      <c r="T394" s="86">
        <v>44574</v>
      </c>
      <c r="U394" s="64">
        <v>2</v>
      </c>
      <c r="V394" s="64"/>
      <c r="W394" s="64"/>
      <c r="X394" s="15">
        <v>1</v>
      </c>
      <c r="Y394" s="15">
        <v>8460831345</v>
      </c>
    </row>
    <row r="395" spans="1:29" s="15" customFormat="1" ht="14.45" customHeight="1" x14ac:dyDescent="0.25">
      <c r="A395" s="38"/>
      <c r="B395" s="38" t="s">
        <v>182</v>
      </c>
      <c r="C395" s="62" t="s">
        <v>177</v>
      </c>
      <c r="D395" s="62" t="s">
        <v>203</v>
      </c>
      <c r="E395" s="62" t="s">
        <v>183</v>
      </c>
      <c r="F395" s="77" t="s">
        <v>166</v>
      </c>
      <c r="G395" s="77" t="s">
        <v>172</v>
      </c>
      <c r="H395" s="62" t="s">
        <v>90</v>
      </c>
      <c r="I395" s="77" t="s">
        <v>11</v>
      </c>
      <c r="J395" s="38" t="s">
        <v>37</v>
      </c>
      <c r="K395" s="6">
        <v>150000</v>
      </c>
      <c r="L395" s="78">
        <f t="shared" si="195"/>
        <v>19500</v>
      </c>
      <c r="M395" s="79">
        <v>87</v>
      </c>
      <c r="N395" s="79">
        <v>87</v>
      </c>
      <c r="O395" s="191">
        <f t="shared" si="288"/>
        <v>1</v>
      </c>
      <c r="P395" s="80">
        <f t="shared" si="186"/>
        <v>150000</v>
      </c>
      <c r="Q395" s="80">
        <f t="shared" si="196"/>
        <v>19500</v>
      </c>
      <c r="R395" s="159">
        <f t="shared" si="187"/>
        <v>0</v>
      </c>
      <c r="S395" s="113">
        <v>0.13</v>
      </c>
      <c r="T395" s="86">
        <v>44574</v>
      </c>
      <c r="U395" s="64">
        <v>2</v>
      </c>
      <c r="V395" s="64"/>
      <c r="W395" s="64"/>
      <c r="X395" s="15">
        <v>1</v>
      </c>
      <c r="Y395" s="15">
        <v>8460831345</v>
      </c>
    </row>
    <row r="396" spans="1:29" s="15" customFormat="1" ht="14.45" customHeight="1" x14ac:dyDescent="0.25">
      <c r="A396" s="38"/>
      <c r="B396" s="38" t="s">
        <v>182</v>
      </c>
      <c r="C396" s="62" t="s">
        <v>177</v>
      </c>
      <c r="D396" s="62" t="s">
        <v>203</v>
      </c>
      <c r="E396" s="62" t="s">
        <v>183</v>
      </c>
      <c r="F396" s="77" t="s">
        <v>166</v>
      </c>
      <c r="G396" s="77" t="s">
        <v>172</v>
      </c>
      <c r="H396" s="62" t="s">
        <v>91</v>
      </c>
      <c r="I396" s="77" t="s">
        <v>11</v>
      </c>
      <c r="J396" s="38" t="s">
        <v>37</v>
      </c>
      <c r="K396" s="6">
        <v>130435</v>
      </c>
      <c r="L396" s="78">
        <f t="shared" si="195"/>
        <v>16957</v>
      </c>
      <c r="M396" s="79">
        <v>87</v>
      </c>
      <c r="N396" s="79">
        <v>87</v>
      </c>
      <c r="O396" s="191">
        <f t="shared" si="288"/>
        <v>1</v>
      </c>
      <c r="P396" s="80">
        <f t="shared" si="186"/>
        <v>130435</v>
      </c>
      <c r="Q396" s="80">
        <f t="shared" si="196"/>
        <v>16957</v>
      </c>
      <c r="R396" s="159">
        <f t="shared" si="187"/>
        <v>0</v>
      </c>
      <c r="S396" s="113">
        <v>0.13</v>
      </c>
      <c r="T396" s="86">
        <v>44574</v>
      </c>
      <c r="U396" s="64">
        <v>2</v>
      </c>
      <c r="V396" s="64"/>
      <c r="W396" s="64"/>
      <c r="X396" s="15">
        <v>1</v>
      </c>
      <c r="Y396" s="15">
        <v>8460831345</v>
      </c>
    </row>
    <row r="397" spans="1:29" s="15" customFormat="1" ht="14.45" customHeight="1" x14ac:dyDescent="0.25">
      <c r="A397" s="38"/>
      <c r="B397" s="38" t="s">
        <v>182</v>
      </c>
      <c r="C397" s="62" t="s">
        <v>177</v>
      </c>
      <c r="D397" s="62" t="s">
        <v>203</v>
      </c>
      <c r="E397" s="62" t="s">
        <v>183</v>
      </c>
      <c r="F397" s="77" t="s">
        <v>166</v>
      </c>
      <c r="G397" s="77" t="s">
        <v>172</v>
      </c>
      <c r="H397" s="62" t="s">
        <v>92</v>
      </c>
      <c r="I397" s="77" t="s">
        <v>11</v>
      </c>
      <c r="J397" s="38" t="s">
        <v>37</v>
      </c>
      <c r="K397" s="6">
        <v>0</v>
      </c>
      <c r="L397" s="78">
        <f t="shared" si="195"/>
        <v>0</v>
      </c>
      <c r="M397" s="79">
        <v>87</v>
      </c>
      <c r="N397" s="79">
        <v>87</v>
      </c>
      <c r="O397" s="191">
        <f t="shared" si="288"/>
        <v>1</v>
      </c>
      <c r="P397" s="80">
        <f t="shared" ref="P397:P398" si="299">ROUND(K397*N397/M397,0)</f>
        <v>0</v>
      </c>
      <c r="Q397" s="80">
        <f t="shared" ref="Q397:Q400" si="300">ROUND(P397*S397,0)</f>
        <v>0</v>
      </c>
      <c r="R397" s="159" t="e">
        <f t="shared" si="187"/>
        <v>#DIV/0!</v>
      </c>
      <c r="S397" s="113">
        <v>0.13</v>
      </c>
      <c r="T397" s="86">
        <v>44574</v>
      </c>
      <c r="U397" s="64"/>
      <c r="V397" s="64"/>
      <c r="W397" s="64"/>
      <c r="X397" s="15">
        <v>1</v>
      </c>
      <c r="Y397" s="15">
        <v>8460831345</v>
      </c>
    </row>
    <row r="398" spans="1:29" s="15" customFormat="1" ht="14.45" hidden="1" customHeight="1" x14ac:dyDescent="0.25">
      <c r="A398" s="38"/>
      <c r="B398" s="38" t="s">
        <v>182</v>
      </c>
      <c r="C398" s="62" t="s">
        <v>177</v>
      </c>
      <c r="D398" s="62" t="s">
        <v>203</v>
      </c>
      <c r="E398" s="62" t="s">
        <v>183</v>
      </c>
      <c r="F398" s="77" t="s">
        <v>166</v>
      </c>
      <c r="G398" s="77" t="s">
        <v>172</v>
      </c>
      <c r="H398" s="62" t="s">
        <v>93</v>
      </c>
      <c r="I398" s="77" t="s">
        <v>12</v>
      </c>
      <c r="J398" s="38" t="s">
        <v>37</v>
      </c>
      <c r="K398" s="6">
        <v>0</v>
      </c>
      <c r="L398" s="78">
        <f t="shared" si="195"/>
        <v>0</v>
      </c>
      <c r="M398" s="79">
        <v>87</v>
      </c>
      <c r="N398" s="79">
        <v>87</v>
      </c>
      <c r="O398" s="191">
        <f t="shared" si="288"/>
        <v>1</v>
      </c>
      <c r="P398" s="80">
        <f t="shared" si="299"/>
        <v>0</v>
      </c>
      <c r="Q398" s="80">
        <f t="shared" si="300"/>
        <v>0</v>
      </c>
      <c r="R398" s="159" t="e">
        <f t="shared" si="187"/>
        <v>#DIV/0!</v>
      </c>
      <c r="S398" s="113">
        <v>0.13</v>
      </c>
      <c r="T398" s="86">
        <v>44574</v>
      </c>
      <c r="U398" s="64"/>
      <c r="V398" s="64"/>
      <c r="W398" s="64"/>
      <c r="X398" s="15">
        <v>1</v>
      </c>
      <c r="Y398" s="15">
        <v>8460831345</v>
      </c>
    </row>
    <row r="399" spans="1:29" s="15" customFormat="1" ht="14.45" customHeight="1" x14ac:dyDescent="0.25">
      <c r="A399" s="38"/>
      <c r="B399" s="38" t="s">
        <v>182</v>
      </c>
      <c r="C399" s="62" t="s">
        <v>177</v>
      </c>
      <c r="D399" s="179" t="s">
        <v>248</v>
      </c>
      <c r="E399" s="62" t="s">
        <v>183</v>
      </c>
      <c r="F399" s="77" t="s">
        <v>166</v>
      </c>
      <c r="G399" s="77" t="s">
        <v>172</v>
      </c>
      <c r="H399" s="62" t="s">
        <v>94</v>
      </c>
      <c r="I399" s="77" t="s">
        <v>11</v>
      </c>
      <c r="J399" s="38" t="s">
        <v>37</v>
      </c>
      <c r="K399" s="6">
        <v>150000</v>
      </c>
      <c r="L399" s="78">
        <f t="shared" si="195"/>
        <v>19500</v>
      </c>
      <c r="M399" s="79">
        <v>87</v>
      </c>
      <c r="N399" s="79">
        <v>87</v>
      </c>
      <c r="O399" s="191">
        <f t="shared" si="288"/>
        <v>1</v>
      </c>
      <c r="P399" s="80">
        <v>0</v>
      </c>
      <c r="Q399" s="80">
        <f t="shared" si="300"/>
        <v>0</v>
      </c>
      <c r="R399" s="159">
        <f t="shared" si="187"/>
        <v>1</v>
      </c>
      <c r="S399" s="113">
        <v>0.13</v>
      </c>
      <c r="T399" s="86">
        <v>44574</v>
      </c>
      <c r="U399" s="64"/>
      <c r="V399" s="64"/>
      <c r="W399" s="64"/>
      <c r="X399" s="15">
        <v>1</v>
      </c>
      <c r="Y399" s="15">
        <v>8460831345</v>
      </c>
    </row>
    <row r="400" spans="1:29" s="15" customFormat="1" ht="14.45" customHeight="1" x14ac:dyDescent="0.25">
      <c r="A400" s="38"/>
      <c r="B400" s="38" t="s">
        <v>182</v>
      </c>
      <c r="C400" s="62" t="s">
        <v>177</v>
      </c>
      <c r="D400" s="62"/>
      <c r="E400" s="62" t="s">
        <v>183</v>
      </c>
      <c r="F400" s="77" t="s">
        <v>166</v>
      </c>
      <c r="G400" s="77" t="s">
        <v>172</v>
      </c>
      <c r="H400" s="174" t="s">
        <v>281</v>
      </c>
      <c r="I400" s="77" t="s">
        <v>11</v>
      </c>
      <c r="J400" s="38" t="s">
        <v>37</v>
      </c>
      <c r="K400" s="6">
        <v>150000</v>
      </c>
      <c r="L400" s="78">
        <f t="shared" si="195"/>
        <v>19500</v>
      </c>
      <c r="M400" s="79">
        <v>87</v>
      </c>
      <c r="N400" s="79">
        <v>87</v>
      </c>
      <c r="O400" s="191">
        <f t="shared" si="288"/>
        <v>1</v>
      </c>
      <c r="P400" s="80">
        <v>0</v>
      </c>
      <c r="Q400" s="80">
        <f t="shared" si="300"/>
        <v>0</v>
      </c>
      <c r="R400" s="159">
        <f t="shared" si="187"/>
        <v>1</v>
      </c>
      <c r="S400" s="113">
        <v>0.13</v>
      </c>
      <c r="T400" s="86">
        <v>44574</v>
      </c>
      <c r="U400" s="64">
        <v>2</v>
      </c>
      <c r="V400" s="64"/>
      <c r="W400" s="64"/>
      <c r="X400" s="15">
        <v>1</v>
      </c>
      <c r="Y400" s="15">
        <v>8460831345</v>
      </c>
      <c r="AA400" t="e">
        <f>IF(VLOOKUP(LEFT(Y400,10),'Havi béradatok'!$B:$E,2,0)=D400,"EGYEZIK","HIBÁS")</f>
        <v>#N/A</v>
      </c>
      <c r="AB400" t="e">
        <f>IF(VLOOKUP(LEFT(Y400,10),'Havi béradatok'!$B:$E,2,0)=K400,"EGYEZIK","HIBÁS")</f>
        <v>#N/A</v>
      </c>
      <c r="AC400" t="e">
        <f>IF(VLOOKUP(LEFT(Y400,10),'Havi béradatok'!$B:$E,2,0)=L400,"EGYEZIK","HIBÁS")</f>
        <v>#N/A</v>
      </c>
    </row>
    <row r="401" spans="1:29" s="15" customFormat="1" ht="14.45" customHeight="1" x14ac:dyDescent="0.25">
      <c r="A401" s="38"/>
      <c r="B401" s="38" t="s">
        <v>182</v>
      </c>
      <c r="C401" s="62" t="s">
        <v>177</v>
      </c>
      <c r="D401" s="62"/>
      <c r="E401" s="62" t="s">
        <v>183</v>
      </c>
      <c r="F401" s="77" t="s">
        <v>166</v>
      </c>
      <c r="G401" s="77" t="s">
        <v>172</v>
      </c>
      <c r="H401" s="174" t="s">
        <v>280</v>
      </c>
      <c r="I401" s="77" t="s">
        <v>11</v>
      </c>
      <c r="J401" s="38" t="s">
        <v>37</v>
      </c>
      <c r="K401" s="6">
        <v>150000</v>
      </c>
      <c r="L401" s="78">
        <f t="shared" ref="L401" si="301">ROUND(K401*S401,0)</f>
        <v>19500</v>
      </c>
      <c r="M401" s="79">
        <v>87</v>
      </c>
      <c r="N401" s="79">
        <v>87</v>
      </c>
      <c r="O401" s="191">
        <f t="shared" ref="O401" si="302">N401/M401</f>
        <v>1</v>
      </c>
      <c r="P401" s="80">
        <v>0</v>
      </c>
      <c r="Q401" s="80">
        <f t="shared" ref="Q401" si="303">ROUND(P401*S401,0)</f>
        <v>0</v>
      </c>
      <c r="R401" s="159">
        <f t="shared" ref="R401" si="304">N401/M401-P401/K401</f>
        <v>1</v>
      </c>
      <c r="S401" s="113">
        <v>0.13</v>
      </c>
      <c r="T401" s="86">
        <v>44574</v>
      </c>
      <c r="U401" s="64"/>
      <c r="V401" s="64"/>
      <c r="W401" s="64"/>
      <c r="X401" s="15">
        <v>1</v>
      </c>
      <c r="Y401" s="15">
        <v>8460831345</v>
      </c>
      <c r="AA401" t="e">
        <f>IF(VLOOKUP(LEFT(Y401,10),'Havi béradatok'!$B:$E,2,0)=D401,"EGYEZIK","HIBÁS")</f>
        <v>#N/A</v>
      </c>
      <c r="AB401" t="e">
        <f>IF(VLOOKUP(LEFT(Y401,10),'Havi béradatok'!$B:$E,2,0)=K401,"EGYEZIK","HIBÁS")</f>
        <v>#N/A</v>
      </c>
      <c r="AC401" t="e">
        <f>IF(VLOOKUP(LEFT(Y401,10),'Havi béradatok'!$B:$E,2,0)=L401,"EGYEZIK","HIBÁS")</f>
        <v>#N/A</v>
      </c>
    </row>
    <row r="402" spans="1:29" s="15" customFormat="1" ht="14.45" hidden="1" customHeight="1" x14ac:dyDescent="0.25">
      <c r="A402" s="38"/>
      <c r="B402" s="38"/>
      <c r="C402" s="62"/>
      <c r="D402" s="62"/>
      <c r="E402" s="62"/>
      <c r="F402" s="77"/>
      <c r="G402" s="77"/>
      <c r="H402" s="62"/>
      <c r="I402" s="77"/>
      <c r="J402" s="38"/>
      <c r="K402" s="6"/>
      <c r="L402" s="78">
        <f t="shared" si="195"/>
        <v>0</v>
      </c>
      <c r="M402" s="79"/>
      <c r="N402" s="79"/>
      <c r="O402" s="190"/>
      <c r="P402" s="80"/>
      <c r="Q402" s="80"/>
      <c r="R402" s="159" t="e">
        <f t="shared" si="187"/>
        <v>#DIV/0!</v>
      </c>
      <c r="S402" s="113">
        <v>0.13</v>
      </c>
      <c r="T402" s="86"/>
      <c r="U402" s="64"/>
      <c r="V402" s="64"/>
      <c r="W402" s="64"/>
    </row>
    <row r="403" spans="1:29" s="15" customFormat="1" ht="14.45" hidden="1" customHeight="1" x14ac:dyDescent="0.25">
      <c r="A403" s="38"/>
      <c r="B403" s="38"/>
      <c r="C403" s="62"/>
      <c r="D403" s="62"/>
      <c r="E403" s="62"/>
      <c r="F403" s="77"/>
      <c r="G403" s="77"/>
      <c r="H403" s="62"/>
      <c r="I403" s="77"/>
      <c r="J403" s="38"/>
      <c r="K403" s="6"/>
      <c r="L403" s="78">
        <f t="shared" si="195"/>
        <v>0</v>
      </c>
      <c r="M403" s="79"/>
      <c r="N403" s="79"/>
      <c r="O403" s="190"/>
      <c r="P403" s="80"/>
      <c r="Q403" s="80"/>
      <c r="R403" s="159" t="e">
        <f t="shared" si="187"/>
        <v>#DIV/0!</v>
      </c>
      <c r="S403" s="113"/>
      <c r="T403" s="86"/>
      <c r="U403" s="64"/>
      <c r="V403" s="64"/>
      <c r="W403" s="64"/>
    </row>
    <row r="404" spans="1:29" s="15" customFormat="1" ht="14.45" hidden="1" customHeight="1" x14ac:dyDescent="0.25">
      <c r="A404" s="38"/>
      <c r="B404" s="38"/>
      <c r="C404" s="62"/>
      <c r="D404" s="62"/>
      <c r="E404" s="62"/>
      <c r="F404" s="77"/>
      <c r="G404" s="77"/>
      <c r="H404" s="62"/>
      <c r="I404" s="77"/>
      <c r="J404" s="38"/>
      <c r="K404" s="6"/>
      <c r="L404" s="78">
        <f t="shared" si="195"/>
        <v>0</v>
      </c>
      <c r="M404" s="79"/>
      <c r="N404" s="79"/>
      <c r="O404" s="190"/>
      <c r="P404" s="80"/>
      <c r="Q404" s="80"/>
      <c r="R404" s="159" t="e">
        <f t="shared" si="187"/>
        <v>#DIV/0!</v>
      </c>
      <c r="S404" s="113"/>
      <c r="T404" s="86"/>
      <c r="U404" s="64"/>
      <c r="V404" s="64"/>
      <c r="W404" s="64"/>
    </row>
    <row r="405" spans="1:29" s="15" customFormat="1" ht="14.45" hidden="1" customHeight="1" x14ac:dyDescent="0.25">
      <c r="A405" s="38"/>
      <c r="B405" s="38"/>
      <c r="C405" s="62"/>
      <c r="D405" s="62"/>
      <c r="E405" s="62"/>
      <c r="F405" s="77"/>
      <c r="G405" s="77"/>
      <c r="H405" s="62"/>
      <c r="I405" s="77"/>
      <c r="J405" s="38"/>
      <c r="K405" s="6"/>
      <c r="L405" s="78">
        <f t="shared" si="195"/>
        <v>0</v>
      </c>
      <c r="M405" s="79"/>
      <c r="N405" s="79"/>
      <c r="O405" s="190"/>
      <c r="P405" s="80"/>
      <c r="Q405" s="80"/>
      <c r="R405" s="159" t="e">
        <f t="shared" si="187"/>
        <v>#DIV/0!</v>
      </c>
      <c r="S405" s="113"/>
      <c r="T405" s="86"/>
      <c r="U405" s="64"/>
      <c r="V405" s="64"/>
      <c r="W405" s="64"/>
    </row>
    <row r="406" spans="1:29" s="15" customFormat="1" ht="14.45" hidden="1" customHeight="1" x14ac:dyDescent="0.25">
      <c r="A406" s="38"/>
      <c r="B406" s="38"/>
      <c r="C406" s="62"/>
      <c r="D406" s="62"/>
      <c r="E406" s="62"/>
      <c r="F406" s="77"/>
      <c r="G406" s="77"/>
      <c r="H406" s="62"/>
      <c r="I406" s="77"/>
      <c r="J406" s="38"/>
      <c r="K406" s="6"/>
      <c r="L406" s="78"/>
      <c r="M406" s="79"/>
      <c r="N406" s="79"/>
      <c r="O406" s="190"/>
      <c r="P406" s="80"/>
      <c r="Q406" s="80"/>
      <c r="R406" s="159" t="e">
        <f t="shared" si="187"/>
        <v>#DIV/0!</v>
      </c>
      <c r="S406" s="113"/>
      <c r="T406" s="86"/>
      <c r="U406" s="64"/>
      <c r="V406" s="64"/>
      <c r="W406" s="64"/>
    </row>
    <row r="407" spans="1:29" s="15" customFormat="1" ht="14.45" hidden="1" customHeight="1" x14ac:dyDescent="0.25">
      <c r="A407" s="38"/>
      <c r="B407" s="38"/>
      <c r="C407" s="62"/>
      <c r="D407" s="62"/>
      <c r="E407" s="62"/>
      <c r="F407" s="77"/>
      <c r="G407" s="77"/>
      <c r="H407" s="62"/>
      <c r="I407" s="77"/>
      <c r="J407" s="38"/>
      <c r="K407" s="6">
        <v>0</v>
      </c>
      <c r="L407" s="78">
        <f t="shared" ref="L407" si="305">ROUND(K407*S407,0)</f>
        <v>0</v>
      </c>
      <c r="M407" s="79">
        <v>0</v>
      </c>
      <c r="N407" s="79">
        <v>0</v>
      </c>
      <c r="O407" s="190"/>
      <c r="P407" s="80"/>
      <c r="Q407" s="80"/>
      <c r="R407" s="159" t="e">
        <f t="shared" ref="R407" si="306">N407/M407-P407/K407</f>
        <v>#DIV/0!</v>
      </c>
      <c r="S407" s="113">
        <v>0.13</v>
      </c>
      <c r="T407" s="86"/>
      <c r="U407" s="64"/>
      <c r="V407" s="64"/>
      <c r="W407" s="64"/>
    </row>
    <row r="408" spans="1:29" ht="14.45" hidden="1" customHeight="1" x14ac:dyDescent="0.25">
      <c r="A408" s="89"/>
      <c r="B408" s="89" t="s">
        <v>55</v>
      </c>
      <c r="C408" s="90"/>
      <c r="D408" s="90"/>
      <c r="E408" s="90"/>
      <c r="F408" s="91"/>
      <c r="G408" s="91"/>
      <c r="H408" s="90"/>
      <c r="I408" s="92"/>
      <c r="J408" s="89"/>
      <c r="K408" s="93"/>
      <c r="L408" s="93"/>
      <c r="M408" s="94"/>
      <c r="N408" s="94"/>
      <c r="O408" s="90"/>
      <c r="P408" s="90"/>
      <c r="Q408" s="90">
        <f t="shared" si="196"/>
        <v>0</v>
      </c>
      <c r="R408" s="118"/>
      <c r="S408" s="96"/>
      <c r="T408" s="95"/>
      <c r="U408" s="95"/>
      <c r="V408" s="95"/>
      <c r="W408" s="95"/>
    </row>
    <row r="409" spans="1:29" ht="14.45" hidden="1" customHeight="1" x14ac:dyDescent="0.25">
      <c r="A409" s="38"/>
      <c r="B409" s="38"/>
      <c r="C409" s="62"/>
      <c r="D409" s="62"/>
      <c r="E409" s="62"/>
      <c r="F409" s="63"/>
      <c r="G409" s="63"/>
      <c r="H409" s="62"/>
      <c r="I409" s="77"/>
      <c r="J409" s="38"/>
      <c r="K409" s="78"/>
      <c r="L409" s="78"/>
      <c r="M409" s="79"/>
      <c r="N409" s="79"/>
      <c r="O409" s="190"/>
      <c r="P409" s="80"/>
      <c r="Q409" s="80"/>
      <c r="R409" s="117"/>
      <c r="S409" s="81"/>
      <c r="T409" s="64"/>
      <c r="U409" s="64"/>
      <c r="V409" s="64"/>
      <c r="W409" s="64"/>
    </row>
    <row r="410" spans="1:29" ht="14.45" hidden="1" customHeight="1" x14ac:dyDescent="0.25">
      <c r="A410" s="38"/>
      <c r="B410" s="38"/>
      <c r="C410" s="62"/>
      <c r="D410" s="62"/>
      <c r="E410" s="62"/>
      <c r="F410" s="63"/>
      <c r="G410" s="63"/>
      <c r="H410" s="62"/>
      <c r="I410" s="77"/>
      <c r="J410" s="38"/>
      <c r="K410" s="6"/>
      <c r="L410" s="78">
        <f>ROUND(K410*0.9*S410,0)</f>
        <v>0</v>
      </c>
      <c r="M410" s="79" t="s">
        <v>48</v>
      </c>
      <c r="N410" s="79" t="s">
        <v>48</v>
      </c>
      <c r="O410" s="190"/>
      <c r="P410" s="80"/>
      <c r="Q410" s="80"/>
      <c r="R410" s="117"/>
      <c r="S410" s="113"/>
      <c r="T410" s="86"/>
      <c r="U410" s="64"/>
      <c r="V410" s="64"/>
      <c r="W410" s="64"/>
    </row>
    <row r="411" spans="1:29" ht="14.45" hidden="1" customHeight="1" x14ac:dyDescent="0.25">
      <c r="A411" s="38"/>
      <c r="B411" s="38"/>
      <c r="C411" s="62"/>
      <c r="D411" s="62"/>
      <c r="E411" s="62"/>
      <c r="F411" s="63"/>
      <c r="G411" s="63"/>
      <c r="H411" s="62"/>
      <c r="I411" s="77"/>
      <c r="J411" s="38"/>
      <c r="K411" s="6"/>
      <c r="L411" s="78"/>
      <c r="M411" s="79"/>
      <c r="N411" s="79"/>
      <c r="O411" s="190"/>
      <c r="P411" s="80"/>
      <c r="Q411" s="80"/>
      <c r="R411" s="117"/>
      <c r="S411" s="81"/>
      <c r="T411" s="64"/>
      <c r="U411" s="64"/>
      <c r="V411" s="64"/>
      <c r="W411" s="64"/>
    </row>
    <row r="412" spans="1:29" s="15" customFormat="1" ht="15" hidden="1" customHeight="1" x14ac:dyDescent="0.25">
      <c r="A412" s="38"/>
      <c r="B412" s="38"/>
      <c r="C412" s="62"/>
      <c r="D412" s="62"/>
      <c r="E412" s="62"/>
      <c r="F412" s="63"/>
      <c r="G412" s="63"/>
      <c r="H412" s="62"/>
      <c r="I412" s="77"/>
      <c r="J412" s="38"/>
      <c r="K412" s="78"/>
      <c r="L412" s="78"/>
      <c r="M412" s="79"/>
      <c r="N412" s="79"/>
      <c r="O412" s="190"/>
      <c r="P412" s="80"/>
      <c r="Q412" s="80"/>
      <c r="R412" s="117"/>
      <c r="S412" s="81"/>
      <c r="T412" s="64"/>
      <c r="U412" s="64"/>
      <c r="V412" s="64"/>
      <c r="W412" s="64"/>
    </row>
    <row r="413" spans="1:29" ht="15" hidden="1" customHeight="1" x14ac:dyDescent="0.25">
      <c r="A413" s="38"/>
      <c r="B413" s="66"/>
      <c r="C413" s="67"/>
      <c r="D413" s="67"/>
      <c r="E413" s="67"/>
      <c r="F413" s="68"/>
      <c r="G413" s="68"/>
      <c r="H413" s="67"/>
      <c r="I413" s="66"/>
      <c r="J413" s="66"/>
      <c r="K413" s="82"/>
      <c r="L413" s="82"/>
      <c r="M413" s="83"/>
      <c r="N413" s="83"/>
      <c r="O413" s="190"/>
      <c r="P413" s="83"/>
      <c r="Q413" s="84"/>
      <c r="R413" s="119"/>
      <c r="S413" s="85"/>
      <c r="T413" s="85"/>
      <c r="U413" s="85"/>
      <c r="V413" s="85"/>
      <c r="W413" s="85"/>
    </row>
    <row r="414" spans="1:29" x14ac:dyDescent="0.25">
      <c r="A414" s="38"/>
      <c r="B414" s="13" t="s">
        <v>3</v>
      </c>
      <c r="C414" s="6"/>
      <c r="D414" s="6"/>
      <c r="E414" s="6"/>
      <c r="F414" s="6"/>
      <c r="G414" s="6"/>
      <c r="H414" s="75"/>
      <c r="I414" s="7"/>
      <c r="J414" s="7"/>
      <c r="K414" s="60"/>
      <c r="L414" s="60"/>
      <c r="M414" s="71"/>
      <c r="N414" s="70"/>
      <c r="O414" s="70"/>
      <c r="P414" s="14">
        <f>SUBTOTAL(109,P7:P413)</f>
        <v>61316018</v>
      </c>
      <c r="Q414" s="14">
        <f>SUBTOTAL(109,Q7:Q413)</f>
        <v>7816452</v>
      </c>
      <c r="R414" s="46"/>
      <c r="S414" s="46"/>
      <c r="T414" s="46"/>
      <c r="U414" s="46"/>
      <c r="V414" s="46"/>
      <c r="W414" s="46"/>
    </row>
    <row r="416" spans="1:29" ht="14.45" customHeight="1" x14ac:dyDescent="0.25">
      <c r="N416" s="28"/>
      <c r="O416" s="28"/>
      <c r="P416"/>
      <c r="Q416"/>
    </row>
    <row r="417" spans="3:44" s="18" customFormat="1" ht="15" hidden="1" customHeight="1" outlineLevel="1" x14ac:dyDescent="0.25">
      <c r="C417" s="18" t="s">
        <v>68</v>
      </c>
      <c r="F417" s="18" t="s">
        <v>106</v>
      </c>
      <c r="H417" s="76" t="s">
        <v>30</v>
      </c>
      <c r="I417" s="18" t="s">
        <v>11</v>
      </c>
      <c r="J417" s="18" t="s">
        <v>22</v>
      </c>
      <c r="K417" s="61"/>
      <c r="L417" s="61"/>
      <c r="M417" s="27"/>
      <c r="N417" s="73"/>
      <c r="O417" s="73"/>
      <c r="P417" s="21"/>
      <c r="Q417" s="22"/>
      <c r="R417" s="116"/>
      <c r="S417" s="27"/>
      <c r="T417" s="27"/>
      <c r="U417" s="27" t="s">
        <v>21</v>
      </c>
      <c r="V417" s="88"/>
      <c r="W417" s="27"/>
      <c r="X417"/>
      <c r="Y417"/>
      <c r="Z417"/>
      <c r="AA417"/>
      <c r="AB417"/>
      <c r="AC417"/>
      <c r="AD417"/>
      <c r="AE417"/>
      <c r="AF417"/>
      <c r="AG417"/>
      <c r="AH417"/>
      <c r="AI417"/>
      <c r="AJ417"/>
      <c r="AK417"/>
      <c r="AL417"/>
      <c r="AM417"/>
      <c r="AN417"/>
      <c r="AO417"/>
      <c r="AP417"/>
      <c r="AQ417"/>
      <c r="AR417"/>
    </row>
    <row r="418" spans="3:44" s="18" customFormat="1" ht="15" hidden="1" customHeight="1" outlineLevel="1" x14ac:dyDescent="0.25">
      <c r="C418" s="18" t="s">
        <v>69</v>
      </c>
      <c r="F418" s="18" t="s">
        <v>104</v>
      </c>
      <c r="H418" s="76" t="s">
        <v>31</v>
      </c>
      <c r="I418" s="18" t="s">
        <v>12</v>
      </c>
      <c r="J418" s="18" t="s">
        <v>23</v>
      </c>
      <c r="K418" s="61"/>
      <c r="L418" s="61"/>
      <c r="M418" s="27"/>
      <c r="N418" s="73"/>
      <c r="O418" s="73"/>
      <c r="P418" s="21"/>
      <c r="Q418" s="22"/>
      <c r="R418" s="116"/>
      <c r="S418" s="27"/>
      <c r="T418" s="27"/>
      <c r="U418" s="27" t="s">
        <v>20</v>
      </c>
      <c r="V418" s="88"/>
      <c r="W418" s="27"/>
      <c r="X418"/>
      <c r="Y418"/>
      <c r="Z418"/>
      <c r="AA418"/>
      <c r="AB418"/>
      <c r="AC418"/>
      <c r="AD418"/>
      <c r="AE418"/>
      <c r="AF418"/>
      <c r="AG418"/>
      <c r="AH418"/>
      <c r="AI418"/>
      <c r="AJ418"/>
      <c r="AK418"/>
      <c r="AL418"/>
      <c r="AM418"/>
      <c r="AN418"/>
      <c r="AO418"/>
      <c r="AP418"/>
      <c r="AQ418"/>
      <c r="AR418"/>
    </row>
    <row r="419" spans="3:44" s="18" customFormat="1" ht="15" hidden="1" customHeight="1" outlineLevel="1" x14ac:dyDescent="0.25">
      <c r="C419" s="18" t="s">
        <v>70</v>
      </c>
      <c r="F419" s="18" t="s">
        <v>107</v>
      </c>
      <c r="H419" s="76" t="s">
        <v>32</v>
      </c>
      <c r="J419" s="18" t="s">
        <v>24</v>
      </c>
      <c r="K419" s="61"/>
      <c r="L419" s="61"/>
      <c r="M419" s="27"/>
      <c r="N419" s="73"/>
      <c r="O419" s="73"/>
      <c r="P419" s="21"/>
      <c r="Q419" s="22"/>
      <c r="R419" s="116"/>
      <c r="S419" s="27"/>
      <c r="T419" s="27"/>
      <c r="U419" s="27"/>
      <c r="V419" s="88"/>
      <c r="W419" s="27"/>
      <c r="X419"/>
      <c r="Y419"/>
      <c r="Z419"/>
      <c r="AA419"/>
      <c r="AB419"/>
      <c r="AC419"/>
      <c r="AD419"/>
      <c r="AE419"/>
      <c r="AF419"/>
      <c r="AG419"/>
      <c r="AH419"/>
      <c r="AI419"/>
      <c r="AJ419"/>
      <c r="AK419"/>
      <c r="AL419"/>
      <c r="AM419"/>
      <c r="AN419"/>
      <c r="AO419"/>
      <c r="AP419"/>
      <c r="AQ419"/>
      <c r="AR419"/>
    </row>
    <row r="420" spans="3:44" s="18" customFormat="1" ht="15" hidden="1" customHeight="1" outlineLevel="1" x14ac:dyDescent="0.25">
      <c r="F420" s="18" t="s">
        <v>105</v>
      </c>
      <c r="H420" s="76" t="s">
        <v>33</v>
      </c>
      <c r="K420" s="61"/>
      <c r="L420" s="61"/>
      <c r="M420" s="27"/>
      <c r="N420" s="73"/>
      <c r="O420" s="73"/>
      <c r="P420" s="21"/>
      <c r="Q420" s="22"/>
      <c r="R420" s="116"/>
      <c r="S420" s="27"/>
      <c r="T420" s="27"/>
      <c r="U420" s="27"/>
      <c r="V420" s="88"/>
      <c r="W420" s="27"/>
      <c r="X420"/>
      <c r="Y420"/>
      <c r="Z420"/>
      <c r="AA420"/>
      <c r="AB420"/>
      <c r="AC420"/>
      <c r="AD420"/>
      <c r="AE420"/>
      <c r="AF420"/>
      <c r="AG420"/>
      <c r="AH420"/>
      <c r="AI420"/>
      <c r="AJ420"/>
      <c r="AK420"/>
      <c r="AL420"/>
      <c r="AM420"/>
      <c r="AN420"/>
      <c r="AO420"/>
      <c r="AP420"/>
      <c r="AQ420"/>
      <c r="AR420"/>
    </row>
    <row r="421" spans="3:44" s="18" customFormat="1" ht="15" hidden="1" customHeight="1" outlineLevel="1" x14ac:dyDescent="0.25">
      <c r="F421" s="18" t="s">
        <v>108</v>
      </c>
      <c r="H421" s="76" t="s">
        <v>34</v>
      </c>
      <c r="K421" s="61"/>
      <c r="L421" s="61"/>
      <c r="M421" s="27"/>
      <c r="N421" s="73"/>
      <c r="O421" s="73"/>
      <c r="P421" s="21"/>
      <c r="Q421" s="22"/>
      <c r="R421" s="116"/>
      <c r="S421" s="27"/>
      <c r="T421" s="27"/>
      <c r="U421" s="27"/>
      <c r="V421" s="88"/>
      <c r="W421" s="27"/>
      <c r="X421"/>
      <c r="Y421"/>
      <c r="Z421"/>
      <c r="AA421"/>
      <c r="AB421"/>
      <c r="AC421"/>
      <c r="AD421"/>
      <c r="AE421"/>
      <c r="AF421"/>
      <c r="AG421"/>
      <c r="AH421"/>
      <c r="AI421"/>
      <c r="AJ421"/>
      <c r="AK421"/>
      <c r="AL421"/>
      <c r="AM421"/>
      <c r="AN421"/>
      <c r="AO421"/>
      <c r="AP421"/>
      <c r="AQ421"/>
      <c r="AR421"/>
    </row>
    <row r="422" spans="3:44" s="18" customFormat="1" ht="15" hidden="1" customHeight="1" outlineLevel="1" x14ac:dyDescent="0.25">
      <c r="H422" s="76" t="s">
        <v>35</v>
      </c>
      <c r="K422" s="61"/>
      <c r="L422" s="61"/>
      <c r="M422" s="27"/>
      <c r="N422" s="73"/>
      <c r="O422" s="73"/>
      <c r="P422" s="21"/>
      <c r="Q422" s="22"/>
      <c r="R422" s="116"/>
      <c r="S422" s="27"/>
      <c r="T422" s="27"/>
      <c r="U422" s="27"/>
      <c r="V422" s="88"/>
      <c r="W422" s="27"/>
      <c r="X422"/>
      <c r="Y422"/>
      <c r="Z422"/>
      <c r="AA422"/>
      <c r="AB422"/>
      <c r="AC422"/>
      <c r="AD422"/>
      <c r="AE422"/>
      <c r="AF422"/>
      <c r="AG422"/>
      <c r="AH422"/>
      <c r="AI422"/>
      <c r="AJ422"/>
      <c r="AK422"/>
      <c r="AL422"/>
      <c r="AM422"/>
      <c r="AN422"/>
      <c r="AO422"/>
      <c r="AP422"/>
      <c r="AQ422"/>
      <c r="AR422"/>
    </row>
    <row r="423" spans="3:44" s="18" customFormat="1" ht="15" hidden="1" customHeight="1" outlineLevel="1" x14ac:dyDescent="0.25">
      <c r="H423" s="76" t="s">
        <v>58</v>
      </c>
      <c r="K423" s="61"/>
      <c r="L423" s="61"/>
      <c r="M423" s="27"/>
      <c r="N423" s="73"/>
      <c r="O423" s="73"/>
      <c r="P423" s="21"/>
      <c r="Q423" s="22"/>
      <c r="R423" s="116"/>
      <c r="S423" s="27"/>
      <c r="T423" s="27"/>
      <c r="U423" s="27"/>
      <c r="V423" s="88"/>
      <c r="W423" s="27"/>
      <c r="X423"/>
      <c r="Y423"/>
      <c r="Z423"/>
      <c r="AA423"/>
      <c r="AB423"/>
      <c r="AC423"/>
      <c r="AD423"/>
      <c r="AE423"/>
      <c r="AF423"/>
      <c r="AG423"/>
      <c r="AH423"/>
      <c r="AI423"/>
      <c r="AJ423"/>
      <c r="AK423"/>
      <c r="AL423"/>
      <c r="AM423"/>
      <c r="AN423"/>
      <c r="AO423"/>
      <c r="AP423"/>
      <c r="AQ423"/>
      <c r="AR423"/>
    </row>
    <row r="424" spans="3:44" s="18" customFormat="1" ht="15" hidden="1" customHeight="1" outlineLevel="1" x14ac:dyDescent="0.25">
      <c r="H424" s="76" t="s">
        <v>59</v>
      </c>
      <c r="K424" s="61"/>
      <c r="L424" s="61"/>
      <c r="M424" s="27"/>
      <c r="N424" s="73"/>
      <c r="O424" s="73"/>
      <c r="P424" s="21"/>
      <c r="Q424" s="22"/>
      <c r="R424" s="116"/>
      <c r="S424" s="27"/>
      <c r="T424" s="27"/>
      <c r="U424" s="27"/>
      <c r="V424" s="88"/>
      <c r="W424" s="27"/>
      <c r="X424"/>
      <c r="Y424"/>
      <c r="Z424"/>
      <c r="AA424"/>
      <c r="AB424"/>
      <c r="AC424"/>
      <c r="AD424"/>
      <c r="AE424"/>
      <c r="AF424"/>
      <c r="AG424"/>
      <c r="AH424"/>
      <c r="AI424"/>
      <c r="AJ424"/>
      <c r="AK424"/>
      <c r="AL424"/>
      <c r="AM424"/>
      <c r="AN424"/>
      <c r="AO424"/>
      <c r="AP424"/>
      <c r="AQ424"/>
      <c r="AR424"/>
    </row>
    <row r="425" spans="3:44" s="18" customFormat="1" ht="15" hidden="1" customHeight="1" outlineLevel="1" x14ac:dyDescent="0.25">
      <c r="H425" s="76" t="s">
        <v>60</v>
      </c>
      <c r="K425" s="61"/>
      <c r="L425" s="61"/>
      <c r="M425" s="27"/>
      <c r="N425" s="73"/>
      <c r="O425" s="73"/>
      <c r="P425" s="21"/>
      <c r="Q425" s="22"/>
      <c r="R425" s="116"/>
      <c r="S425" s="27"/>
      <c r="T425" s="27"/>
      <c r="U425" s="27"/>
      <c r="V425" s="88"/>
      <c r="W425" s="27"/>
      <c r="X425"/>
      <c r="Y425"/>
      <c r="Z425"/>
      <c r="AA425"/>
      <c r="AB425"/>
      <c r="AC425"/>
      <c r="AD425"/>
      <c r="AE425"/>
      <c r="AF425"/>
      <c r="AG425"/>
      <c r="AH425"/>
      <c r="AI425"/>
      <c r="AJ425"/>
      <c r="AK425"/>
      <c r="AL425"/>
      <c r="AM425"/>
      <c r="AN425"/>
      <c r="AO425"/>
      <c r="AP425"/>
      <c r="AQ425"/>
      <c r="AR425"/>
    </row>
    <row r="426" spans="3:44" s="18" customFormat="1" ht="15" hidden="1" customHeight="1" outlineLevel="1" x14ac:dyDescent="0.25">
      <c r="H426" s="111" t="s">
        <v>61</v>
      </c>
      <c r="K426" s="61"/>
      <c r="L426" s="61"/>
      <c r="M426" s="27"/>
      <c r="N426" s="73"/>
      <c r="O426" s="73"/>
      <c r="P426" s="21"/>
      <c r="Q426" s="22"/>
      <c r="R426" s="116"/>
      <c r="S426" s="27"/>
      <c r="T426" s="27"/>
      <c r="U426" s="27"/>
      <c r="V426" s="88"/>
      <c r="W426" s="27"/>
      <c r="X426"/>
      <c r="Y426"/>
      <c r="Z426"/>
      <c r="AA426"/>
      <c r="AB426"/>
      <c r="AC426"/>
      <c r="AD426"/>
      <c r="AE426"/>
      <c r="AF426"/>
      <c r="AG426"/>
      <c r="AH426"/>
      <c r="AI426"/>
      <c r="AJ426"/>
      <c r="AK426"/>
      <c r="AL426"/>
      <c r="AM426"/>
      <c r="AN426"/>
      <c r="AO426"/>
      <c r="AP426"/>
      <c r="AQ426"/>
      <c r="AR426"/>
    </row>
    <row r="427" spans="3:44" s="18" customFormat="1" ht="15" hidden="1" customHeight="1" outlineLevel="1" x14ac:dyDescent="0.25">
      <c r="H427" s="111" t="s">
        <v>62</v>
      </c>
      <c r="K427" s="61"/>
      <c r="L427" s="61"/>
      <c r="M427" s="27"/>
      <c r="N427" s="73"/>
      <c r="O427" s="73"/>
      <c r="P427" s="21"/>
      <c r="Q427" s="22"/>
      <c r="R427" s="116"/>
      <c r="S427" s="27"/>
      <c r="T427" s="27"/>
      <c r="U427" s="27"/>
      <c r="V427" s="88"/>
      <c r="W427" s="27"/>
      <c r="X427"/>
      <c r="Y427"/>
      <c r="Z427"/>
      <c r="AA427"/>
      <c r="AB427"/>
      <c r="AC427"/>
      <c r="AD427"/>
      <c r="AE427"/>
      <c r="AF427"/>
      <c r="AG427"/>
      <c r="AH427"/>
      <c r="AI427"/>
      <c r="AJ427"/>
      <c r="AK427"/>
      <c r="AL427"/>
      <c r="AM427"/>
      <c r="AN427"/>
      <c r="AO427"/>
      <c r="AP427"/>
      <c r="AQ427"/>
      <c r="AR427"/>
    </row>
    <row r="428" spans="3:44" s="18" customFormat="1" ht="15" hidden="1" customHeight="1" outlineLevel="1" x14ac:dyDescent="0.25">
      <c r="H428" s="111" t="s">
        <v>71</v>
      </c>
      <c r="K428" s="61"/>
      <c r="L428" s="61"/>
      <c r="M428" s="27"/>
      <c r="N428" s="73"/>
      <c r="O428" s="73"/>
      <c r="P428" s="21"/>
      <c r="Q428" s="22"/>
      <c r="R428" s="116"/>
      <c r="S428" s="27"/>
      <c r="T428" s="27"/>
      <c r="U428" s="27"/>
      <c r="V428" s="88"/>
      <c r="W428" s="27"/>
      <c r="X428"/>
      <c r="Y428"/>
      <c r="Z428"/>
      <c r="AA428"/>
      <c r="AB428"/>
      <c r="AC428"/>
      <c r="AD428"/>
      <c r="AE428"/>
      <c r="AF428"/>
      <c r="AG428"/>
      <c r="AH428"/>
      <c r="AI428"/>
      <c r="AJ428"/>
      <c r="AK428"/>
      <c r="AL428"/>
      <c r="AM428"/>
      <c r="AN428"/>
      <c r="AO428"/>
      <c r="AP428"/>
      <c r="AQ428"/>
      <c r="AR428"/>
    </row>
    <row r="429" spans="3:44" s="18" customFormat="1" ht="15" hidden="1" customHeight="1" outlineLevel="1" x14ac:dyDescent="0.25">
      <c r="H429" s="76" t="s">
        <v>72</v>
      </c>
      <c r="K429" s="61"/>
      <c r="L429" s="61"/>
      <c r="M429" s="27"/>
      <c r="N429" s="73"/>
      <c r="O429" s="73"/>
      <c r="P429" s="21"/>
      <c r="Q429" s="22"/>
      <c r="R429" s="116"/>
      <c r="S429" s="27"/>
      <c r="T429" s="27"/>
      <c r="U429" s="27"/>
      <c r="V429" s="88"/>
      <c r="W429" s="27"/>
      <c r="X429"/>
      <c r="Y429"/>
      <c r="Z429"/>
      <c r="AA429"/>
      <c r="AB429"/>
      <c r="AC429"/>
      <c r="AD429"/>
      <c r="AE429"/>
      <c r="AF429"/>
      <c r="AG429"/>
      <c r="AH429"/>
      <c r="AI429"/>
      <c r="AJ429"/>
      <c r="AK429"/>
      <c r="AL429"/>
      <c r="AM429"/>
      <c r="AN429"/>
      <c r="AO429"/>
      <c r="AP429"/>
      <c r="AQ429"/>
      <c r="AR429"/>
    </row>
    <row r="430" spans="3:44" s="18" customFormat="1" ht="15" hidden="1" customHeight="1" outlineLevel="1" x14ac:dyDescent="0.25">
      <c r="H430" s="76" t="s">
        <v>73</v>
      </c>
      <c r="K430" s="61"/>
      <c r="L430" s="61"/>
      <c r="M430" s="27"/>
      <c r="N430" s="73"/>
      <c r="O430" s="73"/>
      <c r="P430" s="21"/>
      <c r="Q430" s="22"/>
      <c r="R430" s="116"/>
      <c r="S430" s="27"/>
      <c r="T430" s="27"/>
      <c r="U430" s="27"/>
      <c r="V430" s="88"/>
      <c r="W430" s="27"/>
      <c r="X430"/>
      <c r="Y430"/>
      <c r="Z430"/>
      <c r="AA430"/>
      <c r="AB430"/>
      <c r="AC430"/>
      <c r="AD430"/>
      <c r="AE430"/>
      <c r="AF430"/>
      <c r="AG430"/>
      <c r="AH430"/>
      <c r="AI430"/>
      <c r="AJ430"/>
      <c r="AK430"/>
      <c r="AL430"/>
      <c r="AM430"/>
      <c r="AN430"/>
      <c r="AO430"/>
      <c r="AP430"/>
      <c r="AQ430"/>
      <c r="AR430"/>
    </row>
    <row r="431" spans="3:44" s="18" customFormat="1" ht="15" hidden="1" customHeight="1" outlineLevel="1" x14ac:dyDescent="0.25">
      <c r="H431" s="76" t="s">
        <v>74</v>
      </c>
      <c r="K431" s="61"/>
      <c r="L431" s="61"/>
      <c r="M431" s="27"/>
      <c r="N431" s="73"/>
      <c r="O431" s="73"/>
      <c r="P431" s="21"/>
      <c r="Q431" s="22"/>
      <c r="R431" s="116"/>
      <c r="S431" s="27"/>
      <c r="T431" s="27"/>
      <c r="U431" s="27"/>
      <c r="V431" s="88"/>
      <c r="W431" s="27"/>
      <c r="X431"/>
      <c r="Y431"/>
      <c r="Z431"/>
      <c r="AA431"/>
      <c r="AB431"/>
      <c r="AC431"/>
      <c r="AD431"/>
      <c r="AE431"/>
      <c r="AF431"/>
      <c r="AG431"/>
      <c r="AH431"/>
      <c r="AI431"/>
      <c r="AJ431"/>
      <c r="AK431"/>
      <c r="AL431"/>
      <c r="AM431"/>
      <c r="AN431"/>
      <c r="AO431"/>
      <c r="AP431"/>
      <c r="AQ431"/>
      <c r="AR431"/>
    </row>
    <row r="432" spans="3:44" s="18" customFormat="1" ht="15" hidden="1" customHeight="1" outlineLevel="1" x14ac:dyDescent="0.25">
      <c r="H432" s="76" t="s">
        <v>75</v>
      </c>
      <c r="K432" s="61"/>
      <c r="L432" s="61"/>
      <c r="M432" s="27"/>
      <c r="N432" s="73"/>
      <c r="O432" s="73"/>
      <c r="P432" s="21"/>
      <c r="Q432" s="22"/>
      <c r="R432" s="116"/>
      <c r="S432" s="27"/>
      <c r="T432" s="27"/>
      <c r="U432" s="27"/>
      <c r="V432" s="88"/>
      <c r="W432" s="27"/>
      <c r="X432"/>
      <c r="Y432"/>
      <c r="Z432"/>
      <c r="AA432"/>
      <c r="AB432"/>
      <c r="AC432"/>
      <c r="AD432"/>
      <c r="AE432"/>
      <c r="AF432"/>
      <c r="AG432"/>
      <c r="AH432"/>
      <c r="AI432"/>
      <c r="AJ432"/>
      <c r="AK432"/>
      <c r="AL432"/>
      <c r="AM432"/>
      <c r="AN432"/>
      <c r="AO432"/>
      <c r="AP432"/>
      <c r="AQ432"/>
      <c r="AR432"/>
    </row>
    <row r="433" spans="8:44" s="18" customFormat="1" ht="15" hidden="1" customHeight="1" outlineLevel="1" x14ac:dyDescent="0.25">
      <c r="H433" s="76" t="s">
        <v>76</v>
      </c>
      <c r="K433" s="61"/>
      <c r="L433" s="61"/>
      <c r="M433" s="27"/>
      <c r="N433" s="73"/>
      <c r="O433" s="73"/>
      <c r="P433" s="21"/>
      <c r="Q433" s="22"/>
      <c r="R433" s="116"/>
      <c r="S433" s="27"/>
      <c r="T433" s="27"/>
      <c r="U433" s="27"/>
      <c r="V433" s="88"/>
      <c r="W433" s="27"/>
      <c r="X433"/>
      <c r="Y433"/>
      <c r="Z433"/>
      <c r="AA433"/>
      <c r="AB433"/>
      <c r="AC433"/>
      <c r="AD433"/>
      <c r="AE433"/>
      <c r="AF433"/>
      <c r="AG433"/>
      <c r="AH433"/>
      <c r="AI433"/>
      <c r="AJ433"/>
      <c r="AK433"/>
      <c r="AL433"/>
      <c r="AM433"/>
      <c r="AN433"/>
      <c r="AO433"/>
      <c r="AP433"/>
      <c r="AQ433"/>
      <c r="AR433"/>
    </row>
    <row r="434" spans="8:44" s="18" customFormat="1" ht="15" hidden="1" customHeight="1" outlineLevel="1" x14ac:dyDescent="0.25">
      <c r="H434" s="76" t="s">
        <v>77</v>
      </c>
      <c r="K434" s="61"/>
      <c r="L434" s="61"/>
      <c r="M434" s="27"/>
      <c r="N434" s="73"/>
      <c r="O434" s="73"/>
      <c r="P434" s="21"/>
      <c r="Q434" s="22"/>
      <c r="R434" s="116"/>
      <c r="S434" s="27"/>
      <c r="T434" s="27"/>
      <c r="U434" s="27"/>
      <c r="V434" s="88"/>
      <c r="W434" s="27"/>
      <c r="X434"/>
      <c r="Y434"/>
      <c r="Z434"/>
      <c r="AA434"/>
      <c r="AB434"/>
      <c r="AC434"/>
      <c r="AD434"/>
      <c r="AE434"/>
      <c r="AF434"/>
      <c r="AG434"/>
      <c r="AH434"/>
      <c r="AI434"/>
      <c r="AJ434"/>
      <c r="AK434"/>
      <c r="AL434"/>
      <c r="AM434"/>
      <c r="AN434"/>
      <c r="AO434"/>
      <c r="AP434"/>
      <c r="AQ434"/>
      <c r="AR434"/>
    </row>
    <row r="435" spans="8:44" s="18" customFormat="1" ht="15" hidden="1" customHeight="1" outlineLevel="1" x14ac:dyDescent="0.25">
      <c r="H435" s="76" t="s">
        <v>78</v>
      </c>
      <c r="K435" s="61"/>
      <c r="L435" s="61"/>
      <c r="M435" s="27"/>
      <c r="N435" s="73"/>
      <c r="O435" s="73"/>
      <c r="P435" s="21"/>
      <c r="Q435" s="22"/>
      <c r="R435" s="116"/>
      <c r="S435" s="27"/>
      <c r="T435" s="27"/>
      <c r="U435" s="27"/>
      <c r="V435" s="88"/>
      <c r="W435" s="27"/>
      <c r="X435"/>
      <c r="Y435"/>
      <c r="Z435"/>
      <c r="AA435"/>
      <c r="AB435"/>
      <c r="AC435"/>
      <c r="AD435"/>
      <c r="AE435"/>
      <c r="AF435"/>
      <c r="AG435"/>
      <c r="AH435"/>
      <c r="AI435"/>
      <c r="AJ435"/>
      <c r="AK435"/>
      <c r="AL435"/>
      <c r="AM435"/>
      <c r="AN435"/>
      <c r="AO435"/>
      <c r="AP435"/>
      <c r="AQ435"/>
      <c r="AR435"/>
    </row>
    <row r="436" spans="8:44" s="18" customFormat="1" ht="15" hidden="1" customHeight="1" outlineLevel="1" x14ac:dyDescent="0.25">
      <c r="H436" s="76" t="s">
        <v>79</v>
      </c>
      <c r="K436" s="61"/>
      <c r="L436" s="61"/>
      <c r="M436" s="27"/>
      <c r="N436" s="73"/>
      <c r="O436" s="73"/>
      <c r="P436" s="21"/>
      <c r="Q436" s="22"/>
      <c r="R436" s="116"/>
      <c r="S436" s="27"/>
      <c r="T436" s="27"/>
      <c r="U436" s="27"/>
      <c r="V436" s="88"/>
      <c r="W436" s="27"/>
      <c r="X436"/>
      <c r="Y436"/>
      <c r="Z436"/>
      <c r="AA436"/>
      <c r="AB436"/>
      <c r="AC436"/>
      <c r="AD436"/>
      <c r="AE436"/>
      <c r="AF436"/>
      <c r="AG436"/>
      <c r="AH436"/>
      <c r="AI436"/>
      <c r="AJ436"/>
      <c r="AK436"/>
      <c r="AL436"/>
      <c r="AM436"/>
      <c r="AN436"/>
      <c r="AO436"/>
      <c r="AP436"/>
      <c r="AQ436"/>
      <c r="AR436"/>
    </row>
    <row r="437" spans="8:44" s="18" customFormat="1" ht="15" hidden="1" customHeight="1" outlineLevel="1" x14ac:dyDescent="0.25">
      <c r="H437" s="76" t="s">
        <v>80</v>
      </c>
      <c r="K437" s="61"/>
      <c r="L437" s="61"/>
      <c r="M437" s="27"/>
      <c r="N437" s="73"/>
      <c r="O437" s="73"/>
      <c r="P437" s="21"/>
      <c r="Q437" s="23"/>
      <c r="R437" s="116"/>
      <c r="S437" s="27"/>
      <c r="T437" s="27"/>
      <c r="U437" s="27"/>
      <c r="V437" s="88"/>
      <c r="W437" s="27"/>
      <c r="X437"/>
      <c r="Y437"/>
      <c r="Z437"/>
      <c r="AA437"/>
      <c r="AB437"/>
      <c r="AC437"/>
      <c r="AD437"/>
      <c r="AE437"/>
      <c r="AF437"/>
      <c r="AG437"/>
      <c r="AH437"/>
      <c r="AI437"/>
      <c r="AJ437"/>
      <c r="AK437"/>
      <c r="AL437"/>
      <c r="AM437"/>
      <c r="AN437"/>
      <c r="AO437"/>
      <c r="AP437"/>
      <c r="AQ437"/>
      <c r="AR437"/>
    </row>
    <row r="438" spans="8:44" s="18" customFormat="1" ht="15" hidden="1" customHeight="1" outlineLevel="1" x14ac:dyDescent="0.25">
      <c r="H438" s="76" t="s">
        <v>81</v>
      </c>
      <c r="K438" s="61"/>
      <c r="L438" s="61"/>
      <c r="M438" s="27"/>
      <c r="N438" s="73"/>
      <c r="O438" s="73"/>
      <c r="P438" s="19"/>
      <c r="R438" s="116"/>
      <c r="S438" s="27"/>
      <c r="T438" s="27"/>
      <c r="U438" s="27"/>
      <c r="V438" s="88"/>
      <c r="W438" s="27"/>
      <c r="X438"/>
      <c r="Y438"/>
      <c r="Z438"/>
      <c r="AA438"/>
      <c r="AB438"/>
      <c r="AC438"/>
      <c r="AD438"/>
      <c r="AE438"/>
      <c r="AF438"/>
      <c r="AG438"/>
      <c r="AH438"/>
      <c r="AI438"/>
      <c r="AJ438"/>
      <c r="AK438"/>
      <c r="AL438"/>
      <c r="AM438"/>
      <c r="AN438"/>
      <c r="AO438"/>
      <c r="AP438"/>
      <c r="AQ438"/>
      <c r="AR438"/>
    </row>
    <row r="439" spans="8:44" s="18" customFormat="1" ht="15" hidden="1" customHeight="1" outlineLevel="1" x14ac:dyDescent="0.25">
      <c r="H439" s="76" t="s">
        <v>82</v>
      </c>
      <c r="K439" s="61"/>
      <c r="L439" s="61"/>
      <c r="M439" s="27"/>
      <c r="N439" s="73"/>
      <c r="O439" s="73"/>
      <c r="P439" s="197"/>
      <c r="Q439" s="197"/>
      <c r="R439" s="116"/>
      <c r="S439" s="27"/>
      <c r="T439" s="27"/>
      <c r="U439" s="27"/>
      <c r="V439" s="88"/>
      <c r="W439" s="27"/>
      <c r="X439"/>
      <c r="Y439"/>
      <c r="Z439"/>
      <c r="AA439"/>
      <c r="AB439"/>
      <c r="AC439"/>
      <c r="AD439"/>
      <c r="AE439"/>
      <c r="AF439"/>
      <c r="AG439"/>
      <c r="AH439"/>
      <c r="AI439"/>
      <c r="AJ439"/>
      <c r="AK439"/>
      <c r="AL439"/>
      <c r="AM439"/>
      <c r="AN439"/>
      <c r="AO439"/>
      <c r="AP439"/>
      <c r="AQ439"/>
      <c r="AR439"/>
    </row>
    <row r="440" spans="8:44" s="18" customFormat="1" ht="15" hidden="1" customHeight="1" outlineLevel="1" x14ac:dyDescent="0.25">
      <c r="H440" s="76" t="s">
        <v>83</v>
      </c>
      <c r="K440" s="61"/>
      <c r="L440" s="61"/>
      <c r="M440" s="27"/>
      <c r="N440" s="73"/>
      <c r="O440" s="73"/>
      <c r="P440" s="20"/>
      <c r="Q440" s="20"/>
      <c r="R440" s="116"/>
      <c r="S440" s="27"/>
      <c r="T440" s="27"/>
      <c r="U440" s="27"/>
      <c r="V440" s="88"/>
      <c r="W440" s="27"/>
      <c r="X440"/>
      <c r="Y440"/>
      <c r="Z440"/>
      <c r="AA440"/>
      <c r="AB440"/>
      <c r="AC440"/>
      <c r="AD440"/>
      <c r="AE440"/>
      <c r="AF440"/>
      <c r="AG440"/>
      <c r="AH440"/>
      <c r="AI440"/>
      <c r="AJ440"/>
      <c r="AK440"/>
      <c r="AL440"/>
      <c r="AM440"/>
      <c r="AN440"/>
      <c r="AO440"/>
      <c r="AP440"/>
      <c r="AQ440"/>
      <c r="AR440"/>
    </row>
    <row r="441" spans="8:44" s="18" customFormat="1" ht="15" hidden="1" customHeight="1" outlineLevel="1" x14ac:dyDescent="0.25">
      <c r="H441" s="111" t="s">
        <v>84</v>
      </c>
      <c r="K441" s="61"/>
      <c r="L441" s="61"/>
      <c r="M441" s="27"/>
      <c r="N441" s="73"/>
      <c r="O441" s="73"/>
      <c r="P441" s="21"/>
      <c r="Q441" s="22"/>
      <c r="R441" s="116"/>
      <c r="S441" s="27"/>
      <c r="T441" s="27"/>
      <c r="U441" s="27"/>
      <c r="V441" s="88"/>
      <c r="W441" s="27"/>
      <c r="X441"/>
      <c r="Y441"/>
      <c r="Z441"/>
      <c r="AA441"/>
      <c r="AB441"/>
      <c r="AC441"/>
      <c r="AD441"/>
      <c r="AE441"/>
      <c r="AF441"/>
      <c r="AG441"/>
      <c r="AH441"/>
      <c r="AI441"/>
      <c r="AJ441"/>
      <c r="AK441"/>
      <c r="AL441"/>
      <c r="AM441"/>
      <c r="AN441"/>
      <c r="AO441"/>
      <c r="AP441"/>
      <c r="AQ441"/>
      <c r="AR441"/>
    </row>
    <row r="442" spans="8:44" s="18" customFormat="1" ht="15" hidden="1" customHeight="1" outlineLevel="1" x14ac:dyDescent="0.25">
      <c r="H442" s="112" t="s">
        <v>85</v>
      </c>
      <c r="K442" s="61"/>
      <c r="L442" s="61"/>
      <c r="M442" s="27"/>
      <c r="N442" s="73"/>
      <c r="O442" s="73"/>
      <c r="P442" s="21"/>
      <c r="Q442" s="22"/>
      <c r="R442" s="116"/>
      <c r="S442" s="27"/>
      <c r="T442" s="27"/>
      <c r="U442" s="27"/>
      <c r="V442" s="88"/>
      <c r="W442" s="27"/>
      <c r="X442"/>
      <c r="Y442"/>
      <c r="Z442"/>
      <c r="AA442"/>
      <c r="AB442"/>
      <c r="AC442"/>
      <c r="AD442"/>
      <c r="AE442"/>
      <c r="AF442"/>
      <c r="AG442"/>
      <c r="AH442"/>
      <c r="AI442"/>
      <c r="AJ442"/>
      <c r="AK442"/>
      <c r="AL442"/>
      <c r="AM442"/>
      <c r="AN442"/>
      <c r="AO442"/>
      <c r="AP442"/>
      <c r="AQ442"/>
      <c r="AR442"/>
    </row>
    <row r="443" spans="8:44" s="18" customFormat="1" ht="15" hidden="1" customHeight="1" outlineLevel="1" x14ac:dyDescent="0.25">
      <c r="H443" s="111" t="s">
        <v>86</v>
      </c>
      <c r="K443" s="61"/>
      <c r="L443" s="61"/>
      <c r="M443" s="27"/>
      <c r="N443" s="73"/>
      <c r="O443" s="73"/>
      <c r="P443" s="21"/>
      <c r="Q443" s="22"/>
      <c r="R443" s="116"/>
      <c r="S443" s="27"/>
      <c r="T443" s="27"/>
      <c r="U443" s="27"/>
      <c r="V443" s="88"/>
      <c r="W443" s="27"/>
      <c r="X443"/>
      <c r="Y443"/>
      <c r="Z443"/>
      <c r="AA443"/>
      <c r="AB443"/>
      <c r="AC443"/>
      <c r="AD443"/>
      <c r="AE443"/>
      <c r="AF443"/>
      <c r="AG443"/>
      <c r="AH443"/>
      <c r="AI443"/>
      <c r="AJ443"/>
      <c r="AK443"/>
      <c r="AL443"/>
      <c r="AM443"/>
      <c r="AN443"/>
      <c r="AO443"/>
      <c r="AP443"/>
      <c r="AQ443"/>
      <c r="AR443"/>
    </row>
    <row r="444" spans="8:44" s="18" customFormat="1" ht="15" hidden="1" customHeight="1" outlineLevel="1" x14ac:dyDescent="0.25">
      <c r="H444" s="112" t="s">
        <v>87</v>
      </c>
      <c r="K444" s="61"/>
      <c r="L444" s="61"/>
      <c r="M444" s="27"/>
      <c r="N444" s="73"/>
      <c r="O444" s="73"/>
      <c r="P444" s="21"/>
      <c r="Q444" s="22"/>
      <c r="R444" s="116"/>
      <c r="S444" s="27"/>
      <c r="T444" s="27"/>
      <c r="U444" s="27"/>
      <c r="V444" s="88"/>
      <c r="W444" s="27"/>
      <c r="X444"/>
      <c r="Y444"/>
      <c r="Z444"/>
      <c r="AA444"/>
      <c r="AB444"/>
      <c r="AC444"/>
      <c r="AD444"/>
      <c r="AE444"/>
      <c r="AF444"/>
      <c r="AG444"/>
      <c r="AH444"/>
      <c r="AI444"/>
      <c r="AJ444"/>
      <c r="AK444"/>
      <c r="AL444"/>
      <c r="AM444"/>
      <c r="AN444"/>
      <c r="AO444"/>
      <c r="AP444"/>
      <c r="AQ444"/>
      <c r="AR444"/>
    </row>
    <row r="445" spans="8:44" s="18" customFormat="1" ht="15" hidden="1" customHeight="1" outlineLevel="1" x14ac:dyDescent="0.25">
      <c r="H445" s="111" t="s">
        <v>88</v>
      </c>
      <c r="K445" s="61"/>
      <c r="L445" s="61"/>
      <c r="M445" s="27"/>
      <c r="N445" s="27"/>
      <c r="O445" s="27"/>
      <c r="P445" s="21"/>
      <c r="Q445" s="22"/>
      <c r="R445" s="116"/>
      <c r="S445" s="27"/>
      <c r="T445" s="27"/>
      <c r="U445" s="27"/>
      <c r="V445" s="88"/>
      <c r="W445" s="27"/>
      <c r="X445"/>
      <c r="Y445"/>
      <c r="Z445"/>
      <c r="AA445"/>
      <c r="AB445"/>
      <c r="AC445"/>
      <c r="AD445"/>
      <c r="AE445"/>
      <c r="AF445"/>
      <c r="AG445"/>
      <c r="AH445"/>
      <c r="AI445"/>
      <c r="AJ445"/>
      <c r="AK445"/>
      <c r="AL445"/>
      <c r="AM445"/>
      <c r="AN445"/>
      <c r="AO445"/>
      <c r="AP445"/>
      <c r="AQ445"/>
      <c r="AR445"/>
    </row>
    <row r="446" spans="8:44" s="18" customFormat="1" ht="15" hidden="1" customHeight="1" outlineLevel="1" x14ac:dyDescent="0.25">
      <c r="H446" s="112" t="s">
        <v>89</v>
      </c>
      <c r="K446" s="61"/>
      <c r="L446" s="61"/>
      <c r="M446" s="27"/>
      <c r="N446" s="27"/>
      <c r="O446" s="27"/>
      <c r="P446" s="21"/>
      <c r="Q446" s="23"/>
      <c r="R446" s="116"/>
      <c r="S446" s="27"/>
      <c r="T446" s="27"/>
      <c r="U446" s="27"/>
      <c r="V446" s="88"/>
      <c r="W446" s="27"/>
      <c r="X446"/>
      <c r="Y446"/>
      <c r="Z446"/>
      <c r="AA446"/>
      <c r="AB446"/>
      <c r="AC446"/>
      <c r="AD446"/>
      <c r="AE446"/>
      <c r="AF446"/>
      <c r="AG446"/>
      <c r="AH446"/>
      <c r="AI446"/>
      <c r="AJ446"/>
      <c r="AK446"/>
      <c r="AL446"/>
      <c r="AM446"/>
      <c r="AN446"/>
      <c r="AO446"/>
      <c r="AP446"/>
      <c r="AQ446"/>
      <c r="AR446"/>
    </row>
    <row r="447" spans="8:44" s="18" customFormat="1" ht="15" hidden="1" customHeight="1" outlineLevel="1" x14ac:dyDescent="0.25">
      <c r="H447" s="111" t="s">
        <v>90</v>
      </c>
      <c r="K447" s="61"/>
      <c r="L447" s="61"/>
      <c r="M447" s="27"/>
      <c r="N447" s="27"/>
      <c r="O447" s="27"/>
      <c r="P447" s="19"/>
      <c r="Q447" s="19"/>
      <c r="R447" s="116"/>
      <c r="S447" s="27"/>
      <c r="T447" s="27"/>
      <c r="U447" s="27"/>
      <c r="V447" s="88"/>
      <c r="W447" s="27"/>
      <c r="X447"/>
      <c r="Y447"/>
      <c r="Z447"/>
      <c r="AA447"/>
      <c r="AB447"/>
      <c r="AC447"/>
      <c r="AD447"/>
      <c r="AE447"/>
      <c r="AF447"/>
      <c r="AG447"/>
      <c r="AH447"/>
      <c r="AI447"/>
      <c r="AJ447"/>
      <c r="AK447"/>
      <c r="AL447"/>
      <c r="AM447"/>
      <c r="AN447"/>
      <c r="AO447"/>
      <c r="AP447"/>
      <c r="AQ447"/>
      <c r="AR447"/>
    </row>
    <row r="448" spans="8:44" s="18" customFormat="1" ht="15" hidden="1" customHeight="1" outlineLevel="1" x14ac:dyDescent="0.25">
      <c r="H448" s="112" t="s">
        <v>91</v>
      </c>
      <c r="K448" s="61"/>
      <c r="L448" s="61"/>
      <c r="M448" s="27"/>
      <c r="N448" s="27"/>
      <c r="O448" s="27"/>
      <c r="P448" s="19"/>
      <c r="Q448" s="19"/>
      <c r="R448" s="116"/>
      <c r="S448" s="27"/>
      <c r="T448" s="27"/>
      <c r="U448" s="27"/>
      <c r="V448" s="88"/>
      <c r="W448" s="27"/>
      <c r="X448"/>
      <c r="Y448"/>
      <c r="Z448"/>
      <c r="AA448"/>
      <c r="AB448"/>
      <c r="AC448"/>
      <c r="AD448"/>
      <c r="AE448"/>
      <c r="AF448"/>
      <c r="AG448"/>
      <c r="AH448"/>
      <c r="AI448"/>
      <c r="AJ448"/>
      <c r="AK448"/>
      <c r="AL448"/>
      <c r="AM448"/>
      <c r="AN448"/>
      <c r="AO448"/>
      <c r="AP448"/>
      <c r="AQ448"/>
      <c r="AR448"/>
    </row>
    <row r="449" spans="8:44" s="18" customFormat="1" ht="15" hidden="1" customHeight="1" outlineLevel="1" x14ac:dyDescent="0.25">
      <c r="H449" s="111" t="s">
        <v>92</v>
      </c>
      <c r="K449" s="61"/>
      <c r="L449" s="61"/>
      <c r="M449" s="27"/>
      <c r="N449" s="27"/>
      <c r="O449" s="27"/>
      <c r="P449" s="19"/>
      <c r="Q449" s="19"/>
      <c r="R449" s="116"/>
      <c r="S449" s="27"/>
      <c r="T449" s="27"/>
      <c r="U449" s="27"/>
      <c r="V449" s="88"/>
      <c r="W449" s="27"/>
      <c r="X449"/>
      <c r="Y449"/>
      <c r="Z449"/>
      <c r="AA449"/>
      <c r="AB449"/>
      <c r="AC449"/>
      <c r="AD449"/>
      <c r="AE449"/>
      <c r="AF449"/>
      <c r="AG449"/>
      <c r="AH449"/>
      <c r="AI449"/>
      <c r="AJ449"/>
      <c r="AK449"/>
      <c r="AL449"/>
      <c r="AM449"/>
      <c r="AN449"/>
      <c r="AO449"/>
      <c r="AP449"/>
      <c r="AQ449"/>
      <c r="AR449"/>
    </row>
    <row r="450" spans="8:44" s="18" customFormat="1" ht="15" hidden="1" customHeight="1" outlineLevel="1" x14ac:dyDescent="0.25">
      <c r="H450" s="112" t="s">
        <v>93</v>
      </c>
      <c r="K450" s="61"/>
      <c r="L450" s="61"/>
      <c r="M450" s="27"/>
      <c r="N450" s="27"/>
      <c r="O450" s="27"/>
      <c r="P450" s="19"/>
      <c r="Q450" s="19"/>
      <c r="R450" s="116"/>
      <c r="S450" s="27"/>
      <c r="T450" s="27"/>
      <c r="U450" s="27"/>
      <c r="V450" s="88"/>
      <c r="W450" s="27"/>
      <c r="X450"/>
      <c r="Y450"/>
      <c r="Z450"/>
      <c r="AA450"/>
      <c r="AB450"/>
      <c r="AC450"/>
      <c r="AD450"/>
      <c r="AE450"/>
      <c r="AF450"/>
      <c r="AG450"/>
      <c r="AH450"/>
      <c r="AI450"/>
      <c r="AJ450"/>
      <c r="AK450"/>
      <c r="AL450"/>
      <c r="AM450"/>
      <c r="AN450"/>
      <c r="AO450"/>
      <c r="AP450"/>
      <c r="AQ450"/>
      <c r="AR450"/>
    </row>
    <row r="451" spans="8:44" s="18" customFormat="1" ht="15" hidden="1" customHeight="1" outlineLevel="1" x14ac:dyDescent="0.25">
      <c r="H451" s="111" t="s">
        <v>94</v>
      </c>
      <c r="K451" s="61"/>
      <c r="L451" s="61"/>
      <c r="M451" s="27"/>
      <c r="N451" s="27"/>
      <c r="O451" s="27"/>
      <c r="P451" s="19"/>
      <c r="Q451" s="19"/>
      <c r="R451" s="116"/>
      <c r="S451" s="27"/>
      <c r="T451" s="27"/>
      <c r="U451" s="27"/>
      <c r="V451" s="88"/>
      <c r="W451" s="27"/>
      <c r="X451"/>
      <c r="Y451"/>
      <c r="Z451"/>
      <c r="AA451"/>
      <c r="AB451"/>
      <c r="AC451"/>
      <c r="AD451"/>
      <c r="AE451"/>
      <c r="AF451"/>
      <c r="AG451"/>
      <c r="AH451"/>
      <c r="AI451"/>
      <c r="AJ451"/>
      <c r="AK451"/>
      <c r="AL451"/>
      <c r="AM451"/>
      <c r="AN451"/>
      <c r="AO451"/>
      <c r="AP451"/>
      <c r="AQ451"/>
      <c r="AR451"/>
    </row>
    <row r="452" spans="8:44" s="18" customFormat="1" ht="15" hidden="1" customHeight="1" outlineLevel="1" x14ac:dyDescent="0.25">
      <c r="H452" s="112" t="s">
        <v>95</v>
      </c>
      <c r="K452" s="61"/>
      <c r="L452" s="61"/>
      <c r="M452" s="27"/>
      <c r="N452" s="27"/>
      <c r="O452" s="27"/>
      <c r="P452" s="19"/>
      <c r="Q452" s="19"/>
      <c r="R452" s="116"/>
      <c r="S452" s="27"/>
      <c r="T452" s="27"/>
      <c r="U452" s="27"/>
      <c r="V452" s="88"/>
      <c r="W452" s="27"/>
      <c r="X452"/>
      <c r="Y452"/>
      <c r="Z452"/>
      <c r="AA452"/>
      <c r="AB452"/>
      <c r="AC452"/>
      <c r="AD452"/>
      <c r="AE452"/>
      <c r="AF452"/>
      <c r="AG452"/>
      <c r="AH452"/>
      <c r="AI452"/>
      <c r="AJ452"/>
      <c r="AK452"/>
      <c r="AL452"/>
      <c r="AM452"/>
      <c r="AN452"/>
      <c r="AO452"/>
      <c r="AP452"/>
      <c r="AQ452"/>
      <c r="AR452"/>
    </row>
    <row r="453" spans="8:44" collapsed="1" x14ac:dyDescent="0.25"/>
  </sheetData>
  <autoFilter ref="B6:AR413" xr:uid="{00000000-0009-0000-0000-000001000000}">
    <filterColumn colId="7">
      <filters>
        <filter val="Tény"/>
      </filters>
    </filterColumn>
  </autoFilter>
  <sortState xmlns:xlrd2="http://schemas.microsoft.com/office/spreadsheetml/2017/richdata2" ref="B26:BA434">
    <sortCondition ref="B26:B434"/>
    <sortCondition ref="H26:H434"/>
  </sortState>
  <dataConsolidate/>
  <customSheetViews>
    <customSheetView guid="{B3053EE5-F487-4331-B4B6-28A1F2EF1617}" filter="1" showAutoFilter="1" hiddenRows="1" hiddenColumns="1">
      <pane ySplit="4" topLeftCell="A5" activePane="bottomLeft" state="frozen"/>
      <selection pane="bottomLeft" activeCell="H77" sqref="H77"/>
      <pageMargins left="0.70866141732283472" right="0.70866141732283472" top="0.35433070866141736" bottom="0.74803149606299213" header="0.31496062992125984" footer="0.31496062992125984"/>
      <pageSetup paperSize="9" scale="53" orientation="portrait" r:id="rId1"/>
      <autoFilter ref="A4:AV400" xr:uid="{18C99A15-FB01-4B46-9E64-60BC60683E4E}">
        <filterColumn colId="6">
          <filters>
            <filter val="2019.06"/>
            <filter val="2019.07"/>
            <filter val="2019.08"/>
            <filter val="2019.09"/>
            <filter val="2019.10"/>
          </filters>
        </filterColumn>
        <filterColumn colId="8">
          <filters>
            <filter val="Bér"/>
          </filters>
        </filterColumn>
        <filterColumn colId="19">
          <filters>
            <filter val="i"/>
          </filters>
        </filterColumn>
        <filterColumn colId="22">
          <filters blank="1"/>
        </filterColumn>
      </autoFilter>
    </customSheetView>
  </customSheetViews>
  <mergeCells count="3">
    <mergeCell ref="B2:H2"/>
    <mergeCell ref="P439:Q439"/>
    <mergeCell ref="B3:H3"/>
  </mergeCells>
  <phoneticPr fontId="50" type="noConversion"/>
  <dataValidations count="9">
    <dataValidation type="list" allowBlank="1" showInputMessage="1" showErrorMessage="1" sqref="T413:W413" xr:uid="{00000000-0002-0000-0100-000000000000}">
      <formula1>$U$417:$U$418</formula1>
    </dataValidation>
    <dataValidation type="list" allowBlank="1" showInputMessage="1" showErrorMessage="1" sqref="B65650:E65657 B65659:E65659 B65641:E65648" xr:uid="{00000000-0002-0000-0100-000001000000}">
      <formula1>#REF!</formula1>
    </dataValidation>
    <dataValidation type="list" allowBlank="1" showInputMessage="1" showErrorMessage="1" sqref="H408:H413 H402:H406 H397:H399 H317:H319 H248:H250 H111:H112 H377 H79:H80 H338:H339 H380 H304:H309 H246 H315 H311:H312 H242:H243 H395 H391:H392 H132:H133 H355:H356 H373:H374 H277:H278 H282 H270:H275 H284 H253:H267 H288:H301 H322:H328 H331:H336" xr:uid="{00000000-0002-0000-0100-000002000000}">
      <formula1>$H$417:$H$452</formula1>
    </dataValidation>
    <dataValidation errorStyle="warning" allowBlank="1" showInputMessage="1" showErrorMessage="1" sqref="H244:H245 H78 H247 H313:H314 H310 H316 H393:H394 H337 H396 H276 H81:H82 H235:H241 H366:H372 H184:H199 H375:H376 H349:H354 H113:H119 H84:H85 H378:H379 H98 H131 H90:H96 H127 H87 H134:H140 H143:H151 H154:H168 H171:H181 H208:H216 H219:H232 H340:H346 H357:H363 H381 H384:H390" xr:uid="{00000000-0002-0000-0100-000004000000}"/>
    <dataValidation type="list" allowBlank="1" showInputMessage="1" showErrorMessage="1" sqref="F408:G413" xr:uid="{00000000-0002-0000-0100-000005000000}">
      <formula1>$F$417:$F$421</formula1>
    </dataValidation>
    <dataValidation type="list" allowBlank="1" showInputMessage="1" showErrorMessage="1" sqref="J402:J413" xr:uid="{00000000-0002-0000-0100-000008000000}">
      <formula1>$J$417:$J$419</formula1>
    </dataValidation>
    <dataValidation type="list" allowBlank="1" showInputMessage="1" showErrorMessage="1" sqref="C242:C413" xr:uid="{00000000-0002-0000-0100-000007000000}">
      <formula1>$C$417:$C$419</formula1>
    </dataValidation>
    <dataValidation type="list" errorStyle="warning" allowBlank="1" showInputMessage="1" showErrorMessage="1" sqref="F7:G407" xr:uid="{00000000-0002-0000-0100-000003000000}">
      <formula1>$F$417:$F$421</formula1>
    </dataValidation>
    <dataValidation type="list" allowBlank="1" showInputMessage="1" showErrorMessage="1" sqref="I7:I413" xr:uid="{00000000-0002-0000-0100-000006000000}">
      <formula1>$I$417:$I$418</formula1>
    </dataValidation>
  </dataValidations>
  <pageMargins left="0.70866141732283472" right="0.70866141732283472" top="0.35433070866141736" bottom="0.74803149606299213" header="0.31496062992125984" footer="0.31496062992125984"/>
  <pageSetup paperSize="9" scale="53" orientation="portrait"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Munka4">
    <pageSetUpPr fitToPage="1"/>
  </sheetPr>
  <dimension ref="A1:M62"/>
  <sheetViews>
    <sheetView topLeftCell="A40" zoomScale="80" zoomScaleNormal="80" workbookViewId="0">
      <selection activeCell="E42" sqref="E42"/>
    </sheetView>
  </sheetViews>
  <sheetFormatPr defaultColWidth="9.140625" defaultRowHeight="15" outlineLevelRow="1" x14ac:dyDescent="0.25"/>
  <cols>
    <col min="1" max="1" width="11.85546875" customWidth="1"/>
    <col min="2" max="2" width="17.7109375" customWidth="1"/>
    <col min="3" max="3" width="22" customWidth="1"/>
    <col min="4" max="4" width="20.85546875" customWidth="1"/>
    <col min="5" max="5" width="32.42578125" customWidth="1"/>
    <col min="6" max="6" width="31.28515625" style="28" customWidth="1"/>
    <col min="7" max="7" width="17.140625" style="16" customWidth="1"/>
    <col min="8" max="10" width="17.140625" style="30" customWidth="1"/>
    <col min="11" max="11" width="15" customWidth="1"/>
    <col min="12" max="12" width="14" style="28" customWidth="1"/>
    <col min="13" max="14" width="36" customWidth="1"/>
  </cols>
  <sheetData>
    <row r="1" spans="2:12" s="18" customFormat="1" hidden="1" outlineLevel="1" x14ac:dyDescent="0.25">
      <c r="B1" s="108"/>
      <c r="F1" s="27"/>
      <c r="G1" s="24"/>
      <c r="H1" s="29" t="s">
        <v>11</v>
      </c>
      <c r="I1" s="29"/>
      <c r="J1" s="29"/>
      <c r="L1" s="18" t="s">
        <v>68</v>
      </c>
    </row>
    <row r="2" spans="2:12" s="18" customFormat="1" hidden="1" outlineLevel="1" x14ac:dyDescent="0.25">
      <c r="B2" s="108"/>
      <c r="F2" s="27"/>
      <c r="G2" s="24"/>
      <c r="H2" s="29" t="s">
        <v>12</v>
      </c>
      <c r="I2" s="29"/>
      <c r="J2" s="29"/>
      <c r="L2" s="18" t="s">
        <v>69</v>
      </c>
    </row>
    <row r="3" spans="2:12" s="18" customFormat="1" hidden="1" outlineLevel="1" x14ac:dyDescent="0.25">
      <c r="B3" s="108"/>
      <c r="F3" s="27"/>
      <c r="G3" s="24"/>
      <c r="H3" s="29"/>
      <c r="I3" s="29"/>
      <c r="J3" s="29"/>
      <c r="L3" s="18" t="s">
        <v>70</v>
      </c>
    </row>
    <row r="4" spans="2:12" s="18" customFormat="1" hidden="1" outlineLevel="1" x14ac:dyDescent="0.25">
      <c r="B4" s="108"/>
      <c r="F4" s="27"/>
      <c r="G4" s="24"/>
      <c r="H4" s="29"/>
      <c r="I4" s="29"/>
      <c r="J4" s="29"/>
    </row>
    <row r="5" spans="2:12" s="18" customFormat="1" hidden="1" outlineLevel="1" x14ac:dyDescent="0.25">
      <c r="B5" s="108"/>
      <c r="F5" s="27"/>
      <c r="G5" s="24"/>
      <c r="H5" s="29"/>
      <c r="I5" s="29"/>
      <c r="J5" s="29"/>
    </row>
    <row r="6" spans="2:12" s="18" customFormat="1" hidden="1" outlineLevel="1" x14ac:dyDescent="0.25">
      <c r="F6" s="27"/>
      <c r="G6" s="24"/>
      <c r="H6" s="29"/>
      <c r="I6" s="29"/>
      <c r="J6" s="29"/>
    </row>
    <row r="7" spans="2:12" s="18" customFormat="1" hidden="1" outlineLevel="1" x14ac:dyDescent="0.25">
      <c r="F7" s="27"/>
      <c r="G7" s="24"/>
      <c r="H7" s="29"/>
      <c r="I7" s="29"/>
      <c r="J7" s="29"/>
    </row>
    <row r="8" spans="2:12" s="18" customFormat="1" hidden="1" outlineLevel="1" x14ac:dyDescent="0.25">
      <c r="F8" s="27"/>
      <c r="G8" s="24"/>
      <c r="H8" s="29"/>
      <c r="I8" s="29"/>
      <c r="J8" s="29"/>
    </row>
    <row r="9" spans="2:12" s="18" customFormat="1" hidden="1" outlineLevel="1" x14ac:dyDescent="0.25">
      <c r="F9" s="27"/>
      <c r="G9" s="24"/>
      <c r="H9" s="29"/>
      <c r="I9" s="29"/>
      <c r="J9" s="29"/>
    </row>
    <row r="10" spans="2:12" s="18" customFormat="1" hidden="1" outlineLevel="1" x14ac:dyDescent="0.25">
      <c r="F10" s="27"/>
      <c r="G10" s="24"/>
      <c r="H10" s="29"/>
      <c r="I10" s="29"/>
      <c r="J10" s="29"/>
    </row>
    <row r="11" spans="2:12" s="18" customFormat="1" hidden="1" outlineLevel="1" x14ac:dyDescent="0.25">
      <c r="F11" s="27"/>
      <c r="G11" s="24"/>
      <c r="H11" s="29"/>
      <c r="I11" s="29"/>
      <c r="J11" s="29"/>
    </row>
    <row r="12" spans="2:12" s="18" customFormat="1" hidden="1" outlineLevel="1" x14ac:dyDescent="0.25">
      <c r="F12" s="27"/>
      <c r="G12" s="24"/>
      <c r="H12" s="29"/>
      <c r="I12" s="29"/>
      <c r="J12" s="29"/>
    </row>
    <row r="13" spans="2:12" s="18" customFormat="1" hidden="1" outlineLevel="1" x14ac:dyDescent="0.25">
      <c r="F13" s="27"/>
      <c r="G13" s="24"/>
      <c r="H13" s="29"/>
      <c r="I13" s="29"/>
      <c r="J13" s="29"/>
    </row>
    <row r="14" spans="2:12" s="18" customFormat="1" hidden="1" outlineLevel="1" x14ac:dyDescent="0.25">
      <c r="F14" s="27"/>
      <c r="G14" s="24"/>
      <c r="H14" s="29"/>
      <c r="I14" s="29"/>
      <c r="J14" s="29"/>
    </row>
    <row r="15" spans="2:12" s="18" customFormat="1" hidden="1" outlineLevel="1" x14ac:dyDescent="0.25">
      <c r="F15" s="27"/>
      <c r="G15" s="24"/>
      <c r="H15" s="29"/>
      <c r="I15" s="29"/>
      <c r="J15" s="29"/>
    </row>
    <row r="16" spans="2:12" s="18" customFormat="1" hidden="1" outlineLevel="1" x14ac:dyDescent="0.25">
      <c r="F16" s="27"/>
      <c r="G16" s="24"/>
      <c r="H16" s="29"/>
      <c r="I16" s="29"/>
      <c r="J16" s="29"/>
    </row>
    <row r="17" spans="6:10" s="18" customFormat="1" hidden="1" outlineLevel="1" x14ac:dyDescent="0.25">
      <c r="F17" s="27"/>
      <c r="G17" s="24"/>
      <c r="H17" s="29"/>
      <c r="I17" s="29"/>
      <c r="J17" s="29"/>
    </row>
    <row r="18" spans="6:10" s="18" customFormat="1" hidden="1" outlineLevel="1" x14ac:dyDescent="0.25">
      <c r="F18" s="27"/>
      <c r="G18" s="24"/>
      <c r="H18" s="29"/>
      <c r="I18" s="29"/>
      <c r="J18" s="29"/>
    </row>
    <row r="19" spans="6:10" s="18" customFormat="1" hidden="1" outlineLevel="1" x14ac:dyDescent="0.25">
      <c r="F19" s="27"/>
      <c r="G19" s="24"/>
      <c r="H19" s="29"/>
      <c r="I19" s="29"/>
      <c r="J19" s="29"/>
    </row>
    <row r="20" spans="6:10" s="18" customFormat="1" hidden="1" outlineLevel="1" x14ac:dyDescent="0.25">
      <c r="F20" s="27"/>
      <c r="G20" s="24"/>
      <c r="H20" s="29"/>
      <c r="I20" s="29"/>
      <c r="J20" s="29"/>
    </row>
    <row r="21" spans="6:10" s="18" customFormat="1" hidden="1" outlineLevel="1" x14ac:dyDescent="0.25">
      <c r="F21" s="27"/>
      <c r="G21" s="24"/>
      <c r="H21" s="29"/>
      <c r="I21" s="29"/>
      <c r="J21" s="29"/>
    </row>
    <row r="22" spans="6:10" s="18" customFormat="1" hidden="1" outlineLevel="1" x14ac:dyDescent="0.25">
      <c r="F22" s="27"/>
      <c r="G22" s="24"/>
      <c r="H22" s="29"/>
      <c r="I22" s="29"/>
      <c r="J22" s="29"/>
    </row>
    <row r="23" spans="6:10" s="18" customFormat="1" hidden="1" outlineLevel="1" x14ac:dyDescent="0.25">
      <c r="F23" s="27"/>
      <c r="G23" s="24"/>
      <c r="H23" s="29"/>
      <c r="I23" s="29"/>
      <c r="J23" s="29"/>
    </row>
    <row r="24" spans="6:10" s="18" customFormat="1" hidden="1" outlineLevel="1" x14ac:dyDescent="0.25">
      <c r="F24" s="27"/>
      <c r="G24" s="24"/>
      <c r="H24" s="29"/>
      <c r="I24" s="29"/>
      <c r="J24" s="29"/>
    </row>
    <row r="25" spans="6:10" s="18" customFormat="1" hidden="1" outlineLevel="1" x14ac:dyDescent="0.25">
      <c r="F25" s="27"/>
      <c r="G25" s="24"/>
      <c r="H25" s="29"/>
      <c r="I25" s="29"/>
      <c r="J25" s="29"/>
    </row>
    <row r="26" spans="6:10" s="18" customFormat="1" hidden="1" outlineLevel="1" x14ac:dyDescent="0.25">
      <c r="F26" s="27"/>
      <c r="G26" s="24"/>
      <c r="H26" s="29"/>
      <c r="I26" s="29"/>
      <c r="J26" s="29"/>
    </row>
    <row r="27" spans="6:10" s="18" customFormat="1" hidden="1" outlineLevel="1" x14ac:dyDescent="0.25">
      <c r="F27" s="27"/>
      <c r="G27" s="24"/>
      <c r="H27" s="29"/>
      <c r="I27" s="29"/>
      <c r="J27" s="29"/>
    </row>
    <row r="28" spans="6:10" s="18" customFormat="1" hidden="1" outlineLevel="1" x14ac:dyDescent="0.25">
      <c r="F28" s="27"/>
      <c r="G28" s="24"/>
      <c r="H28" s="29"/>
      <c r="I28" s="29"/>
      <c r="J28" s="29"/>
    </row>
    <row r="29" spans="6:10" s="18" customFormat="1" hidden="1" outlineLevel="1" x14ac:dyDescent="0.25">
      <c r="F29" s="27"/>
      <c r="G29" s="24"/>
      <c r="H29" s="29"/>
      <c r="I29" s="29"/>
      <c r="J29" s="29"/>
    </row>
    <row r="30" spans="6:10" s="18" customFormat="1" hidden="1" outlineLevel="1" x14ac:dyDescent="0.25">
      <c r="F30" s="27"/>
      <c r="G30" s="24"/>
      <c r="H30" s="29"/>
      <c r="I30" s="29"/>
      <c r="J30" s="29"/>
    </row>
    <row r="31" spans="6:10" s="18" customFormat="1" hidden="1" outlineLevel="1" x14ac:dyDescent="0.25">
      <c r="F31" s="27"/>
      <c r="G31" s="24"/>
      <c r="H31" s="29"/>
      <c r="I31" s="29"/>
      <c r="J31" s="29"/>
    </row>
    <row r="32" spans="6:10" s="18" customFormat="1" hidden="1" outlineLevel="1" x14ac:dyDescent="0.25">
      <c r="F32" s="27"/>
      <c r="G32" s="24"/>
      <c r="H32" s="29"/>
      <c r="I32" s="29"/>
      <c r="J32" s="29"/>
    </row>
    <row r="33" spans="1:13" s="18" customFormat="1" hidden="1" outlineLevel="1" x14ac:dyDescent="0.25">
      <c r="F33" s="27"/>
      <c r="G33" s="24"/>
      <c r="H33" s="29"/>
      <c r="I33" s="29"/>
      <c r="J33" s="29"/>
    </row>
    <row r="34" spans="1:13" s="18" customFormat="1" hidden="1" outlineLevel="1" x14ac:dyDescent="0.25">
      <c r="F34" s="27"/>
      <c r="G34" s="24"/>
      <c r="H34" s="29"/>
      <c r="I34" s="29"/>
      <c r="J34" s="29"/>
    </row>
    <row r="35" spans="1:13" s="18" customFormat="1" hidden="1" outlineLevel="1" x14ac:dyDescent="0.25">
      <c r="F35" s="27"/>
      <c r="G35" s="24"/>
      <c r="H35" s="29"/>
      <c r="I35" s="29"/>
      <c r="J35" s="29"/>
    </row>
    <row r="36" spans="1:13" s="18" customFormat="1" hidden="1" outlineLevel="1" x14ac:dyDescent="0.25">
      <c r="F36" s="27"/>
      <c r="G36" s="24"/>
      <c r="H36" s="29"/>
      <c r="I36" s="29"/>
      <c r="J36" s="29"/>
    </row>
    <row r="37" spans="1:13" s="18" customFormat="1" hidden="1" outlineLevel="1" x14ac:dyDescent="0.25">
      <c r="F37" s="27"/>
      <c r="G37" s="24"/>
      <c r="H37" s="29"/>
      <c r="I37" s="29"/>
      <c r="J37" s="29"/>
      <c r="L37" s="27"/>
    </row>
    <row r="38" spans="1:13" s="18" customFormat="1" hidden="1" outlineLevel="1" x14ac:dyDescent="0.25">
      <c r="F38" s="27"/>
      <c r="G38" s="24"/>
      <c r="H38" s="29"/>
      <c r="I38" s="29"/>
      <c r="J38" s="29"/>
      <c r="L38" s="27"/>
    </row>
    <row r="39" spans="1:13" s="18" customFormat="1" hidden="1" outlineLevel="1" x14ac:dyDescent="0.25">
      <c r="F39" s="27"/>
      <c r="G39" s="24"/>
      <c r="H39" s="29"/>
      <c r="I39" s="29"/>
      <c r="J39" s="29"/>
      <c r="L39" s="27"/>
    </row>
    <row r="40" spans="1:13" collapsed="1" x14ac:dyDescent="0.25">
      <c r="H40" s="109"/>
      <c r="I40" s="109"/>
      <c r="J40" s="109"/>
      <c r="K40" s="110"/>
    </row>
    <row r="41" spans="1:13" s="25" customFormat="1" ht="30" x14ac:dyDescent="0.25">
      <c r="A41" s="26" t="s">
        <v>17</v>
      </c>
      <c r="B41" s="26" t="s">
        <v>25</v>
      </c>
      <c r="C41" s="100" t="s">
        <v>28</v>
      </c>
      <c r="D41" s="100" t="s">
        <v>6</v>
      </c>
      <c r="E41" s="100" t="s">
        <v>7</v>
      </c>
      <c r="F41" s="101" t="s">
        <v>56</v>
      </c>
      <c r="G41" s="102" t="s">
        <v>5</v>
      </c>
      <c r="H41" s="100" t="s">
        <v>16</v>
      </c>
      <c r="I41" s="100" t="s">
        <v>115</v>
      </c>
      <c r="J41" s="100" t="s">
        <v>116</v>
      </c>
      <c r="K41" s="101" t="s">
        <v>96</v>
      </c>
      <c r="L41" s="100" t="s">
        <v>8</v>
      </c>
      <c r="M41" s="103" t="s">
        <v>15</v>
      </c>
    </row>
    <row r="42" spans="1:13" s="36" customFormat="1" ht="30" x14ac:dyDescent="0.25">
      <c r="A42" s="32"/>
      <c r="B42" s="31" t="s">
        <v>158</v>
      </c>
      <c r="C42" s="34" t="s">
        <v>246</v>
      </c>
      <c r="D42" s="33" t="s">
        <v>242</v>
      </c>
      <c r="E42" s="33" t="s">
        <v>241</v>
      </c>
      <c r="F42" s="31" t="s">
        <v>247</v>
      </c>
      <c r="G42" s="35">
        <v>1822754</v>
      </c>
      <c r="H42" s="31" t="s">
        <v>11</v>
      </c>
      <c r="I42" s="53">
        <v>44875</v>
      </c>
      <c r="J42" s="53">
        <v>44874</v>
      </c>
      <c r="K42" s="53">
        <v>44902</v>
      </c>
      <c r="L42" s="31" t="s">
        <v>177</v>
      </c>
      <c r="M42" s="37" t="s">
        <v>243</v>
      </c>
    </row>
    <row r="43" spans="1:13" s="36" customFormat="1" x14ac:dyDescent="0.25">
      <c r="A43" s="32"/>
      <c r="B43" s="31"/>
      <c r="C43" s="34"/>
      <c r="D43" s="33"/>
      <c r="E43" s="33"/>
      <c r="F43" s="31"/>
      <c r="G43" s="35"/>
      <c r="H43" s="31"/>
      <c r="I43" s="53"/>
      <c r="J43" s="53"/>
      <c r="K43" s="53"/>
      <c r="L43" s="31"/>
      <c r="M43" s="37"/>
    </row>
    <row r="44" spans="1:13" s="36" customFormat="1" x14ac:dyDescent="0.25">
      <c r="A44" s="32"/>
      <c r="B44" s="31"/>
      <c r="C44" s="34"/>
      <c r="D44" s="33"/>
      <c r="E44" s="33"/>
      <c r="F44" s="31"/>
      <c r="G44" s="35"/>
      <c r="H44" s="31"/>
      <c r="I44" s="53"/>
      <c r="J44" s="53"/>
      <c r="K44" s="53"/>
      <c r="L44" s="31"/>
      <c r="M44" s="37"/>
    </row>
    <row r="45" spans="1:13" s="36" customFormat="1" x14ac:dyDescent="0.25">
      <c r="A45" s="32"/>
      <c r="B45" s="31"/>
      <c r="C45" s="34"/>
      <c r="D45" s="33"/>
      <c r="E45" s="33"/>
      <c r="F45" s="31"/>
      <c r="G45" s="35"/>
      <c r="H45" s="31"/>
      <c r="I45" s="53"/>
      <c r="J45" s="53"/>
      <c r="K45" s="53"/>
      <c r="L45" s="31"/>
      <c r="M45" s="37"/>
    </row>
    <row r="46" spans="1:13" s="36" customFormat="1" x14ac:dyDescent="0.25">
      <c r="A46" s="32"/>
      <c r="B46" s="31"/>
      <c r="C46" s="34"/>
      <c r="D46" s="33"/>
      <c r="E46" s="33"/>
      <c r="F46" s="31"/>
      <c r="G46" s="35"/>
      <c r="H46" s="31"/>
      <c r="I46" s="53"/>
      <c r="J46" s="53"/>
      <c r="K46" s="53"/>
      <c r="L46" s="31"/>
      <c r="M46" s="37"/>
    </row>
    <row r="47" spans="1:13" s="36" customFormat="1" x14ac:dyDescent="0.25">
      <c r="A47" s="32"/>
      <c r="B47" s="31"/>
      <c r="C47" s="34"/>
      <c r="D47" s="33"/>
      <c r="E47" s="33"/>
      <c r="F47" s="31"/>
      <c r="G47" s="35"/>
      <c r="H47" s="31"/>
      <c r="I47" s="53"/>
      <c r="J47" s="53"/>
      <c r="K47" s="53"/>
      <c r="L47" s="31"/>
      <c r="M47" s="37"/>
    </row>
    <row r="48" spans="1:13" s="36" customFormat="1" x14ac:dyDescent="0.25">
      <c r="A48" s="32"/>
      <c r="B48" s="31"/>
      <c r="C48" s="34"/>
      <c r="D48" s="33"/>
      <c r="E48" s="33"/>
      <c r="F48" s="31"/>
      <c r="G48" s="35"/>
      <c r="H48" s="31"/>
      <c r="I48" s="53"/>
      <c r="J48" s="53"/>
      <c r="K48" s="53"/>
      <c r="L48" s="31"/>
      <c r="M48" s="37"/>
    </row>
    <row r="49" spans="1:13" s="36" customFormat="1" x14ac:dyDescent="0.25">
      <c r="A49" s="32"/>
      <c r="B49" s="31"/>
      <c r="C49" s="34"/>
      <c r="D49" s="33"/>
      <c r="E49" s="33"/>
      <c r="F49" s="31"/>
      <c r="G49" s="35"/>
      <c r="H49" s="31"/>
      <c r="I49" s="53"/>
      <c r="J49" s="53"/>
      <c r="K49" s="53"/>
      <c r="L49" s="31"/>
      <c r="M49" s="37"/>
    </row>
    <row r="50" spans="1:13" s="36" customFormat="1" x14ac:dyDescent="0.25">
      <c r="A50" s="32"/>
      <c r="B50" s="31"/>
      <c r="C50" s="34"/>
      <c r="D50" s="33"/>
      <c r="E50" s="33"/>
      <c r="F50" s="31"/>
      <c r="G50" s="35"/>
      <c r="H50" s="31"/>
      <c r="I50" s="53"/>
      <c r="J50" s="53"/>
      <c r="K50" s="53"/>
      <c r="L50" s="31"/>
      <c r="M50" s="37"/>
    </row>
    <row r="51" spans="1:13" s="36" customFormat="1" x14ac:dyDescent="0.25">
      <c r="A51" s="32"/>
      <c r="B51" s="31"/>
      <c r="C51" s="34"/>
      <c r="D51" s="33"/>
      <c r="E51" s="33"/>
      <c r="F51" s="31"/>
      <c r="G51" s="35"/>
      <c r="H51" s="31"/>
      <c r="I51" s="53"/>
      <c r="J51" s="53"/>
      <c r="K51" s="53"/>
      <c r="L51" s="31"/>
      <c r="M51" s="37"/>
    </row>
    <row r="52" spans="1:13" s="36" customFormat="1" x14ac:dyDescent="0.25">
      <c r="A52" s="32"/>
      <c r="B52" s="31"/>
      <c r="C52" s="34"/>
      <c r="D52" s="33"/>
      <c r="E52" s="33"/>
      <c r="F52" s="31"/>
      <c r="G52" s="35"/>
      <c r="H52" s="31"/>
      <c r="I52" s="53"/>
      <c r="J52" s="53"/>
      <c r="K52" s="53"/>
      <c r="L52" s="31"/>
      <c r="M52" s="37"/>
    </row>
    <row r="53" spans="1:13" s="36" customFormat="1" ht="58.5" customHeight="1" x14ac:dyDescent="0.25">
      <c r="A53" s="32"/>
      <c r="B53" s="31"/>
      <c r="C53" s="34"/>
      <c r="D53" s="33"/>
      <c r="E53" s="33"/>
      <c r="F53" s="31"/>
      <c r="G53" s="35"/>
      <c r="H53" s="31"/>
      <c r="I53" s="53"/>
      <c r="J53" s="53"/>
      <c r="K53" s="31"/>
      <c r="L53" s="31"/>
      <c r="M53" s="37"/>
    </row>
    <row r="54" spans="1:13" s="36" customFormat="1" ht="58.5" customHeight="1" x14ac:dyDescent="0.25">
      <c r="A54" s="32"/>
      <c r="B54" s="31"/>
      <c r="C54" s="34"/>
      <c r="D54" s="33"/>
      <c r="E54" s="33"/>
      <c r="F54" s="31"/>
      <c r="G54" s="35"/>
      <c r="H54" s="31"/>
      <c r="I54" s="53"/>
      <c r="J54" s="53"/>
      <c r="K54" s="31"/>
      <c r="L54" s="31"/>
      <c r="M54" s="37"/>
    </row>
    <row r="55" spans="1:13" s="36" customFormat="1" ht="58.5" customHeight="1" x14ac:dyDescent="0.25">
      <c r="A55" s="32"/>
      <c r="B55" s="31"/>
      <c r="C55" s="34"/>
      <c r="D55" s="33"/>
      <c r="E55" s="33"/>
      <c r="F55" s="31"/>
      <c r="G55" s="35"/>
      <c r="H55" s="31"/>
      <c r="I55" s="53"/>
      <c r="J55" s="53"/>
      <c r="K55" s="31"/>
      <c r="L55" s="31"/>
      <c r="M55" s="37"/>
    </row>
    <row r="56" spans="1:13" s="36" customFormat="1" ht="58.5" customHeight="1" x14ac:dyDescent="0.25">
      <c r="A56" s="32"/>
      <c r="B56" s="31"/>
      <c r="C56" s="34"/>
      <c r="D56" s="33"/>
      <c r="E56" s="33"/>
      <c r="F56" s="31"/>
      <c r="G56" s="35"/>
      <c r="H56" s="31"/>
      <c r="I56" s="53"/>
      <c r="J56" s="53"/>
      <c r="K56" s="31"/>
      <c r="L56" s="31"/>
      <c r="M56" s="37"/>
    </row>
    <row r="57" spans="1:13" s="36" customFormat="1" ht="58.5" customHeight="1" x14ac:dyDescent="0.25">
      <c r="A57" s="32"/>
      <c r="B57" s="31"/>
      <c r="C57" s="34"/>
      <c r="D57" s="33"/>
      <c r="E57" s="33"/>
      <c r="F57" s="31"/>
      <c r="G57" s="35"/>
      <c r="H57" s="31"/>
      <c r="I57" s="53"/>
      <c r="J57" s="53"/>
      <c r="K57" s="31"/>
      <c r="L57" s="31"/>
      <c r="M57" s="37"/>
    </row>
    <row r="58" spans="1:13" s="36" customFormat="1" ht="58.5" customHeight="1" x14ac:dyDescent="0.25">
      <c r="A58" s="32"/>
      <c r="B58" s="31"/>
      <c r="C58" s="34"/>
      <c r="D58" s="33"/>
      <c r="E58" s="33"/>
      <c r="F58" s="31"/>
      <c r="G58" s="35"/>
      <c r="H58" s="31"/>
      <c r="I58" s="53"/>
      <c r="J58" s="53"/>
      <c r="K58" s="31"/>
      <c r="L58" s="31"/>
      <c r="M58" s="37"/>
    </row>
    <row r="59" spans="1:13" s="36" customFormat="1" x14ac:dyDescent="0.25">
      <c r="A59" s="32"/>
      <c r="B59" s="31"/>
      <c r="C59" s="34"/>
      <c r="D59" s="33"/>
      <c r="E59" s="33"/>
      <c r="F59" s="31"/>
      <c r="G59" s="35"/>
      <c r="H59" s="31"/>
      <c r="I59" s="31"/>
      <c r="J59" s="31"/>
      <c r="K59" s="31"/>
      <c r="L59" s="31"/>
      <c r="M59" s="37"/>
    </row>
    <row r="60" spans="1:13" s="36" customFormat="1" x14ac:dyDescent="0.25">
      <c r="A60" s="47"/>
      <c r="B60" s="31"/>
      <c r="C60" s="49"/>
      <c r="D60" s="48"/>
      <c r="E60" s="48"/>
      <c r="F60" s="51"/>
      <c r="G60" s="50"/>
      <c r="H60" s="51"/>
      <c r="I60" s="51"/>
      <c r="J60" s="51"/>
      <c r="K60" s="51"/>
      <c r="L60" s="31"/>
      <c r="M60" s="52"/>
    </row>
    <row r="61" spans="1:13" s="36" customFormat="1" x14ac:dyDescent="0.25">
      <c r="A61" s="40"/>
      <c r="B61" s="40"/>
      <c r="C61" s="42"/>
      <c r="D61" s="41"/>
      <c r="E61" s="41"/>
      <c r="F61" s="44"/>
      <c r="G61" s="43"/>
      <c r="H61" s="44"/>
      <c r="I61" s="44"/>
      <c r="J61" s="44"/>
      <c r="K61" s="44"/>
      <c r="L61" s="44"/>
      <c r="M61" s="45"/>
    </row>
    <row r="62" spans="1:13" x14ac:dyDescent="0.25">
      <c r="G62" s="17">
        <f>SUBTOTAL(109,G42:G61)</f>
        <v>1822754</v>
      </c>
    </row>
  </sheetData>
  <autoFilter ref="A41:M58" xr:uid="{00000000-0009-0000-0000-000002000000}"/>
  <customSheetViews>
    <customSheetView guid="{B3053EE5-F487-4331-B4B6-28A1F2EF1617}" showAutoFilter="1" hiddenRows="1" topLeftCell="A40">
      <selection activeCell="L44" sqref="L44"/>
      <pageMargins left="0.7" right="0.7" top="0.75" bottom="0.75" header="0.3" footer="0.3"/>
      <pageSetup paperSize="9" orientation="portrait" r:id="rId1"/>
      <autoFilter ref="A41:N455" xr:uid="{B515244F-416C-4FBA-BA07-775E8C69740F}"/>
    </customSheetView>
  </customSheetViews>
  <dataValidations count="6">
    <dataValidation type="list" allowBlank="1" showInputMessage="1" showErrorMessage="1" sqref="L61" xr:uid="{00000000-0002-0000-0200-000000000000}">
      <formula1>$L$1:$L$2</formula1>
    </dataValidation>
    <dataValidation type="list" allowBlank="1" showInputMessage="1" showErrorMessage="1" sqref="L59:L60" xr:uid="{00000000-0002-0000-0200-000001000000}">
      <formula1>$L$1:$L$8</formula1>
    </dataValidation>
    <dataValidation type="list" allowBlank="1" showInputMessage="1" showErrorMessage="1" sqref="I59:J61 H42:H61" xr:uid="{00000000-0002-0000-0200-000002000000}">
      <formula1>$H$1:$H$2</formula1>
    </dataValidation>
    <dataValidation type="list" errorStyle="information" allowBlank="1" showInputMessage="1" showErrorMessage="1" sqref="L42:L58" xr:uid="{00000000-0002-0000-0200-000003000000}">
      <formula1>$L$1:$L$5</formula1>
    </dataValidation>
    <dataValidation type="list" allowBlank="1" showInputMessage="1" showErrorMessage="1" sqref="B42:B61" xr:uid="{00000000-0002-0000-0200-000004000000}">
      <formula1>$B$1:$B$8</formula1>
    </dataValidation>
    <dataValidation type="list" errorStyle="information" allowBlank="1" showInputMessage="1" showErrorMessage="1" sqref="I42:J58" xr:uid="{00000000-0002-0000-0200-000005000000}">
      <formula1>$H$1:$H$2</formula1>
    </dataValidation>
  </dataValidations>
  <pageMargins left="0.70866141732283472" right="0.70866141732283472" top="0.19685039370078741" bottom="0.19685039370078741" header="0.31496062992125984" footer="0.31496062992125984"/>
  <pageSetup paperSize="9" scale="42" fitToHeight="0" orientation="landscape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40"/>
  <sheetViews>
    <sheetView topLeftCell="A7" workbookViewId="0">
      <selection activeCell="A19" sqref="A19:A21"/>
    </sheetView>
  </sheetViews>
  <sheetFormatPr defaultRowHeight="15" x14ac:dyDescent="0.25"/>
  <sheetData>
    <row r="1" spans="1:1" x14ac:dyDescent="0.25">
      <c r="A1" s="164" t="s">
        <v>80</v>
      </c>
    </row>
    <row r="2" spans="1:1" x14ac:dyDescent="0.25">
      <c r="A2" s="164" t="s">
        <v>81</v>
      </c>
    </row>
    <row r="3" spans="1:1" x14ac:dyDescent="0.25">
      <c r="A3" s="164" t="s">
        <v>82</v>
      </c>
    </row>
    <row r="4" spans="1:1" x14ac:dyDescent="0.25">
      <c r="A4" s="164" t="s">
        <v>83</v>
      </c>
    </row>
    <row r="5" spans="1:1" x14ac:dyDescent="0.25">
      <c r="A5" s="165" t="s">
        <v>84</v>
      </c>
    </row>
    <row r="6" spans="1:1" x14ac:dyDescent="0.25">
      <c r="A6" s="165" t="s">
        <v>85</v>
      </c>
    </row>
    <row r="7" spans="1:1" x14ac:dyDescent="0.25">
      <c r="A7" s="165" t="s">
        <v>86</v>
      </c>
    </row>
    <row r="8" spans="1:1" x14ac:dyDescent="0.25">
      <c r="A8" s="165" t="s">
        <v>87</v>
      </c>
    </row>
    <row r="9" spans="1:1" x14ac:dyDescent="0.25">
      <c r="A9" s="165" t="s">
        <v>88</v>
      </c>
    </row>
    <row r="10" spans="1:1" x14ac:dyDescent="0.25">
      <c r="A10" s="165" t="s">
        <v>89</v>
      </c>
    </row>
    <row r="11" spans="1:1" x14ac:dyDescent="0.25">
      <c r="A11" s="165" t="s">
        <v>90</v>
      </c>
    </row>
    <row r="12" spans="1:1" x14ac:dyDescent="0.25">
      <c r="A12" s="165" t="s">
        <v>91</v>
      </c>
    </row>
    <row r="13" spans="1:1" x14ac:dyDescent="0.25">
      <c r="A13" s="165" t="s">
        <v>92</v>
      </c>
    </row>
    <row r="14" spans="1:1" x14ac:dyDescent="0.25">
      <c r="A14" s="165" t="s">
        <v>93</v>
      </c>
    </row>
    <row r="15" spans="1:1" x14ac:dyDescent="0.25">
      <c r="A15" s="165" t="s">
        <v>94</v>
      </c>
    </row>
    <row r="16" spans="1:1" x14ac:dyDescent="0.25">
      <c r="A16" s="165" t="s">
        <v>95</v>
      </c>
    </row>
    <row r="17" spans="1:1" x14ac:dyDescent="0.25">
      <c r="A17" s="165" t="s">
        <v>117</v>
      </c>
    </row>
    <row r="18" spans="1:1" x14ac:dyDescent="0.25">
      <c r="A18" s="165" t="s">
        <v>118</v>
      </c>
    </row>
    <row r="19" spans="1:1" x14ac:dyDescent="0.25">
      <c r="A19" s="165" t="s">
        <v>119</v>
      </c>
    </row>
    <row r="20" spans="1:1" x14ac:dyDescent="0.25">
      <c r="A20" s="165" t="s">
        <v>120</v>
      </c>
    </row>
    <row r="21" spans="1:1" x14ac:dyDescent="0.25">
      <c r="A21" s="165" t="s">
        <v>121</v>
      </c>
    </row>
    <row r="22" spans="1:1" x14ac:dyDescent="0.25">
      <c r="A22" s="165" t="s">
        <v>122</v>
      </c>
    </row>
    <row r="23" spans="1:1" x14ac:dyDescent="0.25">
      <c r="A23" s="165" t="s">
        <v>123</v>
      </c>
    </row>
    <row r="24" spans="1:1" x14ac:dyDescent="0.25">
      <c r="A24" s="165" t="s">
        <v>124</v>
      </c>
    </row>
    <row r="25" spans="1:1" x14ac:dyDescent="0.25">
      <c r="A25" s="165" t="s">
        <v>225</v>
      </c>
    </row>
    <row r="26" spans="1:1" x14ac:dyDescent="0.25">
      <c r="A26" s="165" t="s">
        <v>226</v>
      </c>
    </row>
    <row r="27" spans="1:1" x14ac:dyDescent="0.25">
      <c r="A27" s="165" t="s">
        <v>227</v>
      </c>
    </row>
    <row r="28" spans="1:1" x14ac:dyDescent="0.25">
      <c r="A28" s="165" t="s">
        <v>228</v>
      </c>
    </row>
    <row r="29" spans="1:1" x14ac:dyDescent="0.25">
      <c r="A29" s="176" t="s">
        <v>229</v>
      </c>
    </row>
    <row r="30" spans="1:1" x14ac:dyDescent="0.25">
      <c r="A30" s="176" t="s">
        <v>230</v>
      </c>
    </row>
    <row r="31" spans="1:1" x14ac:dyDescent="0.25">
      <c r="A31" s="176" t="s">
        <v>231</v>
      </c>
    </row>
    <row r="32" spans="1:1" x14ac:dyDescent="0.25">
      <c r="A32" s="176" t="s">
        <v>232</v>
      </c>
    </row>
    <row r="33" spans="1:1" x14ac:dyDescent="0.25">
      <c r="A33" s="176" t="s">
        <v>233</v>
      </c>
    </row>
    <row r="34" spans="1:1" x14ac:dyDescent="0.25">
      <c r="A34" s="176" t="s">
        <v>234</v>
      </c>
    </row>
    <row r="35" spans="1:1" x14ac:dyDescent="0.25">
      <c r="A35" s="176" t="s">
        <v>235</v>
      </c>
    </row>
    <row r="36" spans="1:1" x14ac:dyDescent="0.25">
      <c r="A36" s="176" t="s">
        <v>236</v>
      </c>
    </row>
    <row r="37" spans="1:1" x14ac:dyDescent="0.25">
      <c r="A37" s="176" t="s">
        <v>237</v>
      </c>
    </row>
    <row r="38" spans="1:1" x14ac:dyDescent="0.25">
      <c r="A38" s="176" t="s">
        <v>238</v>
      </c>
    </row>
    <row r="39" spans="1:1" x14ac:dyDescent="0.25">
      <c r="A39" s="176" t="s">
        <v>239</v>
      </c>
    </row>
    <row r="40" spans="1:1" x14ac:dyDescent="0.25">
      <c r="A40" s="176" t="s">
        <v>240</v>
      </c>
    </row>
  </sheetData>
  <customSheetViews>
    <customSheetView guid="{B3053EE5-F487-4331-B4B6-28A1F2EF1617}">
      <selection activeCell="A7" sqref="A7:A13"/>
      <pageMargins left="0.7" right="0.7" top="0.75" bottom="0.75" header="0.3" footer="0.3"/>
    </customSheetView>
  </customSheetViews>
  <phoneticPr fontId="50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10"/>
  <sheetViews>
    <sheetView workbookViewId="0">
      <selection sqref="A1:A3"/>
    </sheetView>
  </sheetViews>
  <sheetFormatPr defaultRowHeight="15" x14ac:dyDescent="0.25"/>
  <cols>
    <col min="1" max="1" width="27.42578125" customWidth="1"/>
  </cols>
  <sheetData>
    <row r="1" spans="1:1" s="36" customFormat="1" ht="18.75" customHeight="1" x14ac:dyDescent="0.25">
      <c r="A1" s="36" t="s">
        <v>68</v>
      </c>
    </row>
    <row r="2" spans="1:1" s="36" customFormat="1" ht="18.75" customHeight="1" x14ac:dyDescent="0.25">
      <c r="A2" s="36" t="s">
        <v>69</v>
      </c>
    </row>
    <row r="3" spans="1:1" s="36" customFormat="1" ht="18.75" customHeight="1" x14ac:dyDescent="0.25">
      <c r="A3" s="36" t="s">
        <v>70</v>
      </c>
    </row>
    <row r="4" spans="1:1" s="36" customFormat="1" ht="18.75" customHeight="1" x14ac:dyDescent="0.25"/>
    <row r="5" spans="1:1" s="36" customFormat="1" ht="18.75" customHeight="1" x14ac:dyDescent="0.25"/>
    <row r="6" spans="1:1" s="36" customFormat="1" ht="18.75" customHeight="1" x14ac:dyDescent="0.25"/>
    <row r="7" spans="1:1" s="36" customFormat="1" ht="18.75" customHeight="1" x14ac:dyDescent="0.25"/>
    <row r="8" spans="1:1" s="36" customFormat="1" ht="18.75" customHeight="1" x14ac:dyDescent="0.25"/>
    <row r="9" spans="1:1" s="36" customFormat="1" ht="18.75" customHeight="1" x14ac:dyDescent="0.25"/>
    <row r="10" spans="1:1" s="36" customFormat="1" ht="18.75" customHeight="1" x14ac:dyDescent="0.25"/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B6"/>
  <sheetViews>
    <sheetView workbookViewId="0">
      <selection activeCell="O25" sqref="O25"/>
    </sheetView>
  </sheetViews>
  <sheetFormatPr defaultRowHeight="15" x14ac:dyDescent="0.25"/>
  <cols>
    <col min="5" max="5" width="26.140625" customWidth="1"/>
    <col min="6" max="6" width="35.28515625" customWidth="1"/>
    <col min="7" max="10" width="1.5703125" customWidth="1"/>
    <col min="12" max="12" width="14.5703125" bestFit="1" customWidth="1"/>
    <col min="13" max="13" width="9.85546875" customWidth="1"/>
    <col min="22" max="22" width="17.5703125" bestFit="1" customWidth="1"/>
  </cols>
  <sheetData>
    <row r="1" spans="1:28" x14ac:dyDescent="0.25">
      <c r="A1" s="168" t="s">
        <v>130</v>
      </c>
      <c r="B1" s="168" t="s">
        <v>131</v>
      </c>
      <c r="C1" s="168" t="s">
        <v>97</v>
      </c>
      <c r="D1" s="168" t="s">
        <v>132</v>
      </c>
      <c r="E1" s="168" t="s">
        <v>9</v>
      </c>
      <c r="F1" s="168" t="s">
        <v>133</v>
      </c>
      <c r="G1" s="168" t="s">
        <v>134</v>
      </c>
      <c r="H1" s="168" t="s">
        <v>135</v>
      </c>
      <c r="I1" s="168" t="s">
        <v>136</v>
      </c>
      <c r="J1" s="168" t="s">
        <v>137</v>
      </c>
      <c r="K1" s="168" t="s">
        <v>138</v>
      </c>
      <c r="L1" s="168" t="s">
        <v>139</v>
      </c>
      <c r="M1" s="168" t="s">
        <v>140</v>
      </c>
      <c r="N1" s="168" t="s">
        <v>141</v>
      </c>
      <c r="O1" s="168" t="s">
        <v>142</v>
      </c>
      <c r="P1" s="168" t="s">
        <v>143</v>
      </c>
      <c r="Q1" s="168" t="s">
        <v>144</v>
      </c>
      <c r="R1" s="168" t="s">
        <v>145</v>
      </c>
      <c r="S1" s="168" t="s">
        <v>146</v>
      </c>
      <c r="T1" s="168" t="s">
        <v>147</v>
      </c>
      <c r="U1" s="168" t="s">
        <v>148</v>
      </c>
      <c r="V1" s="168" t="s">
        <v>149</v>
      </c>
      <c r="W1" s="168" t="s">
        <v>150</v>
      </c>
      <c r="X1" s="168" t="s">
        <v>151</v>
      </c>
      <c r="Y1" s="168" t="s">
        <v>152</v>
      </c>
      <c r="Z1" s="168" t="s">
        <v>153</v>
      </c>
      <c r="AA1" s="168" t="s">
        <v>154</v>
      </c>
      <c r="AB1" s="168" t="s">
        <v>155</v>
      </c>
    </row>
    <row r="2" spans="1:28" x14ac:dyDescent="0.25">
      <c r="A2" s="169"/>
      <c r="B2" s="169" t="s">
        <v>156</v>
      </c>
      <c r="C2" s="169" t="s">
        <v>157</v>
      </c>
      <c r="D2" s="169" t="s">
        <v>125</v>
      </c>
      <c r="E2" s="169" t="s">
        <v>125</v>
      </c>
      <c r="F2" s="169" t="s">
        <v>158</v>
      </c>
      <c r="G2" s="169" t="s">
        <v>159</v>
      </c>
      <c r="H2" s="169" t="s">
        <v>160</v>
      </c>
      <c r="I2" s="169" t="s">
        <v>161</v>
      </c>
      <c r="J2" s="169" t="s">
        <v>162</v>
      </c>
      <c r="K2" s="169"/>
      <c r="L2" s="170">
        <v>3419685</v>
      </c>
      <c r="M2" s="170">
        <v>923315</v>
      </c>
      <c r="N2" s="170">
        <v>4343000</v>
      </c>
      <c r="O2" s="170">
        <v>1</v>
      </c>
      <c r="P2" s="170">
        <v>3419685</v>
      </c>
      <c r="Q2" s="170">
        <v>923315</v>
      </c>
      <c r="R2" s="170">
        <v>4343000</v>
      </c>
      <c r="S2" s="170">
        <v>4343000</v>
      </c>
      <c r="T2" s="170">
        <v>0</v>
      </c>
      <c r="U2" s="170">
        <v>100</v>
      </c>
      <c r="V2" s="170">
        <v>4343000</v>
      </c>
      <c r="W2" s="169"/>
      <c r="X2" s="169"/>
      <c r="Y2" s="169" t="s">
        <v>163</v>
      </c>
      <c r="Z2" s="169"/>
      <c r="AA2" s="169"/>
      <c r="AB2" s="169"/>
    </row>
    <row r="3" spans="1:28" x14ac:dyDescent="0.25">
      <c r="A3" s="171"/>
      <c r="B3" s="171" t="s">
        <v>156</v>
      </c>
      <c r="C3" s="171" t="s">
        <v>164</v>
      </c>
      <c r="D3" s="171" t="s">
        <v>165</v>
      </c>
      <c r="E3" s="171" t="s">
        <v>126</v>
      </c>
      <c r="F3" s="171" t="s">
        <v>166</v>
      </c>
      <c r="G3" s="171" t="s">
        <v>159</v>
      </c>
      <c r="H3" s="171" t="s">
        <v>160</v>
      </c>
      <c r="I3" s="171" t="s">
        <v>167</v>
      </c>
      <c r="J3" s="171" t="s">
        <v>162</v>
      </c>
      <c r="K3" s="171"/>
      <c r="L3" s="172">
        <v>139880000</v>
      </c>
      <c r="M3" s="172">
        <v>0</v>
      </c>
      <c r="N3" s="172">
        <v>139880000</v>
      </c>
      <c r="O3" s="172">
        <v>1</v>
      </c>
      <c r="P3" s="172">
        <v>139880000</v>
      </c>
      <c r="Q3" s="172">
        <v>0</v>
      </c>
      <c r="R3" s="172">
        <v>139880000</v>
      </c>
      <c r="S3" s="172">
        <v>139880000</v>
      </c>
      <c r="T3" s="172">
        <v>0</v>
      </c>
      <c r="U3" s="172">
        <v>100</v>
      </c>
      <c r="V3" s="172">
        <v>139880000</v>
      </c>
      <c r="W3" s="171"/>
      <c r="X3" s="171"/>
      <c r="Y3" s="171" t="s">
        <v>168</v>
      </c>
      <c r="Z3" s="171"/>
      <c r="AA3" s="171"/>
      <c r="AB3" s="171"/>
    </row>
    <row r="4" spans="1:28" x14ac:dyDescent="0.25">
      <c r="A4" s="169"/>
      <c r="B4" s="169" t="s">
        <v>156</v>
      </c>
      <c r="C4" s="169" t="s">
        <v>164</v>
      </c>
      <c r="D4" s="169" t="s">
        <v>165</v>
      </c>
      <c r="E4" s="169" t="s">
        <v>127</v>
      </c>
      <c r="F4" s="169" t="s">
        <v>169</v>
      </c>
      <c r="G4" s="169" t="s">
        <v>159</v>
      </c>
      <c r="H4" s="169" t="s">
        <v>160</v>
      </c>
      <c r="I4" s="169" t="s">
        <v>167</v>
      </c>
      <c r="J4" s="169" t="s">
        <v>162</v>
      </c>
      <c r="K4" s="169"/>
      <c r="L4" s="170">
        <v>29520000</v>
      </c>
      <c r="M4" s="170">
        <v>0</v>
      </c>
      <c r="N4" s="170">
        <v>29520000</v>
      </c>
      <c r="O4" s="170">
        <v>1</v>
      </c>
      <c r="P4" s="170">
        <v>29520000</v>
      </c>
      <c r="Q4" s="170">
        <v>0</v>
      </c>
      <c r="R4" s="170">
        <v>29520000</v>
      </c>
      <c r="S4" s="170">
        <v>29520000</v>
      </c>
      <c r="T4" s="170">
        <v>0</v>
      </c>
      <c r="U4" s="170">
        <v>100</v>
      </c>
      <c r="V4" s="170">
        <v>29520000</v>
      </c>
      <c r="W4" s="169"/>
      <c r="X4" s="169"/>
      <c r="Y4" s="169" t="s">
        <v>170</v>
      </c>
      <c r="Z4" s="169"/>
      <c r="AA4" s="169"/>
      <c r="AB4" s="169"/>
    </row>
    <row r="5" spans="1:28" x14ac:dyDescent="0.25">
      <c r="A5" s="171"/>
      <c r="B5" s="171" t="s">
        <v>156</v>
      </c>
      <c r="C5" s="171" t="s">
        <v>164</v>
      </c>
      <c r="D5" s="171" t="s">
        <v>171</v>
      </c>
      <c r="E5" s="171" t="s">
        <v>128</v>
      </c>
      <c r="F5" s="171" t="s">
        <v>172</v>
      </c>
      <c r="G5" s="171" t="s">
        <v>159</v>
      </c>
      <c r="H5" s="171" t="s">
        <v>160</v>
      </c>
      <c r="I5" s="171" t="s">
        <v>167</v>
      </c>
      <c r="J5" s="171" t="s">
        <v>162</v>
      </c>
      <c r="K5" s="171"/>
      <c r="L5" s="172">
        <v>21681400</v>
      </c>
      <c r="M5" s="172">
        <v>0</v>
      </c>
      <c r="N5" s="172">
        <v>21681400</v>
      </c>
      <c r="O5" s="172">
        <v>1</v>
      </c>
      <c r="P5" s="172">
        <v>21681400</v>
      </c>
      <c r="Q5" s="172">
        <v>0</v>
      </c>
      <c r="R5" s="172">
        <v>21681400</v>
      </c>
      <c r="S5" s="172">
        <v>21681400</v>
      </c>
      <c r="T5" s="172">
        <v>0</v>
      </c>
      <c r="U5" s="172">
        <v>100</v>
      </c>
      <c r="V5" s="172">
        <v>21681400</v>
      </c>
      <c r="W5" s="171"/>
      <c r="X5" s="171"/>
      <c r="Y5" s="171" t="s">
        <v>173</v>
      </c>
      <c r="Z5" s="171"/>
      <c r="AA5" s="171"/>
      <c r="AB5" s="171"/>
    </row>
    <row r="6" spans="1:28" x14ac:dyDescent="0.25">
      <c r="A6" s="169"/>
      <c r="B6" s="169" t="s">
        <v>156</v>
      </c>
      <c r="C6" s="169" t="s">
        <v>164</v>
      </c>
      <c r="D6" s="169" t="s">
        <v>171</v>
      </c>
      <c r="E6" s="169" t="s">
        <v>129</v>
      </c>
      <c r="F6" s="169" t="s">
        <v>174</v>
      </c>
      <c r="G6" s="169" t="s">
        <v>159</v>
      </c>
      <c r="H6" s="169" t="s">
        <v>160</v>
      </c>
      <c r="I6" s="169" t="s">
        <v>167</v>
      </c>
      <c r="J6" s="169" t="s">
        <v>162</v>
      </c>
      <c r="K6" s="169"/>
      <c r="L6" s="170">
        <v>4575600</v>
      </c>
      <c r="M6" s="170">
        <v>0</v>
      </c>
      <c r="N6" s="170">
        <v>4575600</v>
      </c>
      <c r="O6" s="170">
        <v>1</v>
      </c>
      <c r="P6" s="170">
        <v>4575600</v>
      </c>
      <c r="Q6" s="170">
        <v>0</v>
      </c>
      <c r="R6" s="170">
        <v>4575600</v>
      </c>
      <c r="S6" s="170">
        <v>4575600</v>
      </c>
      <c r="T6" s="170">
        <v>0</v>
      </c>
      <c r="U6" s="170">
        <v>100</v>
      </c>
      <c r="V6" s="170">
        <v>4575600</v>
      </c>
      <c r="W6" s="169"/>
      <c r="X6" s="169"/>
      <c r="Y6" s="169" t="s">
        <v>175</v>
      </c>
      <c r="Z6" s="169"/>
      <c r="AA6" s="169"/>
      <c r="AB6" s="169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EB068-A5B9-4365-B7A9-50128D413BBF}">
  <dimension ref="A1:E28"/>
  <sheetViews>
    <sheetView workbookViewId="0">
      <selection activeCell="I15" sqref="I15"/>
    </sheetView>
  </sheetViews>
  <sheetFormatPr defaultRowHeight="15" x14ac:dyDescent="0.25"/>
  <cols>
    <col min="1" max="1" width="27.28515625" bestFit="1" customWidth="1"/>
    <col min="2" max="2" width="13.28515625" bestFit="1" customWidth="1"/>
    <col min="3" max="3" width="11.42578125" bestFit="1" customWidth="1"/>
    <col min="4" max="4" width="10.28515625" bestFit="1" customWidth="1"/>
    <col min="5" max="5" width="8.85546875" bestFit="1" customWidth="1"/>
  </cols>
  <sheetData>
    <row r="1" spans="1:5" x14ac:dyDescent="0.25">
      <c r="A1" s="183" t="s">
        <v>252</v>
      </c>
      <c r="B1" s="183" t="s">
        <v>253</v>
      </c>
      <c r="C1" s="183" t="s">
        <v>254</v>
      </c>
      <c r="D1" s="183" t="s">
        <v>22</v>
      </c>
      <c r="E1" s="183" t="s">
        <v>250</v>
      </c>
    </row>
    <row r="2" spans="1:5" x14ac:dyDescent="0.25">
      <c r="A2" s="192" t="s">
        <v>216</v>
      </c>
      <c r="B2" s="184" t="s">
        <v>262</v>
      </c>
      <c r="C2" s="185" t="s">
        <v>211</v>
      </c>
      <c r="D2" s="186">
        <v>495700</v>
      </c>
      <c r="E2" s="186">
        <v>64441</v>
      </c>
    </row>
    <row r="3" spans="1:5" x14ac:dyDescent="0.25">
      <c r="A3" s="192" t="s">
        <v>198</v>
      </c>
      <c r="B3" s="184" t="s">
        <v>263</v>
      </c>
      <c r="C3" s="185" t="s">
        <v>212</v>
      </c>
      <c r="D3" s="186">
        <v>603700</v>
      </c>
      <c r="E3" s="186">
        <v>78481</v>
      </c>
    </row>
    <row r="4" spans="1:5" x14ac:dyDescent="0.25">
      <c r="A4" s="192" t="s">
        <v>197</v>
      </c>
      <c r="B4" s="184" t="s">
        <v>264</v>
      </c>
      <c r="C4" s="185" t="s">
        <v>205</v>
      </c>
      <c r="D4" s="186">
        <v>416300</v>
      </c>
      <c r="E4" s="186">
        <v>54119</v>
      </c>
    </row>
    <row r="5" spans="1:5" x14ac:dyDescent="0.25">
      <c r="A5" s="192" t="s">
        <v>202</v>
      </c>
      <c r="B5" s="184" t="s">
        <v>265</v>
      </c>
      <c r="C5" s="185" t="s">
        <v>211</v>
      </c>
      <c r="D5" s="186">
        <v>357800</v>
      </c>
      <c r="E5" s="186">
        <v>46514</v>
      </c>
    </row>
    <row r="6" spans="1:5" x14ac:dyDescent="0.25">
      <c r="A6" s="184" t="s">
        <v>214</v>
      </c>
      <c r="B6" s="184" t="s">
        <v>267</v>
      </c>
      <c r="C6" s="185" t="s">
        <v>205</v>
      </c>
      <c r="D6" s="186">
        <v>1050000</v>
      </c>
      <c r="E6" s="186">
        <v>136500</v>
      </c>
    </row>
    <row r="7" spans="1:5" x14ac:dyDescent="0.25">
      <c r="A7" s="187"/>
      <c r="B7" s="188"/>
      <c r="C7" s="185" t="s">
        <v>283</v>
      </c>
      <c r="D7" s="186"/>
      <c r="E7" s="186"/>
    </row>
    <row r="8" spans="1:5" x14ac:dyDescent="0.25">
      <c r="A8" s="192" t="s">
        <v>191</v>
      </c>
      <c r="B8" s="184" t="s">
        <v>268</v>
      </c>
      <c r="C8" s="185" t="s">
        <v>205</v>
      </c>
      <c r="D8" s="186">
        <v>1300000</v>
      </c>
      <c r="E8" s="186">
        <v>169000</v>
      </c>
    </row>
    <row r="9" spans="1:5" x14ac:dyDescent="0.25">
      <c r="A9" s="192" t="s">
        <v>215</v>
      </c>
      <c r="B9" s="184" t="s">
        <v>269</v>
      </c>
      <c r="C9" s="185" t="s">
        <v>213</v>
      </c>
      <c r="D9" s="186">
        <v>470925</v>
      </c>
      <c r="E9" s="186">
        <v>61220</v>
      </c>
    </row>
    <row r="10" spans="1:5" x14ac:dyDescent="0.25">
      <c r="A10" s="192" t="s">
        <v>224</v>
      </c>
      <c r="B10" s="184" t="s">
        <v>270</v>
      </c>
      <c r="C10" s="185" t="s">
        <v>245</v>
      </c>
      <c r="D10" s="186">
        <v>585999</v>
      </c>
      <c r="E10" s="186">
        <v>76180</v>
      </c>
    </row>
    <row r="11" spans="1:5" x14ac:dyDescent="0.25">
      <c r="A11" s="192" t="s">
        <v>272</v>
      </c>
      <c r="B11" s="184" t="s">
        <v>273</v>
      </c>
      <c r="C11" s="185" t="s">
        <v>209</v>
      </c>
      <c r="D11" s="186">
        <v>270000</v>
      </c>
      <c r="E11" s="186">
        <v>35100</v>
      </c>
    </row>
    <row r="12" spans="1:5" x14ac:dyDescent="0.25">
      <c r="A12" s="184" t="s">
        <v>178</v>
      </c>
      <c r="B12" s="184" t="s">
        <v>274</v>
      </c>
      <c r="C12" s="185" t="s">
        <v>205</v>
      </c>
      <c r="D12" s="186">
        <v>502272</v>
      </c>
      <c r="E12" s="186">
        <v>35135</v>
      </c>
    </row>
    <row r="13" spans="1:5" x14ac:dyDescent="0.25">
      <c r="A13" s="188"/>
      <c r="B13" s="188"/>
      <c r="C13" s="185"/>
      <c r="D13" s="186"/>
      <c r="E13" s="186">
        <v>0</v>
      </c>
    </row>
    <row r="14" spans="1:5" x14ac:dyDescent="0.25">
      <c r="A14" s="187"/>
      <c r="B14" s="188"/>
    </row>
    <row r="15" spans="1:5" x14ac:dyDescent="0.25">
      <c r="A15" s="192" t="s">
        <v>195</v>
      </c>
      <c r="B15" s="184" t="s">
        <v>275</v>
      </c>
      <c r="C15" s="185" t="s">
        <v>211</v>
      </c>
      <c r="D15" s="186">
        <v>327854</v>
      </c>
      <c r="E15" s="186">
        <v>42621</v>
      </c>
    </row>
    <row r="16" spans="1:5" x14ac:dyDescent="0.25">
      <c r="A16" s="192" t="s">
        <v>284</v>
      </c>
      <c r="B16" s="184" t="s">
        <v>258</v>
      </c>
      <c r="C16" s="185" t="s">
        <v>204</v>
      </c>
      <c r="D16" s="186">
        <v>1070000</v>
      </c>
      <c r="E16" s="186">
        <v>139100</v>
      </c>
    </row>
    <row r="17" spans="1:5" x14ac:dyDescent="0.25">
      <c r="A17" s="192" t="s">
        <v>285</v>
      </c>
      <c r="B17" s="184" t="s">
        <v>259</v>
      </c>
      <c r="C17" s="185" t="s">
        <v>206</v>
      </c>
      <c r="D17" s="186">
        <v>680000</v>
      </c>
      <c r="E17" s="186">
        <v>88400</v>
      </c>
    </row>
    <row r="18" spans="1:5" x14ac:dyDescent="0.25">
      <c r="A18" s="192" t="s">
        <v>286</v>
      </c>
      <c r="B18" s="184" t="s">
        <v>260</v>
      </c>
      <c r="C18" s="185" t="s">
        <v>206</v>
      </c>
      <c r="D18" s="186">
        <v>620000</v>
      </c>
      <c r="E18" s="186">
        <v>80600</v>
      </c>
    </row>
    <row r="19" spans="1:5" x14ac:dyDescent="0.25">
      <c r="A19" s="192" t="s">
        <v>287</v>
      </c>
      <c r="B19" s="184" t="s">
        <v>255</v>
      </c>
      <c r="C19" s="185" t="s">
        <v>204</v>
      </c>
      <c r="D19" s="186">
        <v>1355000</v>
      </c>
      <c r="E19" s="186">
        <v>176150</v>
      </c>
    </row>
    <row r="20" spans="1:5" x14ac:dyDescent="0.25">
      <c r="A20" s="192" t="s">
        <v>288</v>
      </c>
      <c r="B20" s="184" t="s">
        <v>261</v>
      </c>
      <c r="C20" s="185" t="s">
        <v>206</v>
      </c>
      <c r="D20" s="186">
        <v>1427100</v>
      </c>
      <c r="E20" s="186">
        <v>185523</v>
      </c>
    </row>
    <row r="21" spans="1:5" x14ac:dyDescent="0.25">
      <c r="A21" s="192" t="s">
        <v>289</v>
      </c>
      <c r="B21" s="184" t="s">
        <v>256</v>
      </c>
      <c r="C21" s="185" t="s">
        <v>206</v>
      </c>
      <c r="D21" s="186">
        <v>1030000</v>
      </c>
      <c r="E21" s="186">
        <v>133900</v>
      </c>
    </row>
    <row r="22" spans="1:5" x14ac:dyDescent="0.25">
      <c r="A22" s="192" t="s">
        <v>290</v>
      </c>
      <c r="B22" s="184" t="s">
        <v>266</v>
      </c>
      <c r="C22" s="185" t="s">
        <v>213</v>
      </c>
      <c r="D22" s="186">
        <v>755600</v>
      </c>
      <c r="E22" s="186">
        <v>98228</v>
      </c>
    </row>
    <row r="23" spans="1:5" x14ac:dyDescent="0.25">
      <c r="A23" s="192" t="s">
        <v>291</v>
      </c>
      <c r="B23" s="184" t="s">
        <v>257</v>
      </c>
      <c r="C23" s="185" t="s">
        <v>204</v>
      </c>
      <c r="D23" s="186">
        <v>1050000</v>
      </c>
      <c r="E23" s="186">
        <v>136500</v>
      </c>
    </row>
    <row r="24" spans="1:5" x14ac:dyDescent="0.25">
      <c r="A24" s="192" t="s">
        <v>292</v>
      </c>
      <c r="B24" s="184" t="s">
        <v>271</v>
      </c>
      <c r="C24" s="185" t="s">
        <v>213</v>
      </c>
      <c r="D24" s="186">
        <v>539300</v>
      </c>
      <c r="E24" s="186">
        <v>70109</v>
      </c>
    </row>
    <row r="25" spans="1:5" x14ac:dyDescent="0.25">
      <c r="A25" s="192" t="s">
        <v>293</v>
      </c>
      <c r="B25" s="184" t="s">
        <v>276</v>
      </c>
      <c r="C25" s="185" t="s">
        <v>206</v>
      </c>
      <c r="D25" s="186">
        <v>550000</v>
      </c>
      <c r="E25" s="186">
        <v>71500</v>
      </c>
    </row>
    <row r="26" spans="1:5" x14ac:dyDescent="0.25">
      <c r="A26" s="187"/>
      <c r="B26" s="188"/>
    </row>
    <row r="27" spans="1:5" x14ac:dyDescent="0.25">
      <c r="A27" s="192"/>
      <c r="B27" s="184"/>
      <c r="C27" s="185"/>
      <c r="D27" s="186"/>
      <c r="E27" s="186"/>
    </row>
    <row r="28" spans="1:5" x14ac:dyDescent="0.25">
      <c r="A28" s="192"/>
      <c r="B28" s="184"/>
      <c r="C28" s="185"/>
      <c r="D28" s="186"/>
      <c r="E28" s="18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7</vt:i4>
      </vt:variant>
    </vt:vector>
  </HeadingPairs>
  <TitlesOfParts>
    <vt:vector size="7" baseType="lpstr">
      <vt:lpstr>Terv-tény</vt:lpstr>
      <vt:lpstr>Bérköltség</vt:lpstr>
      <vt:lpstr>Dologi_felhalm.</vt:lpstr>
      <vt:lpstr>hónapok</vt:lpstr>
      <vt:lpstr>témaszámok</vt:lpstr>
      <vt:lpstr>Munka1</vt:lpstr>
      <vt:lpstr>Havi béradatok</vt:lpstr>
    </vt:vector>
  </TitlesOfParts>
  <Company>Pannon Egyetem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Aporfiné Nagy Andrea</dc:creator>
  <cp:lastModifiedBy>Domján Gábor</cp:lastModifiedBy>
  <cp:lastPrinted>2020-02-13T08:37:49Z</cp:lastPrinted>
  <dcterms:created xsi:type="dcterms:W3CDTF">2012-04-12T14:47:49Z</dcterms:created>
  <dcterms:modified xsi:type="dcterms:W3CDTF">2023-05-17T12:09:21Z</dcterms:modified>
</cp:coreProperties>
</file>