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használó\Munka\!PROJEKTEK\HSUP\2023\"/>
    </mc:Choice>
  </mc:AlternateContent>
  <xr:revisionPtr revIDLastSave="0" documentId="13_ncr:1_{A9B188D8-C953-44DC-9038-E62918D286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atok" sheetId="1" r:id="rId1"/>
    <sheet name="Bérköltség" sheetId="3" r:id="rId2"/>
    <sheet name="Dologi_felham." sheetId="5" r:id="rId3"/>
    <sheet name="Hónapok" sheetId="6" r:id="rId4"/>
  </sheets>
  <definedNames>
    <definedName name="_xlnm._FilterDatabase" localSheetId="1" hidden="1">Bérköltség!$A$5:$AK$29</definedName>
    <definedName name="_xlnm._FilterDatabase" localSheetId="2" hidden="1">Dologi_felham.!$A$2:$H$2</definedName>
    <definedName name="Z_B3053EE5_F487_4331_B4B6_28A1F2EF1617_.wvu.Cols" localSheetId="1" hidden="1">Bérköltség!#REF!,Bérköltség!#REF!,Bérköltség!$L:$M,Bérköltség!#REF!,Bérköltség!#REF!</definedName>
    <definedName name="Z_B3053EE5_F487_4331_B4B6_28A1F2EF1617_.wvu.FilterData" localSheetId="1" hidden="1">Bérköltség!$A$5:$AK$33</definedName>
    <definedName name="Z_B3053EE5_F487_4331_B4B6_28A1F2EF1617_.wvu.Rows" localSheetId="1" hidden="1">Bérköltség!#REF!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3" l="1"/>
  <c r="M19" i="3" s="1"/>
  <c r="H19" i="3"/>
  <c r="L20" i="3"/>
  <c r="N20" i="3" s="1"/>
  <c r="H20" i="3"/>
  <c r="D15" i="1"/>
  <c r="K12" i="3"/>
  <c r="L12" i="3" s="1"/>
  <c r="M12" i="3" s="1"/>
  <c r="H12" i="3"/>
  <c r="K7" i="3"/>
  <c r="L7" i="3" s="1"/>
  <c r="M7" i="3" s="1"/>
  <c r="H7" i="3"/>
  <c r="K9" i="3"/>
  <c r="L9" i="3" s="1"/>
  <c r="M9" i="3" s="1"/>
  <c r="H9" i="3"/>
  <c r="K8" i="3"/>
  <c r="L8" i="3" s="1"/>
  <c r="M8" i="3" s="1"/>
  <c r="H8" i="3"/>
  <c r="M11" i="3"/>
  <c r="K11" i="3"/>
  <c r="N11" i="3" s="1"/>
  <c r="H11" i="3"/>
  <c r="K10" i="3"/>
  <c r="H10" i="3"/>
  <c r="F14" i="1"/>
  <c r="E14" i="1"/>
  <c r="N19" i="3" l="1"/>
  <c r="M20" i="3"/>
  <c r="N9" i="3"/>
  <c r="N8" i="3"/>
  <c r="N7" i="3"/>
  <c r="N12" i="3"/>
  <c r="G14" i="1"/>
  <c r="N10" i="3"/>
  <c r="M10" i="3"/>
  <c r="E19" i="1"/>
  <c r="E18" i="1"/>
  <c r="E16" i="1"/>
  <c r="F15" i="1"/>
  <c r="E15" i="1"/>
  <c r="F13" i="1"/>
  <c r="E13" i="1"/>
  <c r="K6" i="3"/>
  <c r="H6" i="3"/>
  <c r="H9" i="1"/>
  <c r="D22" i="1"/>
  <c r="E17" i="1" l="1"/>
  <c r="F16" i="1"/>
  <c r="G16" i="1" s="1"/>
  <c r="F19" i="1"/>
  <c r="G19" i="1" s="1"/>
  <c r="L34" i="3"/>
  <c r="F17" i="1"/>
  <c r="E20" i="1"/>
  <c r="F18" i="1"/>
  <c r="G18" i="1" s="1"/>
  <c r="L6" i="3"/>
  <c r="N6" i="3" s="1"/>
  <c r="G15" i="1"/>
  <c r="G13" i="1"/>
  <c r="F12" i="5"/>
  <c r="G17" i="1" l="1"/>
  <c r="F20" i="1"/>
  <c r="G20" i="1" l="1"/>
  <c r="F21" i="1"/>
  <c r="F22" i="1" s="1"/>
  <c r="E21" i="1"/>
  <c r="E22" i="1" s="1"/>
  <c r="M34" i="3"/>
  <c r="M6" i="3"/>
  <c r="G21" i="1" l="1"/>
  <c r="G22" i="1" s="1"/>
</calcChain>
</file>

<file path=xl/sharedStrings.xml><?xml version="1.0" encoding="utf-8"?>
<sst xmlns="http://schemas.openxmlformats.org/spreadsheetml/2006/main" count="216" uniqueCount="142">
  <si>
    <t>Összes költség:</t>
  </si>
  <si>
    <t>Projekt:</t>
  </si>
  <si>
    <t xml:space="preserve">Pénzügyi központ: </t>
  </si>
  <si>
    <t>Projekt azonosító:</t>
  </si>
  <si>
    <t>Kiíró:</t>
  </si>
  <si>
    <t>Időtartam:</t>
  </si>
  <si>
    <t>Tény</t>
  </si>
  <si>
    <t>Felhasználás</t>
  </si>
  <si>
    <t>Kötváll.</t>
  </si>
  <si>
    <t>Maradvány</t>
  </si>
  <si>
    <t>résztvevő</t>
  </si>
  <si>
    <t xml:space="preserve">munkában  </t>
  </si>
  <si>
    <t>projekten</t>
  </si>
  <si>
    <t>Szoc. Ho.</t>
  </si>
  <si>
    <t xml:space="preserve">Szakmai megvalósításban </t>
  </si>
  <si>
    <t>Pénzügyi</t>
  </si>
  <si>
    <t>időszak</t>
  </si>
  <si>
    <t>bruttó bér</t>
  </si>
  <si>
    <t>bruttó járuléka</t>
  </si>
  <si>
    <t>töltött</t>
  </si>
  <si>
    <t>elszámolt</t>
  </si>
  <si>
    <t>adó</t>
  </si>
  <si>
    <t>közreműködő munkatársak (Név)</t>
  </si>
  <si>
    <t>központ (számfejtés)</t>
  </si>
  <si>
    <t>(Hónap)</t>
  </si>
  <si>
    <t>Köt. váll.</t>
  </si>
  <si>
    <t xml:space="preserve"> (komp. nélkül)</t>
  </si>
  <si>
    <t>óra</t>
  </si>
  <si>
    <t>járulék</t>
  </si>
  <si>
    <t>mértéke</t>
  </si>
  <si>
    <t>ÖSSZESEN</t>
  </si>
  <si>
    <t>ÖSZTÖNDÍJAK</t>
  </si>
  <si>
    <t>Támogatás beérkezése:</t>
  </si>
  <si>
    <t>Hungarian University Startup Program 2022</t>
  </si>
  <si>
    <t>NKFI Alap</t>
  </si>
  <si>
    <t>Lebonyolító:</t>
  </si>
  <si>
    <t>Express Innovation Agency VMV Nonprofit Zrt.</t>
  </si>
  <si>
    <t>A017200235</t>
  </si>
  <si>
    <t>Költség kategória</t>
  </si>
  <si>
    <t>Költség típus</t>
  </si>
  <si>
    <t>Költség elem</t>
  </si>
  <si>
    <t>Támogatási összeg</t>
  </si>
  <si>
    <t>52. Igénybe vett szolgáltatások költségei</t>
  </si>
  <si>
    <t>Egyéb igénybe vett szolgáltatások</t>
  </si>
  <si>
    <t>54. Bérköltség</t>
  </si>
  <si>
    <t>54. Bérköltség - egyéb</t>
  </si>
  <si>
    <t>Bérköltség - ösztöndíj hallgatók részére</t>
  </si>
  <si>
    <t>54. Bérköltség - Projektmenedzser</t>
  </si>
  <si>
    <t>56. Bérjárulék</t>
  </si>
  <si>
    <t>56. Bérjárulék - egyéb</t>
  </si>
  <si>
    <t>56. Bérjárulék - Projektmenedzser</t>
  </si>
  <si>
    <t>Részletezés</t>
  </si>
  <si>
    <t>Kifizetési kérelem</t>
  </si>
  <si>
    <t>Költségsor</t>
  </si>
  <si>
    <t>Sorszám</t>
  </si>
  <si>
    <t>Szállító</t>
  </si>
  <si>
    <t>Megnevezés</t>
  </si>
  <si>
    <t>Összeg</t>
  </si>
  <si>
    <t>Tény/Köt. váll.</t>
  </si>
  <si>
    <t>Megjegyzés</t>
  </si>
  <si>
    <t>ÖSSZES BEÉRKEZETT BEVÉTEL</t>
  </si>
  <si>
    <t xml:space="preserve">Ellenőrző </t>
  </si>
  <si>
    <t>oszlop</t>
  </si>
  <si>
    <t>Munkaidő</t>
  </si>
  <si>
    <t>aránya</t>
  </si>
  <si>
    <t>M211120000</t>
  </si>
  <si>
    <t>elkészült</t>
  </si>
  <si>
    <t>Pénzüggyi központ</t>
  </si>
  <si>
    <t>terhelés</t>
  </si>
  <si>
    <t>MEGBÍZÁSI SZERZŐDÉSEK</t>
  </si>
  <si>
    <t>Bérköltség útmutató szerint</t>
  </si>
  <si>
    <t>54. Bérköltség - Kutató-fejlesztő munkatárs</t>
  </si>
  <si>
    <t>A projekt megvalósításához szükséges bérköltség útmutató szerint</t>
  </si>
  <si>
    <t>Projektmenedzsment bérköltség útmutató szerint</t>
  </si>
  <si>
    <t>Bérjárulék útmutató szerint</t>
  </si>
  <si>
    <t>56. Bérjárulék - Kutató-fejlesztő munkatárs</t>
  </si>
  <si>
    <t>Bérjárulék - A projekt megvalósításához szükséges bérjárulék útmutató szerint</t>
  </si>
  <si>
    <t>Bérjárulék - Projektmenedzsment bérjárulék útmutató szerint</t>
  </si>
  <si>
    <t>56. Bérjárulék - személyi jellegű egyéb kifizetések</t>
  </si>
  <si>
    <t>A catering szolgáltatás esetében reperezentációs járulékot kell fizetnünk, amelynek mértéke 33,04%  jelenleg.</t>
  </si>
  <si>
    <t>Cataring PITCH DAY május 30.</t>
  </si>
  <si>
    <t>Ösztöndíj kifizetése a hallgatók részére neptun rendszeren keresztül pályázati rendszerben március április és május június két kifizetéssel, április és május hónapban.</t>
  </si>
  <si>
    <t>Zsűritagok 5*50e megbízási szerződéssel külsős szakmai tagok felkérésével.</t>
  </si>
  <si>
    <t>5 fő szakmai megvalósító 2 hónapra tervezve</t>
  </si>
  <si>
    <t>1 fő projektmenedzser bérköltsége 2 hónapra tervezve</t>
  </si>
  <si>
    <t>külső szakértők megbízási díjára jutó bérjárulék (10% ktsghányadra számolva)</t>
  </si>
  <si>
    <t>szakmai megvalósítók bérjáruléka</t>
  </si>
  <si>
    <t>projektmenedzser bérjáruléka</t>
  </si>
  <si>
    <t>A017200250</t>
  </si>
  <si>
    <t>2023.03.01-2023.06.30</t>
  </si>
  <si>
    <t>Reprezentációs járulék</t>
  </si>
  <si>
    <t>2023.03</t>
  </si>
  <si>
    <t>2023.04</t>
  </si>
  <si>
    <t>2023.05</t>
  </si>
  <si>
    <t>2023.06</t>
  </si>
  <si>
    <t>Pölösné Fischer Helga</t>
  </si>
  <si>
    <t>Kötváll</t>
  </si>
  <si>
    <t>Hallgatók</t>
  </si>
  <si>
    <t>2023.03-04</t>
  </si>
  <si>
    <t>2023.05-06</t>
  </si>
  <si>
    <t>Név</t>
  </si>
  <si>
    <t>Terhelés</t>
  </si>
  <si>
    <t>Számfejtés</t>
  </si>
  <si>
    <t>Bér</t>
  </si>
  <si>
    <t>Járulék</t>
  </si>
  <si>
    <t>Hónap</t>
  </si>
  <si>
    <t>Kihagyás</t>
  </si>
  <si>
    <t>Adóazonosító</t>
  </si>
  <si>
    <t>Dolgozó</t>
  </si>
  <si>
    <t>8397461884</t>
  </si>
  <si>
    <t>2023.03-06</t>
  </si>
  <si>
    <t>5356812658</t>
  </si>
  <si>
    <t>Szelényi Gábor Zoltán (ösztöndíjszerződés - nem hallgató)</t>
  </si>
  <si>
    <t>ösztöndíj</t>
  </si>
  <si>
    <t>Hargitai Dávid Máté</t>
  </si>
  <si>
    <t>A021100000</t>
  </si>
  <si>
    <t>8440643195</t>
  </si>
  <si>
    <t>Mészáros Péter</t>
  </si>
  <si>
    <t>A011110000</t>
  </si>
  <si>
    <t>8424730070</t>
  </si>
  <si>
    <t>Dabronaki Priszinger Krisztina</t>
  </si>
  <si>
    <t>8415300263</t>
  </si>
  <si>
    <t>Szigetvári Zsolt</t>
  </si>
  <si>
    <t>A041100000</t>
  </si>
  <si>
    <t>8374523034</t>
  </si>
  <si>
    <t>HSUP/2022 - A017200250</t>
  </si>
  <si>
    <t>4500010790</t>
  </si>
  <si>
    <t>Allegro Cafe Kft.</t>
  </si>
  <si>
    <t>catering szolgáltatás</t>
  </si>
  <si>
    <t>2023.05.30 pitch day rendezvény</t>
  </si>
  <si>
    <t>Alaplevél</t>
  </si>
  <si>
    <t>dátuma</t>
  </si>
  <si>
    <t>Szerződés</t>
  </si>
  <si>
    <t>i</t>
  </si>
  <si>
    <t>600.000 Ft ösztöndíj utólag visszautalva Támogatónak, mert egy hallgató nem vesz részt a projektben.</t>
  </si>
  <si>
    <t>Temesvári Balázs Tamás</t>
  </si>
  <si>
    <t>2023.05.15-2023.05.30</t>
  </si>
  <si>
    <t>8400083091</t>
  </si>
  <si>
    <t>megbízási</t>
  </si>
  <si>
    <t>NR</t>
  </si>
  <si>
    <t>Grancsai Erika</t>
  </si>
  <si>
    <t>8398262206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</si>
</sst>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&quot;Ft&quot;_-;\-* #,##0\ &quot;Ft&quot;_-;_-* &quot;-&quot;??\ &quot;Ft&quot;_-;_-@_-"/>
    <numFmt numFmtId="166" formatCode="_-* #,##0\ _F_t_-;\-* #,##0\ _F_t_-;_-* &quot;-&quot;??\ _F_t_-;_-@_-"/>
    <numFmt numFmtId="167" formatCode="#,##0\ &quot;Ft&quot;"/>
    <numFmt numFmtId="168" formatCode="0.0%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4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0"/>
      <color indexed="8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name val="Times New Roman"/>
      <family val="1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0"/>
      <name val="Arial"/>
      <family val="2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5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164" fontId="12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165" fontId="0" fillId="0" borderId="0" xfId="2" applyNumberFormat="1" applyFont="1"/>
    <xf numFmtId="166" fontId="0" fillId="0" borderId="2" xfId="1" applyNumberFormat="1" applyFont="1" applyBorder="1"/>
    <xf numFmtId="0" fontId="4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/>
    </xf>
    <xf numFmtId="3" fontId="6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3" fontId="8" fillId="3" borderId="4" xfId="0" applyNumberFormat="1" applyFont="1" applyFill="1" applyBorder="1" applyAlignment="1">
      <alignment horizontal="center" vertical="center"/>
    </xf>
    <xf numFmtId="3" fontId="8" fillId="3" borderId="4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3" fontId="9" fillId="4" borderId="4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3" fontId="9" fillId="4" borderId="5" xfId="0" applyNumberFormat="1" applyFont="1" applyFill="1" applyBorder="1" applyAlignment="1">
      <alignment horizontal="center" vertical="center" wrapText="1"/>
    </xf>
    <xf numFmtId="3" fontId="8" fillId="4" borderId="5" xfId="0" applyNumberFormat="1" applyFont="1" applyFill="1" applyBorder="1" applyAlignment="1">
      <alignment horizontal="center" vertical="center" wrapText="1"/>
    </xf>
    <xf numFmtId="49" fontId="8" fillId="4" borderId="5" xfId="0" applyNumberFormat="1" applyFont="1" applyFill="1" applyBorder="1" applyAlignment="1">
      <alignment horizontal="center" vertical="center"/>
    </xf>
    <xf numFmtId="3" fontId="8" fillId="4" borderId="5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3" fontId="9" fillId="4" borderId="6" xfId="0" applyNumberFormat="1" applyFont="1" applyFill="1" applyBorder="1" applyAlignment="1">
      <alignment horizontal="center" vertical="center" wrapText="1"/>
    </xf>
    <xf numFmtId="3" fontId="8" fillId="4" borderId="6" xfId="0" applyNumberFormat="1" applyFon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center" vertical="center"/>
    </xf>
    <xf numFmtId="0" fontId="10" fillId="0" borderId="2" xfId="0" applyFont="1" applyBorder="1"/>
    <xf numFmtId="3" fontId="10" fillId="0" borderId="2" xfId="3" applyNumberFormat="1" applyFont="1" applyFill="1" applyBorder="1" applyAlignment="1" applyProtection="1">
      <alignment horizontal="center" wrapText="1"/>
      <protection locked="0"/>
    </xf>
    <xf numFmtId="3" fontId="10" fillId="0" borderId="2" xfId="0" applyNumberFormat="1" applyFont="1" applyBorder="1" applyAlignment="1">
      <alignment horizontal="left"/>
    </xf>
    <xf numFmtId="3" fontId="7" fillId="0" borderId="2" xfId="3" applyNumberFormat="1" applyFont="1" applyFill="1" applyBorder="1" applyAlignment="1" applyProtection="1">
      <alignment wrapText="1"/>
      <protection locked="0"/>
    </xf>
    <xf numFmtId="3" fontId="7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167" fontId="11" fillId="0" borderId="2" xfId="0" applyNumberFormat="1" applyFont="1" applyBorder="1" applyAlignment="1">
      <alignment wrapText="1"/>
    </xf>
    <xf numFmtId="168" fontId="7" fillId="0" borderId="6" xfId="0" applyNumberFormat="1" applyFont="1" applyBorder="1" applyAlignment="1">
      <alignment horizontal="center"/>
    </xf>
    <xf numFmtId="0" fontId="7" fillId="0" borderId="0" xfId="0" applyFont="1"/>
    <xf numFmtId="10" fontId="7" fillId="0" borderId="2" xfId="0" applyNumberFormat="1" applyFont="1" applyBorder="1" applyAlignment="1">
      <alignment horizontal="center" wrapText="1"/>
    </xf>
    <xf numFmtId="0" fontId="10" fillId="5" borderId="2" xfId="0" applyFont="1" applyFill="1" applyBorder="1"/>
    <xf numFmtId="3" fontId="10" fillId="5" borderId="2" xfId="3" applyNumberFormat="1" applyFont="1" applyFill="1" applyBorder="1" applyAlignment="1" applyProtection="1">
      <alignment horizontal="center" wrapText="1"/>
      <protection locked="0"/>
    </xf>
    <xf numFmtId="3" fontId="10" fillId="5" borderId="2" xfId="0" applyNumberFormat="1" applyFont="1" applyFill="1" applyBorder="1" applyAlignment="1">
      <alignment horizontal="left"/>
    </xf>
    <xf numFmtId="3" fontId="7" fillId="5" borderId="2" xfId="0" applyNumberFormat="1" applyFont="1" applyFill="1" applyBorder="1" applyAlignment="1">
      <alignment wrapText="1"/>
    </xf>
    <xf numFmtId="0" fontId="7" fillId="5" borderId="2" xfId="0" applyFont="1" applyFill="1" applyBorder="1" applyAlignment="1">
      <alignment horizontal="center" wrapText="1"/>
    </xf>
    <xf numFmtId="167" fontId="11" fillId="5" borderId="2" xfId="0" applyNumberFormat="1" applyFont="1" applyFill="1" applyBorder="1" applyAlignment="1">
      <alignment wrapText="1"/>
    </xf>
    <xf numFmtId="10" fontId="7" fillId="5" borderId="2" xfId="0" applyNumberFormat="1" applyFont="1" applyFill="1" applyBorder="1" applyAlignment="1">
      <alignment horizontal="center" wrapText="1"/>
    </xf>
    <xf numFmtId="0" fontId="10" fillId="0" borderId="7" xfId="0" applyFont="1" applyBorder="1"/>
    <xf numFmtId="3" fontId="10" fillId="0" borderId="7" xfId="3" applyNumberFormat="1" applyFont="1" applyFill="1" applyBorder="1" applyAlignment="1" applyProtection="1">
      <alignment horizontal="center" wrapText="1"/>
      <protection locked="0"/>
    </xf>
    <xf numFmtId="3" fontId="7" fillId="0" borderId="7" xfId="4" applyNumberFormat="1" applyFont="1" applyFill="1" applyBorder="1" applyAlignment="1">
      <alignment wrapText="1"/>
    </xf>
    <xf numFmtId="0" fontId="7" fillId="0" borderId="7" xfId="0" applyFont="1" applyBorder="1" applyAlignment="1">
      <alignment horizontal="center" wrapText="1"/>
    </xf>
    <xf numFmtId="167" fontId="11" fillId="0" borderId="7" xfId="0" applyNumberFormat="1" applyFont="1" applyBorder="1" applyAlignment="1">
      <alignment wrapText="1"/>
    </xf>
    <xf numFmtId="10" fontId="7" fillId="0" borderId="7" xfId="0" applyNumberFormat="1" applyFont="1" applyBorder="1" applyAlignment="1">
      <alignment horizontal="center" wrapText="1"/>
    </xf>
    <xf numFmtId="0" fontId="13" fillId="0" borderId="2" xfId="0" applyFont="1" applyBorder="1"/>
    <xf numFmtId="3" fontId="7" fillId="0" borderId="2" xfId="3" applyNumberFormat="1" applyFont="1" applyFill="1" applyBorder="1" applyAlignment="1" applyProtection="1">
      <alignment horizontal="center" wrapText="1"/>
      <protection locked="0"/>
    </xf>
    <xf numFmtId="0" fontId="7" fillId="0" borderId="2" xfId="0" applyFont="1" applyBorder="1"/>
    <xf numFmtId="3" fontId="14" fillId="0" borderId="2" xfId="0" applyNumberFormat="1" applyFont="1" applyBorder="1" applyAlignment="1">
      <alignment wrapText="1"/>
    </xf>
    <xf numFmtId="9" fontId="14" fillId="0" borderId="2" xfId="0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167" fontId="15" fillId="0" borderId="2" xfId="0" applyNumberFormat="1" applyFont="1" applyBorder="1" applyAlignment="1">
      <alignment wrapText="1"/>
    </xf>
    <xf numFmtId="10" fontId="14" fillId="0" borderId="2" xfId="0" applyNumberFormat="1" applyFont="1" applyBorder="1" applyAlignment="1">
      <alignment horizontal="center" wrapText="1"/>
    </xf>
    <xf numFmtId="3" fontId="0" fillId="0" borderId="0" xfId="0" applyNumberFormat="1"/>
    <xf numFmtId="3" fontId="10" fillId="0" borderId="7" xfId="0" applyNumberFormat="1" applyFont="1" applyBorder="1" applyAlignment="1">
      <alignment horizontal="left"/>
    </xf>
    <xf numFmtId="3" fontId="7" fillId="0" borderId="7" xfId="0" applyNumberFormat="1" applyFont="1" applyBorder="1" applyAlignment="1">
      <alignment wrapText="1"/>
    </xf>
    <xf numFmtId="14" fontId="0" fillId="0" borderId="0" xfId="0" applyNumberFormat="1"/>
    <xf numFmtId="0" fontId="17" fillId="0" borderId="2" xfId="0" applyFont="1" applyBorder="1" applyAlignment="1">
      <alignment horizontal="center"/>
    </xf>
    <xf numFmtId="0" fontId="18" fillId="0" borderId="2" xfId="0" applyFont="1" applyBorder="1"/>
    <xf numFmtId="3" fontId="18" fillId="0" borderId="2" xfId="0" applyNumberFormat="1" applyFont="1" applyBorder="1"/>
    <xf numFmtId="166" fontId="0" fillId="0" borderId="0" xfId="4" applyNumberFormat="1" applyFont="1" applyFill="1"/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166" fontId="3" fillId="0" borderId="9" xfId="4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0" xfId="4" applyNumberFormat="1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19" fillId="0" borderId="14" xfId="0" applyFont="1" applyBorder="1" applyAlignment="1">
      <alignment vertical="center" wrapText="1"/>
    </xf>
    <xf numFmtId="49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166" fontId="0" fillId="0" borderId="14" xfId="4" applyNumberFormat="1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166" fontId="3" fillId="0" borderId="0" xfId="4" applyNumberFormat="1" applyFont="1" applyFill="1"/>
    <xf numFmtId="3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167" fontId="11" fillId="0" borderId="6" xfId="0" applyNumberFormat="1" applyFont="1" applyBorder="1" applyAlignment="1">
      <alignment wrapText="1"/>
    </xf>
    <xf numFmtId="0" fontId="0" fillId="0" borderId="0" xfId="0" quotePrefix="1"/>
    <xf numFmtId="168" fontId="7" fillId="0" borderId="2" xfId="6" applyNumberFormat="1" applyFont="1" applyFill="1" applyBorder="1" applyAlignment="1">
      <alignment horizontal="center" wrapText="1"/>
    </xf>
    <xf numFmtId="168" fontId="7" fillId="0" borderId="7" xfId="6" applyNumberFormat="1" applyFont="1" applyFill="1" applyBorder="1" applyAlignment="1">
      <alignment horizontal="center" wrapText="1"/>
    </xf>
    <xf numFmtId="10" fontId="7" fillId="0" borderId="6" xfId="6" applyNumberFormat="1" applyFont="1" applyFill="1" applyBorder="1" applyAlignment="1">
      <alignment wrapText="1"/>
    </xf>
    <xf numFmtId="167" fontId="7" fillId="0" borderId="6" xfId="0" applyNumberFormat="1" applyFont="1" applyBorder="1" applyAlignment="1">
      <alignment wrapText="1"/>
    </xf>
    <xf numFmtId="167" fontId="7" fillId="5" borderId="2" xfId="0" applyNumberFormat="1" applyFont="1" applyFill="1" applyBorder="1" applyAlignment="1">
      <alignment wrapText="1"/>
    </xf>
    <xf numFmtId="0" fontId="3" fillId="0" borderId="0" xfId="0" applyFont="1" applyAlignment="1">
      <alignment horizontal="center"/>
    </xf>
    <xf numFmtId="3" fontId="10" fillId="0" borderId="2" xfId="3" quotePrefix="1" applyNumberFormat="1" applyFont="1" applyFill="1" applyBorder="1" applyAlignment="1" applyProtection="1">
      <alignment horizontal="center" wrapText="1"/>
      <protection locked="0"/>
    </xf>
    <xf numFmtId="49" fontId="7" fillId="0" borderId="6" xfId="6" applyNumberFormat="1" applyFont="1" applyFill="1" applyBorder="1" applyAlignment="1">
      <alignment wrapText="1"/>
    </xf>
    <xf numFmtId="10" fontId="7" fillId="0" borderId="6" xfId="6" applyNumberFormat="1" applyFont="1" applyFill="1" applyBorder="1" applyAlignment="1">
      <alignment horizontal="center" wrapText="1"/>
    </xf>
    <xf numFmtId="14" fontId="7" fillId="0" borderId="6" xfId="6" applyNumberFormat="1" applyFont="1" applyFill="1" applyBorder="1" applyAlignment="1">
      <alignment horizontal="center" wrapText="1"/>
    </xf>
    <xf numFmtId="167" fontId="7" fillId="0" borderId="6" xfId="0" applyNumberFormat="1" applyFont="1" applyBorder="1" applyAlignment="1">
      <alignment horizontal="center" wrapText="1"/>
    </xf>
    <xf numFmtId="167" fontId="7" fillId="5" borderId="2" xfId="0" applyNumberFormat="1" applyFont="1" applyFill="1" applyBorder="1" applyAlignment="1">
      <alignment horizontal="center" wrapText="1"/>
    </xf>
    <xf numFmtId="167" fontId="7" fillId="0" borderId="7" xfId="0" applyNumberFormat="1" applyFont="1" applyBorder="1" applyAlignment="1">
      <alignment horizontal="center" wrapText="1"/>
    </xf>
    <xf numFmtId="167" fontId="7" fillId="0" borderId="2" xfId="0" applyNumberFormat="1" applyFont="1" applyBorder="1" applyAlignment="1">
      <alignment horizontal="center" wrapText="1"/>
    </xf>
    <xf numFmtId="167" fontId="15" fillId="0" borderId="2" xfId="0" applyNumberFormat="1" applyFont="1" applyBorder="1" applyAlignment="1">
      <alignment horizontal="center" wrapText="1"/>
    </xf>
    <xf numFmtId="14" fontId="7" fillId="0" borderId="12" xfId="0" applyNumberFormat="1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10" fontId="7" fillId="0" borderId="2" xfId="6" applyNumberFormat="1" applyFont="1" applyFill="1" applyBorder="1" applyAlignment="1">
      <alignment horizontal="center" wrapText="1"/>
    </xf>
    <xf numFmtId="0" fontId="21" fillId="0" borderId="3" xfId="0" applyFont="1" applyBorder="1" applyAlignment="1">
      <alignment horizontal="center" vertical="center" wrapText="1"/>
    </xf>
  </cellXfs>
  <cellStyles count="7">
    <cellStyle name="Bevitel" xfId="3" builtinId="20"/>
    <cellStyle name="Ezres" xfId="1" builtinId="3"/>
    <cellStyle name="Ezres 2" xfId="4" xr:uid="{00000000-0005-0000-0000-000002000000}"/>
    <cellStyle name="Normál" xfId="0" builtinId="0"/>
    <cellStyle name="Normál 2" xfId="5" xr:uid="{00000000-0005-0000-0000-000004000000}"/>
    <cellStyle name="Pénznem" xfId="2" builtinId="4"/>
    <cellStyle name="Százalék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H24"/>
  <sheetViews>
    <sheetView tabSelected="1" workbookViewId="0">
      <selection activeCell="H16" sqref="H16"/>
    </sheetView>
  </sheetViews>
  <sheetFormatPr defaultRowHeight="15" x14ac:dyDescent="0.25"/>
  <cols>
    <col min="1" max="1" width="22.5703125" customWidth="1"/>
    <col min="2" max="2" width="35" customWidth="1"/>
    <col min="3" max="3" width="34" customWidth="1"/>
    <col min="4" max="4" width="19" customWidth="1"/>
    <col min="5" max="5" width="22.28515625" customWidth="1"/>
    <col min="6" max="6" width="23.85546875" customWidth="1"/>
    <col min="7" max="7" width="17.42578125" customWidth="1"/>
    <col min="8" max="8" width="77.85546875" customWidth="1"/>
  </cols>
  <sheetData>
    <row r="1" spans="1:8" x14ac:dyDescent="0.25">
      <c r="A1" t="s">
        <v>3</v>
      </c>
    </row>
    <row r="2" spans="1:8" x14ac:dyDescent="0.25">
      <c r="A2" t="s">
        <v>1</v>
      </c>
      <c r="B2" t="s">
        <v>33</v>
      </c>
    </row>
    <row r="3" spans="1:8" x14ac:dyDescent="0.25">
      <c r="A3" t="s">
        <v>4</v>
      </c>
      <c r="B3" t="s">
        <v>34</v>
      </c>
    </row>
    <row r="4" spans="1:8" x14ac:dyDescent="0.25">
      <c r="A4" t="s">
        <v>35</v>
      </c>
      <c r="B4" t="s">
        <v>36</v>
      </c>
    </row>
    <row r="5" spans="1:8" x14ac:dyDescent="0.25">
      <c r="A5" t="s">
        <v>0</v>
      </c>
      <c r="B5" s="1">
        <v>19440000</v>
      </c>
    </row>
    <row r="6" spans="1:8" x14ac:dyDescent="0.25">
      <c r="A6" t="s">
        <v>2</v>
      </c>
      <c r="B6" t="s">
        <v>88</v>
      </c>
    </row>
    <row r="7" spans="1:8" x14ac:dyDescent="0.25">
      <c r="A7" t="s">
        <v>5</v>
      </c>
      <c r="B7" t="s">
        <v>89</v>
      </c>
    </row>
    <row r="9" spans="1:8" x14ac:dyDescent="0.25">
      <c r="A9" t="s">
        <v>32</v>
      </c>
      <c r="B9" s="1"/>
      <c r="C9" s="1"/>
      <c r="D9" s="1"/>
      <c r="E9" s="1"/>
      <c r="F9" s="1"/>
      <c r="G9" s="1"/>
      <c r="H9" s="90">
        <f>SUM(B9:G9)</f>
        <v>0</v>
      </c>
    </row>
    <row r="10" spans="1:8" x14ac:dyDescent="0.25">
      <c r="B10" s="63"/>
      <c r="C10" s="63"/>
      <c r="D10" s="63"/>
      <c r="E10" s="63"/>
      <c r="H10" s="91" t="s">
        <v>60</v>
      </c>
    </row>
    <row r="12" spans="1:8" x14ac:dyDescent="0.25">
      <c r="A12" s="64" t="s">
        <v>38</v>
      </c>
      <c r="B12" s="64" t="s">
        <v>39</v>
      </c>
      <c r="C12" s="64" t="s">
        <v>40</v>
      </c>
      <c r="D12" s="64" t="s">
        <v>41</v>
      </c>
      <c r="E12" s="64" t="s">
        <v>7</v>
      </c>
      <c r="F12" s="64" t="s">
        <v>8</v>
      </c>
      <c r="G12" s="64" t="s">
        <v>9</v>
      </c>
      <c r="H12" s="64" t="s">
        <v>51</v>
      </c>
    </row>
    <row r="13" spans="1:8" x14ac:dyDescent="0.25">
      <c r="A13" s="65" t="s">
        <v>42</v>
      </c>
      <c r="B13" s="65" t="s">
        <v>42</v>
      </c>
      <c r="C13" s="65" t="s">
        <v>43</v>
      </c>
      <c r="D13" s="66">
        <v>499999</v>
      </c>
      <c r="E13" s="2">
        <f>SUMIFS(Dologi_felham.!$F$3:$F$11,Dologi_felham.!$B$3:$B$11,$C13,Dologi_felham.!$G$3:$G$11,"Tény")</f>
        <v>0</v>
      </c>
      <c r="F13" s="2">
        <f>SUMIFS(Dologi_felham.!$F$3:$F$11,Dologi_felham.!$B$3:$B$11,$C13,Dologi_felham.!$G$3:$G$11,"Kötváll")</f>
        <v>499999</v>
      </c>
      <c r="G13" s="2">
        <f>D13-E13-F13</f>
        <v>0</v>
      </c>
      <c r="H13" s="65" t="s">
        <v>80</v>
      </c>
    </row>
    <row r="14" spans="1:8" x14ac:dyDescent="0.25">
      <c r="A14" s="65" t="s">
        <v>48</v>
      </c>
      <c r="B14" s="65" t="s">
        <v>78</v>
      </c>
      <c r="C14" s="65" t="s">
        <v>90</v>
      </c>
      <c r="D14" s="66">
        <v>165199.66960000002</v>
      </c>
      <c r="E14" s="2">
        <f>SUMIFS(Dologi_felham.!$F$3:$F$11,Dologi_felham.!$B$3:$B$11,$C14,Dologi_felham.!$G$3:$G$11,"Tény")</f>
        <v>0</v>
      </c>
      <c r="F14" s="2">
        <f>SUMIFS(Dologi_felham.!$F$3:$F$11,Dologi_felham.!$B$3:$B$11,$C14,Dologi_felham.!$G$3:$G$11,"Kötváll")</f>
        <v>0</v>
      </c>
      <c r="G14" s="2">
        <f>D14-E14-F14</f>
        <v>165199.66960000002</v>
      </c>
      <c r="H14" s="65" t="s">
        <v>79</v>
      </c>
    </row>
    <row r="15" spans="1:8" x14ac:dyDescent="0.25">
      <c r="A15" s="65" t="s">
        <v>44</v>
      </c>
      <c r="B15" s="65" t="s">
        <v>45</v>
      </c>
      <c r="C15" s="65" t="s">
        <v>46</v>
      </c>
      <c r="D15" s="66">
        <f>16200000-600000</f>
        <v>15600000</v>
      </c>
      <c r="E15" s="2">
        <f>SUMIFS(Bérköltség!$L$6:$L$33,Bérköltség!$B$6:$B$33,$C15,Bérköltség!$F$6:$F$33,"Tény")</f>
        <v>15600000</v>
      </c>
      <c r="F15" s="2">
        <f>SUMIFS(Bérköltség!$L$6:$L$33,Bérköltség!$B$6:$B$33,$C15,Bérköltség!$F$6:$F$33,"Kötváll")</f>
        <v>0</v>
      </c>
      <c r="G15" s="2">
        <f t="shared" ref="G15:G21" si="0">D15-E15-F15</f>
        <v>0</v>
      </c>
      <c r="H15" s="65" t="s">
        <v>81</v>
      </c>
    </row>
    <row r="16" spans="1:8" x14ac:dyDescent="0.25">
      <c r="A16" s="65" t="s">
        <v>44</v>
      </c>
      <c r="B16" s="65" t="s">
        <v>45</v>
      </c>
      <c r="C16" s="65" t="s">
        <v>70</v>
      </c>
      <c r="D16" s="66">
        <v>250000</v>
      </c>
      <c r="E16" s="2">
        <f>SUMIFS(Bérköltség!$L$6:$L$33,Bérköltség!$B$6:$B$33,$C16,Bérköltség!$F$6:$F$33,"Tény")</f>
        <v>0</v>
      </c>
      <c r="F16" s="2">
        <f>SUMIFS(Bérköltség!$L$6:$L$33,Bérköltség!$B$6:$B$33,$C16,Bérköltség!$F$6:$F$33,"Kötváll")</f>
        <v>100000</v>
      </c>
      <c r="G16" s="2">
        <f t="shared" si="0"/>
        <v>150000</v>
      </c>
      <c r="H16" s="65" t="s">
        <v>82</v>
      </c>
    </row>
    <row r="17" spans="1:8" x14ac:dyDescent="0.25">
      <c r="A17" s="65" t="s">
        <v>44</v>
      </c>
      <c r="B17" s="65" t="s">
        <v>71</v>
      </c>
      <c r="C17" s="65" t="s">
        <v>72</v>
      </c>
      <c r="D17" s="66">
        <v>1531461</v>
      </c>
      <c r="E17" s="2">
        <f>SUMIFS(Bérköltség!$L$6:$L$33,Bérköltség!$B$6:$B$33,$C17,Bérköltség!$F$6:$F$33,"Tény")</f>
        <v>0</v>
      </c>
      <c r="F17" s="2">
        <f>SUMIFS(Bérköltség!$L$6:$L$33,Bérköltség!$B$6:$B$33,$C17,Bérköltség!$F$6:$F$33,"Kötváll")</f>
        <v>1207665</v>
      </c>
      <c r="G17" s="2">
        <f t="shared" si="0"/>
        <v>323796</v>
      </c>
      <c r="H17" s="65" t="s">
        <v>83</v>
      </c>
    </row>
    <row r="18" spans="1:8" x14ac:dyDescent="0.25">
      <c r="A18" s="65" t="s">
        <v>44</v>
      </c>
      <c r="B18" s="65" t="s">
        <v>47</v>
      </c>
      <c r="C18" s="65" t="s">
        <v>73</v>
      </c>
      <c r="D18" s="66">
        <v>500000</v>
      </c>
      <c r="E18" s="2">
        <f>SUMIFS(Bérköltség!$L$6:$L$33,Bérköltség!$B$6:$B$33,$C18,Bérköltség!$F$6:$F$33,"Tény")</f>
        <v>0</v>
      </c>
      <c r="F18" s="2">
        <f>SUMIFS(Bérköltség!$L$6:$L$33,Bérköltség!$B$6:$B$33,$C18,Bérköltség!$F$6:$F$33,"Kötváll")</f>
        <v>500000</v>
      </c>
      <c r="G18" s="2">
        <f t="shared" si="0"/>
        <v>0</v>
      </c>
      <c r="H18" s="65" t="s">
        <v>84</v>
      </c>
    </row>
    <row r="19" spans="1:8" x14ac:dyDescent="0.25">
      <c r="A19" s="65" t="s">
        <v>48</v>
      </c>
      <c r="B19" s="65" t="s">
        <v>49</v>
      </c>
      <c r="C19" s="65" t="s">
        <v>74</v>
      </c>
      <c r="D19" s="66">
        <v>29250</v>
      </c>
      <c r="E19" s="2">
        <f>SUMIFS(Bérköltség!$M$6:$M$33,Bérköltség!$B$6:$B$33,$C16,Bérköltség!$F$6:$F$33,"Tény")</f>
        <v>0</v>
      </c>
      <c r="F19" s="2">
        <f>SUMIFS(Bérköltség!$M$6:$M$33,Bérköltség!$B$6:$B$33,$C16,Bérköltség!$F$6:$F$33,"Kötváll")</f>
        <v>13000</v>
      </c>
      <c r="G19" s="2">
        <f t="shared" si="0"/>
        <v>16250</v>
      </c>
      <c r="H19" s="65" t="s">
        <v>85</v>
      </c>
    </row>
    <row r="20" spans="1:8" x14ac:dyDescent="0.25">
      <c r="A20" s="65" t="s">
        <v>48</v>
      </c>
      <c r="B20" s="65" t="s">
        <v>75</v>
      </c>
      <c r="C20" s="65" t="s">
        <v>76</v>
      </c>
      <c r="D20" s="66">
        <v>199089.93000000002</v>
      </c>
      <c r="E20" s="2">
        <f>SUMIFS(Bérköltség!$M$6:$M$33,Bérköltség!$B$6:$B$33,$C17,Bérköltség!$F$6:$F$33,"Tény")</f>
        <v>0</v>
      </c>
      <c r="F20" s="2">
        <f>SUMIFS(Bérköltség!$M$6:$M$33,Bérköltség!$B$6:$B$33,$C17,Bérköltség!$F$6:$F$33,"Kötváll")</f>
        <v>156997</v>
      </c>
      <c r="G20" s="2">
        <f t="shared" si="0"/>
        <v>42092.930000000022</v>
      </c>
      <c r="H20" s="65" t="s">
        <v>86</v>
      </c>
    </row>
    <row r="21" spans="1:8" x14ac:dyDescent="0.25">
      <c r="A21" s="65" t="s">
        <v>48</v>
      </c>
      <c r="B21" s="65" t="s">
        <v>50</v>
      </c>
      <c r="C21" s="65" t="s">
        <v>77</v>
      </c>
      <c r="D21" s="66">
        <v>65000</v>
      </c>
      <c r="E21" s="2">
        <f>SUMIFS(Bérköltség!$M$6:$M$33,Bérköltség!$B$6:$B$33,$C18,Bérköltség!$F$6:$F$33,"Tény")</f>
        <v>0</v>
      </c>
      <c r="F21" s="2">
        <f>SUMIFS(Bérköltség!$M$6:$M$33,Bérköltség!$B$6:$B$33,$C18,Bérköltség!$F$6:$F$33,"Kötváll")</f>
        <v>65000</v>
      </c>
      <c r="G21" s="2">
        <f t="shared" si="0"/>
        <v>0</v>
      </c>
      <c r="H21" s="65" t="s">
        <v>87</v>
      </c>
    </row>
    <row r="22" spans="1:8" x14ac:dyDescent="0.25">
      <c r="D22" s="89">
        <f>SUM(D13:D21)</f>
        <v>18839999.599600002</v>
      </c>
      <c r="E22" s="89">
        <f t="shared" ref="E22:G22" si="1">SUM(E13:E21)</f>
        <v>15600000</v>
      </c>
      <c r="F22" s="89">
        <f t="shared" si="1"/>
        <v>2542661</v>
      </c>
      <c r="G22" s="89">
        <f t="shared" si="1"/>
        <v>697338.59960000007</v>
      </c>
    </row>
    <row r="24" spans="1:8" x14ac:dyDescent="0.25">
      <c r="D24" t="s">
        <v>134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S34"/>
  <sheetViews>
    <sheetView zoomScaleNormal="100" workbookViewId="0">
      <pane ySplit="5" topLeftCell="A6" activePane="bottomLeft" state="frozen"/>
      <selection pane="bottomLeft" activeCell="A19" sqref="A19"/>
    </sheetView>
  </sheetViews>
  <sheetFormatPr defaultRowHeight="15" x14ac:dyDescent="0.25"/>
  <cols>
    <col min="1" max="1" width="22.85546875" customWidth="1"/>
    <col min="2" max="2" width="33.7109375" customWidth="1"/>
    <col min="3" max="3" width="15.7109375" bestFit="1" customWidth="1"/>
    <col min="4" max="4" width="16.85546875" customWidth="1"/>
    <col min="5" max="5" width="22.5703125" style="6" customWidth="1"/>
    <col min="6" max="6" width="11.140625" customWidth="1"/>
    <col min="7" max="7" width="11.85546875" style="60" customWidth="1"/>
    <col min="8" max="8" width="10.7109375" style="60" customWidth="1"/>
    <col min="9" max="9" width="11.140625" style="6" customWidth="1"/>
    <col min="10" max="11" width="11" style="7" customWidth="1"/>
    <col min="12" max="12" width="13.85546875" style="8" customWidth="1"/>
    <col min="13" max="17" width="14.5703125" style="8" customWidth="1"/>
    <col min="18" max="18" width="10.5703125" style="6" customWidth="1"/>
  </cols>
  <sheetData>
    <row r="1" spans="1:19" x14ac:dyDescent="0.25">
      <c r="A1" t="s">
        <v>100</v>
      </c>
      <c r="C1" t="s">
        <v>101</v>
      </c>
      <c r="D1" t="s">
        <v>102</v>
      </c>
      <c r="E1" s="6" t="s">
        <v>105</v>
      </c>
      <c r="L1" s="8" t="s">
        <v>103</v>
      </c>
      <c r="M1" s="8" t="s">
        <v>104</v>
      </c>
      <c r="Q1" s="8" t="s">
        <v>107</v>
      </c>
      <c r="S1" t="s">
        <v>106</v>
      </c>
    </row>
    <row r="2" spans="1:19" ht="18.75" x14ac:dyDescent="0.3">
      <c r="A2" s="112" t="s">
        <v>125</v>
      </c>
      <c r="B2" s="112"/>
      <c r="C2" s="112"/>
      <c r="D2" s="112"/>
      <c r="E2" s="112"/>
      <c r="F2" s="3"/>
      <c r="G2" s="4"/>
      <c r="H2" s="5"/>
    </row>
    <row r="3" spans="1:19" ht="15" customHeight="1" x14ac:dyDescent="0.25">
      <c r="A3" s="9" t="s">
        <v>10</v>
      </c>
      <c r="B3" s="9"/>
      <c r="C3" s="9"/>
      <c r="D3" s="9"/>
      <c r="E3" s="10"/>
      <c r="F3" s="11"/>
      <c r="G3" s="12"/>
      <c r="H3" s="13"/>
      <c r="I3" s="14" t="s">
        <v>11</v>
      </c>
      <c r="J3" s="14" t="s">
        <v>12</v>
      </c>
      <c r="K3" s="14"/>
      <c r="L3" s="15"/>
      <c r="M3" s="15"/>
      <c r="N3" s="15"/>
      <c r="O3" s="15"/>
      <c r="P3" s="15"/>
      <c r="Q3" s="15"/>
      <c r="R3" s="14" t="s">
        <v>13</v>
      </c>
    </row>
    <row r="4" spans="1:19" ht="24.75" customHeight="1" x14ac:dyDescent="0.25">
      <c r="A4" s="16" t="s">
        <v>14</v>
      </c>
      <c r="B4" s="16" t="s">
        <v>53</v>
      </c>
      <c r="C4" s="16" t="s">
        <v>67</v>
      </c>
      <c r="D4" s="17" t="s">
        <v>15</v>
      </c>
      <c r="E4" s="17" t="s">
        <v>16</v>
      </c>
      <c r="F4" s="17" t="s">
        <v>6</v>
      </c>
      <c r="G4" s="18" t="s">
        <v>17</v>
      </c>
      <c r="H4" s="19" t="s">
        <v>18</v>
      </c>
      <c r="I4" s="20" t="s">
        <v>19</v>
      </c>
      <c r="J4" s="21" t="s">
        <v>20</v>
      </c>
      <c r="K4" s="21" t="s">
        <v>63</v>
      </c>
      <c r="L4" s="22" t="s">
        <v>20</v>
      </c>
      <c r="M4" s="22" t="s">
        <v>20</v>
      </c>
      <c r="N4" s="22" t="s">
        <v>61</v>
      </c>
      <c r="O4" s="22" t="s">
        <v>130</v>
      </c>
      <c r="P4" s="22" t="s">
        <v>132</v>
      </c>
      <c r="Q4" s="22" t="s">
        <v>108</v>
      </c>
      <c r="R4" s="22" t="s">
        <v>21</v>
      </c>
    </row>
    <row r="5" spans="1:19" ht="18.75" customHeight="1" x14ac:dyDescent="0.25">
      <c r="A5" s="23" t="s">
        <v>22</v>
      </c>
      <c r="B5" s="23"/>
      <c r="C5" s="23" t="s">
        <v>68</v>
      </c>
      <c r="D5" s="23" t="s">
        <v>23</v>
      </c>
      <c r="E5" s="24" t="s">
        <v>24</v>
      </c>
      <c r="F5" s="24" t="s">
        <v>25</v>
      </c>
      <c r="G5" s="25" t="s">
        <v>26</v>
      </c>
      <c r="H5" s="26"/>
      <c r="I5" s="27" t="s">
        <v>27</v>
      </c>
      <c r="J5" s="28" t="s">
        <v>27</v>
      </c>
      <c r="K5" s="28" t="s">
        <v>64</v>
      </c>
      <c r="L5" s="27" t="s">
        <v>17</v>
      </c>
      <c r="M5" s="27" t="s">
        <v>28</v>
      </c>
      <c r="N5" s="27" t="s">
        <v>62</v>
      </c>
      <c r="O5" s="27" t="s">
        <v>131</v>
      </c>
      <c r="P5" s="27" t="s">
        <v>66</v>
      </c>
      <c r="Q5" s="27" t="s">
        <v>107</v>
      </c>
      <c r="R5" s="27" t="s">
        <v>29</v>
      </c>
    </row>
    <row r="6" spans="1:19" s="37" customFormat="1" x14ac:dyDescent="0.25">
      <c r="A6" s="29"/>
      <c r="B6" s="29"/>
      <c r="C6" s="29"/>
      <c r="D6" s="30"/>
      <c r="E6" s="30"/>
      <c r="F6" s="31"/>
      <c r="G6" s="32"/>
      <c r="H6" s="33">
        <f>ROUND(G6*$R$6,0)</f>
        <v>0</v>
      </c>
      <c r="I6" s="34"/>
      <c r="J6" s="34"/>
      <c r="K6" s="111" t="e">
        <f>J6/I6</f>
        <v>#DIV/0!</v>
      </c>
      <c r="L6" s="35" t="e">
        <f>ROUND(G6*K6,0)</f>
        <v>#DIV/0!</v>
      </c>
      <c r="M6" s="35" t="e">
        <f>ROUND(L6*R6,0)</f>
        <v>#DIV/0!</v>
      </c>
      <c r="N6" s="96" t="e">
        <f>(L6/G6)-K6</f>
        <v>#DIV/0!</v>
      </c>
      <c r="O6" s="102"/>
      <c r="P6" s="102"/>
      <c r="Q6" s="101"/>
      <c r="R6" s="36">
        <v>0.13</v>
      </c>
    </row>
    <row r="7" spans="1:19" s="37" customFormat="1" x14ac:dyDescent="0.25">
      <c r="A7" s="29" t="s">
        <v>120</v>
      </c>
      <c r="B7" s="29" t="s">
        <v>72</v>
      </c>
      <c r="C7" s="29" t="s">
        <v>37</v>
      </c>
      <c r="D7" s="30" t="s">
        <v>118</v>
      </c>
      <c r="E7" s="30" t="s">
        <v>94</v>
      </c>
      <c r="F7" s="31" t="s">
        <v>96</v>
      </c>
      <c r="G7" s="32">
        <v>746100</v>
      </c>
      <c r="H7" s="33">
        <f t="shared" ref="H7" si="0">ROUND(G7*$R$6,0)</f>
        <v>96993</v>
      </c>
      <c r="I7" s="34">
        <v>174</v>
      </c>
      <c r="J7" s="34">
        <v>77</v>
      </c>
      <c r="K7" s="111">
        <f t="shared" ref="K7" si="1">J7/I7</f>
        <v>0.44252873563218392</v>
      </c>
      <c r="L7" s="35">
        <f>ROUND(G7*K7,0)</f>
        <v>330171</v>
      </c>
      <c r="M7" s="35">
        <f t="shared" ref="M7" si="2">ROUND(L7*R7,0)</f>
        <v>42922</v>
      </c>
      <c r="N7" s="96">
        <f t="shared" ref="N7" si="3">K7-(L7/G7)</f>
        <v>-4.15956075028312E-7</v>
      </c>
      <c r="O7" s="103">
        <v>45065</v>
      </c>
      <c r="P7" s="103"/>
      <c r="Q7" s="101" t="s">
        <v>121</v>
      </c>
      <c r="R7" s="36">
        <v>0.13</v>
      </c>
    </row>
    <row r="8" spans="1:19" s="37" customFormat="1" x14ac:dyDescent="0.25">
      <c r="A8" s="29" t="s">
        <v>114</v>
      </c>
      <c r="B8" s="29" t="s">
        <v>72</v>
      </c>
      <c r="C8" s="29" t="s">
        <v>37</v>
      </c>
      <c r="D8" s="30" t="s">
        <v>115</v>
      </c>
      <c r="E8" s="30" t="s">
        <v>94</v>
      </c>
      <c r="F8" s="31" t="s">
        <v>96</v>
      </c>
      <c r="G8" s="32">
        <v>980000</v>
      </c>
      <c r="H8" s="33">
        <f t="shared" ref="H8" si="4">ROUND(G8*$R$6,0)</f>
        <v>127400</v>
      </c>
      <c r="I8" s="34">
        <v>174</v>
      </c>
      <c r="J8" s="34">
        <v>59</v>
      </c>
      <c r="K8" s="111">
        <f t="shared" ref="K8" si="5">J8/I8</f>
        <v>0.33908045977011492</v>
      </c>
      <c r="L8" s="35">
        <f>ROUND(G8*K8,0)</f>
        <v>332299</v>
      </c>
      <c r="M8" s="35">
        <f t="shared" ref="M8" si="6">ROUND(L8*R8,0)</f>
        <v>43199</v>
      </c>
      <c r="N8" s="96">
        <f t="shared" ref="N8" si="7">K8-(L8/G8)</f>
        <v>-1.5247478302171658E-7</v>
      </c>
      <c r="O8" s="103">
        <v>45062</v>
      </c>
      <c r="P8" s="103"/>
      <c r="Q8" s="101" t="s">
        <v>116</v>
      </c>
      <c r="R8" s="36">
        <v>0.13</v>
      </c>
    </row>
    <row r="9" spans="1:19" s="37" customFormat="1" x14ac:dyDescent="0.25">
      <c r="A9" s="29" t="s">
        <v>117</v>
      </c>
      <c r="B9" s="29" t="s">
        <v>72</v>
      </c>
      <c r="C9" s="29" t="s">
        <v>37</v>
      </c>
      <c r="D9" s="30" t="s">
        <v>118</v>
      </c>
      <c r="E9" s="30" t="s">
        <v>94</v>
      </c>
      <c r="F9" s="31" t="s">
        <v>96</v>
      </c>
      <c r="G9" s="32">
        <v>663100</v>
      </c>
      <c r="H9" s="33">
        <f t="shared" ref="H9" si="8">ROUND(G9*$R$6,0)</f>
        <v>86203</v>
      </c>
      <c r="I9" s="34">
        <v>174</v>
      </c>
      <c r="J9" s="34">
        <v>87</v>
      </c>
      <c r="K9" s="111">
        <f t="shared" ref="K9" si="9">J9/I9</f>
        <v>0.5</v>
      </c>
      <c r="L9" s="35">
        <f>ROUND(G9*K9,0)</f>
        <v>331550</v>
      </c>
      <c r="M9" s="35">
        <f t="shared" ref="M9" si="10">ROUND(L9*R9,0)</f>
        <v>43102</v>
      </c>
      <c r="N9" s="96">
        <f t="shared" ref="N9" si="11">K9-(L9/G9)</f>
        <v>0</v>
      </c>
      <c r="O9" s="103">
        <v>45064</v>
      </c>
      <c r="P9" s="103"/>
      <c r="Q9" s="101" t="s">
        <v>119</v>
      </c>
      <c r="R9" s="36">
        <v>0.13</v>
      </c>
    </row>
    <row r="10" spans="1:19" s="37" customFormat="1" x14ac:dyDescent="0.25">
      <c r="A10" s="29" t="s">
        <v>95</v>
      </c>
      <c r="B10" s="29" t="s">
        <v>73</v>
      </c>
      <c r="C10" s="29" t="s">
        <v>37</v>
      </c>
      <c r="D10" s="30" t="s">
        <v>65</v>
      </c>
      <c r="E10" s="30" t="s">
        <v>93</v>
      </c>
      <c r="F10" s="31" t="s">
        <v>96</v>
      </c>
      <c r="G10" s="32">
        <v>840000</v>
      </c>
      <c r="H10" s="33">
        <f>ROUND(G10*$R$6,0)</f>
        <v>109200</v>
      </c>
      <c r="I10" s="34">
        <v>174</v>
      </c>
      <c r="J10" s="34">
        <v>52</v>
      </c>
      <c r="K10" s="111">
        <f>J10/I10</f>
        <v>0.2988505747126437</v>
      </c>
      <c r="L10" s="35">
        <v>250000</v>
      </c>
      <c r="M10" s="35">
        <f>ROUND(L10*R10,0)</f>
        <v>32500</v>
      </c>
      <c r="N10" s="96">
        <f>K10-(L10/G10)</f>
        <v>1.2315270935960854E-3</v>
      </c>
      <c r="O10" s="103"/>
      <c r="P10" s="103" t="s">
        <v>133</v>
      </c>
      <c r="Q10" s="101" t="s">
        <v>109</v>
      </c>
      <c r="R10" s="36">
        <v>0.13</v>
      </c>
    </row>
    <row r="11" spans="1:19" s="37" customFormat="1" x14ac:dyDescent="0.25">
      <c r="A11" s="29" t="s">
        <v>95</v>
      </c>
      <c r="B11" s="29" t="s">
        <v>73</v>
      </c>
      <c r="C11" s="29" t="s">
        <v>37</v>
      </c>
      <c r="D11" s="30" t="s">
        <v>65</v>
      </c>
      <c r="E11" s="30" t="s">
        <v>94</v>
      </c>
      <c r="F11" s="31" t="s">
        <v>96</v>
      </c>
      <c r="G11" s="32">
        <v>840000</v>
      </c>
      <c r="H11" s="33">
        <f>ROUND(G11*$R$6,0)</f>
        <v>109200</v>
      </c>
      <c r="I11" s="34">
        <v>174</v>
      </c>
      <c r="J11" s="34">
        <v>52</v>
      </c>
      <c r="K11" s="111">
        <f>J11/I11</f>
        <v>0.2988505747126437</v>
      </c>
      <c r="L11" s="35">
        <v>250000</v>
      </c>
      <c r="M11" s="35">
        <f>ROUND(L11*R11,0)</f>
        <v>32500</v>
      </c>
      <c r="N11" s="96">
        <f>K11-(L11/G11)</f>
        <v>1.2315270935960854E-3</v>
      </c>
      <c r="O11" s="103"/>
      <c r="P11" s="103" t="s">
        <v>133</v>
      </c>
      <c r="Q11" s="101" t="s">
        <v>109</v>
      </c>
      <c r="R11" s="36">
        <v>0.13</v>
      </c>
    </row>
    <row r="12" spans="1:19" s="37" customFormat="1" x14ac:dyDescent="0.25">
      <c r="A12" s="29" t="s">
        <v>122</v>
      </c>
      <c r="B12" s="29" t="s">
        <v>72</v>
      </c>
      <c r="C12" s="29" t="s">
        <v>37</v>
      </c>
      <c r="D12" s="30" t="s">
        <v>123</v>
      </c>
      <c r="E12" s="30" t="s">
        <v>94</v>
      </c>
      <c r="F12" s="31" t="s">
        <v>96</v>
      </c>
      <c r="G12" s="32">
        <v>599584</v>
      </c>
      <c r="H12" s="33">
        <f>ROUND(G12*$R$6,0)</f>
        <v>77946</v>
      </c>
      <c r="I12" s="34">
        <v>174</v>
      </c>
      <c r="J12" s="34">
        <v>62</v>
      </c>
      <c r="K12" s="111">
        <f>J12/I12</f>
        <v>0.35632183908045978</v>
      </c>
      <c r="L12" s="35">
        <f>ROUND(G12*K12,0)</f>
        <v>213645</v>
      </c>
      <c r="M12" s="35">
        <f>ROUND(L12*R12,0)</f>
        <v>27774</v>
      </c>
      <c r="N12" s="96">
        <f>K12-(L12/G12)</f>
        <v>-2.1087417545473386E-7</v>
      </c>
      <c r="O12" s="103">
        <v>45068</v>
      </c>
      <c r="P12" s="103"/>
      <c r="Q12" s="101" t="s">
        <v>124</v>
      </c>
      <c r="R12" s="36">
        <v>0.13</v>
      </c>
    </row>
    <row r="13" spans="1:19" s="37" customFormat="1" x14ac:dyDescent="0.25">
      <c r="A13" s="29"/>
      <c r="B13" s="29"/>
      <c r="C13" s="29"/>
      <c r="D13" s="30"/>
      <c r="E13" s="30"/>
      <c r="F13" s="31"/>
      <c r="G13" s="32"/>
      <c r="H13" s="33"/>
      <c r="I13" s="34"/>
      <c r="J13" s="34"/>
      <c r="K13" s="94"/>
      <c r="L13" s="35"/>
      <c r="M13" s="35"/>
      <c r="N13" s="96"/>
      <c r="O13" s="103"/>
      <c r="P13" s="103"/>
      <c r="Q13" s="101"/>
      <c r="R13" s="36"/>
    </row>
    <row r="14" spans="1:19" s="37" customFormat="1" x14ac:dyDescent="0.25">
      <c r="A14" s="29"/>
      <c r="B14" s="29"/>
      <c r="C14" s="29"/>
      <c r="D14" s="30"/>
      <c r="E14" s="30"/>
      <c r="F14" s="31"/>
      <c r="G14" s="32"/>
      <c r="H14" s="33"/>
      <c r="I14" s="34"/>
      <c r="J14" s="34"/>
      <c r="K14" s="94"/>
      <c r="L14" s="35"/>
      <c r="M14" s="35"/>
      <c r="N14" s="96"/>
      <c r="O14" s="103"/>
      <c r="P14" s="103"/>
      <c r="Q14" s="101"/>
      <c r="R14" s="36"/>
    </row>
    <row r="15" spans="1:19" s="37" customFormat="1" x14ac:dyDescent="0.25">
      <c r="A15" s="29"/>
      <c r="B15" s="29"/>
      <c r="C15" s="29"/>
      <c r="D15" s="30"/>
      <c r="E15" s="30"/>
      <c r="F15" s="31"/>
      <c r="G15" s="32"/>
      <c r="H15" s="33"/>
      <c r="I15" s="34"/>
      <c r="J15" s="34"/>
      <c r="K15" s="94"/>
      <c r="L15" s="35"/>
      <c r="M15" s="35"/>
      <c r="N15" s="97"/>
      <c r="O15" s="103"/>
      <c r="P15" s="103"/>
      <c r="Q15" s="101"/>
      <c r="R15" s="36"/>
    </row>
    <row r="16" spans="1:19" s="37" customFormat="1" x14ac:dyDescent="0.25">
      <c r="A16" s="29"/>
      <c r="B16" s="29"/>
      <c r="C16" s="29"/>
      <c r="D16" s="30"/>
      <c r="E16" s="30"/>
      <c r="F16" s="31"/>
      <c r="G16" s="32"/>
      <c r="H16" s="33"/>
      <c r="I16" s="34"/>
      <c r="J16" s="34"/>
      <c r="K16" s="94"/>
      <c r="L16" s="35"/>
      <c r="M16" s="35"/>
      <c r="N16" s="97"/>
      <c r="O16" s="103"/>
      <c r="P16" s="103"/>
      <c r="Q16" s="101"/>
      <c r="R16" s="36"/>
    </row>
    <row r="17" spans="1:19" s="37" customFormat="1" x14ac:dyDescent="0.25">
      <c r="A17" s="39" t="s">
        <v>69</v>
      </c>
      <c r="B17" s="39"/>
      <c r="C17" s="39"/>
      <c r="D17" s="40"/>
      <c r="E17" s="40"/>
      <c r="F17" s="41"/>
      <c r="G17" s="42"/>
      <c r="H17" s="42"/>
      <c r="I17" s="43"/>
      <c r="J17" s="43"/>
      <c r="K17" s="43"/>
      <c r="L17" s="44"/>
      <c r="M17" s="44"/>
      <c r="N17" s="98"/>
      <c r="O17" s="105"/>
      <c r="P17" s="105"/>
      <c r="Q17" s="44"/>
      <c r="R17" s="45"/>
    </row>
    <row r="18" spans="1:19" s="37" customFormat="1" x14ac:dyDescent="0.25">
      <c r="A18" s="29"/>
      <c r="B18" s="29"/>
      <c r="C18" s="29"/>
      <c r="D18" s="30"/>
      <c r="E18" s="30"/>
      <c r="F18" s="31"/>
      <c r="G18" s="32"/>
      <c r="H18" s="33"/>
      <c r="I18" s="34"/>
      <c r="J18" s="34"/>
      <c r="K18" s="94"/>
      <c r="L18" s="35"/>
      <c r="M18" s="35"/>
      <c r="N18" s="97"/>
      <c r="O18" s="104"/>
      <c r="P18" s="104"/>
      <c r="Q18" s="92"/>
      <c r="R18" s="36"/>
    </row>
    <row r="19" spans="1:19" s="37" customFormat="1" ht="15" customHeight="1" x14ac:dyDescent="0.25">
      <c r="A19" s="29" t="s">
        <v>140</v>
      </c>
      <c r="B19" s="29" t="s">
        <v>70</v>
      </c>
      <c r="C19" s="29" t="s">
        <v>37</v>
      </c>
      <c r="D19" s="29" t="s">
        <v>37</v>
      </c>
      <c r="E19" s="100" t="s">
        <v>136</v>
      </c>
      <c r="F19" s="31" t="s">
        <v>96</v>
      </c>
      <c r="G19" s="32">
        <v>50000</v>
      </c>
      <c r="H19" s="33">
        <f>ROUND(G19*0.9*$R$6,0)</f>
        <v>5850</v>
      </c>
      <c r="I19" s="34" t="s">
        <v>139</v>
      </c>
      <c r="J19" s="34" t="s">
        <v>139</v>
      </c>
      <c r="K19" s="111">
        <v>1</v>
      </c>
      <c r="L19" s="35">
        <f>ROUND(G19*K19,0)</f>
        <v>50000</v>
      </c>
      <c r="M19" s="35">
        <f t="shared" ref="M19" si="12">ROUND(L19*R19,0)</f>
        <v>6500</v>
      </c>
      <c r="N19" s="96">
        <f t="shared" ref="N19" si="13">K19-(L19/G19)</f>
        <v>0</v>
      </c>
      <c r="O19" s="103">
        <v>45078</v>
      </c>
      <c r="P19" s="104"/>
      <c r="Q19" s="101" t="s">
        <v>141</v>
      </c>
      <c r="R19" s="38">
        <v>0.13</v>
      </c>
      <c r="S19" t="s">
        <v>138</v>
      </c>
    </row>
    <row r="20" spans="1:19" s="37" customFormat="1" ht="15" customHeight="1" x14ac:dyDescent="0.25">
      <c r="A20" s="29" t="s">
        <v>135</v>
      </c>
      <c r="B20" s="29" t="s">
        <v>70</v>
      </c>
      <c r="C20" s="29" t="s">
        <v>37</v>
      </c>
      <c r="D20" s="29" t="s">
        <v>37</v>
      </c>
      <c r="E20" s="100" t="s">
        <v>136</v>
      </c>
      <c r="F20" s="31" t="s">
        <v>96</v>
      </c>
      <c r="G20" s="32">
        <v>50000</v>
      </c>
      <c r="H20" s="33">
        <f>ROUND(G20*0.9*$R$6,0)</f>
        <v>5850</v>
      </c>
      <c r="I20" s="34" t="s">
        <v>139</v>
      </c>
      <c r="J20" s="34" t="s">
        <v>139</v>
      </c>
      <c r="K20" s="111">
        <v>1</v>
      </c>
      <c r="L20" s="35">
        <f>ROUND(G20*K20,0)</f>
        <v>50000</v>
      </c>
      <c r="M20" s="35">
        <f t="shared" ref="M20" si="14">ROUND(L20*R20,0)</f>
        <v>6500</v>
      </c>
      <c r="N20" s="96">
        <f t="shared" ref="N20" si="15">K20-(L20/G20)</f>
        <v>0</v>
      </c>
      <c r="O20" s="103">
        <v>45078</v>
      </c>
      <c r="P20" s="104"/>
      <c r="Q20" s="101" t="s">
        <v>137</v>
      </c>
      <c r="R20" s="38">
        <v>0.13</v>
      </c>
      <c r="S20" t="s">
        <v>138</v>
      </c>
    </row>
    <row r="21" spans="1:19" s="37" customFormat="1" x14ac:dyDescent="0.25">
      <c r="A21" s="29"/>
      <c r="B21" s="29"/>
      <c r="C21" s="29"/>
      <c r="D21" s="30"/>
      <c r="E21" s="30"/>
      <c r="F21" s="31"/>
      <c r="G21" s="32"/>
      <c r="H21" s="33"/>
      <c r="I21" s="34"/>
      <c r="J21" s="34"/>
      <c r="K21" s="94"/>
      <c r="L21" s="35"/>
      <c r="M21" s="35"/>
      <c r="N21" s="92"/>
      <c r="O21" s="103"/>
      <c r="P21" s="104"/>
      <c r="Q21" s="92"/>
      <c r="R21" s="36"/>
    </row>
    <row r="22" spans="1:19" s="37" customFormat="1" x14ac:dyDescent="0.25">
      <c r="A22" s="29"/>
      <c r="B22" s="29"/>
      <c r="C22" s="29"/>
      <c r="D22" s="30"/>
      <c r="E22" s="30"/>
      <c r="F22" s="31"/>
      <c r="G22" s="32"/>
      <c r="H22" s="33"/>
      <c r="I22" s="34"/>
      <c r="J22" s="34"/>
      <c r="K22" s="94"/>
      <c r="L22" s="35"/>
      <c r="M22" s="35"/>
      <c r="N22" s="92"/>
      <c r="O22" s="104"/>
      <c r="P22" s="104"/>
      <c r="Q22" s="92"/>
      <c r="R22" s="36"/>
    </row>
    <row r="23" spans="1:19" s="37" customFormat="1" x14ac:dyDescent="0.25">
      <c r="A23" s="29"/>
      <c r="B23" s="29"/>
      <c r="C23" s="29"/>
      <c r="D23" s="30"/>
      <c r="E23" s="30"/>
      <c r="F23" s="31"/>
      <c r="G23" s="32"/>
      <c r="H23" s="33"/>
      <c r="I23" s="34"/>
      <c r="J23" s="34"/>
      <c r="K23" s="94"/>
      <c r="L23" s="35"/>
      <c r="M23" s="35"/>
      <c r="N23" s="92"/>
      <c r="O23" s="104"/>
      <c r="P23" s="104"/>
      <c r="Q23" s="92"/>
      <c r="R23" s="36"/>
    </row>
    <row r="24" spans="1:19" s="37" customFormat="1" x14ac:dyDescent="0.25">
      <c r="A24" s="29"/>
      <c r="B24" s="29"/>
      <c r="C24" s="29"/>
      <c r="D24" s="30"/>
      <c r="E24" s="30"/>
      <c r="F24" s="31"/>
      <c r="G24" s="32"/>
      <c r="H24" s="33"/>
      <c r="I24" s="34"/>
      <c r="J24" s="34"/>
      <c r="K24" s="94"/>
      <c r="L24" s="35"/>
      <c r="M24" s="35"/>
      <c r="N24" s="92"/>
      <c r="O24" s="104"/>
      <c r="P24" s="104"/>
      <c r="Q24" s="92"/>
      <c r="R24" s="36"/>
    </row>
    <row r="25" spans="1:19" s="37" customFormat="1" x14ac:dyDescent="0.25">
      <c r="A25" s="29"/>
      <c r="B25" s="29"/>
      <c r="C25" s="29"/>
      <c r="D25" s="30"/>
      <c r="E25" s="30"/>
      <c r="F25" s="31"/>
      <c r="G25" s="32"/>
      <c r="H25" s="33"/>
      <c r="I25" s="34"/>
      <c r="J25" s="34"/>
      <c r="K25" s="94"/>
      <c r="L25" s="35"/>
      <c r="M25" s="35"/>
      <c r="N25" s="92"/>
      <c r="O25" s="104"/>
      <c r="P25" s="104"/>
      <c r="Q25" s="92"/>
      <c r="R25" s="36"/>
    </row>
    <row r="26" spans="1:19" s="37" customFormat="1" ht="14.45" customHeight="1" x14ac:dyDescent="0.25">
      <c r="A26" s="29"/>
      <c r="B26" s="29"/>
      <c r="C26" s="29"/>
      <c r="D26" s="30"/>
      <c r="E26" s="30"/>
      <c r="F26" s="31"/>
      <c r="G26" s="32"/>
      <c r="H26" s="33"/>
      <c r="I26" s="34"/>
      <c r="J26" s="34"/>
      <c r="K26" s="94"/>
      <c r="L26" s="35"/>
      <c r="M26" s="35"/>
      <c r="N26" s="92"/>
      <c r="O26" s="104"/>
      <c r="P26" s="104"/>
      <c r="Q26" s="92"/>
      <c r="R26" s="36"/>
    </row>
    <row r="27" spans="1:19" s="37" customFormat="1" ht="14.45" customHeight="1" x14ac:dyDescent="0.25">
      <c r="A27" s="29"/>
      <c r="B27" s="29"/>
      <c r="C27" s="29"/>
      <c r="D27" s="30"/>
      <c r="E27" s="30"/>
      <c r="F27" s="31"/>
      <c r="G27" s="32"/>
      <c r="H27" s="33"/>
      <c r="I27" s="34"/>
      <c r="J27" s="34"/>
      <c r="K27" s="94"/>
      <c r="L27" s="35"/>
      <c r="M27" s="35"/>
      <c r="N27" s="92"/>
      <c r="O27" s="104"/>
      <c r="P27" s="104"/>
      <c r="Q27" s="92"/>
      <c r="R27" s="36"/>
    </row>
    <row r="28" spans="1:19" ht="14.45" customHeight="1" x14ac:dyDescent="0.25">
      <c r="A28" s="46"/>
      <c r="B28" s="46"/>
      <c r="C28" s="46"/>
      <c r="D28" s="47"/>
      <c r="E28" s="47"/>
      <c r="F28" s="61"/>
      <c r="G28" s="62"/>
      <c r="H28" s="62"/>
      <c r="I28" s="49"/>
      <c r="J28" s="49"/>
      <c r="K28" s="95"/>
      <c r="L28" s="50"/>
      <c r="M28" s="50"/>
      <c r="N28" s="50"/>
      <c r="O28" s="106"/>
      <c r="P28" s="106"/>
      <c r="Q28" s="50"/>
      <c r="R28" s="51"/>
    </row>
    <row r="29" spans="1:19" ht="14.45" customHeight="1" x14ac:dyDescent="0.25">
      <c r="A29" s="39" t="s">
        <v>31</v>
      </c>
      <c r="B29" s="39"/>
      <c r="C29" s="39"/>
      <c r="D29" s="40"/>
      <c r="E29" s="40"/>
      <c r="F29" s="41"/>
      <c r="G29" s="42"/>
      <c r="H29" s="42"/>
      <c r="I29" s="43"/>
      <c r="J29" s="43"/>
      <c r="K29" s="43"/>
      <c r="L29" s="44"/>
      <c r="M29" s="44"/>
      <c r="N29" s="44"/>
      <c r="O29" s="105"/>
      <c r="P29" s="105"/>
      <c r="Q29" s="44"/>
      <c r="R29" s="45"/>
    </row>
    <row r="30" spans="1:19" ht="14.45" customHeight="1" x14ac:dyDescent="0.25">
      <c r="A30" s="29" t="s">
        <v>97</v>
      </c>
      <c r="B30" s="29" t="s">
        <v>46</v>
      </c>
      <c r="C30" s="29" t="s">
        <v>37</v>
      </c>
      <c r="D30" s="29" t="s">
        <v>37</v>
      </c>
      <c r="E30" s="100" t="s">
        <v>98</v>
      </c>
      <c r="F30" s="31" t="s">
        <v>6</v>
      </c>
      <c r="G30" s="32"/>
      <c r="H30" s="33"/>
      <c r="I30" s="34"/>
      <c r="J30" s="34"/>
      <c r="K30" s="34"/>
      <c r="L30" s="35">
        <v>7500000</v>
      </c>
      <c r="M30" s="35">
        <v>0</v>
      </c>
      <c r="N30" s="92"/>
      <c r="O30" s="104"/>
      <c r="P30" s="104"/>
      <c r="Q30" s="92"/>
      <c r="R30" s="36"/>
      <c r="S30" t="s">
        <v>113</v>
      </c>
    </row>
    <row r="31" spans="1:19" s="37" customFormat="1" ht="15" customHeight="1" x14ac:dyDescent="0.25">
      <c r="A31" s="29" t="s">
        <v>97</v>
      </c>
      <c r="B31" s="29" t="s">
        <v>46</v>
      </c>
      <c r="C31" s="29" t="s">
        <v>37</v>
      </c>
      <c r="D31" s="29" t="s">
        <v>37</v>
      </c>
      <c r="E31" s="100" t="s">
        <v>99</v>
      </c>
      <c r="F31" s="31" t="s">
        <v>6</v>
      </c>
      <c r="G31" s="32"/>
      <c r="H31" s="33"/>
      <c r="I31" s="34"/>
      <c r="J31" s="34"/>
      <c r="K31" s="34"/>
      <c r="L31" s="35">
        <v>7500000</v>
      </c>
      <c r="M31" s="35">
        <v>0</v>
      </c>
      <c r="N31" s="35"/>
      <c r="O31" s="107"/>
      <c r="P31" s="107"/>
      <c r="Q31" s="35"/>
      <c r="R31" s="38"/>
      <c r="S31" t="s">
        <v>113</v>
      </c>
    </row>
    <row r="32" spans="1:19" s="37" customFormat="1" ht="15" customHeight="1" x14ac:dyDescent="0.25">
      <c r="A32" s="29" t="s">
        <v>112</v>
      </c>
      <c r="B32" s="29" t="s">
        <v>46</v>
      </c>
      <c r="C32" s="29" t="s">
        <v>37</v>
      </c>
      <c r="D32" s="29" t="s">
        <v>37</v>
      </c>
      <c r="E32" s="100" t="s">
        <v>110</v>
      </c>
      <c r="F32" s="31" t="s">
        <v>6</v>
      </c>
      <c r="G32" s="32">
        <v>600000</v>
      </c>
      <c r="H32" s="33">
        <v>0</v>
      </c>
      <c r="I32" s="34" t="s">
        <v>139</v>
      </c>
      <c r="J32" s="34" t="s">
        <v>139</v>
      </c>
      <c r="K32" s="34"/>
      <c r="L32" s="35">
        <v>600000</v>
      </c>
      <c r="M32" s="35">
        <v>0</v>
      </c>
      <c r="N32" s="35"/>
      <c r="O32" s="107"/>
      <c r="P32" s="104"/>
      <c r="Q32" s="101" t="s">
        <v>111</v>
      </c>
      <c r="R32" s="38"/>
      <c r="S32" t="s">
        <v>113</v>
      </c>
    </row>
    <row r="33" spans="1:18" ht="15" customHeight="1" x14ac:dyDescent="0.25">
      <c r="A33" s="46"/>
      <c r="B33" s="46"/>
      <c r="C33" s="46"/>
      <c r="D33" s="47"/>
      <c r="E33" s="47"/>
      <c r="F33" s="46"/>
      <c r="G33" s="48"/>
      <c r="H33" s="48"/>
      <c r="I33" s="49"/>
      <c r="J33" s="49"/>
      <c r="K33" s="49"/>
      <c r="L33" s="50"/>
      <c r="M33" s="50"/>
      <c r="N33" s="50"/>
      <c r="O33" s="106"/>
      <c r="P33" s="106"/>
      <c r="Q33" s="50"/>
      <c r="R33" s="51"/>
    </row>
    <row r="34" spans="1:18" x14ac:dyDescent="0.25">
      <c r="A34" s="52" t="s">
        <v>30</v>
      </c>
      <c r="B34" s="52"/>
      <c r="C34" s="52"/>
      <c r="D34" s="32"/>
      <c r="E34" s="53"/>
      <c r="F34" s="54"/>
      <c r="G34" s="55"/>
      <c r="H34" s="55"/>
      <c r="I34" s="56"/>
      <c r="J34" s="57"/>
      <c r="K34" s="57"/>
      <c r="L34" s="58">
        <f>SUBTOTAL(109,L14:L33)</f>
        <v>15700000</v>
      </c>
      <c r="M34" s="58">
        <f>SUBTOTAL(109,M14:M33)</f>
        <v>13000</v>
      </c>
      <c r="N34" s="58"/>
      <c r="O34" s="108"/>
      <c r="P34" s="108"/>
      <c r="Q34" s="58"/>
      <c r="R34" s="59"/>
    </row>
  </sheetData>
  <autoFilter ref="A5:AK29" xr:uid="{00000000-0001-0000-0100-000000000000}"/>
  <dataConsolidate/>
  <mergeCells count="1">
    <mergeCell ref="A2:E2"/>
  </mergeCells>
  <dataValidations count="2">
    <dataValidation type="list" allowBlank="1" showInputMessage="1" showErrorMessage="1" sqref="F29 F17" xr:uid="{00000000-0002-0000-0100-000000000000}">
      <formula1>$F$37:$F$38</formula1>
    </dataValidation>
    <dataValidation type="list" allowBlank="1" showInputMessage="1" showErrorMessage="1" sqref="F6:F16 F30:F33 F18:F28" xr:uid="{488C7B0A-9DB6-4E04-97F8-E70B9231BF3E}">
      <formula1>"Tény,Kötváll"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C112B-640E-45ED-A9CB-0D24CDA14E11}">
          <x14:formula1>
            <xm:f>Adatok!$C$15:$C$18</xm:f>
          </x14:formula1>
          <xm:sqref>B6:B16 B30:B33 B18:B28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BCF4-CF80-4E37-B256-721612F74049}">
  <sheetPr codeName="Munka3"/>
  <dimension ref="A1:H12"/>
  <sheetViews>
    <sheetView workbookViewId="0">
      <selection activeCell="H3" sqref="H3"/>
    </sheetView>
  </sheetViews>
  <sheetFormatPr defaultRowHeight="15" x14ac:dyDescent="0.25"/>
  <cols>
    <col min="1" max="1" width="11.85546875" customWidth="1"/>
    <col min="2" max="2" width="34.140625" customWidth="1"/>
    <col min="3" max="3" width="22" customWidth="1"/>
    <col min="4" max="4" width="23.7109375" customWidth="1"/>
    <col min="5" max="5" width="28" customWidth="1"/>
    <col min="6" max="6" width="17.140625" style="67" customWidth="1"/>
    <col min="7" max="7" width="17.140625" style="68" customWidth="1"/>
    <col min="8" max="8" width="49.85546875" customWidth="1"/>
  </cols>
  <sheetData>
    <row r="1" spans="1:8" x14ac:dyDescent="0.25">
      <c r="B1" s="99" t="s">
        <v>37</v>
      </c>
    </row>
    <row r="2" spans="1:8" s="73" customFormat="1" ht="30" x14ac:dyDescent="0.25">
      <c r="A2" s="69" t="s">
        <v>52</v>
      </c>
      <c r="B2" s="70" t="s">
        <v>53</v>
      </c>
      <c r="C2" s="70" t="s">
        <v>54</v>
      </c>
      <c r="D2" s="70" t="s">
        <v>55</v>
      </c>
      <c r="E2" s="70" t="s">
        <v>56</v>
      </c>
      <c r="F2" s="71" t="s">
        <v>57</v>
      </c>
      <c r="G2" s="70" t="s">
        <v>58</v>
      </c>
      <c r="H2" s="72" t="s">
        <v>59</v>
      </c>
    </row>
    <row r="3" spans="1:8" s="79" customFormat="1" x14ac:dyDescent="0.25">
      <c r="A3" s="74"/>
      <c r="B3" s="75" t="s">
        <v>43</v>
      </c>
      <c r="C3" s="76" t="s">
        <v>126</v>
      </c>
      <c r="D3" s="77" t="s">
        <v>127</v>
      </c>
      <c r="E3" s="77" t="s">
        <v>128</v>
      </c>
      <c r="F3" s="80">
        <v>499999</v>
      </c>
      <c r="G3" s="78" t="s">
        <v>96</v>
      </c>
      <c r="H3" s="109" t="s">
        <v>129</v>
      </c>
    </row>
    <row r="4" spans="1:8" s="79" customFormat="1" x14ac:dyDescent="0.25">
      <c r="A4" s="74"/>
      <c r="B4" s="75"/>
      <c r="C4" s="76"/>
      <c r="D4" s="77"/>
      <c r="E4" s="77"/>
      <c r="F4" s="80"/>
      <c r="G4" s="78"/>
      <c r="H4" s="110"/>
    </row>
    <row r="5" spans="1:8" s="79" customFormat="1" x14ac:dyDescent="0.25">
      <c r="A5" s="74"/>
      <c r="B5" s="75"/>
      <c r="C5" s="76"/>
      <c r="D5" s="77"/>
      <c r="E5" s="77"/>
      <c r="F5" s="80"/>
      <c r="G5" s="78"/>
      <c r="H5" s="110"/>
    </row>
    <row r="6" spans="1:8" s="79" customFormat="1" x14ac:dyDescent="0.25">
      <c r="A6" s="74"/>
      <c r="B6" s="75"/>
      <c r="C6" s="76"/>
      <c r="D6" s="77"/>
      <c r="E6" s="77"/>
      <c r="F6" s="80"/>
      <c r="G6" s="78"/>
      <c r="H6" s="110"/>
    </row>
    <row r="7" spans="1:8" s="79" customFormat="1" x14ac:dyDescent="0.25">
      <c r="A7" s="74"/>
      <c r="B7" s="75"/>
      <c r="C7" s="76"/>
      <c r="D7" s="77"/>
      <c r="E7" s="77"/>
      <c r="F7" s="80"/>
      <c r="G7" s="78"/>
      <c r="H7" s="110"/>
    </row>
    <row r="8" spans="1:8" s="79" customFormat="1" x14ac:dyDescent="0.25">
      <c r="A8" s="74"/>
      <c r="B8" s="75"/>
      <c r="C8" s="76"/>
      <c r="D8" s="77"/>
      <c r="E8" s="77"/>
      <c r="F8" s="80"/>
      <c r="G8" s="78"/>
      <c r="H8" s="110"/>
    </row>
    <row r="9" spans="1:8" s="79" customFormat="1" x14ac:dyDescent="0.25">
      <c r="A9" s="74"/>
      <c r="B9" s="75"/>
      <c r="C9" s="76"/>
      <c r="D9" s="77"/>
      <c r="E9" s="77"/>
      <c r="F9" s="80"/>
      <c r="G9" s="78"/>
      <c r="H9" s="110"/>
    </row>
    <row r="10" spans="1:8" s="79" customFormat="1" x14ac:dyDescent="0.25">
      <c r="A10" s="74"/>
      <c r="B10" s="75"/>
      <c r="C10" s="76"/>
      <c r="D10" s="77"/>
      <c r="E10" s="77"/>
      <c r="F10" s="80"/>
      <c r="G10" s="78"/>
      <c r="H10" s="110"/>
    </row>
    <row r="11" spans="1:8" s="79" customFormat="1" x14ac:dyDescent="0.25">
      <c r="A11" s="81"/>
      <c r="B11" s="82"/>
      <c r="C11" s="83"/>
      <c r="D11" s="84"/>
      <c r="E11" s="84"/>
      <c r="F11" s="85"/>
      <c r="G11" s="86"/>
      <c r="H11" s="87"/>
    </row>
    <row r="12" spans="1:8" x14ac:dyDescent="0.25">
      <c r="F12" s="88">
        <f>SUBTOTAL(109,F3:F11)</f>
        <v>499999</v>
      </c>
    </row>
  </sheetData>
  <autoFilter ref="A2:H2" xr:uid="{00000000-0009-0000-0000-000002000000}"/>
  <dataValidations count="1">
    <dataValidation type="list" allowBlank="1" showInputMessage="1" showErrorMessage="1" sqref="G3:G11" xr:uid="{9451CFD9-647C-4226-BC16-53C9034B6CB6}">
      <formula1>"Tény,Kötváll"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453105-5EEF-46F2-9374-9C2D24A8AB7F}">
          <x14:formula1>
            <xm:f>Adatok!$C$13:$C$14</xm:f>
          </x14:formula1>
          <xm:sqref>B3:B11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DCD6-4FC3-4A2D-AFA0-14EDBC22226B}">
  <sheetPr codeName="Munka4"/>
  <dimension ref="A1:A4"/>
  <sheetViews>
    <sheetView workbookViewId="0">
      <selection activeCell="A3" sqref="A3:A4"/>
    </sheetView>
  </sheetViews>
  <sheetFormatPr defaultRowHeight="15" x14ac:dyDescent="0.25"/>
  <sheetData>
    <row r="1" spans="1:1" x14ac:dyDescent="0.25">
      <c r="A1" s="93" t="s">
        <v>91</v>
      </c>
    </row>
    <row r="2" spans="1:1" x14ac:dyDescent="0.25">
      <c r="A2" s="93" t="s">
        <v>92</v>
      </c>
    </row>
    <row r="3" spans="1:1" x14ac:dyDescent="0.25">
      <c r="A3" s="93" t="s">
        <v>93</v>
      </c>
    </row>
    <row r="4" spans="1:1" x14ac:dyDescent="0.25">
      <c r="A4" s="93" t="s">
        <v>94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Bérköltség</vt:lpstr>
      <vt:lpstr>Dologi_felham.</vt:lpstr>
      <vt:lpstr>Hónapok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Domján Gábor</dc:creator>
  <cp:lastModifiedBy>Domján Gábor</cp:lastModifiedBy>
  <dcterms:created xsi:type="dcterms:W3CDTF">2021-04-26T13:33:09Z</dcterms:created>
  <dcterms:modified xsi:type="dcterms:W3CDTF">2023-06-01T08:01:35Z</dcterms:modified>
</cp:coreProperties>
</file>