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updateLinks="never"/>
  <mc:AlternateContent xmlns:mc="http://schemas.openxmlformats.org/markup-compatibility/2006">
    <mc:Choice Requires="x15">
      <x15ac:absPath xmlns:x15ac="http://schemas.microsoft.com/office/spreadsheetml/2010/11/ac" url="C:\Users\felhasználó\Munka\!PROJEKTEK\2019-1.2.1-EGYETEMI-ÖKO-2019-00005\"/>
    </mc:Choice>
  </mc:AlternateContent>
  <xr:revisionPtr revIDLastSave="0" documentId="13_ncr:1_{1EEE1F28-51E2-4695-AF57-982C3E7FB0A6}" xr6:coauthVersionLast="47" xr6:coauthVersionMax="47" xr10:uidLastSave="{00000000-0000-0000-0000-000000000000}"/>
  <bookViews>
    <workbookView xWindow="-120" yWindow="-120" windowWidth="29040" windowHeight="15840" activeTab="2" xr2:uid="{00000000-000D-0000-FFFF-FFFF00000000}"/>
  </bookViews>
  <sheets>
    <sheet name="Költségvetés" sheetId="12" r:id="rId1"/>
    <sheet name="Bérköltség" sheetId="1" r:id="rId2"/>
    <sheet name="Dologi_felhalm" sheetId="13" r:id="rId3"/>
    <sheet name="dátumok, korlátok" sheetId="4" r:id="rId4"/>
    <sheet name="admin" sheetId="6" r:id="rId5"/>
    <sheet name="Havi béradatok" sheetId="15" r:id="rId6"/>
  </sheets>
  <definedNames>
    <definedName name="_xlnm._FilterDatabase" localSheetId="4" hidden="1">admin!$A$1:$C$40</definedName>
    <definedName name="_xlnm._FilterDatabase" localSheetId="1" hidden="1">Bérköltség!$A$3:$AC$255</definedName>
    <definedName name="_xlnm._FilterDatabase" localSheetId="2" hidden="1">Dologi_felhalm!$A$2:$J$134</definedName>
    <definedName name="_xlnm._FilterDatabase" localSheetId="0" hidden="1">Költségvetés!$A$1:$J$58</definedName>
    <definedName name="Z_5B7A7034_1D27_4339_9163_15908448B119_.wvu.Cols" localSheetId="1" hidden="1">Bérköltség!$N:$O</definedName>
    <definedName name="Z_5B7A7034_1D27_4339_9163_15908448B119_.wvu.Cols" localSheetId="2" hidden="1">Dologi_felhalm!$A:$G</definedName>
    <definedName name="Z_5B7A7034_1D27_4339_9163_15908448B119_.wvu.FilterData" localSheetId="1" hidden="1">Bérköltség!$B$3:$X$255</definedName>
    <definedName name="Z_5B7A7034_1D27_4339_9163_15908448B119_.wvu.FilterData" localSheetId="2" hidden="1">Dologi_felhalm!$B$2:$J$13</definedName>
    <definedName name="Z_A894C457_AC24_41C3_B3B3_F885000CA59F_.wvu.FilterData" localSheetId="1" hidden="1">Bérköltség!$B$3:$X$255</definedName>
    <definedName name="Z_A894C457_AC24_41C3_B3B3_F885000CA59F_.wvu.FilterData" localSheetId="2" hidden="1">Dologi_felhalm!$B$2:$J$13</definedName>
  </definedNames>
  <calcPr calcId="191029"/>
  <customWorkbookViews>
    <customWorkbookView name="alapbeáll" guid="{A894C457-AC24-41C3-B3B3-F885000CA59F}" maximized="1" xWindow="-9" yWindow="-9" windowWidth="1938" windowHeight="1048" activeSheetId="1"/>
    <customWorkbookView name="KTGKÖV RELEVÁNS" guid="{512FD11E-1805-40CF-9281-A97D99C73B97}" maximized="1" xWindow="-9" yWindow="-9" windowWidth="1938" windowHeight="1048" activeSheetId="2"/>
    <customWorkbookView name="bérkarton felkérés" guid="{5B7A7034-1D27-4339-9163-15908448B119}" maximized="1" xWindow="-9" yWindow="-9" windowWidth="1938" windowHeight="1048"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244" i="1" l="1"/>
  <c r="P244" i="1"/>
  <c r="O244" i="1"/>
  <c r="K244" i="1"/>
  <c r="S243" i="1"/>
  <c r="P243" i="1"/>
  <c r="O243" i="1"/>
  <c r="K243" i="1"/>
  <c r="P242" i="1"/>
  <c r="S242" i="1" s="1"/>
  <c r="O242" i="1"/>
  <c r="K242" i="1"/>
  <c r="S241" i="1"/>
  <c r="P241" i="1"/>
  <c r="O241" i="1"/>
  <c r="K241" i="1"/>
  <c r="P173" i="1"/>
  <c r="S173" i="1" s="1"/>
  <c r="O173" i="1"/>
  <c r="K173" i="1"/>
  <c r="S172" i="1"/>
  <c r="P172" i="1"/>
  <c r="O172" i="1"/>
  <c r="K172" i="1"/>
  <c r="P171" i="1"/>
  <c r="S171" i="1" s="1"/>
  <c r="O171" i="1"/>
  <c r="K171" i="1"/>
  <c r="S170" i="1"/>
  <c r="P170" i="1"/>
  <c r="O170" i="1"/>
  <c r="K170" i="1"/>
  <c r="P240" i="1"/>
  <c r="K240" i="1"/>
  <c r="P169" i="1"/>
  <c r="S169" i="1" s="1"/>
  <c r="K169" i="1"/>
  <c r="G26" i="13"/>
  <c r="G25" i="13"/>
  <c r="AC2" i="1"/>
  <c r="AB2" i="1"/>
  <c r="AA2" i="1"/>
  <c r="E66" i="12"/>
  <c r="O240" i="1" l="1"/>
  <c r="O169" i="1"/>
  <c r="P129" i="1"/>
  <c r="K129" i="1"/>
  <c r="P128" i="1"/>
  <c r="K128" i="1"/>
  <c r="P149" i="1"/>
  <c r="K149" i="1"/>
  <c r="P148" i="1"/>
  <c r="N148" i="1" s="1"/>
  <c r="O148" i="1" s="1"/>
  <c r="K148" i="1"/>
  <c r="P239" i="1"/>
  <c r="S239" i="1" s="1"/>
  <c r="O239" i="1"/>
  <c r="K239" i="1"/>
  <c r="P237" i="1"/>
  <c r="S237" i="1" s="1"/>
  <c r="O237" i="1"/>
  <c r="K237" i="1"/>
  <c r="P235" i="1"/>
  <c r="S235" i="1" s="1"/>
  <c r="O235" i="1"/>
  <c r="K235" i="1"/>
  <c r="P233" i="1"/>
  <c r="S233" i="1" s="1"/>
  <c r="O233" i="1"/>
  <c r="K233" i="1"/>
  <c r="P231" i="1"/>
  <c r="S231" i="1" s="1"/>
  <c r="O231" i="1"/>
  <c r="K231" i="1"/>
  <c r="P229" i="1"/>
  <c r="S229" i="1" s="1"/>
  <c r="O229" i="1"/>
  <c r="K229" i="1"/>
  <c r="P238" i="1"/>
  <c r="S238" i="1" s="1"/>
  <c r="O238" i="1"/>
  <c r="K238" i="1"/>
  <c r="P236" i="1"/>
  <c r="S236" i="1" s="1"/>
  <c r="O236" i="1"/>
  <c r="K236" i="1"/>
  <c r="P234" i="1"/>
  <c r="S234" i="1" s="1"/>
  <c r="O234" i="1"/>
  <c r="K234" i="1"/>
  <c r="P232" i="1"/>
  <c r="S232" i="1" s="1"/>
  <c r="O232" i="1"/>
  <c r="K232" i="1"/>
  <c r="P230" i="1"/>
  <c r="S230" i="1" s="1"/>
  <c r="O230" i="1"/>
  <c r="K230" i="1"/>
  <c r="P228" i="1"/>
  <c r="S228" i="1" s="1"/>
  <c r="O228" i="1"/>
  <c r="K228" i="1"/>
  <c r="O259" i="1"/>
  <c r="K259" i="1"/>
  <c r="G82" i="13"/>
  <c r="P113" i="1"/>
  <c r="K113" i="1"/>
  <c r="P112" i="1"/>
  <c r="K112" i="1"/>
  <c r="P111" i="1"/>
  <c r="N111" i="1" s="1"/>
  <c r="O111" i="1" s="1"/>
  <c r="K111" i="1"/>
  <c r="P110" i="1"/>
  <c r="K110" i="1"/>
  <c r="P109" i="1"/>
  <c r="N109" i="1" s="1"/>
  <c r="O109" i="1" s="1"/>
  <c r="K109" i="1"/>
  <c r="P47" i="1"/>
  <c r="N47" i="1" s="1"/>
  <c r="O47" i="1" s="1"/>
  <c r="K47" i="1"/>
  <c r="P46" i="1"/>
  <c r="K46" i="1"/>
  <c r="P45" i="1"/>
  <c r="N45" i="1" s="1"/>
  <c r="O45" i="1" s="1"/>
  <c r="K45" i="1"/>
  <c r="P127" i="1"/>
  <c r="K127" i="1"/>
  <c r="P126" i="1"/>
  <c r="N126" i="1" s="1"/>
  <c r="O126" i="1" s="1"/>
  <c r="K126" i="1"/>
  <c r="P147" i="1"/>
  <c r="K147" i="1"/>
  <c r="P146" i="1"/>
  <c r="N146" i="1" s="1"/>
  <c r="O146" i="1" s="1"/>
  <c r="K146" i="1"/>
  <c r="S240" i="1" l="1"/>
  <c r="G135" i="13"/>
  <c r="N129" i="1"/>
  <c r="O129" i="1" s="1"/>
  <c r="N128" i="1"/>
  <c r="O128" i="1" s="1"/>
  <c r="S148" i="1"/>
  <c r="N149" i="1"/>
  <c r="O149" i="1" s="1"/>
  <c r="N112" i="1"/>
  <c r="O112" i="1" s="1"/>
  <c r="N110" i="1"/>
  <c r="O110" i="1" s="1"/>
  <c r="S111" i="1"/>
  <c r="N113" i="1"/>
  <c r="O113" i="1" s="1"/>
  <c r="S109" i="1"/>
  <c r="S47" i="1"/>
  <c r="N46" i="1"/>
  <c r="O46" i="1" s="1"/>
  <c r="S45" i="1"/>
  <c r="N127" i="1"/>
  <c r="O127" i="1" s="1"/>
  <c r="S126" i="1"/>
  <c r="S146" i="1"/>
  <c r="N147" i="1"/>
  <c r="O147" i="1" s="1"/>
  <c r="O260" i="1"/>
  <c r="K260" i="1"/>
  <c r="P28" i="1"/>
  <c r="N28" i="1" s="1"/>
  <c r="S28" i="1" s="1"/>
  <c r="K28" i="1"/>
  <c r="P27" i="1"/>
  <c r="N27" i="1" s="1"/>
  <c r="S27" i="1" s="1"/>
  <c r="K27" i="1"/>
  <c r="P26" i="1"/>
  <c r="N26" i="1" s="1"/>
  <c r="O26" i="1" s="1"/>
  <c r="K26" i="1"/>
  <c r="P25" i="1"/>
  <c r="N25" i="1" s="1"/>
  <c r="O25" i="1" s="1"/>
  <c r="K25" i="1"/>
  <c r="P105" i="1"/>
  <c r="K105" i="1"/>
  <c r="P104" i="1"/>
  <c r="N104" i="1" s="1"/>
  <c r="O104" i="1" s="1"/>
  <c r="K104" i="1"/>
  <c r="P103" i="1"/>
  <c r="N103" i="1" s="1"/>
  <c r="O103" i="1" s="1"/>
  <c r="K103" i="1"/>
  <c r="P53" i="1"/>
  <c r="K53" i="1"/>
  <c r="P52" i="1"/>
  <c r="K52" i="1"/>
  <c r="P51" i="1"/>
  <c r="N51" i="1" s="1"/>
  <c r="K51" i="1"/>
  <c r="P50" i="1"/>
  <c r="K50" i="1"/>
  <c r="S129" i="1" l="1"/>
  <c r="S128" i="1"/>
  <c r="S149" i="1"/>
  <c r="S112" i="1"/>
  <c r="S110" i="1"/>
  <c r="S113" i="1"/>
  <c r="S46" i="1"/>
  <c r="S127" i="1"/>
  <c r="S147" i="1"/>
  <c r="S26" i="1"/>
  <c r="O27" i="1"/>
  <c r="O28" i="1"/>
  <c r="S25" i="1"/>
  <c r="S104" i="1"/>
  <c r="S103" i="1"/>
  <c r="N105" i="1"/>
  <c r="O105" i="1" s="1"/>
  <c r="O51" i="1"/>
  <c r="S51" i="1"/>
  <c r="N52" i="1"/>
  <c r="O52" i="1" s="1"/>
  <c r="N53" i="1"/>
  <c r="O53" i="1" s="1"/>
  <c r="N50" i="1"/>
  <c r="O50" i="1" s="1"/>
  <c r="P5" i="1"/>
  <c r="S5" i="1" s="1"/>
  <c r="P6" i="1"/>
  <c r="S6" i="1" s="1"/>
  <c r="P7" i="1"/>
  <c r="S7" i="1" s="1"/>
  <c r="P8" i="1"/>
  <c r="S8" i="1" s="1"/>
  <c r="P9" i="1"/>
  <c r="P10" i="1"/>
  <c r="S10" i="1" s="1"/>
  <c r="P11" i="1"/>
  <c r="S11" i="1" s="1"/>
  <c r="P12" i="1"/>
  <c r="S12" i="1" s="1"/>
  <c r="P13" i="1"/>
  <c r="S13" i="1" s="1"/>
  <c r="P14" i="1"/>
  <c r="S14" i="1" s="1"/>
  <c r="P15" i="1"/>
  <c r="S15" i="1" s="1"/>
  <c r="P16" i="1"/>
  <c r="S16" i="1" s="1"/>
  <c r="P17" i="1"/>
  <c r="S17" i="1" s="1"/>
  <c r="P18" i="1"/>
  <c r="S18" i="1" s="1"/>
  <c r="P19" i="1"/>
  <c r="S19" i="1" s="1"/>
  <c r="P20" i="1"/>
  <c r="P21" i="1"/>
  <c r="S21" i="1" s="1"/>
  <c r="P22" i="1"/>
  <c r="S22" i="1" s="1"/>
  <c r="P23" i="1"/>
  <c r="S23" i="1" s="1"/>
  <c r="P24" i="1"/>
  <c r="P29" i="1"/>
  <c r="S29" i="1" s="1"/>
  <c r="P30" i="1"/>
  <c r="S30" i="1" s="1"/>
  <c r="P31" i="1"/>
  <c r="S31" i="1" s="1"/>
  <c r="P32" i="1"/>
  <c r="S32" i="1" s="1"/>
  <c r="P33" i="1"/>
  <c r="S33" i="1" s="1"/>
  <c r="P34" i="1"/>
  <c r="S34" i="1" s="1"/>
  <c r="P35" i="1"/>
  <c r="S35" i="1" s="1"/>
  <c r="P36" i="1"/>
  <c r="S36" i="1" s="1"/>
  <c r="P37" i="1"/>
  <c r="S37" i="1" s="1"/>
  <c r="P38" i="1"/>
  <c r="S38" i="1" s="1"/>
  <c r="P39" i="1"/>
  <c r="S39" i="1" s="1"/>
  <c r="P40" i="1"/>
  <c r="S40" i="1" s="1"/>
  <c r="P41" i="1"/>
  <c r="S41" i="1" s="1"/>
  <c r="P42" i="1"/>
  <c r="S42" i="1" s="1"/>
  <c r="P43" i="1"/>
  <c r="S43" i="1" s="1"/>
  <c r="P44" i="1"/>
  <c r="S44" i="1" s="1"/>
  <c r="P48" i="1"/>
  <c r="P49" i="1"/>
  <c r="P54" i="1"/>
  <c r="S54" i="1" s="1"/>
  <c r="P55" i="1"/>
  <c r="S55" i="1" s="1"/>
  <c r="P56" i="1"/>
  <c r="S56" i="1" s="1"/>
  <c r="P57" i="1"/>
  <c r="S57" i="1" s="1"/>
  <c r="P58" i="1"/>
  <c r="S58" i="1" s="1"/>
  <c r="P59" i="1"/>
  <c r="S59" i="1" s="1"/>
  <c r="P60" i="1"/>
  <c r="S60" i="1" s="1"/>
  <c r="P61" i="1"/>
  <c r="S61" i="1" s="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S90" i="1" s="1"/>
  <c r="P91" i="1"/>
  <c r="S91" i="1" s="1"/>
  <c r="P92" i="1"/>
  <c r="S92" i="1" s="1"/>
  <c r="P93" i="1"/>
  <c r="S93" i="1" s="1"/>
  <c r="P94" i="1"/>
  <c r="S94" i="1" s="1"/>
  <c r="P95" i="1"/>
  <c r="P96" i="1"/>
  <c r="S96" i="1" s="1"/>
  <c r="P97" i="1"/>
  <c r="P98" i="1"/>
  <c r="P99" i="1"/>
  <c r="P100" i="1"/>
  <c r="P101" i="1"/>
  <c r="P102" i="1"/>
  <c r="P106" i="1"/>
  <c r="P107" i="1"/>
  <c r="P108" i="1"/>
  <c r="P114" i="1"/>
  <c r="S114" i="1" s="1"/>
  <c r="P115" i="1"/>
  <c r="S115" i="1" s="1"/>
  <c r="P116" i="1"/>
  <c r="S116" i="1" s="1"/>
  <c r="P117" i="1"/>
  <c r="S117" i="1" s="1"/>
  <c r="P118" i="1"/>
  <c r="S118" i="1" s="1"/>
  <c r="P119" i="1"/>
  <c r="P120" i="1"/>
  <c r="S120" i="1" s="1"/>
  <c r="P121" i="1"/>
  <c r="P122" i="1"/>
  <c r="S122" i="1" s="1"/>
  <c r="P123" i="1"/>
  <c r="S123" i="1" s="1"/>
  <c r="P124" i="1"/>
  <c r="P125" i="1"/>
  <c r="N125" i="1" s="1"/>
  <c r="P130" i="1"/>
  <c r="P131" i="1"/>
  <c r="S131" i="1" s="1"/>
  <c r="P132" i="1"/>
  <c r="S132" i="1" s="1"/>
  <c r="P133" i="1"/>
  <c r="S133" i="1" s="1"/>
  <c r="P134" i="1"/>
  <c r="S134" i="1" s="1"/>
  <c r="P135" i="1"/>
  <c r="S135" i="1" s="1"/>
  <c r="P136" i="1"/>
  <c r="S136" i="1" s="1"/>
  <c r="P137" i="1"/>
  <c r="S137" i="1" s="1"/>
  <c r="P138" i="1"/>
  <c r="S138" i="1" s="1"/>
  <c r="P139" i="1"/>
  <c r="P140" i="1"/>
  <c r="S140" i="1" s="1"/>
  <c r="P141" i="1"/>
  <c r="P142" i="1"/>
  <c r="S142" i="1" s="1"/>
  <c r="P143" i="1"/>
  <c r="S143" i="1" s="1"/>
  <c r="P144" i="1"/>
  <c r="P145" i="1"/>
  <c r="P150" i="1"/>
  <c r="S150" i="1" s="1"/>
  <c r="P151" i="1"/>
  <c r="S151" i="1" s="1"/>
  <c r="P152" i="1"/>
  <c r="S152" i="1" s="1"/>
  <c r="P153" i="1"/>
  <c r="S153" i="1" s="1"/>
  <c r="P154" i="1"/>
  <c r="S154" i="1" s="1"/>
  <c r="P155" i="1"/>
  <c r="S155" i="1" s="1"/>
  <c r="P156" i="1"/>
  <c r="S156" i="1" s="1"/>
  <c r="P157" i="1"/>
  <c r="S157" i="1" s="1"/>
  <c r="P158" i="1"/>
  <c r="S158" i="1" s="1"/>
  <c r="P159" i="1"/>
  <c r="P160" i="1"/>
  <c r="S160" i="1" s="1"/>
  <c r="P161" i="1"/>
  <c r="S161" i="1" s="1"/>
  <c r="P162" i="1"/>
  <c r="S162" i="1" s="1"/>
  <c r="P163" i="1"/>
  <c r="N163" i="1" s="1"/>
  <c r="O163" i="1" s="1"/>
  <c r="P164" i="1"/>
  <c r="N164" i="1" s="1"/>
  <c r="O164" i="1" s="1"/>
  <c r="P165" i="1"/>
  <c r="P166" i="1"/>
  <c r="N166" i="1" s="1"/>
  <c r="O166" i="1" s="1"/>
  <c r="P167" i="1"/>
  <c r="P168" i="1"/>
  <c r="P174" i="1"/>
  <c r="S174" i="1" s="1"/>
  <c r="P175" i="1"/>
  <c r="S175" i="1" s="1"/>
  <c r="P176" i="1"/>
  <c r="P177" i="1"/>
  <c r="S177" i="1" s="1"/>
  <c r="P178" i="1"/>
  <c r="P179" i="1"/>
  <c r="S179" i="1" s="1"/>
  <c r="P180" i="1"/>
  <c r="S180" i="1" s="1"/>
  <c r="P181" i="1"/>
  <c r="S181" i="1" s="1"/>
  <c r="P182" i="1"/>
  <c r="S182" i="1" s="1"/>
  <c r="P183" i="1"/>
  <c r="S183" i="1" s="1"/>
  <c r="P184" i="1"/>
  <c r="S184" i="1" s="1"/>
  <c r="P185" i="1"/>
  <c r="S185" i="1" s="1"/>
  <c r="P186" i="1"/>
  <c r="S186" i="1" s="1"/>
  <c r="P187" i="1"/>
  <c r="S187" i="1" s="1"/>
  <c r="P188" i="1"/>
  <c r="S188" i="1" s="1"/>
  <c r="P189" i="1"/>
  <c r="S189" i="1" s="1"/>
  <c r="P190" i="1"/>
  <c r="S190" i="1" s="1"/>
  <c r="P191" i="1"/>
  <c r="S191" i="1" s="1"/>
  <c r="P192" i="1"/>
  <c r="S192" i="1" s="1"/>
  <c r="P193" i="1"/>
  <c r="S193" i="1" s="1"/>
  <c r="P194" i="1"/>
  <c r="S194" i="1" s="1"/>
  <c r="P195" i="1"/>
  <c r="S195" i="1" s="1"/>
  <c r="P196" i="1"/>
  <c r="S196" i="1" s="1"/>
  <c r="P197" i="1"/>
  <c r="S197" i="1" s="1"/>
  <c r="P198" i="1"/>
  <c r="S198" i="1" s="1"/>
  <c r="P199" i="1"/>
  <c r="S199" i="1" s="1"/>
  <c r="P200" i="1"/>
  <c r="S200" i="1" s="1"/>
  <c r="P201" i="1"/>
  <c r="S201" i="1" s="1"/>
  <c r="P202" i="1"/>
  <c r="S202" i="1" s="1"/>
  <c r="P203" i="1"/>
  <c r="S203" i="1" s="1"/>
  <c r="P204" i="1"/>
  <c r="S204" i="1" s="1"/>
  <c r="P205" i="1"/>
  <c r="S205" i="1" s="1"/>
  <c r="P206" i="1"/>
  <c r="S206" i="1" s="1"/>
  <c r="P207" i="1"/>
  <c r="S207" i="1" s="1"/>
  <c r="P208" i="1"/>
  <c r="S208" i="1" s="1"/>
  <c r="P209" i="1"/>
  <c r="S209" i="1" s="1"/>
  <c r="P210" i="1"/>
  <c r="S210" i="1" s="1"/>
  <c r="P211" i="1"/>
  <c r="S211" i="1" s="1"/>
  <c r="P212" i="1"/>
  <c r="S212" i="1" s="1"/>
  <c r="P213" i="1"/>
  <c r="S213" i="1" s="1"/>
  <c r="P214" i="1"/>
  <c r="S214" i="1" s="1"/>
  <c r="P215" i="1"/>
  <c r="S215" i="1" s="1"/>
  <c r="P216" i="1"/>
  <c r="S216" i="1" s="1"/>
  <c r="P217" i="1"/>
  <c r="S217" i="1" s="1"/>
  <c r="P218" i="1"/>
  <c r="S218" i="1" s="1"/>
  <c r="P219" i="1"/>
  <c r="S219" i="1" s="1"/>
  <c r="P220" i="1"/>
  <c r="S220" i="1" s="1"/>
  <c r="P221" i="1"/>
  <c r="S221" i="1" s="1"/>
  <c r="P222" i="1"/>
  <c r="P223" i="1"/>
  <c r="P224" i="1"/>
  <c r="S224" i="1" s="1"/>
  <c r="P225" i="1"/>
  <c r="S225" i="1" s="1"/>
  <c r="P226" i="1"/>
  <c r="S226" i="1" s="1"/>
  <c r="P227" i="1"/>
  <c r="S227" i="1" s="1"/>
  <c r="O227" i="1"/>
  <c r="K227" i="1"/>
  <c r="O226" i="1"/>
  <c r="K226" i="1"/>
  <c r="O225" i="1"/>
  <c r="K225" i="1"/>
  <c r="O224" i="1"/>
  <c r="K224" i="1"/>
  <c r="K223" i="1"/>
  <c r="K222" i="1"/>
  <c r="H53" i="12"/>
  <c r="H52" i="12"/>
  <c r="H51" i="12"/>
  <c r="H50" i="12"/>
  <c r="H49" i="12"/>
  <c r="H48" i="12"/>
  <c r="H47" i="12"/>
  <c r="H46" i="12"/>
  <c r="H45" i="12"/>
  <c r="H44" i="12"/>
  <c r="H43" i="12"/>
  <c r="H42" i="12"/>
  <c r="H41" i="12"/>
  <c r="H35" i="12"/>
  <c r="H34" i="12"/>
  <c r="H33" i="12"/>
  <c r="H32" i="12"/>
  <c r="H31" i="12"/>
  <c r="H30" i="12"/>
  <c r="H29" i="12"/>
  <c r="H28" i="12"/>
  <c r="H27" i="12"/>
  <c r="H26" i="12"/>
  <c r="H25" i="12"/>
  <c r="H24" i="12"/>
  <c r="H23" i="12"/>
  <c r="H22" i="12"/>
  <c r="H21" i="12"/>
  <c r="H20" i="12"/>
  <c r="H17" i="12"/>
  <c r="H16" i="12"/>
  <c r="H15" i="12"/>
  <c r="H14" i="12"/>
  <c r="H13" i="12"/>
  <c r="H12" i="12"/>
  <c r="H11" i="12"/>
  <c r="H10" i="12"/>
  <c r="H9" i="12"/>
  <c r="H8" i="12"/>
  <c r="H7" i="12"/>
  <c r="H6" i="12"/>
  <c r="H5" i="12"/>
  <c r="H4" i="12"/>
  <c r="H3" i="12"/>
  <c r="H2" i="12"/>
  <c r="O44" i="1"/>
  <c r="K44" i="1"/>
  <c r="O43" i="1"/>
  <c r="K43" i="1"/>
  <c r="O42" i="1"/>
  <c r="K42" i="1"/>
  <c r="O41" i="1"/>
  <c r="K41" i="1"/>
  <c r="O40" i="1"/>
  <c r="K40" i="1"/>
  <c r="K125" i="1"/>
  <c r="K145" i="1"/>
  <c r="K168" i="1"/>
  <c r="K167" i="1"/>
  <c r="K166" i="1"/>
  <c r="K165" i="1"/>
  <c r="K164" i="1"/>
  <c r="K163" i="1"/>
  <c r="N24" i="1" l="1"/>
  <c r="S24" i="1" s="1"/>
  <c r="N223" i="1"/>
  <c r="O223" i="1" s="1"/>
  <c r="N222" i="1"/>
  <c r="O222" i="1" s="1"/>
  <c r="S50" i="1"/>
  <c r="S53" i="1"/>
  <c r="S105" i="1"/>
  <c r="S52" i="1"/>
  <c r="S166" i="1"/>
  <c r="S164" i="1"/>
  <c r="S163" i="1"/>
  <c r="S125" i="1"/>
  <c r="H60" i="12"/>
  <c r="O125" i="1"/>
  <c r="N145" i="1"/>
  <c r="O145" i="1" s="1"/>
  <c r="N167" i="1"/>
  <c r="O167" i="1" s="1"/>
  <c r="N165" i="1"/>
  <c r="O165" i="1" s="1"/>
  <c r="N168" i="1"/>
  <c r="O168" i="1" s="1"/>
  <c r="N108" i="1"/>
  <c r="O108" i="1" s="1"/>
  <c r="K108" i="1"/>
  <c r="K107" i="1"/>
  <c r="K106" i="1"/>
  <c r="K49" i="1"/>
  <c r="K48" i="1"/>
  <c r="K102" i="1"/>
  <c r="N101" i="1"/>
  <c r="O101" i="1" s="1"/>
  <c r="K101" i="1"/>
  <c r="N100" i="1"/>
  <c r="S100" i="1" s="1"/>
  <c r="K100" i="1"/>
  <c r="K73" i="1"/>
  <c r="N72" i="1"/>
  <c r="O72" i="1" s="1"/>
  <c r="K72" i="1"/>
  <c r="N71" i="1"/>
  <c r="O71" i="1" s="1"/>
  <c r="K71" i="1"/>
  <c r="N70" i="1"/>
  <c r="O70" i="1" s="1"/>
  <c r="K70" i="1"/>
  <c r="N69" i="1"/>
  <c r="O69" i="1" s="1"/>
  <c r="K69" i="1"/>
  <c r="K24" i="1"/>
  <c r="O23" i="1"/>
  <c r="K23" i="1"/>
  <c r="K261" i="1"/>
  <c r="K258" i="1"/>
  <c r="K257"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1" i="1"/>
  <c r="K190" i="1"/>
  <c r="K189" i="1"/>
  <c r="K188" i="1"/>
  <c r="K187" i="1"/>
  <c r="K186" i="1"/>
  <c r="K185" i="1"/>
  <c r="K184" i="1"/>
  <c r="K183" i="1"/>
  <c r="K182" i="1"/>
  <c r="K181" i="1"/>
  <c r="K180" i="1"/>
  <c r="K179" i="1"/>
  <c r="K178" i="1"/>
  <c r="K177" i="1"/>
  <c r="K176" i="1"/>
  <c r="K175" i="1"/>
  <c r="K174" i="1"/>
  <c r="K162" i="1"/>
  <c r="K161" i="1"/>
  <c r="K160" i="1"/>
  <c r="K159" i="1"/>
  <c r="K158" i="1"/>
  <c r="K157" i="1"/>
  <c r="K156" i="1"/>
  <c r="K155" i="1"/>
  <c r="K154" i="1"/>
  <c r="K153" i="1"/>
  <c r="K152" i="1"/>
  <c r="K144" i="1"/>
  <c r="K143" i="1"/>
  <c r="K142" i="1"/>
  <c r="K141" i="1"/>
  <c r="K140" i="1"/>
  <c r="K139" i="1"/>
  <c r="K138" i="1"/>
  <c r="K137" i="1"/>
  <c r="K136" i="1"/>
  <c r="K135" i="1"/>
  <c r="K134" i="1"/>
  <c r="K133" i="1"/>
  <c r="K132" i="1"/>
  <c r="K124" i="1"/>
  <c r="K123" i="1"/>
  <c r="K122" i="1"/>
  <c r="K121" i="1"/>
  <c r="K120" i="1"/>
  <c r="K119" i="1"/>
  <c r="K118" i="1"/>
  <c r="K117" i="1"/>
  <c r="K116" i="1"/>
  <c r="K115" i="1"/>
  <c r="K114" i="1"/>
  <c r="K99" i="1"/>
  <c r="K98" i="1"/>
  <c r="K97" i="1"/>
  <c r="K96" i="1"/>
  <c r="K95" i="1"/>
  <c r="K94" i="1"/>
  <c r="K93" i="1"/>
  <c r="K92" i="1"/>
  <c r="K91" i="1"/>
  <c r="K90" i="1"/>
  <c r="K89" i="1"/>
  <c r="K88" i="1"/>
  <c r="K87" i="1"/>
  <c r="K86" i="1"/>
  <c r="K85" i="1"/>
  <c r="K84" i="1"/>
  <c r="K83" i="1"/>
  <c r="K79" i="1"/>
  <c r="K77" i="1"/>
  <c r="K76" i="1"/>
  <c r="K75" i="1"/>
  <c r="K74" i="1"/>
  <c r="K68" i="1"/>
  <c r="K67" i="1"/>
  <c r="K66" i="1"/>
  <c r="K65" i="1"/>
  <c r="K64" i="1"/>
  <c r="K63" i="1"/>
  <c r="K62" i="1"/>
  <c r="K61" i="1"/>
  <c r="K60" i="1"/>
  <c r="K59" i="1"/>
  <c r="K58" i="1"/>
  <c r="K57" i="1"/>
  <c r="K56" i="1"/>
  <c r="K39" i="1"/>
  <c r="K38" i="1"/>
  <c r="K37" i="1"/>
  <c r="K36" i="1"/>
  <c r="K35" i="1"/>
  <c r="K34" i="1"/>
  <c r="K33" i="1"/>
  <c r="K32" i="1"/>
  <c r="K31" i="1"/>
  <c r="K30" i="1"/>
  <c r="K29" i="1"/>
  <c r="K22" i="1"/>
  <c r="K21" i="1"/>
  <c r="K20" i="1"/>
  <c r="K19" i="1"/>
  <c r="K18" i="1"/>
  <c r="K17" i="1"/>
  <c r="K16" i="1"/>
  <c r="K15" i="1"/>
  <c r="K14" i="1"/>
  <c r="K13" i="1"/>
  <c r="K12" i="1"/>
  <c r="K11" i="1"/>
  <c r="K8" i="1"/>
  <c r="K7" i="1"/>
  <c r="K195" i="1"/>
  <c r="K194" i="1"/>
  <c r="K193" i="1"/>
  <c r="K192" i="1"/>
  <c r="K151" i="1"/>
  <c r="K150" i="1"/>
  <c r="K131" i="1"/>
  <c r="K55" i="1"/>
  <c r="K54" i="1"/>
  <c r="K10" i="1"/>
  <c r="K6" i="1"/>
  <c r="K5" i="1"/>
  <c r="G17" i="12"/>
  <c r="F17" i="12"/>
  <c r="O39" i="1"/>
  <c r="O38" i="1"/>
  <c r="O261" i="1"/>
  <c r="O257" i="1"/>
  <c r="O258" i="1"/>
  <c r="O221" i="1"/>
  <c r="O220" i="1"/>
  <c r="O219" i="1"/>
  <c r="O218" i="1"/>
  <c r="O217" i="1"/>
  <c r="O216" i="1"/>
  <c r="N98" i="1"/>
  <c r="S98" i="1" s="1"/>
  <c r="O162" i="1"/>
  <c r="O161" i="1"/>
  <c r="N89" i="1"/>
  <c r="S89" i="1" s="1"/>
  <c r="N87" i="1"/>
  <c r="S87" i="1" s="1"/>
  <c r="N86" i="1"/>
  <c r="S86" i="1" s="1"/>
  <c r="N84" i="1"/>
  <c r="S84" i="1" s="1"/>
  <c r="N83" i="1"/>
  <c r="S83" i="1" s="1"/>
  <c r="N81" i="1"/>
  <c r="S81" i="1" s="1"/>
  <c r="N80" i="1"/>
  <c r="S80" i="1" s="1"/>
  <c r="N78" i="1"/>
  <c r="S78" i="1" s="1"/>
  <c r="N77" i="1"/>
  <c r="S77" i="1" s="1"/>
  <c r="O37" i="1"/>
  <c r="O36" i="1"/>
  <c r="O123" i="1"/>
  <c r="O122" i="1"/>
  <c r="N121" i="1"/>
  <c r="O121" i="1" s="1"/>
  <c r="O120" i="1"/>
  <c r="O143" i="1"/>
  <c r="O142" i="1"/>
  <c r="N141" i="1"/>
  <c r="O141" i="1" s="1"/>
  <c r="O140" i="1"/>
  <c r="O35" i="1"/>
  <c r="O160" i="1"/>
  <c r="N76" i="1"/>
  <c r="S76" i="1" s="1"/>
  <c r="N75" i="1"/>
  <c r="S75" i="1" s="1"/>
  <c r="N74" i="1"/>
  <c r="S74" i="1" s="1"/>
  <c r="N97" i="1"/>
  <c r="O96" i="1"/>
  <c r="O94" i="1"/>
  <c r="O118" i="1"/>
  <c r="O138" i="1"/>
  <c r="O22" i="1"/>
  <c r="O21" i="1"/>
  <c r="N20" i="1"/>
  <c r="O20" i="1" s="1"/>
  <c r="O19" i="1"/>
  <c r="O18" i="1"/>
  <c r="O17" i="1"/>
  <c r="O215" i="1"/>
  <c r="O214" i="1"/>
  <c r="O213" i="1"/>
  <c r="O212" i="1"/>
  <c r="O211" i="1"/>
  <c r="O210" i="1"/>
  <c r="O209" i="1"/>
  <c r="O208" i="1"/>
  <c r="O207" i="1"/>
  <c r="O206" i="1"/>
  <c r="O205" i="1"/>
  <c r="O204" i="1"/>
  <c r="O203" i="1"/>
  <c r="O202" i="1"/>
  <c r="O201" i="1"/>
  <c r="O200" i="1"/>
  <c r="O199" i="1"/>
  <c r="O198" i="1"/>
  <c r="O197" i="1"/>
  <c r="O196" i="1"/>
  <c r="O195" i="1"/>
  <c r="O194" i="1"/>
  <c r="O193" i="1"/>
  <c r="O192" i="1"/>
  <c r="N67" i="1"/>
  <c r="S67" i="1" s="1"/>
  <c r="N66" i="1"/>
  <c r="S66" i="1" s="1"/>
  <c r="N65" i="1"/>
  <c r="S65" i="1" s="1"/>
  <c r="N64" i="1"/>
  <c r="S64" i="1" s="1"/>
  <c r="N63" i="1"/>
  <c r="S63" i="1" s="1"/>
  <c r="N62" i="1"/>
  <c r="G16" i="12"/>
  <c r="F16" i="12"/>
  <c r="F11" i="12"/>
  <c r="G15" i="12"/>
  <c r="F15" i="12"/>
  <c r="G14" i="12"/>
  <c r="F14" i="12"/>
  <c r="G13" i="12"/>
  <c r="F13" i="12"/>
  <c r="G12" i="12"/>
  <c r="F12" i="12"/>
  <c r="G11" i="12"/>
  <c r="F10" i="12"/>
  <c r="G9" i="12"/>
  <c r="F9" i="12"/>
  <c r="G8" i="12"/>
  <c r="F8" i="12"/>
  <c r="G7" i="12"/>
  <c r="F7" i="12"/>
  <c r="G6" i="12"/>
  <c r="F6" i="12"/>
  <c r="G5" i="12"/>
  <c r="F5" i="12"/>
  <c r="G4" i="12"/>
  <c r="F4" i="12"/>
  <c r="G3" i="12"/>
  <c r="F3" i="12"/>
  <c r="G2" i="12"/>
  <c r="F2" i="12"/>
  <c r="S223" i="1" l="1"/>
  <c r="O24" i="1"/>
  <c r="S222" i="1"/>
  <c r="S167" i="1"/>
  <c r="S70" i="1"/>
  <c r="S108" i="1"/>
  <c r="S121" i="1"/>
  <c r="S165" i="1"/>
  <c r="O62" i="1"/>
  <c r="S62" i="1"/>
  <c r="S168" i="1"/>
  <c r="S72" i="1"/>
  <c r="S101" i="1"/>
  <c r="O97" i="1"/>
  <c r="S97" i="1"/>
  <c r="S141" i="1"/>
  <c r="S145" i="1"/>
  <c r="S71" i="1"/>
  <c r="S69" i="1"/>
  <c r="S20" i="1"/>
  <c r="I3" i="12"/>
  <c r="G10" i="12"/>
  <c r="G137" i="13" s="1"/>
  <c r="G1" i="13" s="1"/>
  <c r="I8" i="12"/>
  <c r="I11" i="12"/>
  <c r="I4" i="12"/>
  <c r="I5" i="12"/>
  <c r="I6" i="12"/>
  <c r="I17" i="12"/>
  <c r="I12" i="12"/>
  <c r="I2" i="12"/>
  <c r="I16" i="12"/>
  <c r="I13" i="12"/>
  <c r="I7" i="12"/>
  <c r="I14" i="12"/>
  <c r="I15" i="12"/>
  <c r="I9" i="12"/>
  <c r="N124" i="1"/>
  <c r="S124" i="1" s="1"/>
  <c r="N144" i="1"/>
  <c r="S144" i="1" s="1"/>
  <c r="N107" i="1"/>
  <c r="S107" i="1" s="1"/>
  <c r="N106" i="1"/>
  <c r="S106" i="1" s="1"/>
  <c r="N48" i="1"/>
  <c r="S48" i="1" s="1"/>
  <c r="N49" i="1"/>
  <c r="S49" i="1" s="1"/>
  <c r="N102" i="1"/>
  <c r="S102" i="1" s="1"/>
  <c r="O100" i="1"/>
  <c r="N73" i="1"/>
  <c r="S73" i="1" s="1"/>
  <c r="N68" i="1"/>
  <c r="S68" i="1" s="1"/>
  <c r="N88" i="1"/>
  <c r="S88" i="1" s="1"/>
  <c r="N79" i="1"/>
  <c r="S79" i="1" s="1"/>
  <c r="N82" i="1"/>
  <c r="S82" i="1" s="1"/>
  <c r="N85" i="1"/>
  <c r="S85" i="1" s="1"/>
  <c r="O98" i="1"/>
  <c r="N99" i="1"/>
  <c r="S99" i="1" s="1"/>
  <c r="N139" i="1"/>
  <c r="S139" i="1" s="1"/>
  <c r="N119" i="1"/>
  <c r="S119" i="1" s="1"/>
  <c r="N95" i="1"/>
  <c r="S95" i="1" s="1"/>
  <c r="O84" i="1"/>
  <c r="O87" i="1"/>
  <c r="O83" i="1"/>
  <c r="O86" i="1"/>
  <c r="O89" i="1"/>
  <c r="O65" i="1"/>
  <c r="O64" i="1"/>
  <c r="O67" i="1"/>
  <c r="O66" i="1"/>
  <c r="O63" i="1"/>
  <c r="O191" i="1"/>
  <c r="O190" i="1"/>
  <c r="O189" i="1"/>
  <c r="O188" i="1"/>
  <c r="O187" i="1"/>
  <c r="O186" i="1"/>
  <c r="O185" i="1"/>
  <c r="O184" i="1"/>
  <c r="O183" i="1"/>
  <c r="O182" i="1"/>
  <c r="O181" i="1"/>
  <c r="O180" i="1"/>
  <c r="O179" i="1"/>
  <c r="O177" i="1"/>
  <c r="O175" i="1"/>
  <c r="O174" i="1"/>
  <c r="O158" i="1"/>
  <c r="O157" i="1"/>
  <c r="O156" i="1"/>
  <c r="O155" i="1"/>
  <c r="O154" i="1"/>
  <c r="O153" i="1"/>
  <c r="O152" i="1"/>
  <c r="O137" i="1"/>
  <c r="O136" i="1"/>
  <c r="O135" i="1"/>
  <c r="O134" i="1"/>
  <c r="O133" i="1"/>
  <c r="O132" i="1"/>
  <c r="O117" i="1"/>
  <c r="O116" i="1"/>
  <c r="O115" i="1"/>
  <c r="O114" i="1"/>
  <c r="O93" i="1"/>
  <c r="O92" i="1"/>
  <c r="O91" i="1"/>
  <c r="O90" i="1"/>
  <c r="O61" i="1"/>
  <c r="O60" i="1"/>
  <c r="O59" i="1"/>
  <c r="O58" i="1"/>
  <c r="O57" i="1"/>
  <c r="O56" i="1"/>
  <c r="O34" i="1"/>
  <c r="O33" i="1"/>
  <c r="O32" i="1"/>
  <c r="O31" i="1"/>
  <c r="O30" i="1"/>
  <c r="O29" i="1"/>
  <c r="O16" i="1"/>
  <c r="O15" i="1"/>
  <c r="O14" i="1"/>
  <c r="O13" i="1"/>
  <c r="O12" i="1"/>
  <c r="O11" i="1"/>
  <c r="O8" i="1"/>
  <c r="O7" i="1"/>
  <c r="O99" i="1" l="1"/>
  <c r="O48" i="1"/>
  <c r="O106" i="1"/>
  <c r="O107" i="1"/>
  <c r="O139" i="1"/>
  <c r="O144" i="1"/>
  <c r="O119" i="1"/>
  <c r="O124" i="1"/>
  <c r="O95" i="1"/>
  <c r="O68" i="1"/>
  <c r="O102" i="1"/>
  <c r="O73" i="1"/>
  <c r="O49" i="1"/>
  <c r="I10" i="12"/>
  <c r="O79" i="1"/>
  <c r="O85" i="1"/>
  <c r="O88" i="1"/>
  <c r="F20" i="12"/>
  <c r="G35" i="12" l="1"/>
  <c r="F35" i="12"/>
  <c r="G34" i="12"/>
  <c r="F34" i="12"/>
  <c r="G33" i="12"/>
  <c r="F33" i="12"/>
  <c r="G32" i="12"/>
  <c r="F32" i="12"/>
  <c r="G31" i="12"/>
  <c r="F31" i="12"/>
  <c r="G30" i="12"/>
  <c r="F30" i="12"/>
  <c r="G29" i="12"/>
  <c r="F29" i="12"/>
  <c r="G28" i="12"/>
  <c r="F28" i="12"/>
  <c r="G27" i="12"/>
  <c r="F27" i="12"/>
  <c r="G26" i="12"/>
  <c r="F26" i="12"/>
  <c r="G25" i="12"/>
  <c r="F25" i="12"/>
  <c r="G24" i="12"/>
  <c r="G23" i="12"/>
  <c r="G22" i="12"/>
  <c r="F22" i="12"/>
  <c r="G21" i="12"/>
  <c r="F21" i="12"/>
  <c r="G20" i="12"/>
  <c r="E60" i="12"/>
  <c r="I28" i="12" l="1"/>
  <c r="I35" i="12"/>
  <c r="I34" i="12"/>
  <c r="I30" i="12"/>
  <c r="I27" i="12"/>
  <c r="I31" i="12"/>
  <c r="I26" i="12"/>
  <c r="I33" i="12"/>
  <c r="I25" i="12"/>
  <c r="I32" i="12"/>
  <c r="I29" i="12"/>
  <c r="F49" i="12"/>
  <c r="G49" i="12"/>
  <c r="F42" i="12"/>
  <c r="G42" i="12"/>
  <c r="F43" i="12"/>
  <c r="F47" i="12"/>
  <c r="G43" i="12"/>
  <c r="G47" i="12"/>
  <c r="I22" i="12"/>
  <c r="I21" i="12"/>
  <c r="I20" i="12"/>
  <c r="I49" i="12" l="1"/>
  <c r="I47" i="12"/>
  <c r="I42" i="12"/>
  <c r="I43" i="12"/>
  <c r="N178" i="1"/>
  <c r="S178" i="1" s="1"/>
  <c r="N159" i="1"/>
  <c r="S159" i="1" s="1"/>
  <c r="N176" i="1"/>
  <c r="S176" i="1" s="1"/>
  <c r="G51" i="12"/>
  <c r="G52" i="12"/>
  <c r="G48" i="12"/>
  <c r="G46" i="12"/>
  <c r="G44" i="12"/>
  <c r="G53" i="12"/>
  <c r="G50" i="12"/>
  <c r="G41" i="12"/>
  <c r="F46" i="12"/>
  <c r="G45" i="12"/>
  <c r="O178" i="1" l="1"/>
  <c r="I46" i="12"/>
  <c r="O176" i="1"/>
  <c r="F45" i="12" s="1"/>
  <c r="I45" i="12" s="1"/>
  <c r="F24" i="12"/>
  <c r="I24" i="12" s="1"/>
  <c r="O159" i="1"/>
  <c r="F23" i="12"/>
  <c r="I23" i="12" s="1"/>
  <c r="G60" i="12"/>
  <c r="G66" i="12" s="1"/>
  <c r="J12" i="4" l="1"/>
  <c r="E9" i="4"/>
  <c r="L7" i="4" s="1"/>
  <c r="J13" i="4" l="1"/>
  <c r="L8" i="4"/>
  <c r="M7" i="4"/>
  <c r="N7" i="4" s="1"/>
  <c r="M8" i="4" l="1"/>
  <c r="M10" i="4" s="1"/>
  <c r="E11" i="4"/>
  <c r="E12" i="4" s="1"/>
  <c r="O151" i="1" l="1"/>
  <c r="O150" i="1"/>
  <c r="F44" i="12" s="1"/>
  <c r="I44" i="12" s="1"/>
  <c r="H12" i="4" l="1"/>
  <c r="J130" i="1" l="1"/>
  <c r="S130" i="1" s="1"/>
  <c r="J9" i="1"/>
  <c r="S9" i="1" s="1"/>
  <c r="K9" i="1" l="1"/>
  <c r="K130" i="1"/>
  <c r="O131" i="1"/>
  <c r="O10" i="1" l="1"/>
  <c r="O9" i="1"/>
  <c r="F41" i="12" s="1"/>
  <c r="I41" i="12" s="1"/>
  <c r="O6" i="1" l="1"/>
  <c r="O55" i="1" l="1"/>
  <c r="O54" i="1"/>
  <c r="F53" i="12" s="1"/>
  <c r="I53" i="12" s="1"/>
  <c r="F51" i="12" l="1"/>
  <c r="I51" i="12" s="1"/>
  <c r="F52" i="12"/>
  <c r="I52" i="12" s="1"/>
  <c r="O130" i="1" l="1"/>
  <c r="F50" i="12" s="1"/>
  <c r="I50" i="12" s="1"/>
  <c r="O5" i="1"/>
  <c r="F48" i="12" s="1"/>
  <c r="I48" i="12" s="1"/>
  <c r="N269" i="1" l="1"/>
  <c r="D9" i="4" l="1"/>
  <c r="L1" i="4"/>
  <c r="I2" i="4" s="1"/>
  <c r="I1" i="4"/>
  <c r="J1" i="4" s="1"/>
  <c r="O269" i="1" l="1"/>
  <c r="N271" i="1" s="1"/>
  <c r="D12" i="4"/>
  <c r="J2" i="4"/>
  <c r="I3" i="4"/>
  <c r="N273" i="1" l="1"/>
  <c r="N2" i="1" s="1"/>
  <c r="F60" i="12"/>
  <c r="I60" i="12"/>
  <c r="G62" i="12" l="1"/>
  <c r="F6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AB2" authorId="0" shapeId="0" xr:uid="{53E8FF28-151D-417E-9B8E-F825E5AFB3B7}">
      <text>
        <r>
          <rPr>
            <b/>
            <sz val="9"/>
            <color indexed="81"/>
            <rFont val="Tahoma"/>
            <family val="2"/>
            <charset val="238"/>
          </rPr>
          <t>Ha mínusz 1-2 forint az eltérés, akkor én lecsökkentem a bruttó bért annyival. Ha plusz 1-2 forint, akkor marad az alaplevél szerinti bére</t>
        </r>
        <r>
          <rPr>
            <sz val="9"/>
            <color indexed="81"/>
            <rFont val="Tahoma"/>
            <family val="2"/>
            <charset val="238"/>
          </rPr>
          <t xml:space="preserve">
</t>
        </r>
      </text>
    </comment>
    <comment ref="J8" authorId="0" shapeId="0" xr:uid="{6BB65B9F-E0FE-4AC2-BD04-59478F618A76}">
      <text>
        <r>
          <rPr>
            <b/>
            <sz val="9"/>
            <color indexed="81"/>
            <rFont val="Tahoma"/>
            <family val="2"/>
            <charset val="238"/>
          </rPr>
          <t>fiz. Nélk. szabi</t>
        </r>
        <r>
          <rPr>
            <sz val="9"/>
            <color indexed="81"/>
            <rFont val="Tahoma"/>
            <family val="2"/>
            <charset val="238"/>
          </rPr>
          <t xml:space="preserve">
</t>
        </r>
      </text>
    </comment>
    <comment ref="J12" authorId="0" shapeId="0" xr:uid="{A42EE4C5-E955-4EEC-977E-908758778300}">
      <text>
        <r>
          <rPr>
            <b/>
            <sz val="9"/>
            <color indexed="81"/>
            <rFont val="Tahoma"/>
            <family val="2"/>
            <charset val="238"/>
          </rPr>
          <t>táppénz</t>
        </r>
        <r>
          <rPr>
            <sz val="9"/>
            <color indexed="81"/>
            <rFont val="Tahoma"/>
            <family val="2"/>
            <charset val="238"/>
          </rPr>
          <t xml:space="preserve">
</t>
        </r>
      </text>
    </comment>
    <comment ref="O12" authorId="0" shapeId="0" xr:uid="{0387E943-7AD0-425D-9D40-FB99FE859770}">
      <text>
        <r>
          <rPr>
            <b/>
            <sz val="9"/>
            <color indexed="81"/>
            <rFont val="Tahoma"/>
            <family val="2"/>
            <charset val="238"/>
          </rPr>
          <t>tévesen 17.528 Ft-ot könyveltem, javítottam</t>
        </r>
        <r>
          <rPr>
            <sz val="9"/>
            <color indexed="81"/>
            <rFont val="Tahoma"/>
            <family val="2"/>
            <charset val="238"/>
          </rPr>
          <t xml:space="preserve">
</t>
        </r>
      </text>
    </comment>
    <comment ref="J14" authorId="0" shapeId="0" xr:uid="{97E115D5-DC4A-4654-A390-6D65BB6FB46B}">
      <text>
        <r>
          <rPr>
            <b/>
            <sz val="9"/>
            <color indexed="81"/>
            <rFont val="Tahoma"/>
            <family val="2"/>
            <charset val="238"/>
          </rPr>
          <t>gyermekápolás levonva</t>
        </r>
        <r>
          <rPr>
            <sz val="9"/>
            <color indexed="81"/>
            <rFont val="Tahoma"/>
            <family val="2"/>
            <charset val="238"/>
          </rPr>
          <t xml:space="preserve">
</t>
        </r>
      </text>
    </comment>
    <comment ref="J20" authorId="0" shapeId="0" xr:uid="{CE354983-3FF8-4085-84BE-E4642BC3F03B}">
      <text>
        <r>
          <rPr>
            <b/>
            <sz val="9"/>
            <color indexed="81"/>
            <rFont val="Tahoma"/>
            <family val="2"/>
            <charset val="238"/>
          </rPr>
          <t>gyermekápolási táppénz</t>
        </r>
        <r>
          <rPr>
            <sz val="9"/>
            <color indexed="81"/>
            <rFont val="Tahoma"/>
            <family val="2"/>
            <charset val="238"/>
          </rPr>
          <t xml:space="preserve">
</t>
        </r>
      </text>
    </comment>
    <comment ref="J22" authorId="0" shapeId="0" xr:uid="{B5DC1401-166F-4EE1-9F10-881FFFF4462F}">
      <text>
        <r>
          <rPr>
            <sz val="9"/>
            <color indexed="81"/>
            <rFont val="Tahoma"/>
            <family val="2"/>
            <charset val="238"/>
          </rPr>
          <t xml:space="preserve">gyermekápolási 
</t>
        </r>
      </text>
    </comment>
    <comment ref="J24" authorId="0" shapeId="0" xr:uid="{F4E8992B-F369-45A2-86D0-5DACF28C0ED2}">
      <text>
        <r>
          <rPr>
            <b/>
            <sz val="9"/>
            <color indexed="81"/>
            <rFont val="Tahoma"/>
            <family val="2"/>
            <charset val="238"/>
          </rPr>
          <t>gyermekápolási</t>
        </r>
        <r>
          <rPr>
            <sz val="9"/>
            <color indexed="81"/>
            <rFont val="Tahoma"/>
            <family val="2"/>
            <charset val="238"/>
          </rPr>
          <t xml:space="preserve">
</t>
        </r>
      </text>
    </comment>
    <comment ref="J25" authorId="0" shapeId="0" xr:uid="{9B83E03E-10A3-4D75-84A1-52F0DD022B8F}">
      <text>
        <r>
          <rPr>
            <b/>
            <sz val="9"/>
            <color indexed="81"/>
            <rFont val="Tahoma"/>
            <family val="2"/>
            <charset val="238"/>
          </rPr>
          <t>betegszabi</t>
        </r>
        <r>
          <rPr>
            <sz val="9"/>
            <color indexed="81"/>
            <rFont val="Tahoma"/>
            <family val="2"/>
            <charset val="238"/>
          </rPr>
          <t xml:space="preserve">
</t>
        </r>
      </text>
    </comment>
    <comment ref="J26" authorId="0" shapeId="0" xr:uid="{CA0C0A95-4776-430F-BC2E-5C1F6B6A556C}">
      <text>
        <r>
          <rPr>
            <sz val="9"/>
            <color indexed="81"/>
            <rFont val="Tahoma"/>
            <family val="2"/>
            <charset val="238"/>
          </rPr>
          <t xml:space="preserve">gyermekápolási táp.
</t>
        </r>
      </text>
    </comment>
    <comment ref="J41" authorId="0" shapeId="0" xr:uid="{EEC19774-1E22-4093-852C-ABFD404BE700}">
      <text>
        <r>
          <rPr>
            <b/>
            <sz val="9"/>
            <color indexed="81"/>
            <rFont val="Tahoma"/>
            <family val="2"/>
            <charset val="238"/>
          </rPr>
          <t>kerkieg levonva 150e</t>
        </r>
        <r>
          <rPr>
            <sz val="9"/>
            <color indexed="81"/>
            <rFont val="Tahoma"/>
            <family val="2"/>
            <charset val="238"/>
          </rPr>
          <t xml:space="preserve">
</t>
        </r>
      </text>
    </comment>
    <comment ref="J42" authorId="0" shapeId="0" xr:uid="{FB0E7B74-7E09-4B08-8BD7-187E6F04FD18}">
      <text>
        <r>
          <rPr>
            <b/>
            <sz val="9"/>
            <color indexed="81"/>
            <rFont val="Tahoma"/>
            <family val="2"/>
            <charset val="238"/>
          </rPr>
          <t>kerkieg levonva</t>
        </r>
        <r>
          <rPr>
            <sz val="9"/>
            <color indexed="81"/>
            <rFont val="Tahoma"/>
            <family val="2"/>
            <charset val="238"/>
          </rPr>
          <t xml:space="preserve">
</t>
        </r>
      </text>
    </comment>
    <comment ref="G44" authorId="0" shapeId="0" xr:uid="{9CE6AD5C-2C58-447C-A873-D0AA7E378925}">
      <text>
        <r>
          <rPr>
            <sz val="9"/>
            <color indexed="81"/>
            <rFont val="Tahoma"/>
            <family val="2"/>
            <charset val="238"/>
          </rPr>
          <t xml:space="preserve">júliustól lehet nekem nagyobb összeget elszámolni, 236.000 Ft + járulék, Helga 2023.04.13-án küldött email alapján
</t>
        </r>
      </text>
    </comment>
    <comment ref="J62" authorId="0" shapeId="0" xr:uid="{E2362344-FE05-4B45-984D-427406B4CF33}">
      <text>
        <r>
          <rPr>
            <b/>
            <sz val="9"/>
            <color indexed="81"/>
            <rFont val="Tahoma"/>
            <family val="2"/>
            <charset val="238"/>
          </rPr>
          <t>táppénz</t>
        </r>
        <r>
          <rPr>
            <sz val="9"/>
            <color indexed="81"/>
            <rFont val="Tahoma"/>
            <family val="2"/>
            <charset val="238"/>
          </rPr>
          <t xml:space="preserve">
</t>
        </r>
      </text>
    </comment>
    <comment ref="J74" authorId="0" shapeId="0" xr:uid="{6CD8CFD3-84A2-49D7-A334-8E3D39AD78ED}">
      <text>
        <r>
          <rPr>
            <b/>
            <sz val="9"/>
            <color indexed="81"/>
            <rFont val="Tahoma"/>
            <family val="2"/>
            <charset val="238"/>
          </rPr>
          <t>gyermekápolás</t>
        </r>
        <r>
          <rPr>
            <sz val="9"/>
            <color indexed="81"/>
            <rFont val="Tahoma"/>
            <family val="2"/>
            <charset val="238"/>
          </rPr>
          <t xml:space="preserve">
</t>
        </r>
      </text>
    </comment>
    <comment ref="O74" authorId="0" shapeId="0" xr:uid="{54849C5F-C9BB-4F58-B944-D1386C314C59}">
      <text>
        <r>
          <rPr>
            <b/>
            <sz val="9"/>
            <color indexed="81"/>
            <rFont val="Tahoma"/>
            <family val="2"/>
            <charset val="238"/>
          </rPr>
          <t>járulékkedvezmény
36.289-et könyveltem, javítottam</t>
        </r>
        <r>
          <rPr>
            <sz val="9"/>
            <color indexed="81"/>
            <rFont val="Tahoma"/>
            <family val="2"/>
            <charset val="238"/>
          </rPr>
          <t xml:space="preserve">
Számítás módja:
37143/485714*279146</t>
        </r>
      </text>
    </comment>
    <comment ref="O75" authorId="0" shapeId="0" xr:uid="{71ABF969-A970-4E11-83B1-D9279B874056}">
      <text>
        <r>
          <rPr>
            <b/>
            <sz val="9"/>
            <color indexed="81"/>
            <rFont val="Tahoma"/>
            <family val="2"/>
            <charset val="238"/>
          </rPr>
          <t>járulékkedvezmény
29820-at könyveltem, javítottam</t>
        </r>
        <r>
          <rPr>
            <sz val="9"/>
            <color indexed="81"/>
            <rFont val="Tahoma"/>
            <family val="2"/>
            <charset val="238"/>
          </rPr>
          <t xml:space="preserve">
</t>
        </r>
      </text>
    </comment>
    <comment ref="O76" authorId="0" shapeId="0" xr:uid="{63177C9F-FB0A-49DC-9A19-55A6516637F7}">
      <text>
        <r>
          <rPr>
            <b/>
            <sz val="9"/>
            <color indexed="81"/>
            <rFont val="Tahoma"/>
            <family val="2"/>
            <charset val="238"/>
          </rPr>
          <t>járuélkkedvezmény
30483-at könyveltem, javítottam</t>
        </r>
        <r>
          <rPr>
            <sz val="9"/>
            <color indexed="81"/>
            <rFont val="Tahoma"/>
            <family val="2"/>
            <charset val="238"/>
          </rPr>
          <t xml:space="preserve">
</t>
        </r>
      </text>
    </comment>
    <comment ref="O77" authorId="0" shapeId="0" xr:uid="{A09D350A-49C0-47DF-94B5-AF288B8D7CC5}">
      <text>
        <r>
          <rPr>
            <b/>
            <sz val="9"/>
            <color indexed="81"/>
            <rFont val="Tahoma"/>
            <family val="2"/>
            <charset val="238"/>
          </rPr>
          <t>járulékkedvezmény</t>
        </r>
        <r>
          <rPr>
            <sz val="9"/>
            <color indexed="81"/>
            <rFont val="Tahoma"/>
            <family val="2"/>
            <charset val="238"/>
          </rPr>
          <t xml:space="preserve">
</t>
        </r>
      </text>
    </comment>
    <comment ref="K78" authorId="0" shapeId="0" xr:uid="{A4FF81E3-736F-485D-BAA9-63B6F3A2CF34}">
      <text>
        <r>
          <rPr>
            <b/>
            <sz val="9"/>
            <color indexed="81"/>
            <rFont val="Tahoma"/>
            <family val="2"/>
            <charset val="238"/>
          </rPr>
          <t xml:space="preserve">járulékkedvezmény
</t>
        </r>
        <r>
          <rPr>
            <sz val="9"/>
            <color indexed="81"/>
            <rFont val="Tahoma"/>
            <family val="2"/>
            <charset val="238"/>
          </rPr>
          <t xml:space="preserve">
</t>
        </r>
      </text>
    </comment>
    <comment ref="K80" authorId="0" shapeId="0" xr:uid="{57ED9D68-E30A-408B-9B32-8C351A2606B0}">
      <text>
        <r>
          <rPr>
            <b/>
            <sz val="9"/>
            <color indexed="81"/>
            <rFont val="Tahoma"/>
            <family val="2"/>
            <charset val="238"/>
          </rPr>
          <t>jár. Kedv.</t>
        </r>
        <r>
          <rPr>
            <sz val="9"/>
            <color indexed="81"/>
            <rFont val="Tahoma"/>
            <family val="2"/>
            <charset val="238"/>
          </rPr>
          <t xml:space="preserve">
</t>
        </r>
      </text>
    </comment>
    <comment ref="K81" authorId="0" shapeId="0" xr:uid="{FCB6CFBF-FD06-4533-B5C3-8C95BC94B78B}">
      <text>
        <r>
          <rPr>
            <b/>
            <sz val="9"/>
            <color indexed="81"/>
            <rFont val="Tahoma"/>
            <family val="2"/>
            <charset val="238"/>
          </rPr>
          <t>jár. Kedv.</t>
        </r>
        <r>
          <rPr>
            <sz val="9"/>
            <color indexed="81"/>
            <rFont val="Tahoma"/>
            <family val="2"/>
            <charset val="238"/>
          </rPr>
          <t xml:space="preserve">
</t>
        </r>
      </text>
    </comment>
    <comment ref="J82" authorId="0" shapeId="0" xr:uid="{CA3A66E3-621A-4168-9609-C7897BD9365A}">
      <text>
        <r>
          <rPr>
            <b/>
            <sz val="9"/>
            <color indexed="81"/>
            <rFont val="Tahoma"/>
            <family val="2"/>
            <charset val="238"/>
          </rPr>
          <t>kerkieg levonva 149e</t>
        </r>
        <r>
          <rPr>
            <sz val="9"/>
            <color indexed="81"/>
            <rFont val="Tahoma"/>
            <family val="2"/>
            <charset val="238"/>
          </rPr>
          <t xml:space="preserve">
táppénz</t>
        </r>
      </text>
    </comment>
    <comment ref="K82" authorId="0" shapeId="0" xr:uid="{F94BCDFE-4C79-4F76-8B3F-A76E4E3E1FDF}">
      <text>
        <r>
          <rPr>
            <b/>
            <sz val="9"/>
            <color indexed="81"/>
            <rFont val="Tahoma"/>
            <family val="2"/>
            <charset val="238"/>
          </rPr>
          <t>járulékkedv.</t>
        </r>
        <r>
          <rPr>
            <sz val="9"/>
            <color indexed="81"/>
            <rFont val="Tahoma"/>
            <family val="2"/>
            <charset val="238"/>
          </rPr>
          <t xml:space="preserve">
</t>
        </r>
      </text>
    </comment>
    <comment ref="J83" authorId="0" shapeId="0" xr:uid="{52CE50D6-798A-4812-AC43-0BE8A0D4C47A}">
      <text>
        <r>
          <rPr>
            <b/>
            <sz val="9"/>
            <color indexed="81"/>
            <rFont val="Tahoma"/>
            <family val="2"/>
            <charset val="238"/>
          </rPr>
          <t>itt többet kapott, valószínűleg korrekciózták a táppénzét, de nem számolunk el többet, mint a havi bére</t>
        </r>
        <r>
          <rPr>
            <sz val="9"/>
            <color indexed="81"/>
            <rFont val="Tahoma"/>
            <family val="2"/>
            <charset val="238"/>
          </rPr>
          <t xml:space="preserve">
</t>
        </r>
      </text>
    </comment>
    <comment ref="J101" authorId="0" shapeId="0" xr:uid="{EFCA2C54-4FA7-407E-ADFD-07DF961951E4}">
      <text>
        <r>
          <rPr>
            <b/>
            <sz val="9"/>
            <color indexed="81"/>
            <rFont val="Tahoma"/>
            <family val="2"/>
            <charset val="238"/>
          </rPr>
          <t>betegszabi</t>
        </r>
        <r>
          <rPr>
            <sz val="9"/>
            <color indexed="81"/>
            <rFont val="Tahoma"/>
            <family val="2"/>
            <charset val="238"/>
          </rPr>
          <t xml:space="preserve">
</t>
        </r>
      </text>
    </comment>
    <comment ref="J121" authorId="0" shapeId="0" xr:uid="{4374BFA2-2A5B-40BA-8312-FC3518A5D001}">
      <text>
        <r>
          <rPr>
            <b/>
            <sz val="9"/>
            <color indexed="81"/>
            <rFont val="Tahoma"/>
            <family val="2"/>
            <charset val="238"/>
          </rPr>
          <t>betegszabi</t>
        </r>
        <r>
          <rPr>
            <sz val="9"/>
            <color indexed="81"/>
            <rFont val="Tahoma"/>
            <family val="2"/>
            <charset val="238"/>
          </rPr>
          <t xml:space="preserve">
</t>
        </r>
      </text>
    </comment>
    <comment ref="J141" authorId="0" shapeId="0" xr:uid="{D51E3500-3890-47C1-99E6-DC5DC619264F}">
      <text>
        <r>
          <rPr>
            <b/>
            <sz val="9"/>
            <color indexed="81"/>
            <rFont val="Tahoma"/>
            <family val="2"/>
            <charset val="238"/>
          </rPr>
          <t>betegszabi</t>
        </r>
        <r>
          <rPr>
            <sz val="9"/>
            <color indexed="81"/>
            <rFont val="Tahoma"/>
            <family val="2"/>
            <charset val="238"/>
          </rPr>
          <t xml:space="preserve">
</t>
        </r>
      </text>
    </comment>
    <comment ref="A150" authorId="0" shapeId="0" xr:uid="{A1E35D10-3121-481F-845F-F17DF9D268EB}">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1" authorId="0" shapeId="0" xr:uid="{2A178D42-D18B-4C2E-9108-E4F54D919872}">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2" authorId="0" shapeId="0" xr:uid="{99124A5D-25EE-4753-ABB9-DE2C4D6E52A3}">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A153" authorId="0" shapeId="0" xr:uid="{2BAF21F9-2BA3-49E4-B2AA-24E970F7B4F6}">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O153" authorId="0" shapeId="0" xr:uid="{9663A2CA-5C42-46B7-AFF3-0FCC6BC4325B}">
      <text>
        <r>
          <rPr>
            <b/>
            <sz val="9"/>
            <color indexed="81"/>
            <rFont val="Tahoma"/>
            <family val="2"/>
            <charset val="238"/>
          </rPr>
          <t>tévesen 7.971 Ft-ot könyveltem, javítottam</t>
        </r>
      </text>
    </comment>
    <comment ref="A154" authorId="0" shapeId="0" xr:uid="{5A5441FA-40B9-47E8-95B2-22BCBC2AEC78}">
      <text>
        <r>
          <rPr>
            <b/>
            <sz val="9"/>
            <color indexed="81"/>
            <rFont val="Tahoma"/>
            <family val="2"/>
            <charset val="238"/>
          </rPr>
          <t>kinevezésen nem szerepel. MKL-ban szerepel az óraszám, az alapján számoljuk el</t>
        </r>
        <r>
          <rPr>
            <sz val="9"/>
            <color indexed="81"/>
            <rFont val="Tahoma"/>
            <family val="2"/>
            <charset val="238"/>
          </rPr>
          <t xml:space="preserve">
</t>
        </r>
      </text>
    </comment>
    <comment ref="J160" authorId="0" shapeId="0" xr:uid="{8E72F0ED-2D8A-4E35-847D-4524A481FB24}">
      <text>
        <r>
          <rPr>
            <b/>
            <sz val="9"/>
            <color indexed="81"/>
            <rFont val="Tahoma"/>
            <family val="2"/>
            <charset val="238"/>
          </rPr>
          <t xml:space="preserve">27-i napig számolva. </t>
        </r>
        <r>
          <rPr>
            <sz val="9"/>
            <color indexed="81"/>
            <rFont val="Tahoma"/>
            <family val="2"/>
            <charset val="238"/>
          </rPr>
          <t xml:space="preserve">
</t>
        </r>
      </text>
    </comment>
    <comment ref="J164" authorId="0" shapeId="0" xr:uid="{CFBAAD9F-365A-48B3-8617-9B25E041F680}">
      <text>
        <r>
          <rPr>
            <b/>
            <sz val="9"/>
            <color indexed="81"/>
            <rFont val="Tahoma"/>
            <family val="2"/>
            <charset val="238"/>
          </rPr>
          <t>betegszabi</t>
        </r>
        <r>
          <rPr>
            <sz val="9"/>
            <color indexed="81"/>
            <rFont val="Tahoma"/>
            <family val="2"/>
            <charset val="238"/>
          </rPr>
          <t xml:space="preserve">
</t>
        </r>
      </text>
    </comment>
    <comment ref="J178" authorId="0" shapeId="0" xr:uid="{6EDB0B21-F535-463D-ABFA-A6D5B336A5F2}">
      <text>
        <r>
          <rPr>
            <b/>
            <sz val="9"/>
            <color indexed="81"/>
            <rFont val="Tahoma"/>
            <family val="2"/>
            <charset val="238"/>
          </rPr>
          <t>betegszabi</t>
        </r>
      </text>
    </comment>
    <comment ref="N261" authorId="0" shapeId="0" xr:uid="{38632670-57F5-4BA5-B80F-BA9A06C61457}">
      <text>
        <r>
          <rPr>
            <b/>
            <sz val="9"/>
            <color indexed="81"/>
            <rFont val="Tahoma"/>
            <family val="2"/>
            <charset val="238"/>
          </rPr>
          <t>ehhez átvezetési kérelem jött mert eredetileg az A013000070-re ment, átvezetve</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Domján Gábor</author>
  </authors>
  <commentList>
    <comment ref="G93" authorId="0" shapeId="0" xr:uid="{183EF91C-6AA5-4DA2-BD49-6309672A4B46}">
      <text>
        <r>
          <rPr>
            <b/>
            <sz val="9"/>
            <color indexed="81"/>
            <rFont val="Tahoma"/>
            <family val="2"/>
            <charset val="238"/>
          </rPr>
          <t>ehhez jött átvezetési kérelem mert eredetileg máshova lett könyvelve, átvezettem</t>
        </r>
        <r>
          <rPr>
            <sz val="9"/>
            <color indexed="81"/>
            <rFont val="Tahoma"/>
            <family val="2"/>
            <charset val="238"/>
          </rPr>
          <t xml:space="preserve">
</t>
        </r>
      </text>
    </comment>
    <comment ref="G94" authorId="0" shapeId="0" xr:uid="{E4D8B9D5-66CA-4471-A403-4C7D7B86E9F9}">
      <text>
        <r>
          <rPr>
            <b/>
            <sz val="9"/>
            <color indexed="81"/>
            <rFont val="Tahoma"/>
            <family val="2"/>
            <charset val="238"/>
          </rPr>
          <t>522 euró</t>
        </r>
        <r>
          <rPr>
            <sz val="9"/>
            <color indexed="81"/>
            <rFont val="Tahoma"/>
            <family val="2"/>
            <charset val="238"/>
          </rPr>
          <t xml:space="preserve">
</t>
        </r>
      </text>
    </comment>
  </commentList>
</comments>
</file>

<file path=xl/sharedStrings.xml><?xml version="1.0" encoding="utf-8"?>
<sst xmlns="http://schemas.openxmlformats.org/spreadsheetml/2006/main" count="3826" uniqueCount="489">
  <si>
    <t>Tevékenység neve</t>
  </si>
  <si>
    <t>Költség típus</t>
  </si>
  <si>
    <t>Költség kategória</t>
  </si>
  <si>
    <t>Költség elem</t>
  </si>
  <si>
    <t>Elszámolás</t>
  </si>
  <si>
    <t>Részletezés</t>
  </si>
  <si>
    <t>Fogl. %-a</t>
  </si>
  <si>
    <t>Megjegyzés</t>
  </si>
  <si>
    <t>Technológia- és tudástranszferért felelős központi szervezeti egység létrehozása és/vagy működtetése</t>
  </si>
  <si>
    <t>54. Bérköltség - egyéb</t>
  </si>
  <si>
    <t>54. Bérköltség</t>
  </si>
  <si>
    <t>Pénzügyi vezető bérköltsége</t>
  </si>
  <si>
    <t>M217200086</t>
  </si>
  <si>
    <t>N011120000</t>
  </si>
  <si>
    <t>Tudásmenedzsment helyi adatbázis kialakítása és karbantartása</t>
  </si>
  <si>
    <t>TT menedzser bérköltsége 1</t>
  </si>
  <si>
    <t>Ignácz Melinda</t>
  </si>
  <si>
    <t>M211120000</t>
  </si>
  <si>
    <t xml:space="preserve">Adatbázis létrehozása </t>
  </si>
  <si>
    <t>TT menedzser bérköltsége 2</t>
  </si>
  <si>
    <t>H2020 Információs Pont létrehozása</t>
  </si>
  <si>
    <t>H2020 Információs Pont munkatárs 1 bérköltsége</t>
  </si>
  <si>
    <t>Pölösné Fischer Helga</t>
  </si>
  <si>
    <t>54. Bérköltség - Projektmenedzser</t>
  </si>
  <si>
    <t>Projektmenedzser bérköltsége</t>
  </si>
  <si>
    <t>H2020 Információs Pont munkatárs 2 bérköltsége</t>
  </si>
  <si>
    <t>Rotter Dóra</t>
  </si>
  <si>
    <t>Technológia- és tudástranszferhez kapcsolódó kompetenciák fejlesztése</t>
  </si>
  <si>
    <t>52. Igénybe vett szolgáltatások költségei</t>
  </si>
  <si>
    <t>Utazási költségek</t>
  </si>
  <si>
    <t>13. Műszaki berendezések, gépek, járművek</t>
  </si>
  <si>
    <t>Informatikai eszközbeszerzés</t>
  </si>
  <si>
    <t>51. Anyagköltség</t>
  </si>
  <si>
    <t xml:space="preserve">Irodaszer beszerzés </t>
  </si>
  <si>
    <t>Tájékoztatás</t>
  </si>
  <si>
    <t>Tájékoztatási költség</t>
  </si>
  <si>
    <t>Innováció- és kutatásmenedzsment képzések szervezése</t>
  </si>
  <si>
    <t xml:space="preserve">Innováció- és kutatásmenedzsment képzés </t>
  </si>
  <si>
    <t>Szellemi tulajdon védelmére elkülönített intézményi keret létrehozása</t>
  </si>
  <si>
    <t>Szellemi tulajdonvédelmi keret</t>
  </si>
  <si>
    <t>KFI kapacitások felmérése és felülvizsgálata</t>
  </si>
  <si>
    <t>Technológiai értékelés szolgáltatás</t>
  </si>
  <si>
    <t>Szellemitulajdon-védelmi tudatosságnövelő, start-up vállalkozói és üzletfejlesztési tematikájú képzések</t>
  </si>
  <si>
    <t>Start-up tréning</t>
  </si>
  <si>
    <t>Proof of concept „Alap” működtetése</t>
  </si>
  <si>
    <t>PoC Alap által támogatott szolgáltatások</t>
  </si>
  <si>
    <t>Reprezentációs költségek</t>
  </si>
  <si>
    <t>Hallgatói innovációs versenyek szervezése (beleértve a hallgatói innovációs versenyek díjainak költségeit is)</t>
  </si>
  <si>
    <t>Innovációs versenyek lebonyolítása</t>
  </si>
  <si>
    <t>Reprezentációs költség</t>
  </si>
  <si>
    <t>Rendezvények lebonyolításának költsége</t>
  </si>
  <si>
    <t>Általános (rezsi)</t>
  </si>
  <si>
    <t>Általános rezsi költség</t>
  </si>
  <si>
    <t>Közbeszerzés</t>
  </si>
  <si>
    <t>Közbeszerzés költségei</t>
  </si>
  <si>
    <t>Iparjogvédelem</t>
  </si>
  <si>
    <t>Képző munkatárs 4 bérköltsége</t>
  </si>
  <si>
    <t>TTK vezető bérköltsége 1</t>
  </si>
  <si>
    <t>PoC alaphoz külső szakértő 2 díjazása</t>
  </si>
  <si>
    <t>Kompetencia-menedzsmenthez és központi adatbázisokhoz kapcsolódó feladatok ellátása</t>
  </si>
  <si>
    <t>Kari koordinátor 1 munkabére</t>
  </si>
  <si>
    <t>Intézményi szellemitulajdon-kezelési szabályzat frissítése</t>
  </si>
  <si>
    <t>Egyetemi jogász bérköltsége</t>
  </si>
  <si>
    <t>Képző munkatárs 3 bérköltsége</t>
  </si>
  <si>
    <t>PoC alaphoz külső szakértő 1 díjazása</t>
  </si>
  <si>
    <t>Képző munkatárs 1 bérköltsége</t>
  </si>
  <si>
    <t>Kari koordinátor 6 munkabére</t>
  </si>
  <si>
    <t>Kari koordinátor 2 munkabére</t>
  </si>
  <si>
    <t>KFItv. 34. § (3) bekezdése szerinti jelentéstételi kötelezettséggel összhangban nyilvános éves beszámoló készítése</t>
  </si>
  <si>
    <t>TTK vezető bérköltsége 2</t>
  </si>
  <si>
    <t>Képző munkatárs 5 bérköltsége</t>
  </si>
  <si>
    <t>Üzleti és működési modell elkészítése</t>
  </si>
  <si>
    <t>TTK vezető bérköltsége 3</t>
  </si>
  <si>
    <t>Képző munkatárs 2 bérköltsége</t>
  </si>
  <si>
    <t>Kari koordinátor 3 munkabére</t>
  </si>
  <si>
    <t>Kari koordinátor 4 munkabére</t>
  </si>
  <si>
    <t>Kari koordinátor 5 munkabére</t>
  </si>
  <si>
    <t>56. Bérjárulék - Projektmenedzser</t>
  </si>
  <si>
    <t>56. Bérjárulék</t>
  </si>
  <si>
    <t>Projektmenedzser bérének járuléka</t>
  </si>
  <si>
    <t>56. Bérjárulék - egyéb</t>
  </si>
  <si>
    <t>Képző munkatárs 2 bérjáruléka</t>
  </si>
  <si>
    <t>Képző munkatárs 5 bérjáruléka</t>
  </si>
  <si>
    <t>PoC alaphoz külső szakértő 2 járulékköltsége</t>
  </si>
  <si>
    <t>TTK vezető bérköltségének járuléka 2</t>
  </si>
  <si>
    <t>TTK vezető bérköltségének járuléka 3</t>
  </si>
  <si>
    <t>Pénzügyi vezető bérköltségének járuléka</t>
  </si>
  <si>
    <t>H2020 Információs Pont munkatárs 2 bérjáruléka</t>
  </si>
  <si>
    <t>Kari koordinátor 3 bérjáruléka</t>
  </si>
  <si>
    <t>Kari koordinátor 4 bérjáruléka</t>
  </si>
  <si>
    <t>Kari koordinátor 5 bérjáruléka</t>
  </si>
  <si>
    <t>H2020 Információs Pont munkatárs 1 bérjáruléka</t>
  </si>
  <si>
    <t>Képző munkatárs 3 bérjáruléka</t>
  </si>
  <si>
    <t>Kari koordinátor 6 bérjáruléka</t>
  </si>
  <si>
    <t>TTK vezető bérköltségének járuléka 1</t>
  </si>
  <si>
    <t>Képző munkatárs 1 bérjáruléka</t>
  </si>
  <si>
    <t>PoC alaphoz külső szakértő 1 járulékköltsége</t>
  </si>
  <si>
    <t>Kari koordinátor 1 bérjáruléka</t>
  </si>
  <si>
    <t>Egyetemi jogász bérjáruléka</t>
  </si>
  <si>
    <t>Kari koordinátor 2 bérjáruléka</t>
  </si>
  <si>
    <t>Képző munkatárs 4 bérjáruléka</t>
  </si>
  <si>
    <t>TT menedzser bérköltségének járuléka 2</t>
  </si>
  <si>
    <t>TT menedzser bérköltségének járuléka 1</t>
  </si>
  <si>
    <t>Támogatási összeg</t>
  </si>
  <si>
    <t>PROJEKTAZONOSÍTÓ</t>
  </si>
  <si>
    <t>2019-1.2.1-EGYETEMI-ÖKO-2019-00005</t>
  </si>
  <si>
    <t>Projekt futamideje (nap)</t>
  </si>
  <si>
    <t>MA()</t>
  </si>
  <si>
    <t>PROJKETCÍM</t>
  </si>
  <si>
    <t>Innovációs ökoszisztéma fejlesztése a Pannon Egyetemen</t>
  </si>
  <si>
    <t>Eltelt napok száma</t>
  </si>
  <si>
    <t>PROJEKT KEZDETE</t>
  </si>
  <si>
    <t>Hátralévő napok száma</t>
  </si>
  <si>
    <t>Mérföldkő sorszáma</t>
  </si>
  <si>
    <t>Eredmény leírása</t>
  </si>
  <si>
    <t>Dátum</t>
  </si>
  <si>
    <t>Vállalás (Ft)</t>
  </si>
  <si>
    <t>Előleg (Ft)</t>
  </si>
  <si>
    <t>Előleg jóváírás dátuma</t>
  </si>
  <si>
    <t xml:space="preserve">Beküldés dátum </t>
  </si>
  <si>
    <t>Az első 9 hónap végére feláll a végleges szakmai és menedzsment team, kialakítjuk a Tudás- és Technológiatranszfer Központ Pannon Egyetemen belüli szervezetét, létrehozzuk a H2020 Információs Pontot, mellyel kapcsolatban Információs Nap kerül megrendezésre. Elkészülnek a szervezeti működéshez elengedhetetlenül szükséges munkaügyi dokumentumok (kinevezések, kinevezés módosítások, munkaköri leírások, munkaköri leírás kiegészítések) és a háttérszabályzatok. Megvalósítjuk a tervezett anyagbeszerzéseinket, mely főként a mindennapi munkához szükséges irodaszerek és kisértékű eszközök beszerzését jelenti.   Elindítjuk és lefolytatjuk újraversenyes eljárás keretében a H2020 Információs Pont munkatársainak mindennapi munkájához szükséges informatikai eszközök (2 db laptop, 2 db monitor, 1 db multifunkciós színes nyomtató) beszerzését. A Proof of Concept Alap működtetéséhez szükséges teljes folyamatot megtervezzük és bevezetjük az Intézményben. A forrás rendelkezésre állása mellett az Alap odaítélésének pályáztatási folyamatát kidolgozzuk. Ezt a folyamatot egy pályázati szabályzatban rögzítjük. melyet az Intézmény megfelelő döntéshozóival elfogadtatunk.  Megtervezzük a bírálati szempontrendszert, a bíráló személyek felkérjük a bizottsági munkára, a testület működési feltételeit tisztázzuk. Mivel az Alapból a piaci validáláshoz szükséges szolgáltatásokat finanszírozzuk, ezért a potenciális piaci szereplőket felkutatjuk, az árajánlatok bekérése megtörténik. Az első pályáztatás lezajlik, a folyamatot az elvártaknak megfelelően dokumentáljuk. Végrehajtjuk az Egyetem KFI kapacitásának külső szakértő szolgáltató általi felmérését és technológiai értékelését. A beszerzés valószínűleg ajánlatkéréses beszerzéssel fog lebonyolódni, az ehhez szükséges feladatok az igények pontos felmérése, definiálása, a potenciális ajánlattevők felkutatása, ajánlatok bekérése majd ezek értékelése,  intézményen belüli beszerzési folyamat elindítása szolgáltatói szerződés megkötése a nyertes ajánlattevővel. A szerződés megkötését követően a kari koordinátorokkal közösen folyamatos együttműködünk a külső szakértővel. Megbeszélések, egyeztetések megszervezése, lebonyolítása, információk biztosítása és a szolgáltatás teljesítésének megfelelő dokumentálása megtörténik. A mérföldkő végére elvégezzük a Pannon Egyetem szellemi-tulajdonvédelmi szabályzatának frissítését, annak végleges verzióját a Szenátus elé beterjesztjük. A frissítéshez a jelenlegi jogi környezet és szabályozásnak megfelelő vizsgálatra sor kerül, ehhez a Pannon Egyetem jogtanácsosai tudnak megfelelő segítséget nyújtani. A munka eredményeképpen a folyamatok modernizációja, új motivációs rendszer kidolgozása, a szabályzat mellékleteit képező formadokumentumok aktualizálása megvalósul. A Pannon Egyetemen már meglévő adatbázisainak frissítését elvégezzük. A Tudástár mellett frissítésre kerül az Iparjogvédelmi nyilvántartó adatbázis, K+F+I szerződés nyilvántartó adatbázis és a Pályázat / Projektnyilvántartó adatbázis is.</t>
  </si>
  <si>
    <t>A projekt végére maradéktalanul megvalósulnak a start-up képzések, melyeket tréning formában kívánunk meghirdetni PhD-hallgatók és kutatók részére is. A képzések külső szereplőkkel együttműködve fogjuk megvalósítani. Sikeres start-uppereket, üzleti angyalokat és fiatal vállalkozókat támogató nagyvállalatokkal fogunk együtt dolgozni. A tréning megfelelő dokumentálása megtörténik. Innováció- és kutatásmenedzsment képzés szervezése és lebonyolítása megtörténik a kutatók és PhD hallgatók számára. A képzés megfelelő dokumentálását elvégezzük. A start-up vállalkozói, üzletfejlesztési képzések egyetemi hallgatók részére szabadon választható kurzusok formájában magyar és angol nyelven a mérfőldkő végére teljes egészében lezajlik. A feladat magában foglalja a képzések tematikájának elkészítését, képzési anyagok kidolgozását mindkét nyelven, a kurzusok meghirdetését, a kurzusra jelentkezők képzését és a képzés projektelszámolásnak megfelelő dokumentálását. Megszervezzük és lebonyolítjuk a hackatonokat és start-up versenyeket a hallgatók számára. A tervezett versenyek a vállalkozókészségre, az innovatív ötletekre, több szakterületet felölelő vállalkozási tervekre, esetenként konkrét vállalati igényekre kiírt versenyek lesznek, együttműködésben a hallgatói innovációt és vállalkozásokat támogató külső szereplőkkel. A versenyek lebonyolításának teljes körű dokumentálása megtörténik. A már meglévő és frissített adatbázisaink mellett olyan új adatbázisokat hozunk létre, mely egy hatékony kompetencia menedzsment kialakításához és sikeres működtetéséhez vezet. Az új adatbázisok megfelelő hátterei lesznek a NKFI Hivatal által tervezett központi adatgyűjtésnek. ennek sorén felmérésre kerül a TT menedzser és a kari koordinátorok segítségével a kutatóhelyeken lévő KFI infrastruktúra, az eszközökön végzett KFI mérési és szolgáltatási portfólió, az innovációhoz köthető PhD képzési program portfólió és vállalati programok. A központi adatszolgáltatáshoz kijelölésre kerülnek a felelősök és az Intézmény évente beküldi az adatokat az NKFI Hivatal felé. A projekt végére a megvalósítással kapcsolatos kommunikációs tevékenységet elvégezzük. A TTK az egyetemi honlapon belül aloldalt alakít ki és rendszeres hírlevelet állít össze a működéséről, a feladatokról és az egyetemi polgárok lehetséges csatlakozásáról.  A projekt során megfelelő kommunikációs lehetőség az időszakos belső workshopok szervezünk, ahol hazai és nemzetközi jó gyakorlatok bemutatása történik személyes részvétellel, vagy online becsatlakozási lehetőséggel. A külső szereplők irányba irányuló kommunikáció igénybe veszi a lehetséges tudástranszfer csatornákat, mint közös kutatás, szerződéses kutatás, egyetemi és kutatóintézeti szolgáltatások, tudományos konzultációk, vállalati szakemberek bevonása az oktatásba, létesítmények és kutatási kapacitás megosztása, konferenciák, workshopok, kurzusok és vállalati tréningek szervezése. A projekt keretében 400 db tájékoztató információs kiadvány nyomdai kivitelezése és molinó beszerzése megtörténik. Természetesen a kommunikációs tevékenységünket megfelelő módon dokumentáljuk.</t>
  </si>
  <si>
    <t>záró beszámoló</t>
  </si>
  <si>
    <t>Egyenleg</t>
  </si>
  <si>
    <t>JÁRULÉK</t>
  </si>
  <si>
    <t>Balla Beáta</t>
  </si>
  <si>
    <t>DANUBIA Szabadalmi és Jogi Iroda</t>
  </si>
  <si>
    <t>Mészáros Péter</t>
  </si>
  <si>
    <t>A011110000</t>
  </si>
  <si>
    <t>Szellemi Tulajdon Nemzeti Hivatala</t>
  </si>
  <si>
    <t>Elfogadás</t>
  </si>
  <si>
    <t xml:space="preserve">Elfogadás dátum </t>
  </si>
  <si>
    <t>Konferencia részvétel</t>
  </si>
  <si>
    <t>Dr. Vonderviszt Lajos</t>
  </si>
  <si>
    <t>T3K honlap kialakítása</t>
  </si>
  <si>
    <t>M511120000</t>
  </si>
  <si>
    <t>Green Map - Adatbázis-építési munka és prezentáció készítése</t>
  </si>
  <si>
    <t xml:space="preserve">Vonderviszt Lajos </t>
  </si>
  <si>
    <t>P2100356 Szabadalom munkadíj+illeték J6HIS</t>
  </si>
  <si>
    <t>M517200185</t>
  </si>
  <si>
    <t>P2100339 szabadalom kidolgozása (1. részfeladat: Felhőérzékelés) + SZTNH képviselet illeték</t>
  </si>
  <si>
    <t xml:space="preserve">P0700680 szabadalom, 15. évi fenntartási díj </t>
  </si>
  <si>
    <t>Ybl Miklós Építőiparti Tudásközpont projektindító esemény, Pilisvörösvár, Networkshop 2022 bizottság alakuló ülés, Budapest</t>
  </si>
  <si>
    <t>SZTNH, egyetemi Spin-off vállalkozások létrehozásával kapcs megbeszélés</t>
  </si>
  <si>
    <t>Szellemi alkotás hasznosításával kapcsolatos egyeztetés, Felsőpalkony</t>
  </si>
  <si>
    <t>2. szakasz</t>
  </si>
  <si>
    <t>2. szakasz Adatbázis naprakészen tartása</t>
  </si>
  <si>
    <t>2. szakasz Általános (rezsi) költség</t>
  </si>
  <si>
    <t>2. szakasz H2020 Információs Pont létrehozása, működttetése</t>
  </si>
  <si>
    <t>2. szakasz Innováció- és kutatásmenedzsment képzések szervezése</t>
  </si>
  <si>
    <t>2. szakasz Intézményi szellemitulajdon-kezelési szabályzat szükség szerinti frissítése</t>
  </si>
  <si>
    <t>2. szakasz KFI eredmények piaci hasznosításának menedzselése</t>
  </si>
  <si>
    <t>2. szakasz KFI kapacitások felmérése és felülvizsgálata</t>
  </si>
  <si>
    <t>2. szakasz Közbeszerzés</t>
  </si>
  <si>
    <t>2. szakasz Közösségi tér létrehozásához és működtetése</t>
  </si>
  <si>
    <t>2. szakasz Nemzetközi technológiai transzfer szervezetekhez való csatlakozás</t>
  </si>
  <si>
    <t>2. szakasz Proof of Concept (PoC) Alap létrehozása, működtetése.</t>
  </si>
  <si>
    <t>2. szakasz Szellemi tulajdon védelmére elkülönített intézményi keret működtetése</t>
  </si>
  <si>
    <t>2. szakasz Technológia- és tudástranszferért felelős központi szervezeti egység létrehozása és/vagy működtetése</t>
  </si>
  <si>
    <t>2. szakasz Technológia- és tudástranszferhez kapcsolódó kompetenciák fejlesztése</t>
  </si>
  <si>
    <t>2. szakasz Tudásmenedzsment helyi adatbázis kialakítása és karbantartása</t>
  </si>
  <si>
    <t>2. szakasz Üzleti és működési modell elkészítése</t>
  </si>
  <si>
    <t>Az adatbázisok fejlesztőinek, kezelőinek bérköltsé</t>
  </si>
  <si>
    <t>Az adatbázisok fejlesztőinek, kezelőinek bérjárulé</t>
  </si>
  <si>
    <t>H2020 Információs Pont munkatársainak bérköltsége</t>
  </si>
  <si>
    <t>H2020 Információs Pont munkatársainak bérjáruléka</t>
  </si>
  <si>
    <t>Hasznosítási menedzser bérköltsége</t>
  </si>
  <si>
    <t>Hasznosítási menedzser bérjáruléka</t>
  </si>
  <si>
    <t xml:space="preserve">Szakmai megvalósítás bérköltsége </t>
  </si>
  <si>
    <t>Közösségi tér működéséhez igénybe vett szolgáltatá</t>
  </si>
  <si>
    <t>Közösségi tér rezsiköltsége</t>
  </si>
  <si>
    <t>A Közösségi tér működéséért felelős munkatárs bérk</t>
  </si>
  <si>
    <t>Képzési koordinátor bérköltsége</t>
  </si>
  <si>
    <t>Képző munkatársak bérköltsége</t>
  </si>
  <si>
    <t>T3K vezető bérköltsége 2</t>
  </si>
  <si>
    <t>A Közösségi tér működéséért felelős munkatárs bérj</t>
  </si>
  <si>
    <t>Képzési koordinátor bérjáruléka</t>
  </si>
  <si>
    <t>Képző munkatársak bérjáruléka</t>
  </si>
  <si>
    <t>T3K vezető bér járuléka 2</t>
  </si>
  <si>
    <t>Tagsági díj</t>
  </si>
  <si>
    <t>PoC Alap által támogatott eszközbeszerzések</t>
  </si>
  <si>
    <t>PoC alaphoz szakértő zsűri tiszteletdíj költsége</t>
  </si>
  <si>
    <t>PoC alaphoz szakértő zsűri tiszteletdíjának járulé</t>
  </si>
  <si>
    <t>T3K vezető bérköltsége 1</t>
  </si>
  <si>
    <t xml:space="preserve">TT menedzser bérköltsége </t>
  </si>
  <si>
    <t>Pénzügyi vezető bérjáruléka</t>
  </si>
  <si>
    <t>T3K vezető bérjáruléka 1</t>
  </si>
  <si>
    <t xml:space="preserve">TT menedzser bérjáruléka </t>
  </si>
  <si>
    <t>Projektmenedzser bérjáruléka</t>
  </si>
  <si>
    <t>Szakmai megvalósítás bérköltsége</t>
  </si>
  <si>
    <t xml:space="preserve">Az innovációs tevékenységekhez kapcsolódó adatbázisok továbbfejlesztőinek, kezelőinek munkabére 24 hónapra.
</t>
  </si>
  <si>
    <t xml:space="preserve">Az innovációs tevékenységekhez kapcsolódó adatbázisok továbbfejlesztőinek, kezelőinek munkáltatói járuléka 24 hónapra.
</t>
  </si>
  <si>
    <t xml:space="preserve">A szakmai megvalósítás során a T3K-et érintően felmerült víz, áram, gáz arányos költsége 24 hónapra.
</t>
  </si>
  <si>
    <t xml:space="preserve">A Horizon Europe Információs Pont 2 fő munkatársának bére 24 hónapon keresztül. Munkájukat részmunkaidőben végzik.
</t>
  </si>
  <si>
    <t xml:space="preserve">A Horizon Europe Információs Pont 2 fő munkatársának bérjáruléka 24 hónapon keresztül, összesen havi 46.500 ,- Ft-tal számolva. Feladatukat nem teljes munkaidőben látják el.
</t>
  </si>
  <si>
    <t xml:space="preserve">Külső szakértő cég által lebonyolított képzés kb. 20 fő belső munkatárs részére innováció- és kutatásmenedzsment témában.
</t>
  </si>
  <si>
    <t xml:space="preserve">Az Egyetem részéről a tudás- és technológiatranszferrel kapcsolatosan felmerülő témákhoz kapcsolódó jogi feladatok bérköltsége  20 hónapon keresztül.
</t>
  </si>
  <si>
    <t xml:space="preserve">Az Egyetem részéről a tudás- és technológiatranszferrel kapcsolatosan felmerülő témákhoz kapcsolódó jogi feladatok bérköltségének munkáltatói járulékterhe 20 hónapon keresztül.
</t>
  </si>
  <si>
    <t xml:space="preserve">Az egyetemi értékesíthető és piacképes szellemi alkotások azonosításával, felmérésével, az értékesítésre alkalmassá tétel menedzselésével foglalkozó munkatárs 20 havi bére.
</t>
  </si>
  <si>
    <t xml:space="preserve">Az egyetemi értékesíthető és piacképes szellemi alkotások azonosításával, felmérésével, az értékesítésre alkalmassá tétel menedzselésével foglalkozó munkatárs bérjáruléka 20 hónapon keresztül.
</t>
  </si>
  <si>
    <t xml:space="preserve">A sort 0 Ft költséggel rögzítettük, tekintettel arra, hogy a Tevékenység megvalósítását vállaltuk, de nem terveztünk hozzá elszámolható költséget. </t>
  </si>
  <si>
    <t xml:space="preserve">Az informatikai eszközbeszerzés során felmerülő közbeszerzés költsége, mely az eljárás fajtájától függően közbeszerzési díjként vagy közbeszerzési tanácsadó díjaként jelenik meg.
</t>
  </si>
  <si>
    <t xml:space="preserve">Közösségi tér működéséhez kapcsolódó szakmai tevékenységek, programok (workshopok, előadások, tréningek, rendezvények) megvalósításához szükséges szolgáltatások igénybevétele.
</t>
  </si>
  <si>
    <t xml:space="preserve">A szakmai megvalósítás során a Közösségi teret érintően felmerült víz, áram, gáz arányos költsége 24 hónapra.
</t>
  </si>
  <si>
    <t xml:space="preserve">StartUp versenyek szervezése hallgatóknak, amelyben 4 fókuszban szervezünk versenyeket. Egy általános ötletverseny, amelyben a Pannon Egyetem bármely hallgatója részt vehet. A második fókusz amelyben vállalkozásindítási lehetőséggel támogatjuk azon végzős hallgatók ötleteit, amelyet már üzleti tervvel és megvalósítási tervvel mutatják be. Harmadik és negyedik fókuszban a hallgatóktóktól várunk az Egyetem működésével összefüggő innovációs ötleteket, javaslatokat. A versenyeket nyílvánosan rendezzük és tessszük közzé, amelyhez díjazást is tervezünk.
</t>
  </si>
  <si>
    <t xml:space="preserve">A Közösségi tér működtetéséért, a rendezvények lebonyolításáért, valamint a kapcsolódó szakmai feladatok elvégzéséért felelős munkatárs munkabére 24 hónapra. Feladatát részmunkaidőben végzi.
</t>
  </si>
  <si>
    <t xml:space="preserve">A képzési koordinátor feladata a projekt keretében tervezett képzések, tréningek, workshopok, előadások megszervezésének és lebonyolításának koordinálása. Feladatán 24 hónapon keresztül részmunkaidőben végzi.
</t>
  </si>
  <si>
    <t xml:space="preserve">A projekt megvalósítása során a kompetencia fejlesztési előadások, képzések, tréningek előadóinak bérköltsége.
</t>
  </si>
  <si>
    <t xml:space="preserve">A beérkezett pályamunkák értékelésére, a támogatásban részesítendők kiválasztására 5 fős külső és belső szakértőkből – technológiatranszfer szakértőkből, menedzserekből, vállalatvezetőkből, üzleti tanácsadókból, befektetőkből- álló zsűri segítségét vesszük igénybe, akik tiszteletdíjban részesülnek.
</t>
  </si>
  <si>
    <t xml:space="preserve">A Közösségi tér működéséért felelős munkatárs bérjáruléka 24 hónapra. Feladatát nem teljes munkaidőben látja el.
</t>
  </si>
  <si>
    <t xml:space="preserve">A projekt keretében megvalósított képzések tréningek, workshopok, előadások koordinációjáért felelős munkatárs bérének járulékai 20 hónapra, havi 18.600,- Ft-tal számolva. Feladatát nem teljes munkaidőben látja el.
</t>
  </si>
  <si>
    <t xml:space="preserve">A projekt megvalósítása során a kompetencia fejlesztési előadások, képzések, tréningek előadóinak bérjáruléka.
</t>
  </si>
  <si>
    <t xml:space="preserve">A Tudás- és Technológiatranszfer Központ vezetőjének a Közösségi tér szakmai vezetéséhez kapcsolódó bérjáruléka 24 hónapon keresztül. 
</t>
  </si>
  <si>
    <t xml:space="preserve">Nemzetközi technológiai transzfer és innovációs szervezetekhez, szövetségekhez való csatlakozás tagdíjai.
</t>
  </si>
  <si>
    <t xml:space="preserve">A PoC Alapra beérkezett pályázók által igényelt szolgáltatások beszerzése, mellyel a piacrajutást és a validációt tudják elősegíteni.
</t>
  </si>
  <si>
    <t xml:space="preserve">A beérkezett pályamunkák értékelésére, a támogatásban részesítendők kiválasztására 5 fős külső és belső szakértőkből – technológiatranszfer szakértőkből, menedzserekből, vállalatvezetőkből, üzleti tanácsadókból, befektetőkből- álló zsűri segítségét veszüsszük igénybe, akik tiszteletdíjban részesülnek.
</t>
  </si>
  <si>
    <t xml:space="preserve">A POC Alapra beérkezett pályamunkák értékelését és a nyertesek kiválasztását végző zsűritagok tiszteletdíjának járulékai.
</t>
  </si>
  <si>
    <t xml:space="preserve">A Pannon Egyetemen keletkezett szellemi termékek iparjogvédelmi költségeinek biztosítására létrehozott keret, melyből a felmerülő igények alapján lehetőség van finanszírozni újdonságkutatást, külső szabadalmi ügyvivői és jogi tanácsadást, szabadalmi bejelentési, fenntartási díjakat és költségeket... stb. A külső szolgáltatásokat a T3K szerzi be a felmerülő igények alapján. 
</t>
  </si>
  <si>
    <t xml:space="preserve">A T3K munkatársainak mindennapi munkájához szükséges elektronikai és informatikai eszközök beszerzése.
</t>
  </si>
  <si>
    <t xml:space="preserve">A Tudás- és Technológiatranszfer Központ mindennapi működésének biztosításához beszerzendő irodaszer, papír, toner, kisértékű eszközök (pl. adathordozó) beszerzési költsége, 24 hónap futamidő alatt.
</t>
  </si>
  <si>
    <t xml:space="preserve">A projekt pénzügyi vezetőjének bérköltsége 24 hónapon keresztül. nFeladatát részmunkaidőben  végzi.
</t>
  </si>
  <si>
    <t xml:space="preserve">A Tudás- és Technológiatranszfer Központ igazgatójának a T3K vezetéséhez kapcsolódó bérköltsége 24 hónapon keresztül, havi 770.000,- Ft-tal számolva. 
</t>
  </si>
  <si>
    <t xml:space="preserve">Technológiatranszfer menedzser bérköltsége 24 hónapon keresztül, havi 600.000,- Ft-tal számolva. Feladata a projekt szakmai megvalósításának koordinálása.
</t>
  </si>
  <si>
    <t xml:space="preserve">A projekt projektmenedzserének bérköltsége  24 hónapon keresztül. Feladatát részmunkaidőben  végzi.
</t>
  </si>
  <si>
    <t xml:space="preserve">A projekt pénzügyi vezetőjének munkáltatói bérjáruléka 24 hónapon keresztül. Feladatát részmunkaidőben végzi.
</t>
  </si>
  <si>
    <t xml:space="preserve">A Tudás- és Technológiatranszfer Központ vezetőjének munkáltatói bérjáruléka 24 hónapon keresztül..
</t>
  </si>
  <si>
    <t xml:space="preserve">Technológiatranszfer menedzser munkáltatói járuléka 24 hónapon keresztül, havi 93.000,- Ft-tal számolva. Feladata a projekt szakmai megvalósításának koordinálása.
</t>
  </si>
  <si>
    <t xml:space="preserve">A projekt projektmenedzserének munkáltatói járuléka 24 hónapon keresztül. Feladatát részmunkaidőben végzi.
</t>
  </si>
  <si>
    <t xml:space="preserve">Az projekt szakmai megvalósításának keretében végzett tevékenységekhez igénybe vett utazási költségek. A Tudás- és Technológiatranszfer Központ munkatársainak (szakmai megvalósítók) az ipari kapcsolatépítés, üzletfejlesztés, workshopokon, rendezvényeken történő részvétel... stb. érdekében felmerülő utazásai. 
</t>
  </si>
  <si>
    <t>Irodaberendezés</t>
  </si>
  <si>
    <t>P2100437 szabadalom kidolgozása (max. 16 óra) + SZTNH képviselet 3. részfeladat</t>
  </si>
  <si>
    <t>P2100437 szabadalom kidolgozása (max. 16 óra) + SZTNH képviselet 3. részfeladat illeték</t>
  </si>
  <si>
    <t>Pénzügyi központ</t>
  </si>
  <si>
    <t>P2100394 szabadalom illeték</t>
  </si>
  <si>
    <t>SAP iktatószám</t>
  </si>
  <si>
    <t>Vargáné Hajda Tímea</t>
  </si>
  <si>
    <t>Domján Gábor</t>
  </si>
  <si>
    <t>NETWORKSHOP 2022konferencia (Vonderviszt Lajos)</t>
  </si>
  <si>
    <t>Comp-Rend Kft.</t>
  </si>
  <si>
    <t>14. Egyéb berendezések, felszerelések, járművek</t>
  </si>
  <si>
    <t>Projektasszisztens bérköltsége</t>
  </si>
  <si>
    <t>Innovációs versenyekhez szakértők díjazása</t>
  </si>
  <si>
    <t>Projektasszisztens bérének járuléka</t>
  </si>
  <si>
    <t>Innov. versenyekhez szakértők díjazása  bérjárulék</t>
  </si>
  <si>
    <t>Budapesti kiküldetés</t>
  </si>
  <si>
    <t>Varga Ákos</t>
  </si>
  <si>
    <t>Irodaszer beszerzés</t>
  </si>
  <si>
    <t>Profil-Copy 2002 Kft.</t>
  </si>
  <si>
    <t>Tény</t>
  </si>
  <si>
    <t>BÉRKÖLTSÉG</t>
  </si>
  <si>
    <t>BÉRJÁRULÉK</t>
  </si>
  <si>
    <t>TEVÉKENYSÉG NEVE</t>
  </si>
  <si>
    <t>i</t>
  </si>
  <si>
    <t>Elszámolt bruttó bér</t>
  </si>
  <si>
    <t>Elszámolt járulék</t>
  </si>
  <si>
    <t>Időszak kezdete</t>
  </si>
  <si>
    <t>Időszak vége</t>
  </si>
  <si>
    <t>Tény/Kötváll</t>
  </si>
  <si>
    <t>Szerződés típusa</t>
  </si>
  <si>
    <t>Teljes munkaidő</t>
  </si>
  <si>
    <t>Projektre fordított munkaidő</t>
  </si>
  <si>
    <t>Havi teljes munkabér</t>
  </si>
  <si>
    <t>Terhelés</t>
  </si>
  <si>
    <t>Számfejtés</t>
  </si>
  <si>
    <t>Munkaköri leírás</t>
  </si>
  <si>
    <t>Név</t>
  </si>
  <si>
    <t>ÖSSZESEN</t>
  </si>
  <si>
    <t>Kötváll</t>
  </si>
  <si>
    <t>bér</t>
  </si>
  <si>
    <t>Maradvány</t>
  </si>
  <si>
    <t>MINDÖSSZ:</t>
  </si>
  <si>
    <t>MEGBÍZÁSOK</t>
  </si>
  <si>
    <t>Szoc. Hó</t>
  </si>
  <si>
    <t>Szerződés elkészült</t>
  </si>
  <si>
    <t>Munkaidő nyilvántartás</t>
  </si>
  <si>
    <t>DOLOGI KÖLTSÉGEK</t>
  </si>
  <si>
    <t>KÖLTSÉG KATEGÓRIA</t>
  </si>
  <si>
    <t>Megnevezés</t>
  </si>
  <si>
    <t>Összeg</t>
  </si>
  <si>
    <t>Szállító</t>
  </si>
  <si>
    <t>keretszerződés</t>
  </si>
  <si>
    <t xml:space="preserve"> 202109272519 Szabadalmi ügyvivői megbízási szerződés</t>
  </si>
  <si>
    <t>Cosignum Öko-Innovációs Kft.</t>
  </si>
  <si>
    <t>5100001299</t>
  </si>
  <si>
    <t>1900100249</t>
  </si>
  <si>
    <t>5100002093</t>
  </si>
  <si>
    <t>5100001567</t>
  </si>
  <si>
    <t>5100002010</t>
  </si>
  <si>
    <t>5100002011</t>
  </si>
  <si>
    <t>5100002012</t>
  </si>
  <si>
    <t>5100004464</t>
  </si>
  <si>
    <t>5100001616</t>
  </si>
  <si>
    <t>Költségvetés munkalap összesen</t>
  </si>
  <si>
    <t>BÉR</t>
  </si>
  <si>
    <t>Költségelem</t>
  </si>
  <si>
    <t>Költségvetés munkalap összes bér</t>
  </si>
  <si>
    <t>Kiadványban megjelenés</t>
  </si>
  <si>
    <t>belső igény</t>
  </si>
  <si>
    <t>Sprinter Plusz Kft.</t>
  </si>
  <si>
    <t>Magyar Egészség Fejlesztés kiadványban megjelenés</t>
  </si>
  <si>
    <t>Budapesti és debreceni kiküldetések</t>
  </si>
  <si>
    <t>Budapesti és pécsi kiküldetések</t>
  </si>
  <si>
    <t>Ellenőrző oszlop</t>
  </si>
  <si>
    <t>Fedezet dátuma</t>
  </si>
  <si>
    <t>Gombkötő Imre</t>
  </si>
  <si>
    <t>NR</t>
  </si>
  <si>
    <t>megbízási díj</t>
  </si>
  <si>
    <t>Kovács Melinda</t>
  </si>
  <si>
    <t>M811120000</t>
  </si>
  <si>
    <t>Pécsi kiküldetés</t>
  </si>
  <si>
    <t>Molnár László EV</t>
  </si>
  <si>
    <t>Személyszállítási szolg.</t>
  </si>
  <si>
    <t>M&amp;S Informatika Zrt.</t>
  </si>
  <si>
    <t>Macrotel Kft.</t>
  </si>
  <si>
    <t>VOIP telefon</t>
  </si>
  <si>
    <t>HP Probook 650, Windows 10, DellE2422 monitor</t>
  </si>
  <si>
    <t>Rezsi</t>
  </si>
  <si>
    <t>rezsiköltség (általános)</t>
  </si>
  <si>
    <t>rezsiköltség (közösségi tér)</t>
  </si>
  <si>
    <t>gáz ktg (általános) 2021.11-12. hó</t>
  </si>
  <si>
    <t>áram ktg (általános) 2021.11-12. hó</t>
  </si>
  <si>
    <t>víz ktg (általános) 2021.11-12. hó</t>
  </si>
  <si>
    <t>gáz ktg (közösségi tér) 2021.11-12. hó</t>
  </si>
  <si>
    <t>áram ktg (közösségi tér) 2021.11-12. hó</t>
  </si>
  <si>
    <t>víz ktg (közösségi tér) 2021.11-12. hó</t>
  </si>
  <si>
    <t>gáz ktg (általános) 2022.01-08. hó</t>
  </si>
  <si>
    <t>áram ktg (általános) 2022.01-08. hó</t>
  </si>
  <si>
    <t>víz ktg (általános) 2022.01-08. hó</t>
  </si>
  <si>
    <t>gáz ktg (közösségi tér) 2022.01-08. hó</t>
  </si>
  <si>
    <t>áram ktg (közösségi tér) 2022.01-08. hó</t>
  </si>
  <si>
    <t>víz ktg (közösségi tér) 2022.01-08. hó</t>
  </si>
  <si>
    <t>SBGK Szabadalmi Ügyvivői Iroda</t>
  </si>
  <si>
    <t>EP 2201064 sz. szabadalom érvényesítési és fenntartási díj</t>
  </si>
  <si>
    <t>Digitális nyugta</t>
  </si>
  <si>
    <t>az elnyert concept teljes költsége, később le lesz bontva különféle költségekre</t>
  </si>
  <si>
    <t>P2100356 számú szabadalom iparjogvédelmi szolgáltatás</t>
  </si>
  <si>
    <t>Központi Statisztikai Hivatal</t>
  </si>
  <si>
    <t>KSH adatigénylés</t>
  </si>
  <si>
    <t>Deák Csaba</t>
  </si>
  <si>
    <t>Samsung Galaxy Tablet Tab 8</t>
  </si>
  <si>
    <t>Lenovo Tab M8</t>
  </si>
  <si>
    <t>T-Systems Magyarország Zrt.</t>
  </si>
  <si>
    <t>Serco Informatika Zrt.</t>
  </si>
  <si>
    <t>elektronikai alkatrészek, okostelefon</t>
  </si>
  <si>
    <t>RES NOVO Kft.</t>
  </si>
  <si>
    <t>Voice of Customer felmérés készítése</t>
  </si>
  <si>
    <t>P1200619 számú szabadalom iparjogvédelmi szolgáltatás</t>
  </si>
  <si>
    <t>Szűcs Endre EV</t>
  </si>
  <si>
    <t>Okoszeszközre készült szoftver felesztése - tanácsadás</t>
  </si>
  <si>
    <t>Kes Reklámügynökség Kft.</t>
  </si>
  <si>
    <t>HAPA konferencia részvételi díj</t>
  </si>
  <si>
    <t>CSAK ALAPILLETMÉNY ELSZÁMOLHATÓ  2019-es általános útmutató szerint</t>
  </si>
  <si>
    <t>gáz ktg (általános) 2022.09-10. hó</t>
  </si>
  <si>
    <t>áram ktg (általános) 2022.09-10. hó</t>
  </si>
  <si>
    <t>víz ktg (általános) 2022.09-10. hó</t>
  </si>
  <si>
    <t>gáz ktg (közösségi tér) 2022.09-10. hó</t>
  </si>
  <si>
    <t>áram ktg (közösségi tér) 2022.09-10. hó</t>
  </si>
  <si>
    <t>víz ktg (közösségi tér) 2022.09-10. hó</t>
  </si>
  <si>
    <t>Wenczel Richárd</t>
  </si>
  <si>
    <t>Véber Zoltán</t>
  </si>
  <si>
    <t>óraadás</t>
  </si>
  <si>
    <t>Egér és billentyűzet beszerzése</t>
  </si>
  <si>
    <t>Immateriális javak</t>
  </si>
  <si>
    <t>Szoftver licensz</t>
  </si>
  <si>
    <t>Zabala Innovation Consulting</t>
  </si>
  <si>
    <t>Kaila szoftver licensz</t>
  </si>
  <si>
    <t>belső átvezetés</t>
  </si>
  <si>
    <t>NAV</t>
  </si>
  <si>
    <t>Kaila szoftver licensz ÁFA</t>
  </si>
  <si>
    <t>ÚJ SOR KELL NEKI! MEGNÉZNI HOGY EZ IMMAT JAV VAGY SZOLGÁLTATÁS</t>
  </si>
  <si>
    <t>Vonderviszt Lajos</t>
  </si>
  <si>
    <t xml:space="preserve">P0700680 szabadalom, 16. évi fenntartási díj </t>
  </si>
  <si>
    <t>Port Event Kft.</t>
  </si>
  <si>
    <t>Catering szolgáltatás biztosítása</t>
  </si>
  <si>
    <t>Adóazonosító</t>
  </si>
  <si>
    <t>8415300263</t>
  </si>
  <si>
    <t>8347262403</t>
  </si>
  <si>
    <t>8427102364</t>
  </si>
  <si>
    <t>8404111863</t>
  </si>
  <si>
    <t>8401664799</t>
  </si>
  <si>
    <t>8424730070</t>
  </si>
  <si>
    <t>8397461884</t>
  </si>
  <si>
    <t>8464480210</t>
  </si>
  <si>
    <t>8474940427</t>
  </si>
  <si>
    <t>Havi bér járuléka</t>
  </si>
  <si>
    <t>Témaszám eltérés</t>
  </si>
  <si>
    <t>Bér eltérés</t>
  </si>
  <si>
    <t>Járulék eltérés</t>
  </si>
  <si>
    <t>gáz ktg (általános) 2022.11. hó</t>
  </si>
  <si>
    <t>áram ktg (általános) 2022.11. hó</t>
  </si>
  <si>
    <t>víz ktg (általános) 2022.11 hó</t>
  </si>
  <si>
    <t>gáz ktg (közösségi tér) 2022.11. hó</t>
  </si>
  <si>
    <t>áram ktg (közösségi tér) 2022.11. hó</t>
  </si>
  <si>
    <t>víz ktg (közösségi tér) 2022.11. hó</t>
  </si>
  <si>
    <t>Horváth Ádám</t>
  </si>
  <si>
    <t>E031110000</t>
  </si>
  <si>
    <t>Pekárdy Milán</t>
  </si>
  <si>
    <t>8443330120</t>
  </si>
  <si>
    <t>Bér</t>
  </si>
  <si>
    <t>Járulék</t>
  </si>
  <si>
    <t>Dabronaki Priszinger Krisztina Éva</t>
  </si>
  <si>
    <t>Dr. Kovács Melinda</t>
  </si>
  <si>
    <t>gáz ktg (általános) 2022.12. hó</t>
  </si>
  <si>
    <t>áram ktg (általános) 2022.12. hó</t>
  </si>
  <si>
    <t>víz ktg (általános) 2022.12 hó</t>
  </si>
  <si>
    <t>gáz ktg (közösségi tér) 2022.12. hó</t>
  </si>
  <si>
    <t>áram ktg (közösségi tér) 2022.12. hó</t>
  </si>
  <si>
    <t>víz ktg (közösségi tér) 2022.12. hó</t>
  </si>
  <si>
    <t>EGYEZIK</t>
  </si>
  <si>
    <t>HIBÁS</t>
  </si>
  <si>
    <t>Terv</t>
  </si>
  <si>
    <t>Dr. Varga Csilla és Dr. Kovács András részére, 2023.02.14-15</t>
  </si>
  <si>
    <t>Ledum Kamara SK s.r.o.</t>
  </si>
  <si>
    <t>Optoma projektor beszerzése</t>
  </si>
  <si>
    <t>toner beszerzése</t>
  </si>
  <si>
    <t>Catering szolgáltatás reprezentációs járuléka</t>
  </si>
  <si>
    <t>8447411184</t>
  </si>
  <si>
    <t>Pekárdy Milán Péter</t>
  </si>
  <si>
    <t>gáz ktg (általános) 2023.01. hó</t>
  </si>
  <si>
    <t>áram ktg (általános) 2023.01. hó</t>
  </si>
  <si>
    <t>víz ktg (általános) 2023.01. hó</t>
  </si>
  <si>
    <t>gáz ktg (közösségi tér) 2023.01. hó</t>
  </si>
  <si>
    <t>áram ktg (közösségi tér) 2023.01. hó</t>
  </si>
  <si>
    <t>víz ktg (közösségi tér) 2023.01. hó</t>
  </si>
  <si>
    <t>P1200742 számú szabadalom fenntartási díj</t>
  </si>
  <si>
    <t>P2100394 szabadalom kidolgozása (max. 16 óra) + SZTNH képviselet 2. részfeladat</t>
  </si>
  <si>
    <t>P2200450 számú szabadalom iparjogvédelmi szolgáltatás</t>
  </si>
  <si>
    <t>Schmidt Bernadett</t>
  </si>
  <si>
    <t>Iparjogvédelmi képzés</t>
  </si>
  <si>
    <t>Zsargó A, Kovács M, Ignácz M, Varga Á</t>
  </si>
  <si>
    <t>M511130000</t>
  </si>
  <si>
    <t>M211130000</t>
  </si>
  <si>
    <t>Plasticor  Kft.</t>
  </si>
  <si>
    <t>17.843,5 EUR</t>
  </si>
  <si>
    <t>gáz ktg (általános) 2023.02. hó</t>
  </si>
  <si>
    <t>áram ktg (általános) 2023.02. hó</t>
  </si>
  <si>
    <t>víz ktg (általános) 2023.02. hó</t>
  </si>
  <si>
    <t>gáz ktg (közösségi tér) 2023.02. hó</t>
  </si>
  <si>
    <t>áram ktg (közösségi tér) 2023.02. hó</t>
  </si>
  <si>
    <t>víz ktg (közösségi tér) 2023.02. hó</t>
  </si>
  <si>
    <t>blokknyomtató, ethernet switch, cat kábel</t>
  </si>
  <si>
    <t>Winnovation World Kft.</t>
  </si>
  <si>
    <t>Innovációsmenedzsment tréning megtartása</t>
  </si>
  <si>
    <t>Belföldi konferencia részvétel</t>
  </si>
  <si>
    <t>Networkshop konferencia, 2023.04.11-14</t>
  </si>
  <si>
    <t>Fodor Fruzsina</t>
  </si>
  <si>
    <t>Consact Kft.</t>
  </si>
  <si>
    <t>Digitális nyugta projektben adatvédelmi és jogi tanácsadás</t>
  </si>
  <si>
    <t>projektor beszerzésének külföldi áfája</t>
  </si>
  <si>
    <t>P2100339 szabadalmi bejelentés díja (Felhőérzékelés)</t>
  </si>
  <si>
    <t>202209222519</t>
  </si>
  <si>
    <t>P2300095 szabadalmi bejelentés díja (Felhőérzékelés)</t>
  </si>
  <si>
    <t>202303162546</t>
  </si>
  <si>
    <t>Miskolci kiküldetés</t>
  </si>
  <si>
    <t>Vp-Miskolc-Vp, 2023.03.03</t>
  </si>
  <si>
    <t>Belföldi kiküldetések</t>
  </si>
  <si>
    <t>Vp-Győr-Vp, 2023.02.21, Vp-Kunszentmiklós-Vp, 2023.02.27</t>
  </si>
  <si>
    <t>HAPA konferencia részvételi díjhoz kapcsolódó repi járulék</t>
  </si>
  <si>
    <t>gáz ktg (közösségi tér) 2023.03. hó</t>
  </si>
  <si>
    <t>áram ktg (közösségi tér) 2023.03. hó</t>
  </si>
  <si>
    <t>víz ktg (közösségi tér) 2023.03. hó</t>
  </si>
  <si>
    <t>gáz ktg (általános) 2023.03. hó</t>
  </si>
  <si>
    <t>áram ktg (általános) 2023.03. hó</t>
  </si>
  <si>
    <t>víz ktg (általános) 2023.03. hó</t>
  </si>
  <si>
    <t>Vp-Bp-Vp 2023.03.24, Vp-Szeged-Vp 2023.03.27</t>
  </si>
  <si>
    <t>P2200042, P2200120, P2200450 szabadalmi bejelentés</t>
  </si>
  <si>
    <t>Hónap</t>
  </si>
  <si>
    <t>Kihagyás</t>
  </si>
  <si>
    <t>Fröccsöntő szerszám gyártása előleg</t>
  </si>
  <si>
    <t>Fröccsöntő szerszám gyártása maradék</t>
  </si>
  <si>
    <t>1. munkaszakasz költés</t>
  </si>
  <si>
    <t>Összes munkaszakasz költés</t>
  </si>
  <si>
    <t>P2100233 szabadalmi bejelentés, nemzetközi bejelentés</t>
  </si>
  <si>
    <t>202205062522 keretszerződés</t>
  </si>
  <si>
    <t>P1500200 számú szabadalom fenntartási díj</t>
  </si>
  <si>
    <t>megbízás</t>
  </si>
  <si>
    <t>8479830956</t>
  </si>
  <si>
    <t>gáz ktg (közösségi tér) 2023.04. hó</t>
  </si>
  <si>
    <t>áram ktg (közösségi tér) 2023.04. hó</t>
  </si>
  <si>
    <t>víz ktg (közösségi tér) 2023.04. hó</t>
  </si>
  <si>
    <t>gáz ktg (általános) 2023.04. hó</t>
  </si>
  <si>
    <t>áram ktg (általános) 2023.04. hó</t>
  </si>
  <si>
    <t>víz ktg (általános) 2023.04. hó</t>
  </si>
  <si>
    <t>P2100209 számú szabadalmi bejelentési díj</t>
  </si>
  <si>
    <t>Tóth Bettina Karolina</t>
  </si>
  <si>
    <t>8461660358</t>
  </si>
  <si>
    <t>Zsargó Adrienn</t>
  </si>
  <si>
    <t>8460271463</t>
  </si>
  <si>
    <t>P2100339 számú szabadalmi bejelentési díj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</si>
</sst>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_F_t_-;\-* #,##0.00\ _F_t_-;_-* &quot;-&quot;??\ _F_t_-;_-@_-"/>
    <numFmt numFmtId="165" formatCode="#,##0_ ;\-#,##0\ "/>
    <numFmt numFmtId="166" formatCode="0.0000"/>
    <numFmt numFmtId="167" formatCode="_-* #,##0\ _F_t_-;\-* #,##0\ _F_t_-;_-* &quot;-&quot;??\ _F_t_-;_-@_-"/>
    <numFmt numFmtId="168" formatCode="_-* #,##0_-;\-* #,##0_-;_-* &quot;-&quot;??_-;_-@_-"/>
  </numFmts>
  <fonts count="42" x14ac:knownFonts="1">
    <font>
      <sz val="11"/>
      <color theme="1"/>
      <name val="Calibri"/>
      <family val="2"/>
      <charset val="238"/>
      <scheme val="minor"/>
    </font>
    <font>
      <sz val="11"/>
      <color theme="1"/>
      <name val="Calibri"/>
      <family val="2"/>
      <charset val="238"/>
      <scheme val="minor"/>
    </font>
    <font>
      <b/>
      <sz val="11"/>
      <color theme="1"/>
      <name val="Calibri"/>
      <family val="2"/>
      <charset val="238"/>
      <scheme val="minor"/>
    </font>
    <font>
      <b/>
      <sz val="12"/>
      <color rgb="FF000000"/>
      <name val="Calibri"/>
      <family val="2"/>
      <charset val="238"/>
    </font>
    <font>
      <b/>
      <sz val="12"/>
      <name val="Calibri"/>
      <family val="2"/>
      <charset val="238"/>
    </font>
    <font>
      <sz val="11"/>
      <color rgb="FF000000"/>
      <name val="Calibri"/>
      <family val="2"/>
      <charset val="238"/>
    </font>
    <font>
      <sz val="11"/>
      <color rgb="FFFF0000"/>
      <name val="Calibri"/>
      <family val="2"/>
      <charset val="238"/>
    </font>
    <font>
      <b/>
      <sz val="11"/>
      <name val="Calibri"/>
      <family val="2"/>
      <charset val="238"/>
    </font>
    <font>
      <sz val="11"/>
      <name val="Calibri"/>
      <family val="2"/>
      <charset val="238"/>
    </font>
    <font>
      <i/>
      <sz val="11"/>
      <name val="Calibri"/>
      <family val="2"/>
      <charset val="238"/>
    </font>
    <font>
      <sz val="11"/>
      <name val="Calibri"/>
      <family val="2"/>
      <charset val="238"/>
      <scheme val="minor"/>
    </font>
    <font>
      <b/>
      <sz val="11"/>
      <color rgb="FF000000"/>
      <name val="Calibri"/>
      <family val="2"/>
      <charset val="238"/>
    </font>
    <font>
      <sz val="11"/>
      <color indexed="8"/>
      <name val="Calibri"/>
      <family val="2"/>
      <charset val="238"/>
    </font>
    <font>
      <b/>
      <sz val="10"/>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sz val="11"/>
      <color theme="0"/>
      <name val="Calibri"/>
      <family val="2"/>
      <charset val="238"/>
      <scheme val="minor"/>
    </font>
    <font>
      <sz val="10"/>
      <name val="Arial"/>
      <family val="2"/>
      <charset val="238"/>
    </font>
    <font>
      <sz val="9"/>
      <color indexed="81"/>
      <name val="Tahoma"/>
      <family val="2"/>
      <charset val="238"/>
    </font>
    <font>
      <b/>
      <sz val="9"/>
      <color indexed="81"/>
      <name val="Tahoma"/>
      <family val="2"/>
      <charset val="238"/>
    </font>
    <font>
      <sz val="11"/>
      <color rgb="FF000000"/>
      <name val="Calibri"/>
      <family val="2"/>
      <charset val="238"/>
    </font>
    <font>
      <b/>
      <sz val="11"/>
      <color rgb="FF000000"/>
      <name val="Calibri"/>
      <family val="2"/>
      <charset val="238"/>
    </font>
    <font>
      <sz val="12"/>
      <color rgb="FF000000"/>
      <name val="Calibri"/>
      <family val="2"/>
      <charset val="238"/>
    </font>
    <font>
      <sz val="10"/>
      <name val="Calibri"/>
      <family val="2"/>
      <charset val="238"/>
    </font>
    <font>
      <sz val="10"/>
      <color rgb="FF000000"/>
      <name val="Calibri"/>
      <family val="2"/>
      <charset val="238"/>
    </font>
    <font>
      <b/>
      <sz val="10"/>
      <color rgb="FF000000"/>
      <name val="Calibri"/>
      <family val="2"/>
      <charset val="238"/>
    </font>
    <font>
      <sz val="12"/>
      <name val="Calibri"/>
      <family val="2"/>
      <charset val="238"/>
    </font>
    <font>
      <b/>
      <sz val="11"/>
      <color rgb="FFFF0000"/>
      <name val="Calibri"/>
      <family val="2"/>
      <charset val="238"/>
      <scheme val="minor"/>
    </font>
    <font>
      <b/>
      <sz val="11"/>
      <color theme="1"/>
      <name val="Calibri"/>
      <family val="2"/>
      <scheme val="minor"/>
    </font>
    <font>
      <sz val="11"/>
      <color rgb="FF00B050"/>
      <name val="Calibri"/>
      <family val="2"/>
      <charset val="238"/>
    </font>
  </fonts>
  <fills count="47">
    <fill>
      <patternFill patternType="none"/>
    </fill>
    <fill>
      <patternFill patternType="gray125"/>
    </fill>
    <fill>
      <patternFill patternType="solid">
        <fgColor theme="4" tint="0.59999389629810485"/>
        <bgColor indexed="64"/>
      </patternFill>
    </fill>
    <fill>
      <patternFill patternType="solid">
        <fgColor rgb="FFA1C8FB"/>
        <bgColor rgb="FF000000"/>
      </patternFill>
    </fill>
    <fill>
      <patternFill patternType="solid">
        <fgColor theme="5" tint="0.59999389629810485"/>
        <bgColor indexed="64"/>
      </patternFill>
    </fill>
    <fill>
      <patternFill patternType="solid">
        <fgColor rgb="FFFFFF00"/>
        <bgColor indexed="64"/>
      </patternFill>
    </fill>
    <fill>
      <patternFill patternType="solid">
        <fgColor rgb="FFFFC000"/>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92D050"/>
        <bgColor indexed="64"/>
      </patternFill>
    </fill>
    <fill>
      <patternFill patternType="solid">
        <fgColor theme="7"/>
        <bgColor indexed="64"/>
      </patternFill>
    </fill>
    <fill>
      <patternFill patternType="solid">
        <fgColor theme="3"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right/>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Down="1">
      <left/>
      <right/>
      <top/>
      <bottom/>
      <diagonal style="thin">
        <color auto="1"/>
      </diagonal>
    </border>
    <border diagonalDown="1">
      <left style="thin">
        <color indexed="64"/>
      </left>
      <right style="thin">
        <color indexed="64"/>
      </right>
      <top style="thin">
        <color indexed="64"/>
      </top>
      <bottom style="thin">
        <color indexed="64"/>
      </bottom>
      <diagonal style="thin">
        <color auto="1"/>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bottom/>
      <diagonal/>
    </border>
    <border>
      <left/>
      <right style="thin">
        <color indexed="64"/>
      </right>
      <top/>
      <bottom/>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diagonal/>
    </border>
    <border>
      <left style="thick">
        <color rgb="FF000000"/>
      </left>
      <right style="thin">
        <color rgb="FF000000"/>
      </right>
      <top style="thin">
        <color rgb="FF000000"/>
      </top>
      <bottom style="thin">
        <color rgb="FF000000"/>
      </bottom>
      <diagonal/>
    </border>
    <border>
      <left style="thick">
        <color rgb="FF000000"/>
      </left>
      <right/>
      <top/>
      <bottom/>
      <diagonal/>
    </border>
    <border>
      <left/>
      <right/>
      <top/>
      <bottom style="thin">
        <color theme="4" tint="0.39997558519241921"/>
      </bottom>
      <diagonal/>
    </border>
  </borders>
  <cellStyleXfs count="49">
    <xf numFmtId="0" fontId="0" fillId="0" borderId="0"/>
    <xf numFmtId="43" fontId="1" fillId="0" borderId="0" applyFont="0" applyFill="0" applyBorder="0" applyAlignment="0" applyProtection="0"/>
    <xf numFmtId="9" fontId="1" fillId="0" borderId="0" applyFont="0" applyFill="0" applyBorder="0" applyAlignment="0" applyProtection="0"/>
    <xf numFmtId="164" fontId="12" fillId="0" borderId="0" applyFont="0" applyFill="0" applyBorder="0" applyAlignment="0" applyProtection="0"/>
    <xf numFmtId="0" fontId="1" fillId="0" borderId="0"/>
    <xf numFmtId="0" fontId="14" fillId="0" borderId="0" applyNumberFormat="0" applyFill="0" applyBorder="0" applyAlignment="0" applyProtection="0"/>
    <xf numFmtId="0" fontId="15" fillId="0" borderId="12" applyNumberFormat="0" applyFill="0" applyAlignment="0" applyProtection="0"/>
    <xf numFmtId="0" fontId="16" fillId="0" borderId="13" applyNumberFormat="0" applyFill="0" applyAlignment="0" applyProtection="0"/>
    <xf numFmtId="0" fontId="17" fillId="0" borderId="14" applyNumberFormat="0" applyFill="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5" applyNumberFormat="0" applyAlignment="0" applyProtection="0"/>
    <xf numFmtId="0" fontId="22" fillId="11" borderId="16" applyNumberFormat="0" applyAlignment="0" applyProtection="0"/>
    <xf numFmtId="0" fontId="23" fillId="11" borderId="15" applyNumberFormat="0" applyAlignment="0" applyProtection="0"/>
    <xf numFmtId="0" fontId="24" fillId="0" borderId="17" applyNumberFormat="0" applyFill="0" applyAlignment="0" applyProtection="0"/>
    <xf numFmtId="0" fontId="25" fillId="12" borderId="18" applyNumberFormat="0" applyAlignment="0" applyProtection="0"/>
    <xf numFmtId="0" fontId="26" fillId="0" borderId="0" applyNumberFormat="0" applyFill="0" applyBorder="0" applyAlignment="0" applyProtection="0"/>
    <xf numFmtId="0" fontId="1" fillId="13" borderId="19" applyNumberFormat="0" applyFont="0" applyAlignment="0" applyProtection="0"/>
    <xf numFmtId="0" fontId="27" fillId="0" borderId="0" applyNumberFormat="0" applyFill="0" applyBorder="0" applyAlignment="0" applyProtection="0"/>
    <xf numFmtId="0" fontId="2" fillId="0" borderId="20" applyNumberFormat="0" applyFill="0" applyAlignment="0" applyProtection="0"/>
    <xf numFmtId="0" fontId="28"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8" fillId="21" borderId="0" applyNumberFormat="0" applyBorder="0" applyAlignment="0" applyProtection="0"/>
    <xf numFmtId="0" fontId="28"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8" fillId="25" borderId="0" applyNumberFormat="0" applyBorder="0" applyAlignment="0" applyProtection="0"/>
    <xf numFmtId="0" fontId="2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8" fillId="29" borderId="0" applyNumberFormat="0" applyBorder="0" applyAlignment="0" applyProtection="0"/>
    <xf numFmtId="0" fontId="28"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8" fillId="33" borderId="0" applyNumberFormat="0" applyBorder="0" applyAlignment="0" applyProtection="0"/>
    <xf numFmtId="0" fontId="28"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8" fillId="37" borderId="0" applyNumberFormat="0" applyBorder="0" applyAlignment="0" applyProtection="0"/>
    <xf numFmtId="0" fontId="29" fillId="0" borderId="0"/>
    <xf numFmtId="0" fontId="5" fillId="0" borderId="0"/>
    <xf numFmtId="0" fontId="32" fillId="0" borderId="0"/>
  </cellStyleXfs>
  <cellXfs count="270">
    <xf numFmtId="0" fontId="0" fillId="0" borderId="0" xfId="0"/>
    <xf numFmtId="0" fontId="3" fillId="0" borderId="0" xfId="0" applyFont="1" applyAlignment="1">
      <alignment horizontal="center" vertical="center" wrapText="1"/>
    </xf>
    <xf numFmtId="0" fontId="8" fillId="0" borderId="0" xfId="0" applyFont="1"/>
    <xf numFmtId="43" fontId="8" fillId="0" borderId="0" xfId="1" applyFont="1" applyAlignment="1">
      <alignment vertical="center"/>
    </xf>
    <xf numFmtId="0" fontId="8" fillId="0" borderId="0" xfId="0" applyFont="1" applyAlignment="1">
      <alignment horizontal="left"/>
    </xf>
    <xf numFmtId="49" fontId="8" fillId="0" borderId="0" xfId="0" applyNumberFormat="1" applyFont="1" applyAlignment="1">
      <alignment horizontal="right"/>
    </xf>
    <xf numFmtId="0" fontId="8" fillId="0" borderId="0" xfId="0" applyFont="1" applyAlignment="1">
      <alignment horizontal="center"/>
    </xf>
    <xf numFmtId="43" fontId="8" fillId="0" borderId="0" xfId="1" applyFont="1"/>
    <xf numFmtId="0" fontId="0" fillId="0" borderId="0" xfId="0" applyAlignment="1">
      <alignment horizontal="left"/>
    </xf>
    <xf numFmtId="0" fontId="5" fillId="0" borderId="0" xfId="0" applyFont="1" applyAlignment="1">
      <alignment horizontal="left"/>
    </xf>
    <xf numFmtId="49" fontId="0" fillId="0" borderId="0" xfId="0" applyNumberFormat="1" applyAlignment="1">
      <alignment horizontal="right"/>
    </xf>
    <xf numFmtId="0" fontId="0" fillId="0" borderId="0" xfId="0" applyAlignment="1">
      <alignment horizontal="center"/>
    </xf>
    <xf numFmtId="0" fontId="5" fillId="0" borderId="0" xfId="0" applyFont="1"/>
    <xf numFmtId="0" fontId="0" fillId="0" borderId="1" xfId="0" applyBorder="1"/>
    <xf numFmtId="0" fontId="5" fillId="0" borderId="1" xfId="0" applyFont="1" applyBorder="1" applyAlignment="1">
      <alignment horizontal="right"/>
    </xf>
    <xf numFmtId="0" fontId="0" fillId="0" borderId="1" xfId="0" applyBorder="1" applyAlignment="1">
      <alignment horizontal="center"/>
    </xf>
    <xf numFmtId="0" fontId="13" fillId="0" borderId="0" xfId="0" applyFont="1" applyAlignment="1">
      <alignment horizontal="center" vertical="center" wrapText="1"/>
    </xf>
    <xf numFmtId="14" fontId="13" fillId="0" borderId="0" xfId="0" applyNumberFormat="1" applyFont="1" applyAlignment="1">
      <alignment horizontal="center" vertical="center" wrapText="1"/>
    </xf>
    <xf numFmtId="0" fontId="5" fillId="0" borderId="1" xfId="0" applyFont="1" applyBorder="1" applyAlignment="1">
      <alignment horizontal="left"/>
    </xf>
    <xf numFmtId="0" fontId="0" fillId="0" borderId="1" xfId="0" applyBorder="1" applyAlignment="1">
      <alignment horizontal="right"/>
    </xf>
    <xf numFmtId="10" fontId="0" fillId="0" borderId="0" xfId="2" applyNumberFormat="1" applyFont="1"/>
    <xf numFmtId="14" fontId="1" fillId="0" borderId="0" xfId="4" applyNumberFormat="1" applyAlignment="1">
      <alignment vertical="center"/>
    </xf>
    <xf numFmtId="0" fontId="11" fillId="3" borderId="2"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3" fontId="0" fillId="0" borderId="2" xfId="0" applyNumberFormat="1" applyBorder="1" applyAlignment="1">
      <alignment horizontal="center" vertical="center" wrapText="1"/>
    </xf>
    <xf numFmtId="0" fontId="0" fillId="0" borderId="2" xfId="0" applyBorder="1" applyAlignment="1">
      <alignment vertical="center"/>
    </xf>
    <xf numFmtId="167" fontId="0" fillId="0" borderId="1" xfId="1" applyNumberFormat="1" applyFont="1" applyBorder="1" applyAlignment="1">
      <alignment vertical="center"/>
    </xf>
    <xf numFmtId="14" fontId="0" fillId="0" borderId="1" xfId="0" applyNumberFormat="1" applyBorder="1" applyAlignment="1">
      <alignment vertical="center"/>
    </xf>
    <xf numFmtId="0" fontId="0" fillId="0" borderId="1" xfId="0" applyBorder="1" applyAlignment="1">
      <alignment vertical="center"/>
    </xf>
    <xf numFmtId="0" fontId="0" fillId="0" borderId="0" xfId="0" applyAlignment="1">
      <alignment vertical="center"/>
    </xf>
    <xf numFmtId="3" fontId="0" fillId="0" borderId="8" xfId="0" applyNumberFormat="1" applyBorder="1" applyAlignment="1">
      <alignment horizontal="center" vertical="center" wrapText="1"/>
    </xf>
    <xf numFmtId="0" fontId="0" fillId="0" borderId="8" xfId="0" applyBorder="1" applyAlignment="1">
      <alignment vertical="center"/>
    </xf>
    <xf numFmtId="167" fontId="11" fillId="0" borderId="1" xfId="1" applyNumberFormat="1" applyFont="1" applyBorder="1" applyAlignment="1">
      <alignment vertical="center"/>
    </xf>
    <xf numFmtId="0" fontId="0" fillId="0" borderId="0" xfId="0" applyAlignment="1">
      <alignment horizontal="left" vertical="center" wrapText="1"/>
    </xf>
    <xf numFmtId="9" fontId="0" fillId="0" borderId="0" xfId="0" applyNumberFormat="1" applyAlignment="1">
      <alignment horizontal="center" vertical="center" wrapText="1"/>
    </xf>
    <xf numFmtId="14" fontId="5" fillId="0" borderId="0" xfId="0" applyNumberFormat="1" applyFont="1" applyAlignment="1">
      <alignment horizontal="left"/>
    </xf>
    <xf numFmtId="0" fontId="0" fillId="0" borderId="0" xfId="0" applyAlignment="1">
      <alignment horizontal="right"/>
    </xf>
    <xf numFmtId="0" fontId="11" fillId="0" borderId="0" xfId="0" applyFont="1" applyAlignment="1">
      <alignment horizontal="left" vertical="center" wrapText="1"/>
    </xf>
    <xf numFmtId="0" fontId="8" fillId="0" borderId="0" xfId="0" applyFont="1" applyAlignment="1">
      <alignment vertical="center"/>
    </xf>
    <xf numFmtId="14" fontId="1" fillId="0" borderId="7" xfId="4" applyNumberFormat="1" applyBorder="1" applyAlignment="1">
      <alignment vertical="center"/>
    </xf>
    <xf numFmtId="14" fontId="1" fillId="0" borderId="9" xfId="4" applyNumberFormat="1" applyBorder="1" applyAlignment="1">
      <alignment vertical="center"/>
    </xf>
    <xf numFmtId="167" fontId="0" fillId="0" borderId="0" xfId="0" applyNumberFormat="1"/>
    <xf numFmtId="167" fontId="0" fillId="0" borderId="0" xfId="0" applyNumberFormat="1" applyAlignment="1">
      <alignment vertical="center"/>
    </xf>
    <xf numFmtId="1" fontId="0" fillId="0" borderId="0" xfId="0" applyNumberFormat="1"/>
    <xf numFmtId="167" fontId="2" fillId="0" borderId="0" xfId="0" applyNumberFormat="1" applyFont="1" applyAlignment="1">
      <alignment vertical="center"/>
    </xf>
    <xf numFmtId="167" fontId="0" fillId="5" borderId="1" xfId="0" applyNumberFormat="1" applyFill="1" applyBorder="1"/>
    <xf numFmtId="14" fontId="1" fillId="5" borderId="1" xfId="4" applyNumberFormat="1" applyFill="1" applyBorder="1" applyAlignment="1">
      <alignment vertical="center"/>
    </xf>
    <xf numFmtId="14" fontId="1" fillId="0" borderId="10" xfId="4" applyNumberFormat="1" applyBorder="1" applyAlignment="1">
      <alignment vertical="center"/>
    </xf>
    <xf numFmtId="0" fontId="5" fillId="0" borderId="3" xfId="0" applyFont="1" applyBorder="1" applyAlignment="1">
      <alignment horizontal="center" vertical="center" wrapText="1"/>
    </xf>
    <xf numFmtId="0" fontId="0" fillId="0" borderId="3" xfId="0" applyBorder="1" applyAlignment="1">
      <alignment vertical="center"/>
    </xf>
    <xf numFmtId="14" fontId="1" fillId="0" borderId="11" xfId="4" applyNumberFormat="1" applyBorder="1" applyAlignment="1">
      <alignment vertical="center"/>
    </xf>
    <xf numFmtId="3" fontId="0" fillId="0" borderId="1" xfId="0" applyNumberFormat="1" applyBorder="1" applyAlignment="1">
      <alignment horizontal="center" vertical="center" wrapText="1"/>
    </xf>
    <xf numFmtId="14" fontId="1" fillId="0" borderId="1" xfId="4" applyNumberFormat="1" applyBorder="1" applyAlignment="1">
      <alignment vertical="center"/>
    </xf>
    <xf numFmtId="164" fontId="0" fillId="0" borderId="0" xfId="0" applyNumberFormat="1"/>
    <xf numFmtId="14" fontId="0" fillId="0" borderId="4" xfId="0" applyNumberFormat="1" applyBorder="1" applyAlignment="1">
      <alignment vertical="center"/>
    </xf>
    <xf numFmtId="14" fontId="0" fillId="0" borderId="6" xfId="0" applyNumberFormat="1" applyBorder="1" applyAlignment="1">
      <alignment vertical="center"/>
    </xf>
    <xf numFmtId="167" fontId="11" fillId="0" borderId="1" xfId="0" applyNumberFormat="1" applyFont="1" applyBorder="1"/>
    <xf numFmtId="167" fontId="0" fillId="0" borderId="1" xfId="0" applyNumberFormat="1" applyBorder="1"/>
    <xf numFmtId="167" fontId="0" fillId="0" borderId="1" xfId="0" applyNumberFormat="1" applyBorder="1" applyAlignment="1">
      <alignment vertical="center"/>
    </xf>
    <xf numFmtId="14" fontId="0" fillId="0" borderId="5" xfId="0" applyNumberFormat="1" applyBorder="1" applyAlignment="1">
      <alignment vertical="center"/>
    </xf>
    <xf numFmtId="167" fontId="0" fillId="0" borderId="3" xfId="0" applyNumberFormat="1" applyBorder="1" applyAlignment="1">
      <alignment vertical="center"/>
    </xf>
    <xf numFmtId="167" fontId="0" fillId="5" borderId="1" xfId="1" applyNumberFormat="1" applyFont="1" applyFill="1" applyBorder="1" applyAlignment="1">
      <alignment vertical="center"/>
    </xf>
    <xf numFmtId="167" fontId="0" fillId="0" borderId="4" xfId="1" applyNumberFormat="1" applyFont="1" applyBorder="1" applyAlignment="1">
      <alignment vertical="center"/>
    </xf>
    <xf numFmtId="0" fontId="32" fillId="0" borderId="0" xfId="48"/>
    <xf numFmtId="0" fontId="2" fillId="38" borderId="0" xfId="0" applyFont="1" applyFill="1" applyAlignment="1">
      <alignment horizontal="center"/>
    </xf>
    <xf numFmtId="165" fontId="4" fillId="0" borderId="21" xfId="1" applyNumberFormat="1" applyFont="1" applyFill="1" applyBorder="1" applyAlignment="1">
      <alignment horizontal="center" vertical="center" wrapText="1"/>
    </xf>
    <xf numFmtId="0" fontId="35" fillId="39" borderId="1" xfId="0" applyFont="1" applyFill="1" applyBorder="1" applyAlignment="1">
      <alignment horizontal="center" vertical="center" wrapText="1"/>
    </xf>
    <xf numFmtId="0" fontId="36" fillId="39" borderId="1" xfId="0" applyFont="1" applyFill="1" applyBorder="1" applyAlignment="1">
      <alignment horizontal="center" vertical="center"/>
    </xf>
    <xf numFmtId="165" fontId="35" fillId="39" borderId="1" xfId="1" applyNumberFormat="1" applyFont="1" applyFill="1" applyBorder="1" applyAlignment="1">
      <alignment horizontal="center" vertical="center" wrapText="1"/>
    </xf>
    <xf numFmtId="14" fontId="35" fillId="39" borderId="1" xfId="0" applyNumberFormat="1" applyFont="1" applyFill="1" applyBorder="1" applyAlignment="1">
      <alignment horizontal="center" vertical="center" wrapText="1"/>
    </xf>
    <xf numFmtId="43" fontId="35" fillId="39" borderId="1" xfId="1" applyFont="1" applyFill="1" applyBorder="1" applyAlignment="1">
      <alignment horizontal="center" vertical="center" wrapText="1"/>
    </xf>
    <xf numFmtId="0" fontId="37" fillId="0" borderId="0" xfId="0" applyFont="1" applyAlignment="1">
      <alignment horizontal="center" vertical="center" wrapText="1"/>
    </xf>
    <xf numFmtId="165" fontId="8" fillId="0" borderId="0" xfId="1" applyNumberFormat="1" applyFont="1" applyFill="1" applyBorder="1" applyAlignment="1">
      <alignment horizontal="center"/>
    </xf>
    <xf numFmtId="165" fontId="8" fillId="0" borderId="0" xfId="1" applyNumberFormat="1" applyFont="1" applyBorder="1" applyAlignment="1">
      <alignment horizontal="center"/>
    </xf>
    <xf numFmtId="165" fontId="10" fillId="0" borderId="0" xfId="1" applyNumberFormat="1" applyFont="1" applyFill="1" applyAlignment="1">
      <alignment horizontal="center" wrapText="1"/>
    </xf>
    <xf numFmtId="0" fontId="5" fillId="0" borderId="0" xfId="0" applyFont="1" applyAlignment="1">
      <alignment horizontal="center"/>
    </xf>
    <xf numFmtId="165" fontId="35" fillId="0" borderId="0" xfId="1" applyNumberFormat="1" applyFont="1" applyFill="1" applyBorder="1" applyAlignment="1">
      <alignment horizontal="center" vertical="center" wrapText="1"/>
    </xf>
    <xf numFmtId="49" fontId="35" fillId="39" borderId="1" xfId="0" applyNumberFormat="1" applyFont="1" applyFill="1" applyBorder="1" applyAlignment="1">
      <alignment horizontal="center" vertical="center" wrapText="1"/>
    </xf>
    <xf numFmtId="3" fontId="35" fillId="39" borderId="1" xfId="0" applyNumberFormat="1" applyFont="1" applyFill="1" applyBorder="1" applyAlignment="1">
      <alignment horizontal="center" vertical="center" wrapText="1"/>
    </xf>
    <xf numFmtId="0" fontId="4" fillId="0" borderId="22" xfId="0" applyFont="1" applyBorder="1" applyAlignment="1">
      <alignment horizontal="center" vertical="center" wrapText="1"/>
    </xf>
    <xf numFmtId="49" fontId="4" fillId="0" borderId="22" xfId="0" applyNumberFormat="1" applyFont="1" applyBorder="1" applyAlignment="1">
      <alignment horizontal="center" vertical="center" wrapText="1"/>
    </xf>
    <xf numFmtId="165" fontId="4" fillId="0" borderId="22" xfId="1" applyNumberFormat="1" applyFont="1" applyFill="1" applyBorder="1" applyAlignment="1">
      <alignment horizontal="center" vertical="center" wrapText="1"/>
    </xf>
    <xf numFmtId="14" fontId="4" fillId="0" borderId="22" xfId="0" applyNumberFormat="1" applyFont="1" applyBorder="1" applyAlignment="1">
      <alignment horizontal="center" vertical="center" wrapText="1"/>
    </xf>
    <xf numFmtId="3" fontId="4" fillId="0" borderId="22" xfId="0" applyNumberFormat="1" applyFont="1" applyBorder="1" applyAlignment="1">
      <alignment vertical="center" wrapText="1"/>
    </xf>
    <xf numFmtId="43" fontId="4" fillId="0" borderId="22" xfId="1" applyFont="1" applyFill="1" applyBorder="1" applyAlignment="1">
      <alignment horizontal="center" vertical="center" wrapText="1"/>
    </xf>
    <xf numFmtId="0" fontId="4" fillId="0" borderId="22" xfId="0" applyFont="1" applyBorder="1" applyAlignment="1">
      <alignment horizontal="left" vertical="center" wrapText="1"/>
    </xf>
    <xf numFmtId="0" fontId="3" fillId="0" borderId="22" xfId="0" applyFont="1" applyBorder="1" applyAlignment="1">
      <alignment horizontal="center" vertical="top" wrapText="1"/>
    </xf>
    <xf numFmtId="0" fontId="8" fillId="0" borderId="1" xfId="0" applyFont="1" applyBorder="1" applyAlignment="1">
      <alignment vertical="center"/>
    </xf>
    <xf numFmtId="3" fontId="8" fillId="0" borderId="1" xfId="0" applyNumberFormat="1" applyFont="1" applyBorder="1" applyAlignment="1">
      <alignment vertical="center"/>
    </xf>
    <xf numFmtId="166" fontId="8" fillId="0" borderId="1" xfId="0" applyNumberFormat="1" applyFont="1" applyBorder="1" applyAlignment="1">
      <alignment vertical="center"/>
    </xf>
    <xf numFmtId="0" fontId="8" fillId="0" borderId="1" xfId="0" applyFont="1" applyBorder="1" applyAlignment="1">
      <alignment horizontal="center" vertical="center"/>
    </xf>
    <xf numFmtId="165" fontId="8" fillId="0" borderId="1" xfId="1" applyNumberFormat="1" applyFont="1" applyFill="1" applyBorder="1" applyAlignment="1">
      <alignment horizontal="center"/>
    </xf>
    <xf numFmtId="165" fontId="8" fillId="0" borderId="1" xfId="1" applyNumberFormat="1" applyFont="1" applyBorder="1" applyAlignment="1">
      <alignment horizontal="center"/>
    </xf>
    <xf numFmtId="0" fontId="8" fillId="0" borderId="1" xfId="0" applyFont="1" applyBorder="1"/>
    <xf numFmtId="3" fontId="8" fillId="0" borderId="1" xfId="0" applyNumberFormat="1" applyFont="1" applyBorder="1"/>
    <xf numFmtId="0" fontId="8" fillId="0" borderId="1" xfId="0" applyFont="1" applyBorder="1" applyAlignment="1">
      <alignment horizontal="left"/>
    </xf>
    <xf numFmtId="0" fontId="8" fillId="0" borderId="1" xfId="0" applyFont="1" applyBorder="1" applyAlignment="1">
      <alignment horizontal="center"/>
    </xf>
    <xf numFmtId="165" fontId="10" fillId="0" borderId="1" xfId="1" applyNumberFormat="1" applyFont="1" applyFill="1" applyBorder="1" applyAlignment="1">
      <alignment horizontal="center" wrapText="1"/>
    </xf>
    <xf numFmtId="0" fontId="5" fillId="0" borderId="1" xfId="0" applyFont="1" applyBorder="1" applyAlignment="1">
      <alignment horizontal="center"/>
    </xf>
    <xf numFmtId="0" fontId="3" fillId="0" borderId="22" xfId="0" applyFont="1" applyBorder="1" applyAlignment="1">
      <alignment horizontal="center" vertical="center"/>
    </xf>
    <xf numFmtId="3" fontId="8" fillId="0" borderId="1" xfId="0" applyNumberFormat="1" applyFont="1" applyBorder="1" applyAlignment="1">
      <alignment horizontal="center" vertical="center"/>
    </xf>
    <xf numFmtId="49" fontId="8" fillId="0" borderId="1" xfId="0" applyNumberFormat="1" applyFont="1" applyBorder="1" applyAlignment="1">
      <alignment horizontal="center"/>
    </xf>
    <xf numFmtId="10" fontId="8" fillId="0" borderId="1" xfId="2" applyNumberFormat="1" applyFont="1" applyFill="1" applyBorder="1" applyAlignment="1">
      <alignment vertical="center"/>
    </xf>
    <xf numFmtId="0" fontId="8" fillId="0" borderId="23" xfId="0" applyFont="1" applyBorder="1"/>
    <xf numFmtId="0" fontId="5" fillId="0" borderId="23" xfId="0" applyFont="1" applyBorder="1" applyAlignment="1">
      <alignment horizontal="left"/>
    </xf>
    <xf numFmtId="0" fontId="5" fillId="0" borderId="23" xfId="0" applyFont="1" applyBorder="1" applyAlignment="1">
      <alignment horizontal="center"/>
    </xf>
    <xf numFmtId="43" fontId="2" fillId="0" borderId="0" xfId="1" applyFont="1"/>
    <xf numFmtId="14" fontId="8" fillId="0" borderId="1" xfId="0" applyNumberFormat="1" applyFont="1" applyBorder="1" applyAlignment="1">
      <alignment horizontal="center" vertical="center"/>
    </xf>
    <xf numFmtId="0" fontId="8" fillId="0" borderId="1" xfId="0" applyFont="1" applyBorder="1" applyAlignment="1">
      <alignment horizontal="left" vertical="center"/>
    </xf>
    <xf numFmtId="49" fontId="0" fillId="0" borderId="1" xfId="0" applyNumberFormat="1" applyBorder="1" applyAlignment="1">
      <alignment horizontal="center"/>
    </xf>
    <xf numFmtId="165" fontId="1" fillId="0" borderId="1" xfId="1" applyNumberFormat="1" applyFont="1" applyBorder="1" applyAlignment="1">
      <alignment horizontal="center"/>
    </xf>
    <xf numFmtId="14" fontId="0" fillId="0" borderId="1" xfId="0" applyNumberFormat="1" applyBorder="1" applyAlignment="1">
      <alignment horizontal="center"/>
    </xf>
    <xf numFmtId="3" fontId="0" fillId="0" borderId="1" xfId="0" applyNumberFormat="1" applyBorder="1"/>
    <xf numFmtId="165" fontId="1" fillId="0" borderId="0" xfId="1" applyNumberFormat="1" applyFont="1" applyAlignment="1">
      <alignment horizontal="center"/>
    </xf>
    <xf numFmtId="0" fontId="0" fillId="0" borderId="23" xfId="0" applyBorder="1"/>
    <xf numFmtId="49" fontId="0" fillId="0" borderId="23" xfId="0" applyNumberFormat="1" applyBorder="1" applyAlignment="1">
      <alignment horizontal="center"/>
    </xf>
    <xf numFmtId="165" fontId="1" fillId="0" borderId="23" xfId="1" applyNumberFormat="1" applyFont="1" applyBorder="1" applyAlignment="1">
      <alignment horizontal="center"/>
    </xf>
    <xf numFmtId="14" fontId="0" fillId="0" borderId="23" xfId="0" applyNumberFormat="1" applyBorder="1" applyAlignment="1">
      <alignment horizontal="center"/>
    </xf>
    <xf numFmtId="0" fontId="0" fillId="0" borderId="23" xfId="0" applyBorder="1" applyAlignment="1">
      <alignment horizontal="center"/>
    </xf>
    <xf numFmtId="3" fontId="0" fillId="0" borderId="23" xfId="0" applyNumberFormat="1" applyBorder="1"/>
    <xf numFmtId="49" fontId="0" fillId="0" borderId="0" xfId="0" applyNumberFormat="1" applyAlignment="1">
      <alignment horizontal="center"/>
    </xf>
    <xf numFmtId="14" fontId="0" fillId="0" borderId="0" xfId="0" applyNumberFormat="1" applyAlignment="1">
      <alignment horizontal="center"/>
    </xf>
    <xf numFmtId="3" fontId="0" fillId="0" borderId="0" xfId="0" applyNumberFormat="1"/>
    <xf numFmtId="43" fontId="1" fillId="0" borderId="0" xfId="1" applyFont="1"/>
    <xf numFmtId="0" fontId="7" fillId="0" borderId="1" xfId="0" applyFont="1" applyBorder="1"/>
    <xf numFmtId="0" fontId="4" fillId="6" borderId="2" xfId="48" applyFont="1" applyFill="1" applyBorder="1"/>
    <xf numFmtId="0" fontId="11" fillId="6" borderId="2" xfId="48" applyFont="1" applyFill="1" applyBorder="1"/>
    <xf numFmtId="3" fontId="11" fillId="6" borderId="2" xfId="48" applyNumberFormat="1" applyFont="1" applyFill="1" applyBorder="1"/>
    <xf numFmtId="0" fontId="11" fillId="0" borderId="0" xfId="48" applyFont="1"/>
    <xf numFmtId="0" fontId="33" fillId="3" borderId="2" xfId="48" applyFont="1" applyFill="1" applyBorder="1" applyAlignment="1">
      <alignment horizontal="center" wrapText="1"/>
    </xf>
    <xf numFmtId="0" fontId="11" fillId="3" borderId="2" xfId="48" applyFont="1" applyFill="1" applyBorder="1" applyAlignment="1">
      <alignment horizontal="center" wrapText="1"/>
    </xf>
    <xf numFmtId="0" fontId="32" fillId="0" borderId="0" xfId="48" applyAlignment="1">
      <alignment wrapText="1"/>
    </xf>
    <xf numFmtId="0" fontId="32" fillId="0" borderId="2" xfId="48" applyBorder="1"/>
    <xf numFmtId="3" fontId="32" fillId="0" borderId="2" xfId="48" applyNumberFormat="1" applyBorder="1"/>
    <xf numFmtId="0" fontId="3" fillId="40" borderId="0" xfId="48" applyFont="1" applyFill="1"/>
    <xf numFmtId="0" fontId="34" fillId="40" borderId="0" xfId="48" applyFont="1" applyFill="1"/>
    <xf numFmtId="168" fontId="4" fillId="40" borderId="0" xfId="1" applyNumberFormat="1" applyFont="1" applyFill="1"/>
    <xf numFmtId="168" fontId="11" fillId="0" borderId="0" xfId="48" applyNumberFormat="1" applyFont="1"/>
    <xf numFmtId="3" fontId="8" fillId="0" borderId="2" xfId="48" applyNumberFormat="1" applyFont="1" applyBorder="1"/>
    <xf numFmtId="43" fontId="2" fillId="4" borderId="0" xfId="1" applyFont="1" applyFill="1"/>
    <xf numFmtId="0" fontId="2" fillId="4" borderId="0" xfId="0" applyFont="1" applyFill="1"/>
    <xf numFmtId="0" fontId="8" fillId="41" borderId="1" xfId="0" applyFont="1" applyFill="1" applyBorder="1" applyAlignment="1">
      <alignment vertical="center"/>
    </xf>
    <xf numFmtId="3" fontId="8" fillId="41" borderId="1" xfId="0" applyNumberFormat="1" applyFont="1" applyFill="1" applyBorder="1" applyAlignment="1">
      <alignment horizontal="center" vertical="center"/>
    </xf>
    <xf numFmtId="165" fontId="8" fillId="41" borderId="1" xfId="1" applyNumberFormat="1" applyFont="1" applyFill="1" applyBorder="1" applyAlignment="1">
      <alignment horizontal="center"/>
    </xf>
    <xf numFmtId="14" fontId="8" fillId="41"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vertical="center"/>
    </xf>
    <xf numFmtId="0" fontId="8" fillId="41" borderId="1" xfId="0" applyFont="1" applyFill="1" applyBorder="1" applyAlignment="1">
      <alignment horizontal="left" vertical="center"/>
    </xf>
    <xf numFmtId="10" fontId="8" fillId="41" borderId="1" xfId="2" applyNumberFormat="1" applyFont="1" applyFill="1" applyBorder="1" applyAlignment="1">
      <alignment vertical="center"/>
    </xf>
    <xf numFmtId="0" fontId="7" fillId="41" borderId="1" xfId="0" applyFont="1" applyFill="1" applyBorder="1" applyAlignment="1">
      <alignment vertical="center"/>
    </xf>
    <xf numFmtId="0" fontId="8" fillId="0" borderId="23" xfId="0" applyFont="1" applyBorder="1" applyAlignment="1">
      <alignment horizontal="center"/>
    </xf>
    <xf numFmtId="9" fontId="8" fillId="0" borderId="1" xfId="0" applyNumberFormat="1" applyFont="1" applyBorder="1" applyAlignment="1">
      <alignment horizontal="center" vertical="center"/>
    </xf>
    <xf numFmtId="0" fontId="35" fillId="42" borderId="1" xfId="0" applyFont="1" applyFill="1" applyBorder="1" applyAlignment="1">
      <alignment horizontal="center" vertical="center" wrapText="1"/>
    </xf>
    <xf numFmtId="0" fontId="35" fillId="4" borderId="1" xfId="0" applyFont="1" applyFill="1" applyBorder="1" applyAlignment="1">
      <alignment horizontal="center" vertical="center" wrapText="1"/>
    </xf>
    <xf numFmtId="0" fontId="36" fillId="4"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4" fillId="0" borderId="0" xfId="0" applyFont="1" applyAlignment="1">
      <alignment horizontal="center" vertical="center" wrapText="1"/>
    </xf>
    <xf numFmtId="43" fontId="38" fillId="2" borderId="1" xfId="1" applyFont="1" applyFill="1" applyBorder="1" applyAlignment="1">
      <alignment horizontal="center" vertical="center" wrapText="1"/>
    </xf>
    <xf numFmtId="0" fontId="8" fillId="0" borderId="24" xfId="0" applyFont="1" applyBorder="1" applyAlignment="1">
      <alignment horizontal="center" vertical="center"/>
    </xf>
    <xf numFmtId="0" fontId="8" fillId="0" borderId="24" xfId="0" applyFont="1" applyBorder="1" applyAlignment="1">
      <alignment horizontal="center"/>
    </xf>
    <xf numFmtId="0" fontId="34" fillId="2" borderId="1" xfId="0" applyFont="1" applyFill="1" applyBorder="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2" fontId="9" fillId="0" borderId="0" xfId="0" applyNumberFormat="1" applyFont="1" applyAlignment="1">
      <alignment horizontal="center" vertical="center"/>
    </xf>
    <xf numFmtId="49" fontId="34" fillId="2" borderId="1" xfId="0" applyNumberFormat="1" applyFont="1" applyFill="1" applyBorder="1" applyAlignment="1">
      <alignment horizontal="center" vertical="center" wrapText="1"/>
    </xf>
    <xf numFmtId="49" fontId="38" fillId="2" borderId="1" xfId="0" applyNumberFormat="1" applyFont="1" applyFill="1" applyBorder="1" applyAlignment="1">
      <alignment horizontal="center" vertical="center" wrapText="1"/>
    </xf>
    <xf numFmtId="49" fontId="8" fillId="0" borderId="25" xfId="0" applyNumberFormat="1" applyFont="1" applyBorder="1" applyAlignment="1">
      <alignment vertical="center"/>
    </xf>
    <xf numFmtId="168" fontId="7" fillId="0" borderId="0" xfId="1" applyNumberFormat="1" applyFont="1" applyFill="1"/>
    <xf numFmtId="0" fontId="8" fillId="0" borderId="26" xfId="0" applyFont="1" applyBorder="1" applyAlignment="1">
      <alignment horizontal="center"/>
    </xf>
    <xf numFmtId="0" fontId="8" fillId="0" borderId="27" xfId="0" applyFont="1" applyBorder="1"/>
    <xf numFmtId="0" fontId="8" fillId="0" borderId="27" xfId="0" applyFont="1" applyBorder="1" applyAlignment="1">
      <alignment horizontal="center"/>
    </xf>
    <xf numFmtId="0" fontId="8" fillId="0" borderId="27" xfId="0" applyFont="1" applyBorder="1" applyAlignment="1">
      <alignment horizontal="left"/>
    </xf>
    <xf numFmtId="0" fontId="9" fillId="0" borderId="27" xfId="0" applyFont="1" applyBorder="1" applyAlignment="1">
      <alignment horizontal="center" vertical="center"/>
    </xf>
    <xf numFmtId="0" fontId="8" fillId="0" borderId="28" xfId="0" applyFont="1" applyBorder="1"/>
    <xf numFmtId="168" fontId="7" fillId="40" borderId="0" xfId="1" applyNumberFormat="1" applyFont="1" applyFill="1" applyAlignment="1">
      <alignment vertical="center"/>
    </xf>
    <xf numFmtId="0" fontId="7" fillId="40" borderId="0" xfId="0" applyFont="1" applyFill="1" applyAlignment="1">
      <alignment horizontal="left" vertical="center"/>
    </xf>
    <xf numFmtId="0" fontId="2" fillId="40" borderId="0" xfId="0" applyFont="1" applyFill="1"/>
    <xf numFmtId="3" fontId="8" fillId="0" borderId="0" xfId="0" applyNumberFormat="1" applyFont="1" applyAlignment="1">
      <alignment horizontal="center" vertical="center"/>
    </xf>
    <xf numFmtId="49" fontId="8" fillId="0" borderId="0" xfId="0" applyNumberFormat="1" applyFont="1" applyAlignment="1">
      <alignment horizontal="center"/>
    </xf>
    <xf numFmtId="49" fontId="8" fillId="0" borderId="27" xfId="0" applyNumberFormat="1" applyFont="1" applyBorder="1" applyAlignment="1">
      <alignment horizontal="center"/>
    </xf>
    <xf numFmtId="0" fontId="8" fillId="39" borderId="29" xfId="0" applyFont="1" applyFill="1" applyBorder="1" applyAlignment="1">
      <alignment horizontal="center"/>
    </xf>
    <xf numFmtId="0" fontId="35" fillId="39" borderId="3" xfId="0" applyFont="1" applyFill="1" applyBorder="1" applyAlignment="1">
      <alignment horizontal="center" vertical="center" wrapText="1"/>
    </xf>
    <xf numFmtId="43" fontId="2" fillId="0" borderId="0" xfId="1" applyFont="1" applyAlignment="1">
      <alignment horizontal="center"/>
    </xf>
    <xf numFmtId="0" fontId="5" fillId="4" borderId="0" xfId="0" applyFont="1" applyFill="1" applyAlignment="1">
      <alignment horizontal="left"/>
    </xf>
    <xf numFmtId="43" fontId="7" fillId="0" borderId="0" xfId="1" applyFont="1" applyFill="1" applyAlignment="1">
      <alignment horizontal="center"/>
    </xf>
    <xf numFmtId="0" fontId="11" fillId="3" borderId="7" xfId="48" applyFont="1" applyFill="1" applyBorder="1" applyAlignment="1">
      <alignment horizontal="center" wrapText="1"/>
    </xf>
    <xf numFmtId="3" fontId="32" fillId="0" borderId="7" xfId="48" applyNumberFormat="1" applyBorder="1"/>
    <xf numFmtId="3" fontId="11" fillId="6" borderId="7" xfId="48" applyNumberFormat="1" applyFont="1" applyFill="1" applyBorder="1"/>
    <xf numFmtId="0" fontId="33" fillId="3" borderId="30" xfId="48" applyFont="1" applyFill="1" applyBorder="1" applyAlignment="1">
      <alignment horizontal="center" wrapText="1"/>
    </xf>
    <xf numFmtId="0" fontId="32" fillId="0" borderId="30" xfId="48" applyBorder="1"/>
    <xf numFmtId="0" fontId="6" fillId="0" borderId="30" xfId="48" applyFont="1" applyBorder="1" applyAlignment="1">
      <alignment wrapText="1"/>
    </xf>
    <xf numFmtId="0" fontId="11" fillId="6" borderId="30" xfId="48" applyFont="1" applyFill="1" applyBorder="1"/>
    <xf numFmtId="0" fontId="32" fillId="0" borderId="31" xfId="48" applyBorder="1"/>
    <xf numFmtId="0" fontId="34" fillId="40" borderId="31" xfId="48" applyFont="1" applyFill="1" applyBorder="1"/>
    <xf numFmtId="168" fontId="8" fillId="0" borderId="0" xfId="1" applyNumberFormat="1" applyFont="1" applyFill="1" applyBorder="1" applyAlignment="1">
      <alignment vertical="center"/>
    </xf>
    <xf numFmtId="168" fontId="8" fillId="0" borderId="0" xfId="1" applyNumberFormat="1" applyFont="1" applyBorder="1" applyAlignment="1">
      <alignment vertical="center"/>
    </xf>
    <xf numFmtId="168" fontId="8" fillId="0" borderId="27" xfId="1" applyNumberFormat="1" applyFont="1" applyFill="1" applyBorder="1"/>
    <xf numFmtId="0" fontId="35" fillId="38" borderId="1" xfId="0" applyFont="1" applyFill="1" applyBorder="1" applyAlignment="1">
      <alignment horizontal="center" vertical="center" wrapText="1"/>
    </xf>
    <xf numFmtId="0" fontId="35" fillId="43" borderId="1" xfId="0" applyFont="1" applyFill="1" applyBorder="1" applyAlignment="1">
      <alignment horizontal="center" vertical="center" wrapText="1"/>
    </xf>
    <xf numFmtId="14" fontId="8" fillId="0" borderId="1" xfId="2" applyNumberFormat="1" applyFont="1" applyFill="1" applyBorder="1" applyAlignment="1">
      <alignment vertical="center"/>
    </xf>
    <xf numFmtId="0" fontId="8" fillId="4" borderId="0" xfId="0" applyFont="1" applyFill="1"/>
    <xf numFmtId="10" fontId="8" fillId="0" borderId="1" xfId="2" applyNumberFormat="1" applyFont="1" applyFill="1" applyBorder="1" applyAlignment="1">
      <alignment horizontal="center" vertical="center"/>
    </xf>
    <xf numFmtId="10" fontId="8" fillId="41" borderId="1" xfId="2" applyNumberFormat="1" applyFont="1" applyFill="1" applyBorder="1" applyAlignment="1">
      <alignment horizontal="center" vertical="center"/>
    </xf>
    <xf numFmtId="166" fontId="8" fillId="0" borderId="1" xfId="0" applyNumberFormat="1" applyFont="1" applyBorder="1" applyAlignment="1">
      <alignment horizontal="center" vertical="center"/>
    </xf>
    <xf numFmtId="168" fontId="8" fillId="0" borderId="1" xfId="1" applyNumberFormat="1" applyFont="1" applyFill="1" applyBorder="1"/>
    <xf numFmtId="168" fontId="8" fillId="0" borderId="1" xfId="0" applyNumberFormat="1" applyFont="1" applyBorder="1" applyAlignment="1">
      <alignment vertical="center"/>
    </xf>
    <xf numFmtId="168" fontId="1" fillId="0" borderId="1" xfId="1" applyNumberFormat="1" applyFont="1" applyBorder="1"/>
    <xf numFmtId="168" fontId="0" fillId="0" borderId="1" xfId="0" applyNumberFormat="1" applyBorder="1"/>
    <xf numFmtId="168" fontId="1" fillId="0" borderId="23" xfId="1" applyNumberFormat="1" applyFont="1" applyBorder="1"/>
    <xf numFmtId="168" fontId="0" fillId="0" borderId="23" xfId="0" applyNumberFormat="1" applyBorder="1"/>
    <xf numFmtId="168" fontId="7" fillId="0" borderId="1" xfId="1" applyNumberFormat="1" applyFont="1" applyFill="1" applyBorder="1"/>
    <xf numFmtId="168" fontId="7" fillId="0" borderId="1" xfId="0" applyNumberFormat="1" applyFont="1" applyBorder="1" applyAlignment="1">
      <alignment vertical="center"/>
    </xf>
    <xf numFmtId="10" fontId="8" fillId="0" borderId="23" xfId="2" applyNumberFormat="1" applyFont="1" applyFill="1" applyBorder="1" applyAlignment="1">
      <alignment vertical="center"/>
    </xf>
    <xf numFmtId="0" fontId="39" fillId="0" borderId="0" xfId="0" applyFont="1"/>
    <xf numFmtId="49" fontId="6" fillId="0" borderId="25" xfId="0" applyNumberFormat="1" applyFont="1" applyBorder="1" applyAlignment="1">
      <alignment vertical="center"/>
    </xf>
    <xf numFmtId="0" fontId="8" fillId="0" borderId="0" xfId="0" quotePrefix="1" applyFont="1" applyAlignment="1">
      <alignment horizontal="center" vertical="center"/>
    </xf>
    <xf numFmtId="0" fontId="5" fillId="0" borderId="2" xfId="48" applyFont="1" applyBorder="1"/>
    <xf numFmtId="0" fontId="6" fillId="0" borderId="30" xfId="48" applyFont="1" applyBorder="1"/>
    <xf numFmtId="168" fontId="8" fillId="5" borderId="0" xfId="1" applyNumberFormat="1" applyFont="1" applyFill="1" applyBorder="1" applyAlignment="1">
      <alignment vertical="center"/>
    </xf>
    <xf numFmtId="168" fontId="7" fillId="0" borderId="1" xfId="1" applyNumberFormat="1" applyFont="1" applyFill="1" applyBorder="1" applyAlignment="1">
      <alignment vertical="center"/>
    </xf>
    <xf numFmtId="168" fontId="7" fillId="41" borderId="1" xfId="1" applyNumberFormat="1" applyFont="1" applyFill="1" applyBorder="1" applyAlignment="1">
      <alignment vertical="center"/>
    </xf>
    <xf numFmtId="168" fontId="7" fillId="41" borderId="1" xfId="0" applyNumberFormat="1" applyFont="1" applyFill="1" applyBorder="1" applyAlignment="1">
      <alignment vertical="center"/>
    </xf>
    <xf numFmtId="168" fontId="2" fillId="0" borderId="1" xfId="1" applyNumberFormat="1" applyFont="1" applyBorder="1"/>
    <xf numFmtId="168" fontId="1" fillId="0" borderId="0" xfId="1" applyNumberFormat="1" applyFont="1"/>
    <xf numFmtId="168" fontId="0" fillId="0" borderId="0" xfId="0" applyNumberFormat="1"/>
    <xf numFmtId="168" fontId="2" fillId="0" borderId="0" xfId="1" applyNumberFormat="1" applyFont="1"/>
    <xf numFmtId="165" fontId="5" fillId="0" borderId="0" xfId="0" applyNumberFormat="1" applyFont="1" applyAlignment="1">
      <alignment horizontal="center"/>
    </xf>
    <xf numFmtId="0" fontId="8" fillId="44" borderId="0" xfId="0" applyFont="1" applyFill="1" applyAlignment="1">
      <alignment vertical="center"/>
    </xf>
    <xf numFmtId="168" fontId="6" fillId="0" borderId="25" xfId="0" applyNumberFormat="1" applyFont="1" applyBorder="1" applyAlignment="1">
      <alignment vertical="center"/>
    </xf>
    <xf numFmtId="0" fontId="37" fillId="45" borderId="0" xfId="0" applyFont="1" applyFill="1" applyAlignment="1">
      <alignment horizontal="center" vertical="center" wrapText="1"/>
    </xf>
    <xf numFmtId="49" fontId="8" fillId="0" borderId="1" xfId="2" applyNumberFormat="1" applyFont="1" applyFill="1" applyBorder="1" applyAlignment="1">
      <alignment vertical="center"/>
    </xf>
    <xf numFmtId="0" fontId="2" fillId="46" borderId="0" xfId="0" applyFont="1" applyFill="1" applyAlignment="1">
      <alignment horizontal="center"/>
    </xf>
    <xf numFmtId="0" fontId="40" fillId="0" borderId="0" xfId="0" applyFont="1" applyAlignment="1">
      <alignment horizontal="left"/>
    </xf>
    <xf numFmtId="0" fontId="40" fillId="0" borderId="32" xfId="0" applyFont="1" applyBorder="1"/>
    <xf numFmtId="0" fontId="40" fillId="0" borderId="0" xfId="0" applyFont="1"/>
    <xf numFmtId="0" fontId="41" fillId="0" borderId="0" xfId="0" applyFont="1" applyAlignment="1">
      <alignment vertical="center"/>
    </xf>
    <xf numFmtId="3" fontId="8" fillId="0" borderId="7" xfId="48" applyNumberFormat="1" applyFont="1" applyBorder="1"/>
    <xf numFmtId="3" fontId="8" fillId="0" borderId="0" xfId="0" applyNumberFormat="1" applyFont="1" applyAlignment="1">
      <alignment vertical="center"/>
    </xf>
    <xf numFmtId="49" fontId="8" fillId="0" borderId="0" xfId="0" applyNumberFormat="1" applyFont="1"/>
    <xf numFmtId="49" fontId="35" fillId="38" borderId="1" xfId="0" applyNumberFormat="1" applyFont="1" applyFill="1" applyBorder="1" applyAlignment="1">
      <alignment horizontal="center" vertical="center" wrapText="1"/>
    </xf>
    <xf numFmtId="49" fontId="4" fillId="0" borderId="22" xfId="0" applyNumberFormat="1" applyFont="1" applyBorder="1" applyAlignment="1">
      <alignment horizontal="left" vertical="center" wrapText="1"/>
    </xf>
    <xf numFmtId="49" fontId="8" fillId="41" borderId="1" xfId="2" applyNumberFormat="1" applyFont="1" applyFill="1" applyBorder="1" applyAlignment="1">
      <alignment vertical="center"/>
    </xf>
    <xf numFmtId="49" fontId="8" fillId="0" borderId="23" xfId="2" applyNumberFormat="1" applyFont="1" applyFill="1" applyBorder="1" applyAlignment="1">
      <alignment vertical="center"/>
    </xf>
    <xf numFmtId="49" fontId="8" fillId="0" borderId="1" xfId="0" applyNumberFormat="1" applyFont="1" applyBorder="1"/>
    <xf numFmtId="49" fontId="8" fillId="0" borderId="1" xfId="0" applyNumberFormat="1" applyFont="1" applyBorder="1" applyAlignment="1">
      <alignment horizontal="center" vertical="center"/>
    </xf>
    <xf numFmtId="14" fontId="6" fillId="0" borderId="1" xfId="0" applyNumberFormat="1" applyFont="1" applyBorder="1" applyAlignment="1">
      <alignment horizontal="center" vertical="center"/>
    </xf>
    <xf numFmtId="0" fontId="5" fillId="0" borderId="0" xfId="48" applyFont="1"/>
    <xf numFmtId="168" fontId="32" fillId="0" borderId="0" xfId="1" applyNumberFormat="1" applyFont="1"/>
    <xf numFmtId="0" fontId="8" fillId="0" borderId="23" xfId="0" applyFont="1" applyBorder="1" applyAlignment="1">
      <alignment vertical="center"/>
    </xf>
    <xf numFmtId="3" fontId="8" fillId="0" borderId="23" xfId="0" applyNumberFormat="1" applyFont="1" applyBorder="1" applyAlignment="1">
      <alignment horizontal="center" vertical="center"/>
    </xf>
    <xf numFmtId="165" fontId="8" fillId="0" borderId="23" xfId="1" applyNumberFormat="1" applyFont="1" applyFill="1" applyBorder="1" applyAlignment="1">
      <alignment horizontal="center"/>
    </xf>
    <xf numFmtId="14" fontId="8" fillId="0" borderId="23" xfId="0" applyNumberFormat="1" applyFont="1" applyBorder="1" applyAlignment="1">
      <alignment horizontal="center" vertical="center"/>
    </xf>
    <xf numFmtId="0" fontId="8" fillId="0" borderId="23" xfId="0" applyFont="1" applyBorder="1" applyAlignment="1">
      <alignment horizontal="center" vertical="center"/>
    </xf>
    <xf numFmtId="3" fontId="8" fillId="0" borderId="23" xfId="0" applyNumberFormat="1" applyFont="1" applyBorder="1" applyAlignment="1">
      <alignment vertical="center"/>
    </xf>
    <xf numFmtId="168" fontId="7" fillId="0" borderId="23" xfId="1" applyNumberFormat="1" applyFont="1" applyFill="1" applyBorder="1" applyAlignment="1">
      <alignment vertical="center"/>
    </xf>
    <xf numFmtId="168" fontId="7" fillId="0" borderId="23" xfId="0" applyNumberFormat="1" applyFont="1" applyBorder="1" applyAlignment="1">
      <alignment vertical="center"/>
    </xf>
    <xf numFmtId="0" fontId="8" fillId="0" borderId="23" xfId="0" applyFont="1" applyBorder="1" applyAlignment="1">
      <alignment horizontal="left" vertical="center"/>
    </xf>
    <xf numFmtId="14" fontId="8" fillId="0" borderId="23" xfId="2" applyNumberFormat="1" applyFont="1" applyFill="1" applyBorder="1" applyAlignment="1">
      <alignment vertical="center"/>
    </xf>
    <xf numFmtId="10" fontId="8" fillId="0" borderId="23" xfId="2" applyNumberFormat="1" applyFont="1" applyFill="1" applyBorder="1" applyAlignment="1">
      <alignment horizontal="center" vertical="center"/>
    </xf>
    <xf numFmtId="0" fontId="40" fillId="0" borderId="32" xfId="0" applyFont="1" applyBorder="1" applyAlignment="1">
      <alignment horizontal="left"/>
    </xf>
    <xf numFmtId="0" fontId="11" fillId="3" borderId="1" xfId="0" applyFont="1" applyFill="1" applyBorder="1" applyAlignment="1">
      <alignment horizontal="left" vertical="center" wrapText="1"/>
    </xf>
    <xf numFmtId="0" fontId="11" fillId="3" borderId="4" xfId="0" applyFont="1" applyFill="1" applyBorder="1" applyAlignment="1">
      <alignment horizontal="left" vertical="center" wrapText="1"/>
    </xf>
    <xf numFmtId="0" fontId="5" fillId="0" borderId="1" xfId="0" applyFont="1" applyBorder="1" applyAlignment="1">
      <alignment horizontal="left"/>
    </xf>
    <xf numFmtId="14" fontId="5" fillId="0" borderId="4" xfId="0" applyNumberFormat="1" applyFont="1" applyBorder="1" applyAlignment="1">
      <alignment horizontal="left"/>
    </xf>
    <xf numFmtId="14" fontId="5" fillId="0" borderId="5" xfId="0" applyNumberFormat="1" applyFont="1" applyBorder="1" applyAlignment="1">
      <alignment horizontal="left"/>
    </xf>
    <xf numFmtId="14" fontId="5" fillId="0" borderId="6" xfId="0" applyNumberFormat="1" applyFont="1" applyBorder="1" applyAlignment="1">
      <alignment horizontal="left"/>
    </xf>
  </cellXfs>
  <cellStyles count="49">
    <cellStyle name="20% - 1. jelölőszín" xfId="23" builtinId="30" customBuiltin="1"/>
    <cellStyle name="20% - 2. jelölőszín" xfId="27" builtinId="34" customBuiltin="1"/>
    <cellStyle name="20% - 3. jelölőszín" xfId="31" builtinId="38" customBuiltin="1"/>
    <cellStyle name="20% - 4. jelölőszín" xfId="35" builtinId="42" customBuiltin="1"/>
    <cellStyle name="20% - 5. jelölőszín" xfId="39" builtinId="46" customBuiltin="1"/>
    <cellStyle name="20% - 6. jelölőszín" xfId="43" builtinId="50" customBuiltin="1"/>
    <cellStyle name="40% - 1. jelölőszín" xfId="24" builtinId="31" customBuiltin="1"/>
    <cellStyle name="40% - 2. jelölőszín" xfId="28" builtinId="35" customBuiltin="1"/>
    <cellStyle name="40% - 3. jelölőszín" xfId="32" builtinId="39" customBuiltin="1"/>
    <cellStyle name="40% - 4. jelölőszín" xfId="36" builtinId="43" customBuiltin="1"/>
    <cellStyle name="40% - 5. jelölőszín" xfId="40" builtinId="47" customBuiltin="1"/>
    <cellStyle name="40% - 6. jelölőszín" xfId="44" builtinId="51" customBuiltin="1"/>
    <cellStyle name="60% - 1. jelölőszín" xfId="25" builtinId="32" customBuiltin="1"/>
    <cellStyle name="60% - 2. jelölőszín" xfId="29" builtinId="36" customBuiltin="1"/>
    <cellStyle name="60% - 3. jelölőszín" xfId="33" builtinId="40" customBuiltin="1"/>
    <cellStyle name="60% - 4. jelölőszín" xfId="37" builtinId="44" customBuiltin="1"/>
    <cellStyle name="60% - 5. jelölőszín" xfId="41" builtinId="48" customBuiltin="1"/>
    <cellStyle name="60% - 6. jelölőszín" xfId="45" builtinId="52" customBuiltin="1"/>
    <cellStyle name="Bevitel" xfId="13" builtinId="20" customBuiltin="1"/>
    <cellStyle name="Cím" xfId="5" builtinId="15" customBuiltin="1"/>
    <cellStyle name="Címsor 1" xfId="6" builtinId="16" customBuiltin="1"/>
    <cellStyle name="Címsor 2" xfId="7" builtinId="17" customBuiltin="1"/>
    <cellStyle name="Címsor 3" xfId="8" builtinId="18" customBuiltin="1"/>
    <cellStyle name="Címsor 4" xfId="9" builtinId="19" customBuiltin="1"/>
    <cellStyle name="Ellenőrzőcella" xfId="17" builtinId="23" customBuiltin="1"/>
    <cellStyle name="Ezres" xfId="1" builtinId="3"/>
    <cellStyle name="Ezres 4" xfId="3" xr:uid="{00000000-0005-0000-0000-000020000000}"/>
    <cellStyle name="Figyelmeztetés" xfId="18" builtinId="11" customBuiltin="1"/>
    <cellStyle name="Hivatkozott cella" xfId="16" builtinId="24" customBuiltin="1"/>
    <cellStyle name="Jegyzet" xfId="19" builtinId="10" customBuiltin="1"/>
    <cellStyle name="Jelölőszín 1" xfId="22" builtinId="29" customBuiltin="1"/>
    <cellStyle name="Jelölőszín 2" xfId="26" builtinId="33" customBuiltin="1"/>
    <cellStyle name="Jelölőszín 3" xfId="30" builtinId="37" customBuiltin="1"/>
    <cellStyle name="Jelölőszín 4" xfId="34" builtinId="41" customBuiltin="1"/>
    <cellStyle name="Jelölőszín 5" xfId="38" builtinId="45" customBuiltin="1"/>
    <cellStyle name="Jelölőszín 6" xfId="42" builtinId="49" customBuiltin="1"/>
    <cellStyle name="Jó" xfId="10" builtinId="26" customBuiltin="1"/>
    <cellStyle name="Kimenet" xfId="14" builtinId="21" customBuiltin="1"/>
    <cellStyle name="Magyarázó szöveg" xfId="20" builtinId="53" customBuiltin="1"/>
    <cellStyle name="Normál" xfId="0" builtinId="0"/>
    <cellStyle name="Normál 2" xfId="46" xr:uid="{00000000-0005-0000-0000-000028000000}"/>
    <cellStyle name="Normál 3" xfId="47" xr:uid="{1BFFF650-7AA7-4050-938C-58F625DE71CF}"/>
    <cellStyle name="Normál 4" xfId="48" xr:uid="{DCD4A4FA-9940-4EB6-8DD1-DDC2737B1BB6}"/>
    <cellStyle name="Normál 6" xfId="4" xr:uid="{00000000-0005-0000-0000-000029000000}"/>
    <cellStyle name="Összesen" xfId="21" builtinId="25" customBuiltin="1"/>
    <cellStyle name="Rossz" xfId="11" builtinId="27" customBuiltin="1"/>
    <cellStyle name="Semleges" xfId="12" builtinId="28" customBuiltin="1"/>
    <cellStyle name="Számítás" xfId="15" builtinId="22" customBuiltin="1"/>
    <cellStyle name="Százalék" xfId="2" builtinId="5"/>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374BE-A983-452B-AC79-F2CB67CDD1F8}">
  <dimension ref="A1:J66"/>
  <sheetViews>
    <sheetView workbookViewId="0">
      <pane ySplit="1" topLeftCell="A8" activePane="bottomLeft" state="frozen"/>
      <selection pane="bottomLeft" activeCell="A22" sqref="A22"/>
    </sheetView>
  </sheetViews>
  <sheetFormatPr defaultColWidth="30.7109375" defaultRowHeight="15" x14ac:dyDescent="0.25"/>
  <cols>
    <col min="1" max="1" width="33.28515625" style="67" customWidth="1"/>
    <col min="2" max="2" width="25.140625" style="67" customWidth="1"/>
    <col min="3" max="3" width="26" style="67" customWidth="1"/>
    <col min="4" max="4" width="41.5703125" style="67" customWidth="1"/>
    <col min="5" max="5" width="17.7109375" style="67" customWidth="1"/>
    <col min="6" max="6" width="15.28515625" style="67" customWidth="1"/>
    <col min="7" max="8" width="19.85546875" style="67" customWidth="1"/>
    <col min="9" max="9" width="15.85546875" style="67" customWidth="1"/>
    <col min="10" max="10" width="86.5703125" style="67" customWidth="1"/>
    <col min="11" max="16384" width="30.7109375" style="67"/>
  </cols>
  <sheetData>
    <row r="1" spans="1:10" s="135" customFormat="1" ht="30.75" customHeight="1" x14ac:dyDescent="0.25">
      <c r="A1" s="133" t="s">
        <v>0</v>
      </c>
      <c r="B1" s="133" t="s">
        <v>2</v>
      </c>
      <c r="C1" s="133" t="s">
        <v>1</v>
      </c>
      <c r="D1" s="133" t="s">
        <v>3</v>
      </c>
      <c r="E1" s="133" t="s">
        <v>103</v>
      </c>
      <c r="F1" s="134" t="s">
        <v>248</v>
      </c>
      <c r="G1" s="134" t="s">
        <v>267</v>
      </c>
      <c r="H1" s="189" t="s">
        <v>410</v>
      </c>
      <c r="I1" s="189" t="s">
        <v>269</v>
      </c>
      <c r="J1" s="192" t="s">
        <v>5</v>
      </c>
    </row>
    <row r="2" spans="1:10" x14ac:dyDescent="0.25">
      <c r="A2" s="136" t="s">
        <v>158</v>
      </c>
      <c r="B2" s="136" t="s">
        <v>30</v>
      </c>
      <c r="C2" s="136" t="s">
        <v>30</v>
      </c>
      <c r="D2" s="136" t="s">
        <v>31</v>
      </c>
      <c r="E2" s="137">
        <v>1250000</v>
      </c>
      <c r="F2" s="137">
        <f>SUMIFS(Dologi_felhalm!$G$3:$G$134,Dologi_felhalm!$C$3:$C$134,$A2,Dologi_felhalm!$B$3:$B$134,$D2,Dologi_felhalm!$H$3:$H$134,"Tény")</f>
        <v>991901</v>
      </c>
      <c r="G2" s="137">
        <f>SUMIFS(Dologi_felhalm!$G$3:$G$134,Dologi_felhalm!$C$3:$C$134,$A2,Dologi_felhalm!$B$3:$B$134,$D2,Dologi_felhalm!$H$3:$H$134,"Kötváll")</f>
        <v>0</v>
      </c>
      <c r="H2" s="190">
        <f>SUMIFS(Dologi_felhalm!$G$3:$G$134,Dologi_felhalm!$C$3:$C$134,$A2,Dologi_felhalm!$B$3:$B$134,$D2,Dologi_felhalm!$H$3:$H$134,"Terv")</f>
        <v>0</v>
      </c>
      <c r="I2" s="190">
        <f>E2-F2-G2-H2</f>
        <v>258099</v>
      </c>
      <c r="J2" s="193" t="s">
        <v>218</v>
      </c>
    </row>
    <row r="3" spans="1:10" x14ac:dyDescent="0.25">
      <c r="A3" s="136" t="s">
        <v>156</v>
      </c>
      <c r="B3" s="136" t="s">
        <v>30</v>
      </c>
      <c r="C3" s="136" t="s">
        <v>30</v>
      </c>
      <c r="D3" s="136" t="s">
        <v>180</v>
      </c>
      <c r="E3" s="137">
        <v>7000000</v>
      </c>
      <c r="F3" s="137">
        <f>SUMIFS(Dologi_felhalm!$G$3:$G$134,Dologi_felhalm!$C$3:$C$134,$A3,Dologi_felhalm!$B$3:$B$134,$D3,Dologi_felhalm!$H$3:$H$134,"Tény")</f>
        <v>0</v>
      </c>
      <c r="G3" s="137">
        <f>SUMIFS(Dologi_felhalm!$G$3:$G$134,Dologi_felhalm!$C$3:$C$134,$A3,Dologi_felhalm!$B$3:$B$134,$D3,Dologi_felhalm!$H$3:$H$134,"Kötváll")</f>
        <v>6729498</v>
      </c>
      <c r="H3" s="190">
        <f>SUMIFS(Dologi_felhalm!$G$3:$G$134,Dologi_felhalm!$C$3:$C$134,$A3,Dologi_felhalm!$B$3:$B$134,$D3,Dologi_felhalm!$H$3:$H$134,"Terv")</f>
        <v>0</v>
      </c>
      <c r="I3" s="190">
        <f t="shared" ref="I3:I17" si="0">E3-F3-G3-H3</f>
        <v>270502</v>
      </c>
      <c r="J3" s="193" t="s">
        <v>214</v>
      </c>
    </row>
    <row r="4" spans="1:10" x14ac:dyDescent="0.25">
      <c r="A4" s="136" t="s">
        <v>158</v>
      </c>
      <c r="B4" s="136" t="s">
        <v>32</v>
      </c>
      <c r="C4" s="136" t="s">
        <v>32</v>
      </c>
      <c r="D4" s="136" t="s">
        <v>33</v>
      </c>
      <c r="E4" s="137">
        <v>250000</v>
      </c>
      <c r="F4" s="137">
        <f>SUMIFS(Dologi_felhalm!$G$3:$G$134,Dologi_felhalm!$C$3:$C$134,$A4,Dologi_felhalm!$B$3:$B$134,$D4,Dologi_felhalm!$H$3:$H$134,"Tény")</f>
        <v>427045</v>
      </c>
      <c r="G4" s="137">
        <f>SUMIFS(Dologi_felhalm!$G$3:$G$134,Dologi_felhalm!$C$3:$C$134,$A4,Dologi_felhalm!$B$3:$B$134,$D4,Dologi_felhalm!$H$3:$H$134,"Kötváll")</f>
        <v>0</v>
      </c>
      <c r="H4" s="190">
        <f>SUMIFS(Dologi_felhalm!$G$3:$G$134,Dologi_felhalm!$C$3:$C$134,$A4,Dologi_felhalm!$B$3:$B$134,$D4,Dologi_felhalm!$H$3:$H$134,"Terv")</f>
        <v>0</v>
      </c>
      <c r="I4" s="190">
        <f t="shared" si="0"/>
        <v>-177045</v>
      </c>
      <c r="J4" s="193" t="s">
        <v>219</v>
      </c>
    </row>
    <row r="5" spans="1:10" x14ac:dyDescent="0.25">
      <c r="A5" s="136" t="s">
        <v>147</v>
      </c>
      <c r="B5" s="136" t="s">
        <v>28</v>
      </c>
      <c r="C5" s="136" t="s">
        <v>28</v>
      </c>
      <c r="D5" s="136" t="s">
        <v>52</v>
      </c>
      <c r="E5" s="137">
        <v>3031500</v>
      </c>
      <c r="F5" s="137">
        <f>SUMIFS(Dologi_felhalm!$G$3:$G$134,Dologi_felhalm!$C$3:$C$134,$A5,Dologi_felhalm!$B$3:$B$134,$D5,Dologi_felhalm!$H$3:$H$134,"Tény")</f>
        <v>2273616</v>
      </c>
      <c r="G5" s="137">
        <f>SUMIFS(Dologi_felhalm!$G$3:$G$134,Dologi_felhalm!$C$3:$C$134,$A5,Dologi_felhalm!$B$3:$B$134,$D5,Dologi_felhalm!$H$3:$H$134,"Kötváll")</f>
        <v>757884</v>
      </c>
      <c r="H5" s="190">
        <f>SUMIFS(Dologi_felhalm!$G$3:$G$134,Dologi_felhalm!$C$3:$C$134,$A5,Dologi_felhalm!$B$3:$B$134,$D5,Dologi_felhalm!$H$3:$H$134,"Terv")</f>
        <v>0</v>
      </c>
      <c r="I5" s="190">
        <f t="shared" si="0"/>
        <v>0</v>
      </c>
      <c r="J5" s="193" t="s">
        <v>192</v>
      </c>
    </row>
    <row r="6" spans="1:10" x14ac:dyDescent="0.25">
      <c r="A6" s="136" t="s">
        <v>149</v>
      </c>
      <c r="B6" s="136" t="s">
        <v>28</v>
      </c>
      <c r="C6" s="136" t="s">
        <v>28</v>
      </c>
      <c r="D6" s="136" t="s">
        <v>37</v>
      </c>
      <c r="E6" s="137">
        <v>1650000</v>
      </c>
      <c r="F6" s="137">
        <f>SUMIFS(Dologi_felhalm!$G$3:$G$134,Dologi_felhalm!$C$3:$C$134,$A6,Dologi_felhalm!$B$3:$B$134,$D6,Dologi_felhalm!$H$3:$H$134,"Tény")</f>
        <v>1437600</v>
      </c>
      <c r="G6" s="137">
        <f>SUMIFS(Dologi_felhalm!$G$3:$G$134,Dologi_felhalm!$C$3:$C$134,$A6,Dologi_felhalm!$B$3:$B$134,$D6,Dologi_felhalm!$H$3:$H$134,"Kötváll")</f>
        <v>0</v>
      </c>
      <c r="H6" s="190">
        <f>SUMIFS(Dologi_felhalm!$G$3:$G$134,Dologi_felhalm!$C$3:$C$134,$A6,Dologi_felhalm!$B$3:$B$134,$D6,Dologi_felhalm!$H$3:$H$134,"Terv")</f>
        <v>0</v>
      </c>
      <c r="I6" s="190">
        <f t="shared" si="0"/>
        <v>212400</v>
      </c>
      <c r="J6" s="193" t="s">
        <v>195</v>
      </c>
    </row>
    <row r="7" spans="1:10" x14ac:dyDescent="0.25">
      <c r="A7" s="136" t="s">
        <v>153</v>
      </c>
      <c r="B7" s="136" t="s">
        <v>28</v>
      </c>
      <c r="C7" s="136" t="s">
        <v>28</v>
      </c>
      <c r="D7" s="136" t="s">
        <v>54</v>
      </c>
      <c r="E7" s="137">
        <v>100000</v>
      </c>
      <c r="F7" s="137">
        <f>SUMIFS(Dologi_felhalm!$G$3:$G$134,Dologi_felhalm!$C$3:$C$134,$A7,Dologi_felhalm!$B$3:$B$134,$D7,Dologi_felhalm!$H$3:$H$134,"Tény")</f>
        <v>0</v>
      </c>
      <c r="G7" s="137">
        <f>SUMIFS(Dologi_felhalm!$G$3:$G$134,Dologi_felhalm!$C$3:$C$134,$A7,Dologi_felhalm!$B$3:$B$134,$D7,Dologi_felhalm!$H$3:$H$134,"Kötváll")</f>
        <v>0</v>
      </c>
      <c r="H7" s="190">
        <f>SUMIFS(Dologi_felhalm!$G$3:$G$134,Dologi_felhalm!$C$3:$C$134,$A7,Dologi_felhalm!$B$3:$B$134,$D7,Dologi_felhalm!$H$3:$H$134,"Terv")</f>
        <v>0</v>
      </c>
      <c r="I7" s="190">
        <f t="shared" si="0"/>
        <v>100000</v>
      </c>
      <c r="J7" s="193" t="s">
        <v>201</v>
      </c>
    </row>
    <row r="8" spans="1:10" x14ac:dyDescent="0.25">
      <c r="A8" s="136" t="s">
        <v>154</v>
      </c>
      <c r="B8" s="136" t="s">
        <v>28</v>
      </c>
      <c r="C8" s="136" t="s">
        <v>28</v>
      </c>
      <c r="D8" s="136" t="s">
        <v>169</v>
      </c>
      <c r="E8" s="137">
        <v>5000000</v>
      </c>
      <c r="F8" s="137">
        <f>SUMIFS(Dologi_felhalm!$G$3:$G$134,Dologi_felhalm!$C$3:$C$134,$A8,Dologi_felhalm!$B$3:$B$134,$D8,Dologi_felhalm!$H$3:$H$134,"Tény")</f>
        <v>200000</v>
      </c>
      <c r="G8" s="137">
        <f>SUMIFS(Dologi_felhalm!$G$3:$G$134,Dologi_felhalm!$C$3:$C$134,$A8,Dologi_felhalm!$B$3:$B$134,$D8,Dologi_felhalm!$H$3:$H$134,"Kötváll")</f>
        <v>0</v>
      </c>
      <c r="H8" s="190">
        <f>SUMIFS(Dologi_felhalm!$G$3:$G$134,Dologi_felhalm!$C$3:$C$134,$A8,Dologi_felhalm!$B$3:$B$134,$D8,Dologi_felhalm!$H$3:$H$134,"Terv")</f>
        <v>0</v>
      </c>
      <c r="I8" s="190">
        <f t="shared" si="0"/>
        <v>4800000</v>
      </c>
      <c r="J8" s="193" t="s">
        <v>202</v>
      </c>
    </row>
    <row r="9" spans="1:10" x14ac:dyDescent="0.25">
      <c r="A9" s="136" t="s">
        <v>154</v>
      </c>
      <c r="B9" s="136" t="s">
        <v>28</v>
      </c>
      <c r="C9" s="136" t="s">
        <v>28</v>
      </c>
      <c r="D9" s="136" t="s">
        <v>170</v>
      </c>
      <c r="E9" s="137">
        <v>2000000</v>
      </c>
      <c r="F9" s="137">
        <f>SUMIFS(Dologi_felhalm!$G$3:$G$134,Dologi_felhalm!$C$3:$C$134,$A9,Dologi_felhalm!$B$3:$B$134,$D9,Dologi_felhalm!$H$3:$H$134,"Tény")</f>
        <v>1499994</v>
      </c>
      <c r="G9" s="137">
        <f>SUMIFS(Dologi_felhalm!$G$3:$G$134,Dologi_felhalm!$C$3:$C$134,$A9,Dologi_felhalm!$B$3:$B$134,$D9,Dologi_felhalm!$H$3:$H$134,"Kötváll")</f>
        <v>500006</v>
      </c>
      <c r="H9" s="190">
        <f>SUMIFS(Dologi_felhalm!$G$3:$G$134,Dologi_felhalm!$C$3:$C$134,$A9,Dologi_felhalm!$B$3:$B$134,$D9,Dologi_felhalm!$H$3:$H$134,"Terv")</f>
        <v>0</v>
      </c>
      <c r="I9" s="190">
        <f t="shared" si="0"/>
        <v>0</v>
      </c>
      <c r="J9" s="193" t="s">
        <v>203</v>
      </c>
    </row>
    <row r="10" spans="1:10" x14ac:dyDescent="0.25">
      <c r="A10" s="136" t="s">
        <v>156</v>
      </c>
      <c r="B10" s="136" t="s">
        <v>28</v>
      </c>
      <c r="C10" s="136" t="s">
        <v>28</v>
      </c>
      <c r="D10" s="136" t="s">
        <v>45</v>
      </c>
      <c r="E10" s="137">
        <v>9879350</v>
      </c>
      <c r="F10" s="137">
        <f>SUMIFS(Dologi_felhalm!$G$3:$G$134,Dologi_felhalm!$C$3:$C$134,$A10,Dologi_felhalm!$B$3:$B$134,$D10,Dologi_felhalm!$H$3:$H$134,"Tény")</f>
        <v>6011703</v>
      </c>
      <c r="G10" s="137">
        <f>SUMIFS(Dologi_felhalm!$G$3:$G$134,Dologi_felhalm!$C$3:$C$134,$A10,Dologi_felhalm!$B$3:$B$134,$D10,Dologi_felhalm!$H$3:$H$134,"Kötváll")</f>
        <v>4243059</v>
      </c>
      <c r="H10" s="190">
        <f>SUMIFS(Dologi_felhalm!$G$3:$G$134,Dologi_felhalm!$C$3:$C$134,$A10,Dologi_felhalm!$B$3:$B$134,$D10,Dologi_felhalm!$H$3:$H$134,"Terv")</f>
        <v>0</v>
      </c>
      <c r="I10" s="190">
        <f t="shared" si="0"/>
        <v>-375412</v>
      </c>
      <c r="J10" s="193" t="s">
        <v>214</v>
      </c>
    </row>
    <row r="11" spans="1:10" x14ac:dyDescent="0.25">
      <c r="A11" s="136" t="s">
        <v>154</v>
      </c>
      <c r="B11" s="136" t="s">
        <v>28</v>
      </c>
      <c r="C11" s="136" t="s">
        <v>28</v>
      </c>
      <c r="D11" s="136" t="s">
        <v>50</v>
      </c>
      <c r="E11" s="137">
        <v>4000000</v>
      </c>
      <c r="F11" s="137">
        <f>SUMIFS(Dologi_felhalm!$G$3:$G$134,Dologi_felhalm!$C$3:$C$134,$A11,Dologi_felhalm!$B$3:$B$134,$D11,Dologi_felhalm!$H$3:$H$134,"Tény")</f>
        <v>84481</v>
      </c>
      <c r="G11" s="137">
        <f>SUMIFS(Dologi_felhalm!$G$3:$G$134,Dologi_felhalm!$C$3:$C$134,$A11,Dologi_felhalm!$B$3:$B$134,$D11,Dologi_felhalm!$H$3:$H$134,"Kötváll")</f>
        <v>0</v>
      </c>
      <c r="H11" s="190">
        <f>SUMIFS(Dologi_felhalm!$G$3:$G$134,Dologi_felhalm!$C$3:$C$134,$A11,Dologi_felhalm!$B$3:$B$134,$D11,Dologi_felhalm!$H$3:$H$134,"Terv")</f>
        <v>0</v>
      </c>
      <c r="I11" s="190">
        <f t="shared" si="0"/>
        <v>3915519</v>
      </c>
      <c r="J11" s="193" t="s">
        <v>204</v>
      </c>
    </row>
    <row r="12" spans="1:10" x14ac:dyDescent="0.25">
      <c r="A12" s="136" t="s">
        <v>157</v>
      </c>
      <c r="B12" s="136" t="s">
        <v>28</v>
      </c>
      <c r="C12" s="136" t="s">
        <v>28</v>
      </c>
      <c r="D12" s="136" t="s">
        <v>39</v>
      </c>
      <c r="E12" s="137">
        <v>5076732</v>
      </c>
      <c r="F12" s="137">
        <f>SUMIFS(Dologi_felhalm!$G$3:$G$134,Dologi_felhalm!$C$3:$C$134,$A12,Dologi_felhalm!$B$3:$B$134,$D12,Dologi_felhalm!$H$3:$H$134,"Tény")</f>
        <v>10648972</v>
      </c>
      <c r="G12" s="137">
        <f>SUMIFS(Dologi_felhalm!$G$3:$G$134,Dologi_felhalm!$C$3:$C$134,$A12,Dologi_felhalm!$B$3:$B$134,$D12,Dologi_felhalm!$H$3:$H$134,"Kötváll")</f>
        <v>0</v>
      </c>
      <c r="H12" s="190">
        <f>SUMIFS(Dologi_felhalm!$G$3:$G$134,Dologi_felhalm!$C$3:$C$134,$A12,Dologi_felhalm!$B$3:$B$134,$D12,Dologi_felhalm!$H$3:$H$134,"Terv")</f>
        <v>0</v>
      </c>
      <c r="I12" s="190">
        <f t="shared" si="0"/>
        <v>-5572240</v>
      </c>
      <c r="J12" s="193" t="s">
        <v>217</v>
      </c>
    </row>
    <row r="13" spans="1:10" x14ac:dyDescent="0.25">
      <c r="A13" s="136" t="s">
        <v>155</v>
      </c>
      <c r="B13" s="136" t="s">
        <v>28</v>
      </c>
      <c r="C13" s="136" t="s">
        <v>28</v>
      </c>
      <c r="D13" s="136" t="s">
        <v>179</v>
      </c>
      <c r="E13" s="137">
        <v>1000000</v>
      </c>
      <c r="F13" s="137">
        <f>SUMIFS(Dologi_felhalm!$G$3:$G$134,Dologi_felhalm!$C$3:$C$134,$A13,Dologi_felhalm!$B$3:$B$134,$D13,Dologi_felhalm!$H$3:$H$134,"Tény")</f>
        <v>0</v>
      </c>
      <c r="G13" s="137">
        <f>SUMIFS(Dologi_felhalm!$G$3:$G$134,Dologi_felhalm!$C$3:$C$134,$A13,Dologi_felhalm!$B$3:$B$134,$D13,Dologi_felhalm!$H$3:$H$134,"Kötváll")</f>
        <v>0</v>
      </c>
      <c r="H13" s="190">
        <f>SUMIFS(Dologi_felhalm!$G$3:$G$134,Dologi_felhalm!$C$3:$C$134,$A13,Dologi_felhalm!$B$3:$B$134,$D13,Dologi_felhalm!$H$3:$H$134,"Terv")</f>
        <v>0</v>
      </c>
      <c r="I13" s="190">
        <f t="shared" si="0"/>
        <v>1000000</v>
      </c>
      <c r="J13" s="193" t="s">
        <v>213</v>
      </c>
    </row>
    <row r="14" spans="1:10" x14ac:dyDescent="0.25">
      <c r="A14" s="136" t="s">
        <v>159</v>
      </c>
      <c r="B14" s="136" t="s">
        <v>28</v>
      </c>
      <c r="C14" s="136" t="s">
        <v>28</v>
      </c>
      <c r="D14" s="136" t="s">
        <v>29</v>
      </c>
      <c r="E14" s="137">
        <v>301205</v>
      </c>
      <c r="F14" s="137">
        <f>SUMIFS(Dologi_felhalm!$G$3:$G$134,Dologi_felhalm!$C$3:$C$134,$A14,Dologi_felhalm!$B$3:$B$134,$D14,Dologi_felhalm!$H$3:$H$134,"Tény")</f>
        <v>437900</v>
      </c>
      <c r="G14" s="137">
        <f>SUMIFS(Dologi_felhalm!$G$3:$G$134,Dologi_felhalm!$C$3:$C$134,$A14,Dologi_felhalm!$B$3:$B$134,$D14,Dologi_felhalm!$H$3:$H$134,"Kötváll")</f>
        <v>0</v>
      </c>
      <c r="H14" s="190">
        <f>SUMIFS(Dologi_felhalm!$G$3:$G$134,Dologi_felhalm!$C$3:$C$134,$A14,Dologi_felhalm!$B$3:$B$134,$D14,Dologi_felhalm!$H$3:$H$134,"Terv")</f>
        <v>0</v>
      </c>
      <c r="I14" s="190">
        <f t="shared" si="0"/>
        <v>-136695</v>
      </c>
      <c r="J14" s="193" t="s">
        <v>228</v>
      </c>
    </row>
    <row r="15" spans="1:10" x14ac:dyDescent="0.25">
      <c r="A15" s="136" t="s">
        <v>158</v>
      </c>
      <c r="B15" s="136" t="s">
        <v>28</v>
      </c>
      <c r="C15" s="136" t="s">
        <v>28</v>
      </c>
      <c r="D15" s="136" t="s">
        <v>132</v>
      </c>
      <c r="E15" s="137">
        <v>76675</v>
      </c>
      <c r="F15" s="137">
        <f>SUMIFS(Dologi_felhalm!$G$3:$G$134,Dologi_felhalm!$C$3:$C$134,$A15,Dologi_felhalm!$B$3:$B$134,$D15,Dologi_felhalm!$H$3:$H$134,"Tény")</f>
        <v>432455</v>
      </c>
      <c r="G15" s="137">
        <f>SUMIFS(Dologi_felhalm!$G$3:$G$134,Dologi_felhalm!$C$3:$C$134,$A15,Dologi_felhalm!$B$3:$B$134,$D15,Dologi_felhalm!$H$3:$H$134,"Kötváll")</f>
        <v>59690</v>
      </c>
      <c r="H15" s="190">
        <f>SUMIFS(Dologi_felhalm!$G$3:$G$134,Dologi_felhalm!$C$3:$C$134,$A15,Dologi_felhalm!$B$3:$B$134,$D15,Dologi_felhalm!$H$3:$H$134,"Terv")</f>
        <v>0</v>
      </c>
      <c r="I15" s="190">
        <f t="shared" si="0"/>
        <v>-415470</v>
      </c>
      <c r="J15" s="194"/>
    </row>
    <row r="16" spans="1:10" x14ac:dyDescent="0.25">
      <c r="A16" s="136" t="s">
        <v>159</v>
      </c>
      <c r="B16" s="136" t="s">
        <v>28</v>
      </c>
      <c r="C16" s="136" t="s">
        <v>28</v>
      </c>
      <c r="D16" s="136" t="s">
        <v>296</v>
      </c>
      <c r="E16" s="137">
        <v>444500</v>
      </c>
      <c r="F16" s="137">
        <f>SUMIFS(Dologi_felhalm!$G$3:$G$134,Dologi_felhalm!$C$3:$C$134,$A16,Dologi_felhalm!$B$3:$B$134,$D16,Dologi_felhalm!$H$3:$H$134,"Tény")</f>
        <v>0</v>
      </c>
      <c r="G16" s="137">
        <f>SUMIFS(Dologi_felhalm!$G$3:$G$134,Dologi_felhalm!$C$3:$C$134,$A16,Dologi_felhalm!$B$3:$B$134,$D16,Dologi_felhalm!$H$3:$H$134,"Kötváll")</f>
        <v>444500</v>
      </c>
      <c r="H16" s="190">
        <f>SUMIFS(Dologi_felhalm!$G$3:$G$134,Dologi_felhalm!$C$3:$C$134,$A16,Dologi_felhalm!$B$3:$B$134,$D16,Dologi_felhalm!$H$3:$H$134,"Terv")</f>
        <v>0</v>
      </c>
      <c r="I16" s="190">
        <f t="shared" si="0"/>
        <v>0</v>
      </c>
      <c r="J16" s="194"/>
    </row>
    <row r="17" spans="1:10" x14ac:dyDescent="0.25">
      <c r="A17" s="136" t="s">
        <v>158</v>
      </c>
      <c r="B17" s="220" t="s">
        <v>362</v>
      </c>
      <c r="C17" s="220" t="s">
        <v>362</v>
      </c>
      <c r="D17" s="220" t="s">
        <v>363</v>
      </c>
      <c r="E17" s="137"/>
      <c r="F17" s="137">
        <f>SUMIFS(Dologi_felhalm!$G$3:$G$134,Dologi_felhalm!$C$3:$C$134,$A17,Dologi_felhalm!$B$3:$B$134,$D17,Dologi_felhalm!$H$3:$H$134,"Tény")</f>
        <v>271805</v>
      </c>
      <c r="G17" s="137">
        <f>SUMIFS(Dologi_felhalm!$G$3:$G$134,Dologi_felhalm!$C$3:$C$134,$A17,Dologi_felhalm!$B$3:$B$134,$D17,Dologi_felhalm!$H$3:$H$134,"Kötváll")</f>
        <v>0</v>
      </c>
      <c r="H17" s="190">
        <f>SUMIFS(Dologi_felhalm!$G$3:$G$134,Dologi_felhalm!$C$3:$C$134,$A17,Dologi_felhalm!$B$3:$B$134,$D17,Dologi_felhalm!$H$3:$H$134,"Terv")</f>
        <v>0</v>
      </c>
      <c r="I17" s="190">
        <f t="shared" si="0"/>
        <v>-271805</v>
      </c>
      <c r="J17" s="221" t="s">
        <v>369</v>
      </c>
    </row>
    <row r="18" spans="1:10" x14ac:dyDescent="0.25">
      <c r="A18" s="136"/>
      <c r="B18" s="136"/>
      <c r="C18" s="136"/>
      <c r="D18" s="136"/>
      <c r="E18" s="137"/>
      <c r="F18" s="137"/>
      <c r="G18" s="137"/>
      <c r="H18" s="190"/>
      <c r="I18" s="190"/>
      <c r="J18" s="193"/>
    </row>
    <row r="19" spans="1:10" ht="15.75" x14ac:dyDescent="0.25">
      <c r="A19" s="129" t="s">
        <v>249</v>
      </c>
      <c r="B19" s="130"/>
      <c r="C19" s="130"/>
      <c r="D19" s="130"/>
      <c r="E19" s="131"/>
      <c r="F19" s="131"/>
      <c r="G19" s="131"/>
      <c r="H19" s="191"/>
      <c r="I19" s="191"/>
      <c r="J19" s="195"/>
    </row>
    <row r="20" spans="1:10" x14ac:dyDescent="0.25">
      <c r="A20" s="136" t="s">
        <v>154</v>
      </c>
      <c r="B20" s="136" t="s">
        <v>10</v>
      </c>
      <c r="C20" s="136" t="s">
        <v>9</v>
      </c>
      <c r="D20" s="136" t="s">
        <v>171</v>
      </c>
      <c r="E20" s="137">
        <v>3600000</v>
      </c>
      <c r="F20" s="142">
        <f>SUMIFS(Bérköltség!$N$4:$N$268,Bérköltség!$B$4:$B$268,$D20,Bérköltség!$D$4:$D$268,$A20,Bérköltség!$I$4:$I$268,"Tény")</f>
        <v>2540201</v>
      </c>
      <c r="G20" s="142">
        <f>SUMIFS(Bérköltség!$N$4:$N$268,Bérköltség!$B$4:$B$268,$D20,Bérköltség!$D$4:$D$268,$A20,Bérköltség!$I$4:$I$268,"Kötváll")</f>
        <v>303173</v>
      </c>
      <c r="H20" s="240">
        <f>SUMIFS(Bérköltség!$N$4:$N$268,Bérköltség!$B$4:$B$268,$D20,Bérköltség!$D$4:$D$268,$A20,Bérköltség!$I$4:$I$268,"Terv")</f>
        <v>0</v>
      </c>
      <c r="I20" s="190">
        <f>E20-F20-G20</f>
        <v>756626</v>
      </c>
      <c r="J20" s="193" t="s">
        <v>205</v>
      </c>
    </row>
    <row r="21" spans="1:10" x14ac:dyDescent="0.25">
      <c r="A21" s="136" t="s">
        <v>146</v>
      </c>
      <c r="B21" s="136" t="s">
        <v>10</v>
      </c>
      <c r="C21" s="136" t="s">
        <v>9</v>
      </c>
      <c r="D21" s="136" t="s">
        <v>162</v>
      </c>
      <c r="E21" s="137">
        <v>6000000</v>
      </c>
      <c r="F21" s="137">
        <f>SUMIFS(Bérköltség!$N$4:$N$268,Bérköltség!$B$4:$B$268,$D21,Bérköltség!$D$4:$D$268,$A21,Bérköltség!$I$4:$I$268,"Tény")</f>
        <v>2398277</v>
      </c>
      <c r="G21" s="137">
        <f>SUMIFS(Bérköltség!$N$4:$N$268,Bérköltség!$B$4:$B$268,$D21,Bérköltség!$D$4:$D$268,$A21,Bérköltség!$I$4:$I$268,"Kötváll")</f>
        <v>2050000</v>
      </c>
      <c r="H21" s="240">
        <f>SUMIFS(Bérköltség!$N$4:$N$268,Bérköltség!$B$4:$B$268,$D21,Bérköltség!$D$4:$D$268,$A21,Bérköltség!$I$4:$I$268,"Terv")</f>
        <v>0</v>
      </c>
      <c r="I21" s="190">
        <f t="shared" ref="I21:I22" si="1">E21-F21-G21</f>
        <v>1551723</v>
      </c>
      <c r="J21" s="193" t="s">
        <v>190</v>
      </c>
    </row>
    <row r="22" spans="1:10" x14ac:dyDescent="0.25">
      <c r="A22" s="136" t="s">
        <v>150</v>
      </c>
      <c r="B22" s="136" t="s">
        <v>10</v>
      </c>
      <c r="C22" s="136" t="s">
        <v>9</v>
      </c>
      <c r="D22" s="136" t="s">
        <v>62</v>
      </c>
      <c r="E22" s="137">
        <v>5377620</v>
      </c>
      <c r="F22" s="137">
        <f>SUMIFS(Bérköltség!$N$4:$N$268,Bérköltség!$B$4:$B$268,$D22,Bérköltség!$D$4:$D$268,$A22,Bérköltség!$I$4:$I$268,"Tény")</f>
        <v>2424626</v>
      </c>
      <c r="G22" s="137">
        <f>SUMIFS(Bérköltség!$N$4:$N$268,Bérköltség!$B$4:$B$268,$D22,Bérköltség!$D$4:$D$268,$A22,Bérköltség!$I$4:$I$268,"Kötváll")</f>
        <v>4700324</v>
      </c>
      <c r="H22" s="240">
        <f>SUMIFS(Bérköltség!$N$4:$N$268,Bérköltség!$B$4:$B$268,$D22,Bérköltség!$D$4:$D$268,$A22,Bérköltség!$I$4:$I$268,"Terv")</f>
        <v>0</v>
      </c>
      <c r="I22" s="190">
        <f t="shared" si="1"/>
        <v>-1747330</v>
      </c>
      <c r="J22" s="193" t="s">
        <v>196</v>
      </c>
    </row>
    <row r="23" spans="1:10" x14ac:dyDescent="0.25">
      <c r="A23" s="136" t="s">
        <v>148</v>
      </c>
      <c r="B23" s="136" t="s">
        <v>10</v>
      </c>
      <c r="C23" s="136" t="s">
        <v>9</v>
      </c>
      <c r="D23" s="136" t="s">
        <v>164</v>
      </c>
      <c r="E23" s="137">
        <v>7200000</v>
      </c>
      <c r="F23" s="137">
        <f>SUMIFS(Bérköltség!$N$4:$N$268,Bérköltség!$B$4:$B$268,$D23,Bérköltség!$D$4:$D$268,$A23,Bérköltség!$I$4:$I$268,"Tény")</f>
        <v>4818201</v>
      </c>
      <c r="G23" s="137">
        <f>SUMIFS(Bérköltség!$N$4:$N$268,Bérköltség!$B$4:$B$268,$D23,Bérköltség!$D$4:$D$268,$A23,Bérköltség!$I$4:$I$268,"Kötváll")</f>
        <v>812242</v>
      </c>
      <c r="H23" s="240">
        <f>SUMIFS(Bérköltség!$N$4:$N$268,Bérköltség!$B$4:$B$268,$D23,Bérköltség!$D$4:$D$268,$A23,Bérköltség!$I$4:$I$268,"Terv")</f>
        <v>0</v>
      </c>
      <c r="I23" s="190">
        <f>E23-F23-G23-H23</f>
        <v>1569557</v>
      </c>
      <c r="J23" s="193" t="s">
        <v>193</v>
      </c>
    </row>
    <row r="24" spans="1:10" x14ac:dyDescent="0.25">
      <c r="A24" s="136" t="s">
        <v>151</v>
      </c>
      <c r="B24" s="136" t="s">
        <v>10</v>
      </c>
      <c r="C24" s="136" t="s">
        <v>9</v>
      </c>
      <c r="D24" s="136" t="s">
        <v>166</v>
      </c>
      <c r="E24" s="137">
        <v>11920000</v>
      </c>
      <c r="F24" s="137">
        <f>SUMIFS(Bérköltség!$N$4:$N$268,Bérköltség!$B$4:$B$268,$D24,Bérköltség!$D$4:$D$268,$A24,Bérköltség!$I$4:$I$268,"Tény")</f>
        <v>4839595</v>
      </c>
      <c r="G24" s="137">
        <f>SUMIFS(Bérköltség!$N$4:$N$268,Bérköltség!$B$4:$B$268,$D24,Bérköltség!$D$4:$D$268,$A24,Bérköltség!$I$4:$I$268,"Kötváll")</f>
        <v>2700000</v>
      </c>
      <c r="H24" s="240">
        <f>SUMIFS(Bérköltség!$N$4:$N$268,Bérköltség!$B$4:$B$268,$D24,Bérköltség!$D$4:$D$268,$A24,Bérköltség!$I$4:$I$268,"Terv")</f>
        <v>0</v>
      </c>
      <c r="I24" s="190">
        <f t="shared" ref="I24:I35" si="2">E24-F24-G24-H24</f>
        <v>4380405</v>
      </c>
      <c r="J24" s="193" t="s">
        <v>198</v>
      </c>
    </row>
    <row r="25" spans="1:10" x14ac:dyDescent="0.25">
      <c r="A25" s="136" t="s">
        <v>154</v>
      </c>
      <c r="B25" s="136" t="s">
        <v>10</v>
      </c>
      <c r="C25" s="136" t="s">
        <v>9</v>
      </c>
      <c r="D25" s="136" t="s">
        <v>172</v>
      </c>
      <c r="E25" s="137">
        <v>2400000</v>
      </c>
      <c r="F25" s="137">
        <f>SUMIFS(Bérköltség!$N$4:$N$268,Bérköltség!$B$4:$B$268,$D25,Bérköltség!$D$4:$D$268,$A25,Bérköltség!$I$4:$I$268,"Tény")</f>
        <v>1674232</v>
      </c>
      <c r="G25" s="137">
        <f>SUMIFS(Bérköltség!$N$4:$N$268,Bérköltség!$B$4:$B$268,$D25,Bérköltség!$D$4:$D$268,$A25,Bérköltség!$I$4:$I$268,"Kötváll")</f>
        <v>244041</v>
      </c>
      <c r="H25" s="240">
        <f>SUMIFS(Bérköltség!$N$4:$N$268,Bérköltség!$B$4:$B$268,$D25,Bérköltség!$D$4:$D$268,$A25,Bérköltség!$I$4:$I$268,"Terv")</f>
        <v>0</v>
      </c>
      <c r="I25" s="190">
        <f t="shared" si="2"/>
        <v>481727</v>
      </c>
      <c r="J25" s="193" t="s">
        <v>206</v>
      </c>
    </row>
    <row r="26" spans="1:10" x14ac:dyDescent="0.25">
      <c r="A26" s="136" t="s">
        <v>154</v>
      </c>
      <c r="B26" s="136" t="s">
        <v>10</v>
      </c>
      <c r="C26" s="136" t="s">
        <v>9</v>
      </c>
      <c r="D26" s="136" t="s">
        <v>173</v>
      </c>
      <c r="E26" s="137">
        <v>600000</v>
      </c>
      <c r="F26" s="137">
        <f>SUMIFS(Bérköltség!$N$4:$N$268,Bérköltség!$B$4:$B$268,$D26,Bérköltség!$D$4:$D$268,$A26,Bérköltség!$I$4:$I$268,"Tény")</f>
        <v>770000</v>
      </c>
      <c r="G26" s="137">
        <f>SUMIFS(Bérköltség!$N$4:$N$268,Bérköltség!$B$4:$B$268,$D26,Bérköltség!$D$4:$D$268,$A26,Bérköltség!$I$4:$I$268,"Kötváll")</f>
        <v>90000</v>
      </c>
      <c r="H26" s="240">
        <f>SUMIFS(Bérköltség!$N$4:$N$268,Bérköltség!$B$4:$B$268,$D26,Bérköltség!$D$4:$D$268,$A26,Bérköltség!$I$4:$I$268,"Terv")</f>
        <v>0</v>
      </c>
      <c r="I26" s="190">
        <f t="shared" si="2"/>
        <v>-260000</v>
      </c>
      <c r="J26" s="193" t="s">
        <v>207</v>
      </c>
    </row>
    <row r="27" spans="1:10" x14ac:dyDescent="0.25">
      <c r="A27" s="136" t="s">
        <v>158</v>
      </c>
      <c r="B27" s="136" t="s">
        <v>10</v>
      </c>
      <c r="C27" s="136" t="s">
        <v>9</v>
      </c>
      <c r="D27" s="136" t="s">
        <v>11</v>
      </c>
      <c r="E27" s="137">
        <v>4800000</v>
      </c>
      <c r="F27" s="137">
        <f>SUMIFS(Bérköltség!$N$4:$N$268,Bérköltség!$B$4:$B$268,$D27,Bérköltség!$D$4:$D$268,$A27,Bérköltség!$I$4:$I$268,"Tény")</f>
        <v>3524506</v>
      </c>
      <c r="G27" s="137">
        <f>SUMIFS(Bérköltség!$N$4:$N$268,Bérköltség!$B$4:$B$268,$D27,Bérköltség!$D$4:$D$268,$A27,Bérköltség!$I$4:$I$268,"Kötváll")</f>
        <v>426000</v>
      </c>
      <c r="H27" s="240">
        <f>SUMIFS(Bérköltség!$N$4:$N$268,Bérköltség!$B$4:$B$268,$D27,Bérköltség!$D$4:$D$268,$A27,Bérköltség!$I$4:$I$268,"Terv")</f>
        <v>0</v>
      </c>
      <c r="I27" s="190">
        <f t="shared" si="2"/>
        <v>849494</v>
      </c>
      <c r="J27" s="193" t="s">
        <v>220</v>
      </c>
    </row>
    <row r="28" spans="1:10" x14ac:dyDescent="0.25">
      <c r="A28" s="136" t="s">
        <v>156</v>
      </c>
      <c r="B28" s="136" t="s">
        <v>10</v>
      </c>
      <c r="C28" s="136" t="s">
        <v>9</v>
      </c>
      <c r="D28" s="136" t="s">
        <v>181</v>
      </c>
      <c r="E28" s="137">
        <v>500000</v>
      </c>
      <c r="F28" s="137">
        <f>SUMIFS(Bérköltség!$N$4:$N$268,Bérköltség!$B$4:$B$268,$D28,Bérköltség!$D$4:$D$268,$A28,Bérköltség!$I$4:$I$268,"Tény")</f>
        <v>0</v>
      </c>
      <c r="G28" s="137">
        <f>SUMIFS(Bérköltség!$N$4:$N$268,Bérköltség!$B$4:$B$268,$D28,Bérköltség!$D$4:$D$268,$A28,Bérköltség!$I$4:$I$268,"Kötváll")</f>
        <v>0</v>
      </c>
      <c r="H28" s="240">
        <f>SUMIFS(Bérköltség!$N$4:$N$268,Bérköltség!$B$4:$B$268,$D28,Bérköltség!$D$4:$D$268,$A28,Bérköltség!$I$4:$I$268,"Terv")</f>
        <v>0</v>
      </c>
      <c r="I28" s="190">
        <f t="shared" si="2"/>
        <v>500000</v>
      </c>
      <c r="J28" s="193" t="s">
        <v>215</v>
      </c>
    </row>
    <row r="29" spans="1:10" x14ac:dyDescent="0.25">
      <c r="A29" s="136" t="s">
        <v>158</v>
      </c>
      <c r="B29" s="136" t="s">
        <v>10</v>
      </c>
      <c r="C29" s="136" t="s">
        <v>23</v>
      </c>
      <c r="D29" s="136" t="s">
        <v>24</v>
      </c>
      <c r="E29" s="137">
        <v>4800000</v>
      </c>
      <c r="F29" s="137">
        <f>SUMIFS(Bérköltség!$N$4:$N$268,Bérköltség!$B$4:$B$268,$D29,Bérköltség!$D$4:$D$268,$A29,Bérköltség!$I$4:$I$268,"Tény")</f>
        <v>3423827</v>
      </c>
      <c r="G29" s="137">
        <f>SUMIFS(Bérköltség!$N$4:$N$268,Bérköltség!$B$4:$B$268,$D29,Bérköltség!$D$4:$D$268,$A29,Bérköltség!$I$4:$I$268,"Kötváll")</f>
        <v>453794</v>
      </c>
      <c r="H29" s="240">
        <f>SUMIFS(Bérköltség!$N$4:$N$268,Bérköltség!$B$4:$B$268,$D29,Bérköltség!$D$4:$D$268,$A29,Bérköltség!$I$4:$I$268,"Terv")</f>
        <v>0</v>
      </c>
      <c r="I29" s="190">
        <f t="shared" si="2"/>
        <v>922379</v>
      </c>
      <c r="J29" s="193" t="s">
        <v>223</v>
      </c>
    </row>
    <row r="30" spans="1:10" x14ac:dyDescent="0.25">
      <c r="A30" s="136" t="s">
        <v>161</v>
      </c>
      <c r="B30" s="136" t="s">
        <v>10</v>
      </c>
      <c r="C30" s="136" t="s">
        <v>9</v>
      </c>
      <c r="D30" s="136" t="s">
        <v>189</v>
      </c>
      <c r="E30" s="137">
        <v>0</v>
      </c>
      <c r="F30" s="137">
        <f>SUMIFS(Bérköltség!$N$4:$N$268,Bérköltség!$B$4:$B$268,$D30,Bérköltség!$D$4:$D$268,$A30,Bérköltség!$I$4:$I$268,"Tény")</f>
        <v>0</v>
      </c>
      <c r="G30" s="137">
        <f>SUMIFS(Bérköltség!$N$4:$N$268,Bérköltség!$B$4:$B$268,$D30,Bérköltség!$D$4:$D$268,$A30,Bérköltség!$I$4:$I$268,"Kötváll")</f>
        <v>0</v>
      </c>
      <c r="H30" s="240">
        <f>SUMIFS(Bérköltség!$N$4:$N$268,Bérköltség!$B$4:$B$268,$D30,Bérköltség!$D$4:$D$268,$A30,Bérköltség!$I$4:$I$268,"Terv")</f>
        <v>0</v>
      </c>
      <c r="I30" s="190">
        <f t="shared" si="2"/>
        <v>0</v>
      </c>
      <c r="J30" s="193" t="s">
        <v>200</v>
      </c>
    </row>
    <row r="31" spans="1:10" x14ac:dyDescent="0.25">
      <c r="A31" s="136" t="s">
        <v>160</v>
      </c>
      <c r="B31" s="136" t="s">
        <v>10</v>
      </c>
      <c r="C31" s="136" t="s">
        <v>9</v>
      </c>
      <c r="D31" s="136" t="s">
        <v>189</v>
      </c>
      <c r="E31" s="137">
        <v>0</v>
      </c>
      <c r="F31" s="137">
        <f>SUMIFS(Bérköltség!$N$4:$N$268,Bérköltség!$B$4:$B$268,$D31,Bérköltség!$D$4:$D$268,$A31,Bérköltség!$I$4:$I$268,"Tény")</f>
        <v>0</v>
      </c>
      <c r="G31" s="137">
        <f>SUMIFS(Bérköltség!$N$4:$N$268,Bérköltség!$B$4:$B$268,$D31,Bérköltség!$D$4:$D$268,$A31,Bérköltség!$I$4:$I$268,"Kötváll")</f>
        <v>0</v>
      </c>
      <c r="H31" s="240">
        <f>SUMIFS(Bérköltség!$N$4:$N$268,Bérköltség!$B$4:$B$268,$D31,Bérköltség!$D$4:$D$268,$A31,Bérköltség!$I$4:$I$268,"Terv")</f>
        <v>0</v>
      </c>
      <c r="I31" s="190">
        <f t="shared" si="2"/>
        <v>0</v>
      </c>
      <c r="J31" s="193" t="s">
        <v>200</v>
      </c>
    </row>
    <row r="32" spans="1:10" x14ac:dyDescent="0.25">
      <c r="A32" s="136" t="s">
        <v>152</v>
      </c>
      <c r="B32" s="136" t="s">
        <v>10</v>
      </c>
      <c r="C32" s="136" t="s">
        <v>9</v>
      </c>
      <c r="D32" s="136" t="s">
        <v>168</v>
      </c>
      <c r="E32" s="137">
        <v>0</v>
      </c>
      <c r="F32" s="137">
        <f>SUMIFS(Bérköltség!$N$4:$N$268,Bérköltség!$B$4:$B$268,$D32,Bérköltség!$D$4:$D$268,$A32,Bérköltség!$I$4:$I$268,"Tény")</f>
        <v>0</v>
      </c>
      <c r="G32" s="137">
        <f>SUMIFS(Bérköltség!$N$4:$N$268,Bérköltség!$B$4:$B$268,$D32,Bérköltség!$D$4:$D$268,$A32,Bérköltség!$I$4:$I$268,"Kötváll")</f>
        <v>0</v>
      </c>
      <c r="H32" s="240">
        <f>SUMIFS(Bérköltség!$N$4:$N$268,Bérköltség!$B$4:$B$268,$D32,Bérköltség!$D$4:$D$268,$A32,Bérköltség!$I$4:$I$268,"Terv")</f>
        <v>0</v>
      </c>
      <c r="I32" s="190">
        <f t="shared" si="2"/>
        <v>0</v>
      </c>
      <c r="J32" s="193" t="s">
        <v>200</v>
      </c>
    </row>
    <row r="33" spans="1:10" x14ac:dyDescent="0.25">
      <c r="A33" s="136" t="s">
        <v>158</v>
      </c>
      <c r="B33" s="136" t="s">
        <v>10</v>
      </c>
      <c r="C33" s="136" t="s">
        <v>9</v>
      </c>
      <c r="D33" s="136" t="s">
        <v>183</v>
      </c>
      <c r="E33" s="137">
        <v>18480000</v>
      </c>
      <c r="F33" s="137">
        <f>SUMIFS(Bérköltség!$N$4:$N$268,Bérköltség!$B$4:$B$268,$D33,Bérköltség!$D$4:$D$268,$A33,Bérköltség!$I$4:$I$268,"Tény")</f>
        <v>12489420</v>
      </c>
      <c r="G33" s="137">
        <f>SUMIFS(Bérköltség!$N$4:$N$268,Bérköltség!$B$4:$B$268,$D33,Bérköltség!$D$4:$D$268,$A33,Bérköltség!$I$4:$I$268,"Kötváll")</f>
        <v>4297584</v>
      </c>
      <c r="H33" s="240">
        <f>SUMIFS(Bérköltség!$N$4:$N$268,Bérköltség!$B$4:$B$268,$D33,Bérköltség!$D$4:$D$268,$A33,Bérköltség!$I$4:$I$268,"Terv")</f>
        <v>0</v>
      </c>
      <c r="I33" s="190">
        <f t="shared" si="2"/>
        <v>1692996</v>
      </c>
      <c r="J33" s="193" t="s">
        <v>221</v>
      </c>
    </row>
    <row r="34" spans="1:10" x14ac:dyDescent="0.25">
      <c r="A34" s="136" t="s">
        <v>154</v>
      </c>
      <c r="B34" s="136" t="s">
        <v>10</v>
      </c>
      <c r="C34" s="136" t="s">
        <v>9</v>
      </c>
      <c r="D34" s="136" t="s">
        <v>174</v>
      </c>
      <c r="E34" s="137">
        <v>7920000</v>
      </c>
      <c r="F34" s="137">
        <f>SUMIFS(Bérköltség!$N$4:$N$268,Bérköltség!$B$4:$B$268,$D34,Bérköltség!$D$4:$D$268,$A34,Bérköltség!$I$4:$I$268,"Tény")</f>
        <v>5470580</v>
      </c>
      <c r="G34" s="137">
        <f>SUMIFS(Bérköltség!$N$4:$N$268,Bérköltség!$B$4:$B$268,$D34,Bérköltség!$D$4:$D$268,$A34,Bérköltség!$I$4:$I$268,"Kötváll")</f>
        <v>1882416</v>
      </c>
      <c r="H34" s="240">
        <f>SUMIFS(Bérköltség!$N$4:$N$268,Bérköltség!$B$4:$B$268,$D34,Bérköltség!$D$4:$D$268,$A34,Bérköltség!$I$4:$I$268,"Terv")</f>
        <v>0</v>
      </c>
      <c r="I34" s="190">
        <f t="shared" si="2"/>
        <v>567004</v>
      </c>
      <c r="J34" s="193" t="s">
        <v>208</v>
      </c>
    </row>
    <row r="35" spans="1:10" x14ac:dyDescent="0.25">
      <c r="A35" s="136" t="s">
        <v>158</v>
      </c>
      <c r="B35" s="136" t="s">
        <v>10</v>
      </c>
      <c r="C35" s="136" t="s">
        <v>9</v>
      </c>
      <c r="D35" s="136" t="s">
        <v>184</v>
      </c>
      <c r="E35" s="137">
        <v>14400000</v>
      </c>
      <c r="F35" s="137">
        <f>SUMIFS(Bérköltség!$N$4:$N$268,Bérköltség!$B$4:$B$268,$D35,Bérköltség!$D$4:$D$268,$A35,Bérköltség!$I$4:$I$268,"Tény")</f>
        <v>9788634</v>
      </c>
      <c r="G35" s="137">
        <f>SUMIFS(Bérköltség!$N$4:$N$268,Bérköltség!$B$4:$B$268,$D35,Bérköltség!$D$4:$D$268,$A35,Bérköltség!$I$4:$I$268,"Kötváll")</f>
        <v>1207568</v>
      </c>
      <c r="H35" s="240">
        <f>SUMIFS(Bérköltség!$N$4:$N$268,Bérköltség!$B$4:$B$268,$D35,Bérköltség!$D$4:$D$268,$A35,Bérköltség!$I$4:$I$268,"Terv")</f>
        <v>0</v>
      </c>
      <c r="I35" s="190">
        <f t="shared" si="2"/>
        <v>3403798</v>
      </c>
      <c r="J35" s="193" t="s">
        <v>222</v>
      </c>
    </row>
    <row r="36" spans="1:10" x14ac:dyDescent="0.25">
      <c r="A36" s="136"/>
      <c r="B36" s="136"/>
      <c r="C36" s="136"/>
      <c r="D36" s="136"/>
      <c r="E36" s="137"/>
      <c r="F36" s="137"/>
      <c r="G36" s="137"/>
      <c r="H36" s="190"/>
      <c r="I36" s="190"/>
      <c r="J36" s="193"/>
    </row>
    <row r="37" spans="1:10" x14ac:dyDescent="0.25">
      <c r="A37" s="136"/>
      <c r="B37" s="136"/>
      <c r="C37" s="136"/>
      <c r="D37" s="136"/>
      <c r="E37" s="137"/>
      <c r="F37" s="137"/>
      <c r="G37" s="137"/>
      <c r="H37" s="190"/>
      <c r="I37" s="190"/>
      <c r="J37" s="193"/>
    </row>
    <row r="38" spans="1:10" x14ac:dyDescent="0.25">
      <c r="A38" s="136"/>
      <c r="B38" s="136"/>
      <c r="C38" s="136"/>
      <c r="D38" s="136"/>
      <c r="E38" s="137"/>
      <c r="F38" s="137"/>
      <c r="G38" s="137"/>
      <c r="H38" s="190"/>
      <c r="I38" s="190"/>
      <c r="J38" s="193"/>
    </row>
    <row r="39" spans="1:10" x14ac:dyDescent="0.25">
      <c r="A39" s="136"/>
      <c r="B39" s="136"/>
      <c r="C39" s="136"/>
      <c r="D39" s="136"/>
      <c r="E39" s="137"/>
      <c r="F39" s="137"/>
      <c r="G39" s="137"/>
      <c r="H39" s="190"/>
      <c r="I39" s="190"/>
      <c r="J39" s="193"/>
    </row>
    <row r="40" spans="1:10" ht="15.75" x14ac:dyDescent="0.25">
      <c r="A40" s="129" t="s">
        <v>250</v>
      </c>
      <c r="B40" s="130"/>
      <c r="C40" s="130"/>
      <c r="D40" s="130"/>
      <c r="E40" s="131"/>
      <c r="F40" s="131"/>
      <c r="G40" s="131"/>
      <c r="H40" s="191"/>
      <c r="I40" s="191"/>
      <c r="J40" s="195"/>
    </row>
    <row r="41" spans="1:10" x14ac:dyDescent="0.25">
      <c r="A41" s="136" t="s">
        <v>154</v>
      </c>
      <c r="B41" s="136" t="s">
        <v>78</v>
      </c>
      <c r="C41" s="136" t="s">
        <v>80</v>
      </c>
      <c r="D41" s="136" t="s">
        <v>175</v>
      </c>
      <c r="E41" s="137">
        <v>558000</v>
      </c>
      <c r="F41" s="142">
        <f>SUMIFS(Bérköltség!$O$4:$O$268,Bérköltség!$C$4:$C$268,$D41,Bérköltség!$D$4:$D$268,$A41,Bérköltség!$I$4:$I$268,"Tény")</f>
        <v>337615</v>
      </c>
      <c r="G41" s="142">
        <f>SUMIFS(Bérköltség!$O$4:$O$268,Bérköltség!$C$4:$C$268,$D41,Bérköltség!$D$4:$D$268,$A41,Bérköltség!$I$4:$I$268,"Kötváll")</f>
        <v>39412</v>
      </c>
      <c r="H41" s="240">
        <f>SUMIFS(Bérköltség!$O$4:$O$268,Bérköltség!$C$4:$C$268,$D41,Bérköltség!$D$4:$D$268,$A41,Bérköltség!$I$4:$I$268,"Terv")</f>
        <v>0</v>
      </c>
      <c r="I41" s="190">
        <f>E41-F41-G41-H41</f>
        <v>180973</v>
      </c>
      <c r="J41" s="193" t="s">
        <v>209</v>
      </c>
    </row>
    <row r="42" spans="1:10" x14ac:dyDescent="0.25">
      <c r="A42" s="136" t="s">
        <v>146</v>
      </c>
      <c r="B42" s="136" t="s">
        <v>78</v>
      </c>
      <c r="C42" s="136" t="s">
        <v>80</v>
      </c>
      <c r="D42" s="136" t="s">
        <v>163</v>
      </c>
      <c r="E42" s="137">
        <v>930000</v>
      </c>
      <c r="F42" s="137">
        <f>SUMIFS(Bérköltség!$O$4:$O$268,Bérköltség!$C$4:$C$268,$D42,Bérköltség!$D$4:$D$268,$A42,Bérköltség!$I$4:$I$268,"Tény")</f>
        <v>311777</v>
      </c>
      <c r="G42" s="137">
        <f>SUMIFS(Bérköltség!$O$4:$O$268,Bérköltség!$C$4:$C$268,$D42,Bérköltség!$D$4:$D$268,$A42,Bérköltség!$I$4:$I$268,"Kötváll")</f>
        <v>260650</v>
      </c>
      <c r="H42" s="240">
        <f>SUMIFS(Bérköltség!$O$4:$O$268,Bérköltség!$C$4:$C$268,$D42,Bérköltség!$D$4:$D$268,$A42,Bérköltség!$I$4:$I$268,"Terv")</f>
        <v>0</v>
      </c>
      <c r="I42" s="190">
        <f t="shared" ref="I42:I53" si="3">E42-F42-G42-H42</f>
        <v>357573</v>
      </c>
      <c r="J42" s="193" t="s">
        <v>191</v>
      </c>
    </row>
    <row r="43" spans="1:10" x14ac:dyDescent="0.25">
      <c r="A43" s="136" t="s">
        <v>150</v>
      </c>
      <c r="B43" s="136" t="s">
        <v>78</v>
      </c>
      <c r="C43" s="136" t="s">
        <v>80</v>
      </c>
      <c r="D43" s="136" t="s">
        <v>98</v>
      </c>
      <c r="E43" s="137">
        <v>930000</v>
      </c>
      <c r="F43" s="137">
        <f>SUMIFS(Bérköltség!$O$4:$O$268,Bérköltség!$C$4:$C$268,$D43,Bérköltség!$D$4:$D$268,$A43,Bérköltség!$I$4:$I$268,"Tény")</f>
        <v>248690</v>
      </c>
      <c r="G43" s="137">
        <f>SUMIFS(Bérköltség!$O$4:$O$268,Bérköltség!$C$4:$C$268,$D43,Bérköltség!$D$4:$D$268,$A43,Bérköltség!$I$4:$I$268,"Kötváll")</f>
        <v>611044</v>
      </c>
      <c r="H43" s="240">
        <f>SUMIFS(Bérköltség!$O$4:$O$268,Bérköltség!$C$4:$C$268,$D43,Bérköltség!$D$4:$D$268,$A43,Bérköltség!$I$4:$I$268,"Terv")</f>
        <v>0</v>
      </c>
      <c r="I43" s="190">
        <f t="shared" si="3"/>
        <v>70266</v>
      </c>
      <c r="J43" s="193" t="s">
        <v>197</v>
      </c>
    </row>
    <row r="44" spans="1:10" x14ac:dyDescent="0.25">
      <c r="A44" s="136" t="s">
        <v>148</v>
      </c>
      <c r="B44" s="136" t="s">
        <v>78</v>
      </c>
      <c r="C44" s="136" t="s">
        <v>80</v>
      </c>
      <c r="D44" s="136" t="s">
        <v>165</v>
      </c>
      <c r="E44" s="137">
        <v>1116000</v>
      </c>
      <c r="F44" s="137">
        <f>SUMIFS(Bérköltség!$O$4:$O$268,Bérköltség!$C$4:$C$268,$D44,Bérköltség!$D$4:$D$268,$A44,Bérköltség!$I$4:$I$268,"Tény")</f>
        <v>630625</v>
      </c>
      <c r="G44" s="137">
        <f>SUMIFS(Bérköltség!$O$4:$O$268,Bérköltség!$C$4:$C$268,$D44,Bérköltség!$D$4:$D$268,$A44,Bérköltség!$I$4:$I$268,"Kötváll")</f>
        <v>105592</v>
      </c>
      <c r="H44" s="240">
        <f>SUMIFS(Bérköltség!$O$4:$O$268,Bérköltség!$C$4:$C$268,$D44,Bérköltség!$D$4:$D$268,$A44,Bérköltség!$I$4:$I$268,"Terv")</f>
        <v>0</v>
      </c>
      <c r="I44" s="190">
        <f t="shared" si="3"/>
        <v>379783</v>
      </c>
      <c r="J44" s="193" t="s">
        <v>194</v>
      </c>
    </row>
    <row r="45" spans="1:10" x14ac:dyDescent="0.25">
      <c r="A45" s="136" t="s">
        <v>151</v>
      </c>
      <c r="B45" s="136" t="s">
        <v>78</v>
      </c>
      <c r="C45" s="136" t="s">
        <v>80</v>
      </c>
      <c r="D45" s="136" t="s">
        <v>167</v>
      </c>
      <c r="E45" s="137">
        <v>1847600</v>
      </c>
      <c r="F45" s="137">
        <f>SUMIFS(Bérköltség!$O$4:$O$268,Bérköltség!$C$4:$C$268,$D45,Bérköltség!$D$4:$D$268,$A45,Bérköltség!$I$4:$I$268,"Tény")</f>
        <v>629147</v>
      </c>
      <c r="G45" s="137">
        <f>SUMIFS(Bérköltség!$O$4:$O$268,Bérköltség!$C$4:$C$268,$D45,Bérköltség!$D$4:$D$268,$A45,Bérköltség!$I$4:$I$268,"Kötváll")</f>
        <v>351000</v>
      </c>
      <c r="H45" s="240">
        <f>SUMIFS(Bérköltség!$O$4:$O$268,Bérköltség!$C$4:$C$268,$D45,Bérköltség!$D$4:$D$268,$A45,Bérköltség!$I$4:$I$268,"Terv")</f>
        <v>0</v>
      </c>
      <c r="I45" s="190">
        <f t="shared" si="3"/>
        <v>867453</v>
      </c>
      <c r="J45" s="193" t="s">
        <v>199</v>
      </c>
    </row>
    <row r="46" spans="1:10" x14ac:dyDescent="0.25">
      <c r="A46" s="136" t="s">
        <v>154</v>
      </c>
      <c r="B46" s="136" t="s">
        <v>78</v>
      </c>
      <c r="C46" s="136" t="s">
        <v>80</v>
      </c>
      <c r="D46" s="136" t="s">
        <v>176</v>
      </c>
      <c r="E46" s="137">
        <v>372000</v>
      </c>
      <c r="F46" s="137">
        <f>SUMIFS(Bérköltség!$O$4:$O$268,Bérköltség!$C$4:$C$268,$D46,Bérköltség!$D$4:$D$268,$A46,Bérköltség!$I$4:$I$268,"Tény")</f>
        <v>217650</v>
      </c>
      <c r="G46" s="137">
        <f>SUMIFS(Bérköltség!$O$4:$O$268,Bérköltség!$C$4:$C$268,$D46,Bérköltség!$D$4:$D$268,$A46,Bérköltség!$I$4:$I$268,"Kötváll")</f>
        <v>31725</v>
      </c>
      <c r="H46" s="240">
        <f>SUMIFS(Bérköltség!$O$4:$O$268,Bérköltség!$C$4:$C$268,$D46,Bérköltség!$D$4:$D$268,$A46,Bérköltség!$I$4:$I$268,"Terv")</f>
        <v>0</v>
      </c>
      <c r="I46" s="190">
        <f t="shared" si="3"/>
        <v>122625</v>
      </c>
      <c r="J46" s="193" t="s">
        <v>210</v>
      </c>
    </row>
    <row r="47" spans="1:10" x14ac:dyDescent="0.25">
      <c r="A47" s="136" t="s">
        <v>154</v>
      </c>
      <c r="B47" s="136" t="s">
        <v>78</v>
      </c>
      <c r="C47" s="136" t="s">
        <v>80</v>
      </c>
      <c r="D47" s="136" t="s">
        <v>177</v>
      </c>
      <c r="E47" s="137">
        <v>93000</v>
      </c>
      <c r="F47" s="137">
        <f>SUMIFS(Bérköltség!$O$4:$O$268,Bérköltség!$C$4:$C$268,$D47,Bérköltség!$D$4:$D$268,$A47,Bérköltség!$I$4:$I$268,"Tény")</f>
        <v>90090</v>
      </c>
      <c r="G47" s="137">
        <f>SUMIFS(Bérköltség!$O$4:$O$268,Bérköltség!$C$4:$C$268,$D47,Bérköltség!$D$4:$D$268,$A47,Bérköltség!$I$4:$I$268,"Kötváll")</f>
        <v>10530</v>
      </c>
      <c r="H47" s="240">
        <f>SUMIFS(Bérköltség!$O$4:$O$268,Bérköltség!$C$4:$C$268,$D47,Bérköltség!$D$4:$D$268,$A47,Bérköltség!$I$4:$I$268,"Terv")</f>
        <v>0</v>
      </c>
      <c r="I47" s="190">
        <f t="shared" si="3"/>
        <v>-7620</v>
      </c>
      <c r="J47" s="193" t="s">
        <v>211</v>
      </c>
    </row>
    <row r="48" spans="1:10" x14ac:dyDescent="0.25">
      <c r="A48" s="136" t="s">
        <v>158</v>
      </c>
      <c r="B48" s="136" t="s">
        <v>78</v>
      </c>
      <c r="C48" s="136" t="s">
        <v>80</v>
      </c>
      <c r="D48" s="136" t="s">
        <v>185</v>
      </c>
      <c r="E48" s="137">
        <v>744000</v>
      </c>
      <c r="F48" s="137">
        <f>SUMIFS(Bérköltség!$O$4:$O$268,Bérköltség!$C$4:$C$268,$D48,Bérköltség!$D$4:$D$268,$A48,Bérköltség!$I$4:$I$268,"Tény")</f>
        <v>468170</v>
      </c>
      <c r="G48" s="137">
        <f>SUMIFS(Bérköltség!$O$4:$O$268,Bérköltség!$C$4:$C$268,$D48,Bérköltség!$D$4:$D$268,$A48,Bérköltség!$I$4:$I$268,"Kötváll")</f>
        <v>55380</v>
      </c>
      <c r="H48" s="240">
        <f>SUMIFS(Bérköltség!$O$4:$O$268,Bérköltség!$C$4:$C$268,$D48,Bérköltség!$D$4:$D$268,$A48,Bérköltség!$I$4:$I$268,"Terv")</f>
        <v>0</v>
      </c>
      <c r="I48" s="190">
        <f t="shared" si="3"/>
        <v>220450</v>
      </c>
      <c r="J48" s="193" t="s">
        <v>224</v>
      </c>
    </row>
    <row r="49" spans="1:10" x14ac:dyDescent="0.25">
      <c r="A49" s="136" t="s">
        <v>156</v>
      </c>
      <c r="B49" s="136" t="s">
        <v>78</v>
      </c>
      <c r="C49" s="136" t="s">
        <v>80</v>
      </c>
      <c r="D49" s="136" t="s">
        <v>182</v>
      </c>
      <c r="E49" s="137">
        <v>77500</v>
      </c>
      <c r="F49" s="137">
        <f>SUMIFS(Bérköltség!$O$4:$O$268,Bérköltség!$C$4:$C$268,$D49,Bérköltség!$D$4:$D$268,$A49,Bérköltség!$I$4:$I$268,"Tény")</f>
        <v>0</v>
      </c>
      <c r="G49" s="137">
        <f>SUMIFS(Bérköltség!$O$4:$O$268,Bérköltség!$C$4:$C$268,$D49,Bérköltség!$D$4:$D$268,$A49,Bérköltség!$I$4:$I$268,"Kötváll")</f>
        <v>0</v>
      </c>
      <c r="H49" s="240">
        <f>SUMIFS(Bérköltség!$O$4:$O$268,Bérköltség!$C$4:$C$268,$D49,Bérköltség!$D$4:$D$268,$A49,Bérköltség!$I$4:$I$268,"Terv")</f>
        <v>0</v>
      </c>
      <c r="I49" s="190">
        <f t="shared" si="3"/>
        <v>77500</v>
      </c>
      <c r="J49" s="193" t="s">
        <v>216</v>
      </c>
    </row>
    <row r="50" spans="1:10" x14ac:dyDescent="0.25">
      <c r="A50" s="136" t="s">
        <v>158</v>
      </c>
      <c r="B50" s="136" t="s">
        <v>78</v>
      </c>
      <c r="C50" s="136" t="s">
        <v>77</v>
      </c>
      <c r="D50" s="136" t="s">
        <v>188</v>
      </c>
      <c r="E50" s="137">
        <v>744000</v>
      </c>
      <c r="F50" s="137">
        <f>SUMIFS(Bérköltség!$O$4:$O$268,Bérköltség!$C$4:$C$268,$D50,Bérköltség!$D$4:$D$268,$A50,Bérköltség!$I$4:$I$268,"Tény")</f>
        <v>448563</v>
      </c>
      <c r="G50" s="137">
        <f>SUMIFS(Bérköltség!$O$4:$O$268,Bérköltség!$C$4:$C$268,$D50,Bérköltség!$D$4:$D$268,$A50,Bérköltség!$I$4:$I$268,"Kötváll")</f>
        <v>58994</v>
      </c>
      <c r="H50" s="240">
        <f>SUMIFS(Bérköltség!$O$4:$O$268,Bérköltség!$C$4:$C$268,$D50,Bérköltség!$D$4:$D$268,$A50,Bérköltség!$I$4:$I$268,"Terv")</f>
        <v>0</v>
      </c>
      <c r="I50" s="190">
        <f t="shared" si="3"/>
        <v>236443</v>
      </c>
      <c r="J50" s="193" t="s">
        <v>227</v>
      </c>
    </row>
    <row r="51" spans="1:10" x14ac:dyDescent="0.25">
      <c r="A51" s="136" t="s">
        <v>154</v>
      </c>
      <c r="B51" s="136" t="s">
        <v>78</v>
      </c>
      <c r="C51" s="136" t="s">
        <v>80</v>
      </c>
      <c r="D51" s="136" t="s">
        <v>178</v>
      </c>
      <c r="E51" s="137">
        <v>1227600</v>
      </c>
      <c r="F51" s="137">
        <f>SUMIFS(Bérköltség!$O$4:$O$268,Bérköltség!$C$4:$C$268,$D51,Bérköltség!$D$4:$D$268,$A51,Bérköltség!$I$4:$I$268,"Tény")</f>
        <v>725192</v>
      </c>
      <c r="G51" s="137">
        <f>SUMIFS(Bérköltség!$O$4:$O$268,Bérköltség!$C$4:$C$268,$D51,Bérköltség!$D$4:$D$268,$A51,Bérköltség!$I$4:$I$268,"Kötváll")</f>
        <v>244716</v>
      </c>
      <c r="H51" s="240">
        <f>SUMIFS(Bérköltség!$O$4:$O$268,Bérköltség!$C$4:$C$268,$D51,Bérköltség!$D$4:$D$268,$A51,Bérköltség!$I$4:$I$268,"Terv")</f>
        <v>0</v>
      </c>
      <c r="I51" s="190">
        <f t="shared" si="3"/>
        <v>257692</v>
      </c>
      <c r="J51" s="193" t="s">
        <v>212</v>
      </c>
    </row>
    <row r="52" spans="1:10" x14ac:dyDescent="0.25">
      <c r="A52" s="136" t="s">
        <v>158</v>
      </c>
      <c r="B52" s="136" t="s">
        <v>78</v>
      </c>
      <c r="C52" s="136" t="s">
        <v>80</v>
      </c>
      <c r="D52" s="136" t="s">
        <v>186</v>
      </c>
      <c r="E52" s="137">
        <v>2864400</v>
      </c>
      <c r="F52" s="137">
        <f>SUMIFS(Bérköltség!$O$4:$O$268,Bérköltség!$C$4:$C$268,$D52,Bérköltség!$D$4:$D$268,$A52,Bérköltség!$I$4:$I$268,"Tény")</f>
        <v>1655608</v>
      </c>
      <c r="G52" s="137">
        <f>SUMIFS(Bérköltség!$O$4:$O$268,Bérköltség!$C$4:$C$268,$D52,Bérköltség!$D$4:$D$268,$A52,Bérköltség!$I$4:$I$268,"Kötváll")</f>
        <v>558684</v>
      </c>
      <c r="H52" s="240">
        <f>SUMIFS(Bérköltség!$O$4:$O$268,Bérköltség!$C$4:$C$268,$D52,Bérköltség!$D$4:$D$268,$A52,Bérköltség!$I$4:$I$268,"Terv")</f>
        <v>0</v>
      </c>
      <c r="I52" s="190">
        <f t="shared" si="3"/>
        <v>650108</v>
      </c>
      <c r="J52" s="193" t="s">
        <v>225</v>
      </c>
    </row>
    <row r="53" spans="1:10" x14ac:dyDescent="0.25">
      <c r="A53" s="136" t="s">
        <v>158</v>
      </c>
      <c r="B53" s="136" t="s">
        <v>78</v>
      </c>
      <c r="C53" s="136" t="s">
        <v>80</v>
      </c>
      <c r="D53" s="136" t="s">
        <v>187</v>
      </c>
      <c r="E53" s="137">
        <v>2232000</v>
      </c>
      <c r="F53" s="137">
        <f>SUMIFS(Bérköltség!$O$4:$O$268,Bérköltség!$C$4:$C$268,$D53,Bérköltség!$D$4:$D$268,$A53,Bérköltség!$I$4:$I$268,"Tény")</f>
        <v>1298399</v>
      </c>
      <c r="G53" s="137">
        <f>SUMIFS(Bérköltség!$O$4:$O$268,Bérköltség!$C$4:$C$268,$D53,Bérköltség!$D$4:$D$268,$A53,Bérköltség!$I$4:$I$268,"Kötváll")</f>
        <v>156984</v>
      </c>
      <c r="H53" s="240">
        <f>SUMIFS(Bérköltség!$O$4:$O$268,Bérköltség!$C$4:$C$268,$D53,Bérköltség!$D$4:$D$268,$A53,Bérköltség!$I$4:$I$268,"Terv")</f>
        <v>0</v>
      </c>
      <c r="I53" s="190">
        <f t="shared" si="3"/>
        <v>776617</v>
      </c>
      <c r="J53" s="193" t="s">
        <v>226</v>
      </c>
    </row>
    <row r="54" spans="1:10" x14ac:dyDescent="0.25">
      <c r="A54" s="136"/>
      <c r="B54" s="136"/>
      <c r="C54" s="136"/>
      <c r="D54" s="136"/>
      <c r="E54" s="137"/>
      <c r="F54" s="137"/>
      <c r="G54" s="137"/>
      <c r="H54" s="190"/>
      <c r="I54" s="190"/>
      <c r="J54" s="193"/>
    </row>
    <row r="55" spans="1:10" x14ac:dyDescent="0.25">
      <c r="A55" s="136"/>
      <c r="B55" s="136"/>
      <c r="C55" s="136"/>
      <c r="D55" s="136"/>
      <c r="E55" s="137"/>
      <c r="F55" s="137"/>
      <c r="G55" s="137"/>
      <c r="H55" s="190"/>
      <c r="I55" s="190"/>
      <c r="J55" s="193"/>
    </row>
    <row r="56" spans="1:10" x14ac:dyDescent="0.25">
      <c r="A56" s="136"/>
      <c r="B56" s="136"/>
      <c r="C56" s="136"/>
      <c r="D56" s="136"/>
      <c r="E56" s="137"/>
      <c r="F56" s="137"/>
      <c r="G56" s="137"/>
      <c r="H56" s="190"/>
      <c r="I56" s="190"/>
      <c r="J56" s="193"/>
    </row>
    <row r="57" spans="1:10" x14ac:dyDescent="0.25">
      <c r="A57" s="136"/>
      <c r="B57" s="136"/>
      <c r="C57" s="136"/>
      <c r="D57" s="136"/>
      <c r="E57" s="137"/>
      <c r="F57" s="137"/>
      <c r="G57" s="137"/>
      <c r="H57" s="190"/>
      <c r="I57" s="190"/>
      <c r="J57" s="193"/>
    </row>
    <row r="58" spans="1:10" x14ac:dyDescent="0.25">
      <c r="A58" s="136"/>
      <c r="B58" s="136"/>
      <c r="C58" s="136"/>
      <c r="D58" s="136"/>
      <c r="E58" s="137"/>
      <c r="F58" s="137"/>
      <c r="G58" s="137"/>
      <c r="H58" s="190"/>
      <c r="I58" s="190"/>
      <c r="J58" s="193"/>
    </row>
    <row r="59" spans="1:10" x14ac:dyDescent="0.25">
      <c r="J59" s="196"/>
    </row>
    <row r="60" spans="1:10" ht="15.75" x14ac:dyDescent="0.25">
      <c r="A60" s="138" t="s">
        <v>266</v>
      </c>
      <c r="B60" s="139"/>
      <c r="C60" s="139"/>
      <c r="D60" s="139"/>
      <c r="E60" s="140">
        <f>SUBTOTAL(9,E2:E58)</f>
        <v>142793682</v>
      </c>
      <c r="F60" s="140">
        <f>SUBTOTAL(9,F2:F58)</f>
        <v>85941097</v>
      </c>
      <c r="G60" s="140">
        <f>SUBTOTAL(9,G2:G58)</f>
        <v>34386490</v>
      </c>
      <c r="H60" s="140">
        <f>SUBTOTAL(9,H2:H58)</f>
        <v>0</v>
      </c>
      <c r="I60" s="140">
        <f>SUBTOTAL(9,I2:I58)</f>
        <v>22466095</v>
      </c>
      <c r="J60" s="197"/>
    </row>
    <row r="62" spans="1:10" x14ac:dyDescent="0.25">
      <c r="F62" s="132" t="s">
        <v>270</v>
      </c>
      <c r="G62" s="141">
        <f>F60+G60</f>
        <v>120327587</v>
      </c>
      <c r="H62" s="141"/>
    </row>
    <row r="65" spans="4:7" x14ac:dyDescent="0.25">
      <c r="D65" s="250" t="s">
        <v>470</v>
      </c>
      <c r="E65" s="67">
        <v>63964843</v>
      </c>
      <c r="F65" s="251">
        <v>63964843</v>
      </c>
      <c r="G65" s="251">
        <v>0</v>
      </c>
    </row>
    <row r="66" spans="4:7" x14ac:dyDescent="0.25">
      <c r="D66" s="132" t="s">
        <v>471</v>
      </c>
      <c r="E66" s="141">
        <f>E65+E60</f>
        <v>206758525</v>
      </c>
      <c r="F66" s="141">
        <f t="shared" ref="F66:G66" si="4">F65+F60</f>
        <v>149905940</v>
      </c>
      <c r="G66" s="141">
        <f t="shared" si="4"/>
        <v>34386490</v>
      </c>
    </row>
  </sheetData>
  <sheetProtection formatCells="0" formatColumns="0" formatRows="0" insertColumns="0" insertRows="0" insertHyperlinks="0" deleteColumns="0" deleteRows="0" sort="0" autoFilter="0" pivotTables="0"/>
  <autoFilter ref="A1:J58" xr:uid="{ADB374BE-A983-452B-AC79-F2CB67CDD1F8}"/>
  <conditionalFormatting sqref="I2:I58">
    <cfRule type="cellIs" dxfId="7" priority="1" operator="lessThan">
      <formula>0</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77"/>
  <sheetViews>
    <sheetView zoomScaleNormal="100" workbookViewId="0">
      <pane xSplit="1" ySplit="3" topLeftCell="E231" activePane="bottomRight" state="frozen"/>
      <selection pane="topRight" activeCell="B1" sqref="B1"/>
      <selection pane="bottomLeft" activeCell="A2" sqref="A2"/>
      <selection pane="bottomRight" activeCell="J240" sqref="J240"/>
    </sheetView>
  </sheetViews>
  <sheetFormatPr defaultRowHeight="15" outlineLevelCol="1" x14ac:dyDescent="0.25"/>
  <cols>
    <col min="1" max="1" width="25.7109375" style="2" customWidth="1"/>
    <col min="2" max="2" width="45.42578125" style="2" hidden="1" customWidth="1" outlineLevel="1"/>
    <col min="3" max="3" width="34.42578125" style="2" hidden="1" customWidth="1" outlineLevel="1"/>
    <col min="4" max="4" width="28.5703125" hidden="1" customWidth="1" outlineLevel="1"/>
    <col min="5" max="5" width="15.7109375" style="124" customWidth="1" collapsed="1"/>
    <col min="6" max="6" width="16.85546875" style="117" customWidth="1"/>
    <col min="7" max="8" width="11.7109375" style="125" customWidth="1"/>
    <col min="9" max="9" width="11.5703125" style="11" customWidth="1"/>
    <col min="10" max="11" width="11.140625" style="126" customWidth="1"/>
    <col min="12" max="12" width="8.85546875" customWidth="1"/>
    <col min="13" max="13" width="11.85546875" customWidth="1"/>
    <col min="14" max="14" width="14.42578125" style="127" customWidth="1"/>
    <col min="15" max="15" width="16.85546875" customWidth="1"/>
    <col min="16" max="16" width="9.7109375" style="2" customWidth="1"/>
    <col min="17" max="17" width="10.42578125" style="9" customWidth="1"/>
    <col min="18" max="18" width="6.28515625" style="6" customWidth="1"/>
    <col min="19" max="19" width="9.7109375" style="2" customWidth="1"/>
    <col min="20" max="20" width="11.7109375" style="242" customWidth="1"/>
    <col min="21" max="21" width="12.42578125" style="2" customWidth="1"/>
    <col min="22" max="22" width="9.7109375" style="6" customWidth="1"/>
    <col min="23" max="23" width="7.28515625" style="79" customWidth="1"/>
    <col min="24" max="24" width="8.7109375" style="79" customWidth="1"/>
    <col min="25" max="25" width="6.28515625" style="6" customWidth="1"/>
    <col min="26" max="26" width="12" style="117" bestFit="1" customWidth="1"/>
    <col min="27" max="27" width="10.28515625" customWidth="1"/>
    <col min="28" max="29" width="10.28515625" bestFit="1" customWidth="1"/>
  </cols>
  <sheetData>
    <row r="1" spans="1:29" x14ac:dyDescent="0.25">
      <c r="A1" s="2" t="s">
        <v>265</v>
      </c>
      <c r="E1" s="124" t="s">
        <v>262</v>
      </c>
      <c r="F1" s="117" t="s">
        <v>263</v>
      </c>
      <c r="G1" s="125" t="s">
        <v>466</v>
      </c>
      <c r="N1" s="127" t="s">
        <v>398</v>
      </c>
      <c r="O1" t="s">
        <v>399</v>
      </c>
      <c r="T1" s="242" t="s">
        <v>374</v>
      </c>
      <c r="Z1" t="s">
        <v>467</v>
      </c>
    </row>
    <row r="2" spans="1:29" x14ac:dyDescent="0.25">
      <c r="B2" s="184" t="s">
        <v>293</v>
      </c>
      <c r="C2" s="184" t="s">
        <v>124</v>
      </c>
      <c r="D2" s="217" t="s">
        <v>351</v>
      </c>
      <c r="N2" s="186" t="str">
        <f>IF((N273-N271) &lt;&gt; 0,"HIBA","HELYES")</f>
        <v>HELYES</v>
      </c>
      <c r="AA2" s="42" t="e">
        <f>IF(VLOOKUP($T2,'Havi béradatok'!$B:$E,2,FALSE)=F2,"EGYEZIK","HIBÁS")</f>
        <v>#N/A</v>
      </c>
      <c r="AB2" s="241" t="e">
        <f>VLOOKUP($T2,'Havi béradatok'!$B:$E,3,FALSE)-J2</f>
        <v>#N/A</v>
      </c>
      <c r="AC2" s="241" t="e">
        <f>VLOOKUP($T2,'Havi béradatok'!$B:$E,4,FALSE)-K2</f>
        <v>#N/A</v>
      </c>
    </row>
    <row r="3" spans="1:29" s="75" customFormat="1" ht="51" customHeight="1" x14ac:dyDescent="0.25">
      <c r="A3" s="70" t="s">
        <v>265</v>
      </c>
      <c r="B3" s="185" t="s">
        <v>294</v>
      </c>
      <c r="C3" s="185" t="s">
        <v>294</v>
      </c>
      <c r="D3" s="71" t="s">
        <v>0</v>
      </c>
      <c r="E3" s="81" t="s">
        <v>262</v>
      </c>
      <c r="F3" s="72" t="s">
        <v>263</v>
      </c>
      <c r="G3" s="73" t="s">
        <v>255</v>
      </c>
      <c r="H3" s="73" t="s">
        <v>256</v>
      </c>
      <c r="I3" s="70" t="s">
        <v>257</v>
      </c>
      <c r="J3" s="82" t="s">
        <v>261</v>
      </c>
      <c r="K3" s="82" t="s">
        <v>384</v>
      </c>
      <c r="L3" s="70" t="s">
        <v>259</v>
      </c>
      <c r="M3" s="70" t="s">
        <v>260</v>
      </c>
      <c r="N3" s="74" t="s">
        <v>253</v>
      </c>
      <c r="O3" s="70" t="s">
        <v>254</v>
      </c>
      <c r="P3" s="70" t="s">
        <v>6</v>
      </c>
      <c r="Q3" s="70" t="s">
        <v>258</v>
      </c>
      <c r="R3" s="70" t="s">
        <v>272</v>
      </c>
      <c r="S3" s="201" t="s">
        <v>302</v>
      </c>
      <c r="T3" s="243" t="s">
        <v>374</v>
      </c>
      <c r="U3" s="202" t="s">
        <v>303</v>
      </c>
      <c r="V3" s="157" t="s">
        <v>273</v>
      </c>
      <c r="W3" s="158" t="s">
        <v>264</v>
      </c>
      <c r="X3" s="158" t="s">
        <v>274</v>
      </c>
      <c r="Y3" s="156" t="s">
        <v>4</v>
      </c>
      <c r="Z3" s="80"/>
      <c r="AA3" s="233" t="s">
        <v>385</v>
      </c>
      <c r="AB3" s="233" t="s">
        <v>386</v>
      </c>
      <c r="AC3" s="233" t="s">
        <v>387</v>
      </c>
    </row>
    <row r="4" spans="1:29" s="1" customFormat="1" ht="15.75" x14ac:dyDescent="0.25">
      <c r="A4" s="83"/>
      <c r="B4" s="83"/>
      <c r="C4" s="83"/>
      <c r="D4" s="103"/>
      <c r="E4" s="84"/>
      <c r="F4" s="85"/>
      <c r="G4" s="86"/>
      <c r="H4" s="86"/>
      <c r="I4" s="83"/>
      <c r="J4" s="87"/>
      <c r="K4" s="87"/>
      <c r="L4" s="83"/>
      <c r="M4" s="83"/>
      <c r="N4" s="88"/>
      <c r="O4" s="83"/>
      <c r="P4" s="89"/>
      <c r="Q4" s="89"/>
      <c r="R4" s="83"/>
      <c r="S4" s="89"/>
      <c r="T4" s="244"/>
      <c r="U4" s="89"/>
      <c r="V4" s="83"/>
      <c r="W4" s="90"/>
      <c r="X4" s="90"/>
      <c r="Y4" s="83"/>
      <c r="Z4" s="69"/>
    </row>
    <row r="5" spans="1:29" s="42" customFormat="1" ht="15" customHeight="1" x14ac:dyDescent="0.25">
      <c r="A5" s="91" t="s">
        <v>125</v>
      </c>
      <c r="B5" s="91" t="s">
        <v>11</v>
      </c>
      <c r="C5" s="91" t="s">
        <v>185</v>
      </c>
      <c r="D5" s="91" t="s">
        <v>158</v>
      </c>
      <c r="E5" s="104" t="s">
        <v>12</v>
      </c>
      <c r="F5" s="95" t="s">
        <v>13</v>
      </c>
      <c r="G5" s="111">
        <v>44501</v>
      </c>
      <c r="H5" s="111">
        <v>44530</v>
      </c>
      <c r="I5" s="94" t="s">
        <v>248</v>
      </c>
      <c r="J5" s="92">
        <v>423700</v>
      </c>
      <c r="K5" s="92">
        <f t="shared" ref="K5:K6" si="0">ROUND(J5*0.155,0)</f>
        <v>65674</v>
      </c>
      <c r="L5" s="91">
        <v>174</v>
      </c>
      <c r="M5" s="91">
        <v>82</v>
      </c>
      <c r="N5" s="223">
        <v>199675</v>
      </c>
      <c r="O5" s="215">
        <f t="shared" ref="O5" si="1">ROUND(N5*0.155,0)</f>
        <v>30950</v>
      </c>
      <c r="P5" s="106">
        <f t="shared" ref="P5:P15" si="2">M5/L5</f>
        <v>0.47126436781609193</v>
      </c>
      <c r="Q5" s="112" t="s">
        <v>268</v>
      </c>
      <c r="R5" s="94"/>
      <c r="S5" s="106">
        <f t="shared" ref="S5:S40" si="3">P5-(N5/J5)</f>
        <v>-6.7820703764098766E-7</v>
      </c>
      <c r="T5" s="234"/>
      <c r="U5" s="203"/>
      <c r="V5" s="205"/>
      <c r="W5" s="94" t="s">
        <v>252</v>
      </c>
      <c r="X5" s="94" t="s">
        <v>252</v>
      </c>
      <c r="Y5" s="94">
        <v>3</v>
      </c>
      <c r="Z5" s="76"/>
    </row>
    <row r="6" spans="1:29" s="42" customFormat="1" ht="15" customHeight="1" x14ac:dyDescent="0.25">
      <c r="A6" s="91" t="s">
        <v>125</v>
      </c>
      <c r="B6" s="91" t="s">
        <v>11</v>
      </c>
      <c r="C6" s="91" t="s">
        <v>185</v>
      </c>
      <c r="D6" s="91" t="s">
        <v>158</v>
      </c>
      <c r="E6" s="104" t="s">
        <v>12</v>
      </c>
      <c r="F6" s="95" t="s">
        <v>13</v>
      </c>
      <c r="G6" s="111">
        <v>44531</v>
      </c>
      <c r="H6" s="111">
        <v>44561</v>
      </c>
      <c r="I6" s="94" t="s">
        <v>248</v>
      </c>
      <c r="J6" s="92">
        <v>423700</v>
      </c>
      <c r="K6" s="92">
        <f t="shared" si="0"/>
        <v>65674</v>
      </c>
      <c r="L6" s="91">
        <v>174</v>
      </c>
      <c r="M6" s="91">
        <v>82</v>
      </c>
      <c r="N6" s="223">
        <v>199675</v>
      </c>
      <c r="O6" s="215">
        <f t="shared" ref="O6:O9" si="4">ROUND(N6*0.155,0)</f>
        <v>30950</v>
      </c>
      <c r="P6" s="106">
        <f t="shared" si="2"/>
        <v>0.47126436781609193</v>
      </c>
      <c r="Q6" s="112" t="s">
        <v>268</v>
      </c>
      <c r="R6" s="94"/>
      <c r="S6" s="106">
        <f t="shared" si="3"/>
        <v>-6.7820703764098766E-7</v>
      </c>
      <c r="T6" s="234"/>
      <c r="U6" s="203"/>
      <c r="V6" s="205"/>
      <c r="W6" s="94" t="s">
        <v>252</v>
      </c>
      <c r="X6" s="94" t="s">
        <v>252</v>
      </c>
      <c r="Y6" s="94">
        <v>3</v>
      </c>
      <c r="Z6" s="76"/>
    </row>
    <row r="7" spans="1:29" s="42" customFormat="1" ht="15" customHeight="1" x14ac:dyDescent="0.25">
      <c r="A7" s="91" t="s">
        <v>125</v>
      </c>
      <c r="B7" s="91" t="s">
        <v>11</v>
      </c>
      <c r="C7" s="91" t="s">
        <v>185</v>
      </c>
      <c r="D7" s="91" t="s">
        <v>158</v>
      </c>
      <c r="E7" s="104" t="s">
        <v>12</v>
      </c>
      <c r="F7" s="95" t="s">
        <v>13</v>
      </c>
      <c r="G7" s="111">
        <v>44562</v>
      </c>
      <c r="H7" s="111">
        <v>44592</v>
      </c>
      <c r="I7" s="94" t="s">
        <v>248</v>
      </c>
      <c r="J7" s="92">
        <v>463700</v>
      </c>
      <c r="K7" s="92">
        <f>ROUND(J7*R7,0)</f>
        <v>60281</v>
      </c>
      <c r="L7" s="91">
        <v>174</v>
      </c>
      <c r="M7" s="91">
        <v>82</v>
      </c>
      <c r="N7" s="223">
        <v>218525</v>
      </c>
      <c r="O7" s="215">
        <f>ROUND(N7*R7,0)</f>
        <v>28408</v>
      </c>
      <c r="P7" s="106">
        <f t="shared" si="2"/>
        <v>0.47126436781609193</v>
      </c>
      <c r="Q7" s="112" t="s">
        <v>268</v>
      </c>
      <c r="R7" s="155">
        <v>0.13</v>
      </c>
      <c r="S7" s="106">
        <f t="shared" si="3"/>
        <v>6.1970308784520256E-7</v>
      </c>
      <c r="T7" s="234"/>
      <c r="U7" s="203"/>
      <c r="V7" s="205"/>
      <c r="W7" s="94" t="s">
        <v>252</v>
      </c>
      <c r="X7" s="94" t="s">
        <v>252</v>
      </c>
      <c r="Y7" s="94">
        <v>3</v>
      </c>
      <c r="Z7" s="76"/>
    </row>
    <row r="8" spans="1:29" s="42" customFormat="1" ht="15" customHeight="1" x14ac:dyDescent="0.25">
      <c r="A8" s="91" t="s">
        <v>125</v>
      </c>
      <c r="B8" s="91" t="s">
        <v>11</v>
      </c>
      <c r="C8" s="91" t="s">
        <v>185</v>
      </c>
      <c r="D8" s="91" t="s">
        <v>158</v>
      </c>
      <c r="E8" s="104" t="s">
        <v>12</v>
      </c>
      <c r="F8" s="95" t="s">
        <v>13</v>
      </c>
      <c r="G8" s="111">
        <v>44593</v>
      </c>
      <c r="H8" s="111">
        <v>44599</v>
      </c>
      <c r="I8" s="94" t="s">
        <v>248</v>
      </c>
      <c r="J8" s="92">
        <v>115925</v>
      </c>
      <c r="K8" s="92">
        <f>ROUND(J8*R8,0)</f>
        <v>15070</v>
      </c>
      <c r="L8" s="91">
        <v>174</v>
      </c>
      <c r="M8" s="91">
        <v>82</v>
      </c>
      <c r="N8" s="223">
        <v>54631</v>
      </c>
      <c r="O8" s="215">
        <f>ROUND(N8*R8,0)</f>
        <v>7102</v>
      </c>
      <c r="P8" s="106">
        <f t="shared" si="2"/>
        <v>0.47126436781609193</v>
      </c>
      <c r="Q8" s="112" t="s">
        <v>268</v>
      </c>
      <c r="R8" s="155">
        <v>0.13</v>
      </c>
      <c r="S8" s="106">
        <f t="shared" si="3"/>
        <v>2.7762698335820346E-6</v>
      </c>
      <c r="T8" s="234"/>
      <c r="U8" s="203"/>
      <c r="V8" s="205"/>
      <c r="W8" s="94" t="s">
        <v>252</v>
      </c>
      <c r="X8" s="94" t="s">
        <v>252</v>
      </c>
      <c r="Y8" s="94">
        <v>3</v>
      </c>
      <c r="Z8" s="76"/>
    </row>
    <row r="9" spans="1:29" s="42" customFormat="1" ht="15" customHeight="1" x14ac:dyDescent="0.25">
      <c r="A9" s="91" t="s">
        <v>400</v>
      </c>
      <c r="B9" s="91" t="s">
        <v>171</v>
      </c>
      <c r="C9" s="91" t="s">
        <v>175</v>
      </c>
      <c r="D9" s="91" t="s">
        <v>154</v>
      </c>
      <c r="E9" s="104" t="s">
        <v>139</v>
      </c>
      <c r="F9" s="95" t="s">
        <v>128</v>
      </c>
      <c r="G9" s="111">
        <v>44501</v>
      </c>
      <c r="H9" s="111">
        <v>44530</v>
      </c>
      <c r="I9" s="94" t="s">
        <v>248</v>
      </c>
      <c r="J9" s="92">
        <f>479533-6200</f>
        <v>473333</v>
      </c>
      <c r="K9" s="92">
        <f t="shared" ref="K9:K10" si="5">ROUND(J9*0.155,0)</f>
        <v>73367</v>
      </c>
      <c r="L9" s="91">
        <v>174</v>
      </c>
      <c r="M9" s="91">
        <v>53</v>
      </c>
      <c r="N9" s="223">
        <v>144176</v>
      </c>
      <c r="O9" s="215">
        <f t="shared" si="4"/>
        <v>22347</v>
      </c>
      <c r="P9" s="106">
        <f t="shared" si="2"/>
        <v>0.3045977011494253</v>
      </c>
      <c r="Q9" s="112" t="s">
        <v>268</v>
      </c>
      <c r="R9" s="94"/>
      <c r="S9" s="106">
        <f t="shared" si="3"/>
        <v>3.0354562419177E-7</v>
      </c>
      <c r="T9" s="234"/>
      <c r="U9" s="203"/>
      <c r="V9" s="205"/>
      <c r="W9" s="94"/>
      <c r="X9" s="94"/>
      <c r="Y9" s="94">
        <v>3</v>
      </c>
      <c r="Z9" s="76"/>
    </row>
    <row r="10" spans="1:29" s="42" customFormat="1" ht="15" customHeight="1" x14ac:dyDescent="0.25">
      <c r="A10" s="91" t="s">
        <v>400</v>
      </c>
      <c r="B10" s="91" t="s">
        <v>171</v>
      </c>
      <c r="C10" s="91" t="s">
        <v>175</v>
      </c>
      <c r="D10" s="91" t="s">
        <v>154</v>
      </c>
      <c r="E10" s="104" t="s">
        <v>139</v>
      </c>
      <c r="F10" s="95" t="s">
        <v>128</v>
      </c>
      <c r="G10" s="111">
        <v>44531</v>
      </c>
      <c r="H10" s="111">
        <v>44561</v>
      </c>
      <c r="I10" s="94" t="s">
        <v>248</v>
      </c>
      <c r="J10" s="92">
        <v>497000</v>
      </c>
      <c r="K10" s="92">
        <f t="shared" si="5"/>
        <v>77035</v>
      </c>
      <c r="L10" s="91">
        <v>174</v>
      </c>
      <c r="M10" s="91">
        <v>53</v>
      </c>
      <c r="N10" s="223">
        <v>151385</v>
      </c>
      <c r="O10" s="215">
        <f t="shared" ref="O10" si="6">ROUND(N10*0.155,0)</f>
        <v>23465</v>
      </c>
      <c r="P10" s="106">
        <f t="shared" si="2"/>
        <v>0.3045977011494253</v>
      </c>
      <c r="Q10" s="112" t="s">
        <v>268</v>
      </c>
      <c r="R10" s="94"/>
      <c r="S10" s="106">
        <f t="shared" si="3"/>
        <v>1.1563634683131596E-7</v>
      </c>
      <c r="T10" s="234"/>
      <c r="U10" s="203"/>
      <c r="V10" s="205"/>
      <c r="W10" s="94"/>
      <c r="X10" s="94"/>
      <c r="Y10" s="94">
        <v>3</v>
      </c>
      <c r="Z10" s="76"/>
    </row>
    <row r="11" spans="1:29" s="42" customFormat="1" ht="15" customHeight="1" x14ac:dyDescent="0.25">
      <c r="A11" s="91" t="s">
        <v>400</v>
      </c>
      <c r="B11" s="91" t="s">
        <v>171</v>
      </c>
      <c r="C11" s="91" t="s">
        <v>175</v>
      </c>
      <c r="D11" s="91" t="s">
        <v>154</v>
      </c>
      <c r="E11" s="104" t="s">
        <v>139</v>
      </c>
      <c r="F11" s="95" t="s">
        <v>128</v>
      </c>
      <c r="G11" s="111">
        <v>44562</v>
      </c>
      <c r="H11" s="111">
        <v>44592</v>
      </c>
      <c r="I11" s="94" t="s">
        <v>248</v>
      </c>
      <c r="J11" s="92">
        <v>558196</v>
      </c>
      <c r="K11" s="92">
        <f t="shared" ref="K11:K49" si="7">ROUND(J11*R11,0)</f>
        <v>72565</v>
      </c>
      <c r="L11" s="91">
        <v>174</v>
      </c>
      <c r="M11" s="91">
        <v>51</v>
      </c>
      <c r="N11" s="223">
        <v>163609</v>
      </c>
      <c r="O11" s="215">
        <f t="shared" ref="O11:O49" si="8">ROUND(N11*R11,0)</f>
        <v>21269</v>
      </c>
      <c r="P11" s="106">
        <f t="shared" si="2"/>
        <v>0.29310344827586204</v>
      </c>
      <c r="Q11" s="112" t="s">
        <v>268</v>
      </c>
      <c r="R11" s="155">
        <v>0.13</v>
      </c>
      <c r="S11" s="106">
        <f t="shared" si="3"/>
        <v>3.088767979164686E-7</v>
      </c>
      <c r="T11" s="234"/>
      <c r="U11" s="203"/>
      <c r="V11" s="205"/>
      <c r="W11" s="94"/>
      <c r="X11" s="94"/>
      <c r="Y11" s="94">
        <v>3</v>
      </c>
      <c r="Z11" s="76"/>
    </row>
    <row r="12" spans="1:29" s="42" customFormat="1" ht="15" customHeight="1" x14ac:dyDescent="0.25">
      <c r="A12" s="91" t="s">
        <v>400</v>
      </c>
      <c r="B12" s="91" t="s">
        <v>171</v>
      </c>
      <c r="C12" s="91" t="s">
        <v>175</v>
      </c>
      <c r="D12" s="91" t="s">
        <v>154</v>
      </c>
      <c r="E12" s="104" t="s">
        <v>139</v>
      </c>
      <c r="F12" s="95" t="s">
        <v>128</v>
      </c>
      <c r="G12" s="111">
        <v>44593</v>
      </c>
      <c r="H12" s="111">
        <v>44620</v>
      </c>
      <c r="I12" s="94" t="s">
        <v>248</v>
      </c>
      <c r="J12" s="92">
        <v>418647</v>
      </c>
      <c r="K12" s="92">
        <f t="shared" si="7"/>
        <v>54424</v>
      </c>
      <c r="L12" s="91">
        <v>174</v>
      </c>
      <c r="M12" s="91">
        <v>47</v>
      </c>
      <c r="N12" s="223">
        <v>113083</v>
      </c>
      <c r="O12" s="215">
        <f t="shared" si="8"/>
        <v>14701</v>
      </c>
      <c r="P12" s="106">
        <f t="shared" si="2"/>
        <v>0.27011494252873564</v>
      </c>
      <c r="Q12" s="112" t="s">
        <v>268</v>
      </c>
      <c r="R12" s="155">
        <v>0.13</v>
      </c>
      <c r="S12" s="106">
        <f t="shared" si="3"/>
        <v>-4.5301930362562359E-7</v>
      </c>
      <c r="T12" s="234"/>
      <c r="U12" s="203"/>
      <c r="V12" s="205" t="s">
        <v>252</v>
      </c>
      <c r="W12" s="94"/>
      <c r="X12" s="248"/>
      <c r="Y12" s="94">
        <v>3</v>
      </c>
      <c r="Z12" s="77"/>
    </row>
    <row r="13" spans="1:29" s="42" customFormat="1" ht="15" customHeight="1" x14ac:dyDescent="0.25">
      <c r="A13" s="91" t="s">
        <v>400</v>
      </c>
      <c r="B13" s="91" t="s">
        <v>171</v>
      </c>
      <c r="C13" s="91" t="s">
        <v>175</v>
      </c>
      <c r="D13" s="91" t="s">
        <v>154</v>
      </c>
      <c r="E13" s="104" t="s">
        <v>139</v>
      </c>
      <c r="F13" s="95" t="s">
        <v>128</v>
      </c>
      <c r="G13" s="111">
        <v>44621</v>
      </c>
      <c r="H13" s="111">
        <v>44651</v>
      </c>
      <c r="I13" s="94" t="s">
        <v>248</v>
      </c>
      <c r="J13" s="92">
        <v>482079</v>
      </c>
      <c r="K13" s="92">
        <f t="shared" si="7"/>
        <v>62670</v>
      </c>
      <c r="L13" s="91">
        <v>174</v>
      </c>
      <c r="M13" s="91">
        <v>47</v>
      </c>
      <c r="N13" s="223">
        <v>130217</v>
      </c>
      <c r="O13" s="215">
        <f t="shared" si="8"/>
        <v>16928</v>
      </c>
      <c r="P13" s="106">
        <f t="shared" si="2"/>
        <v>0.27011494252873564</v>
      </c>
      <c r="Q13" s="112" t="s">
        <v>268</v>
      </c>
      <c r="R13" s="155">
        <v>0.13</v>
      </c>
      <c r="S13" s="106">
        <f t="shared" si="3"/>
        <v>-5.3646951986285885E-7</v>
      </c>
      <c r="T13" s="234"/>
      <c r="U13" s="203"/>
      <c r="V13" s="205" t="s">
        <v>252</v>
      </c>
      <c r="W13" s="94"/>
      <c r="X13" s="94"/>
      <c r="Y13" s="94">
        <v>3</v>
      </c>
      <c r="Z13" s="76"/>
    </row>
    <row r="14" spans="1:29" s="42" customFormat="1" ht="15" customHeight="1" x14ac:dyDescent="0.25">
      <c r="A14" s="91" t="s">
        <v>400</v>
      </c>
      <c r="B14" s="91" t="s">
        <v>171</v>
      </c>
      <c r="C14" s="91" t="s">
        <v>175</v>
      </c>
      <c r="D14" s="91" t="s">
        <v>154</v>
      </c>
      <c r="E14" s="104" t="s">
        <v>139</v>
      </c>
      <c r="F14" s="95" t="s">
        <v>128</v>
      </c>
      <c r="G14" s="111">
        <v>44652</v>
      </c>
      <c r="H14" s="111">
        <v>44681</v>
      </c>
      <c r="I14" s="94" t="s">
        <v>248</v>
      </c>
      <c r="J14" s="92">
        <v>528816</v>
      </c>
      <c r="K14" s="92">
        <f t="shared" si="7"/>
        <v>68746</v>
      </c>
      <c r="L14" s="91">
        <v>174</v>
      </c>
      <c r="M14" s="91">
        <v>47</v>
      </c>
      <c r="N14" s="223">
        <v>142841</v>
      </c>
      <c r="O14" s="215">
        <f t="shared" si="8"/>
        <v>18569</v>
      </c>
      <c r="P14" s="106">
        <f t="shared" si="2"/>
        <v>0.27011494252873564</v>
      </c>
      <c r="Q14" s="112" t="s">
        <v>268</v>
      </c>
      <c r="R14" s="155">
        <v>0.13</v>
      </c>
      <c r="S14" s="106">
        <f t="shared" si="3"/>
        <v>1.9562243930293377E-7</v>
      </c>
      <c r="T14" s="234"/>
      <c r="U14" s="203"/>
      <c r="V14" s="205" t="s">
        <v>252</v>
      </c>
      <c r="W14" s="94"/>
      <c r="X14" s="94"/>
      <c r="Y14" s="94">
        <v>3</v>
      </c>
      <c r="Z14" s="76"/>
    </row>
    <row r="15" spans="1:29" s="42" customFormat="1" ht="15" customHeight="1" x14ac:dyDescent="0.25">
      <c r="A15" s="91" t="s">
        <v>400</v>
      </c>
      <c r="B15" s="91" t="s">
        <v>171</v>
      </c>
      <c r="C15" s="91" t="s">
        <v>175</v>
      </c>
      <c r="D15" s="91" t="s">
        <v>154</v>
      </c>
      <c r="E15" s="104" t="s">
        <v>139</v>
      </c>
      <c r="F15" s="95" t="s">
        <v>128</v>
      </c>
      <c r="G15" s="111">
        <v>44682</v>
      </c>
      <c r="H15" s="111">
        <v>44712</v>
      </c>
      <c r="I15" s="94" t="s">
        <v>248</v>
      </c>
      <c r="J15" s="92">
        <v>598196</v>
      </c>
      <c r="K15" s="92">
        <f t="shared" si="7"/>
        <v>77765</v>
      </c>
      <c r="L15" s="91">
        <v>174</v>
      </c>
      <c r="M15" s="91">
        <v>44</v>
      </c>
      <c r="N15" s="223">
        <v>151268</v>
      </c>
      <c r="O15" s="215">
        <f t="shared" si="8"/>
        <v>19665</v>
      </c>
      <c r="P15" s="106">
        <f t="shared" si="2"/>
        <v>0.25287356321839083</v>
      </c>
      <c r="Q15" s="112" t="s">
        <v>268</v>
      </c>
      <c r="R15" s="155">
        <v>0.13</v>
      </c>
      <c r="S15" s="106">
        <f t="shared" si="3"/>
        <v>-7.6859443198795674E-8</v>
      </c>
      <c r="T15" s="234"/>
      <c r="U15" s="203"/>
      <c r="V15" s="205" t="s">
        <v>252</v>
      </c>
      <c r="W15" s="94"/>
      <c r="X15" s="94"/>
      <c r="Y15" s="94">
        <v>3</v>
      </c>
      <c r="Z15" s="76"/>
    </row>
    <row r="16" spans="1:29" s="42" customFormat="1" ht="15" customHeight="1" x14ac:dyDescent="0.25">
      <c r="A16" s="91" t="s">
        <v>400</v>
      </c>
      <c r="B16" s="91" t="s">
        <v>171</v>
      </c>
      <c r="C16" s="91" t="s">
        <v>175</v>
      </c>
      <c r="D16" s="91" t="s">
        <v>154</v>
      </c>
      <c r="E16" s="104" t="s">
        <v>139</v>
      </c>
      <c r="F16" s="95" t="s">
        <v>128</v>
      </c>
      <c r="G16" s="111">
        <v>44713</v>
      </c>
      <c r="H16" s="111">
        <v>44742</v>
      </c>
      <c r="I16" s="94" t="s">
        <v>248</v>
      </c>
      <c r="J16" s="92">
        <v>598196</v>
      </c>
      <c r="K16" s="92">
        <f t="shared" si="7"/>
        <v>77765</v>
      </c>
      <c r="L16" s="91">
        <v>174</v>
      </c>
      <c r="M16" s="91">
        <v>44</v>
      </c>
      <c r="N16" s="223">
        <v>150777</v>
      </c>
      <c r="O16" s="215">
        <f t="shared" si="8"/>
        <v>19601</v>
      </c>
      <c r="P16" s="106">
        <f t="shared" ref="P16:P34" si="9">M16/L16</f>
        <v>0.25287356321839083</v>
      </c>
      <c r="Q16" s="112" t="s">
        <v>268</v>
      </c>
      <c r="R16" s="155">
        <v>0.13</v>
      </c>
      <c r="S16" s="106">
        <f t="shared" si="3"/>
        <v>8.2072434952512596E-4</v>
      </c>
      <c r="T16" s="234"/>
      <c r="U16" s="203"/>
      <c r="V16" s="205" t="s">
        <v>252</v>
      </c>
      <c r="W16" s="94"/>
      <c r="X16" s="94"/>
      <c r="Y16" s="94">
        <v>3</v>
      </c>
      <c r="Z16" s="76"/>
    </row>
    <row r="17" spans="1:29" s="42" customFormat="1" ht="15" customHeight="1" x14ac:dyDescent="0.25">
      <c r="A17" s="91" t="s">
        <v>400</v>
      </c>
      <c r="B17" s="91" t="s">
        <v>171</v>
      </c>
      <c r="C17" s="91" t="s">
        <v>175</v>
      </c>
      <c r="D17" s="91" t="s">
        <v>154</v>
      </c>
      <c r="E17" s="104" t="s">
        <v>139</v>
      </c>
      <c r="F17" s="95" t="s">
        <v>128</v>
      </c>
      <c r="G17" s="111">
        <v>44743</v>
      </c>
      <c r="H17" s="111">
        <v>44773</v>
      </c>
      <c r="I17" s="94" t="s">
        <v>248</v>
      </c>
      <c r="J17" s="92">
        <v>558196</v>
      </c>
      <c r="K17" s="92">
        <f t="shared" si="7"/>
        <v>72565</v>
      </c>
      <c r="L17" s="91">
        <v>174</v>
      </c>
      <c r="M17" s="91">
        <v>47</v>
      </c>
      <c r="N17" s="223">
        <v>150777</v>
      </c>
      <c r="O17" s="215">
        <f t="shared" si="8"/>
        <v>19601</v>
      </c>
      <c r="P17" s="106">
        <f t="shared" ref="P17" si="10">M17/L17</f>
        <v>0.27011494252873564</v>
      </c>
      <c r="Q17" s="112" t="s">
        <v>268</v>
      </c>
      <c r="R17" s="155">
        <v>0.13</v>
      </c>
      <c r="S17" s="106">
        <f t="shared" si="3"/>
        <v>1.4414250570915499E-7</v>
      </c>
      <c r="T17" s="234"/>
      <c r="U17" s="203">
        <v>44728</v>
      </c>
      <c r="V17" s="205" t="s">
        <v>252</v>
      </c>
      <c r="W17" s="94"/>
      <c r="X17" s="94"/>
      <c r="Y17" s="94">
        <v>3</v>
      </c>
      <c r="Z17" s="76"/>
    </row>
    <row r="18" spans="1:29" s="42" customFormat="1" ht="15" customHeight="1" x14ac:dyDescent="0.25">
      <c r="A18" s="91" t="s">
        <v>400</v>
      </c>
      <c r="B18" s="91" t="s">
        <v>171</v>
      </c>
      <c r="C18" s="91" t="s">
        <v>175</v>
      </c>
      <c r="D18" s="91" t="s">
        <v>154</v>
      </c>
      <c r="E18" s="104" t="s">
        <v>139</v>
      </c>
      <c r="F18" s="95" t="s">
        <v>128</v>
      </c>
      <c r="G18" s="111">
        <v>44774</v>
      </c>
      <c r="H18" s="111">
        <v>44804</v>
      </c>
      <c r="I18" s="94" t="s">
        <v>248</v>
      </c>
      <c r="J18" s="92">
        <v>558196</v>
      </c>
      <c r="K18" s="92">
        <f t="shared" si="7"/>
        <v>72565</v>
      </c>
      <c r="L18" s="91">
        <v>174</v>
      </c>
      <c r="M18" s="91">
        <v>47</v>
      </c>
      <c r="N18" s="223">
        <v>150777</v>
      </c>
      <c r="O18" s="215">
        <f t="shared" si="8"/>
        <v>19601</v>
      </c>
      <c r="P18" s="106">
        <f t="shared" ref="P18:P22" si="11">M18/L18</f>
        <v>0.27011494252873564</v>
      </c>
      <c r="Q18" s="112" t="s">
        <v>268</v>
      </c>
      <c r="R18" s="155">
        <v>0.13</v>
      </c>
      <c r="S18" s="106">
        <f t="shared" si="3"/>
        <v>1.4414250570915499E-7</v>
      </c>
      <c r="T18" s="234"/>
      <c r="U18" s="203">
        <v>44728</v>
      </c>
      <c r="V18" s="205" t="s">
        <v>252</v>
      </c>
      <c r="W18" s="94"/>
      <c r="X18" s="94"/>
      <c r="Y18" s="94">
        <v>3</v>
      </c>
      <c r="Z18" s="76"/>
    </row>
    <row r="19" spans="1:29" s="42" customFormat="1" ht="15" customHeight="1" x14ac:dyDescent="0.25">
      <c r="A19" s="91" t="s">
        <v>400</v>
      </c>
      <c r="B19" s="91" t="s">
        <v>171</v>
      </c>
      <c r="C19" s="91" t="s">
        <v>175</v>
      </c>
      <c r="D19" s="91" t="s">
        <v>154</v>
      </c>
      <c r="E19" s="104" t="s">
        <v>139</v>
      </c>
      <c r="F19" s="95" t="s">
        <v>128</v>
      </c>
      <c r="G19" s="111">
        <v>44805</v>
      </c>
      <c r="H19" s="111">
        <v>44834</v>
      </c>
      <c r="I19" s="94" t="s">
        <v>248</v>
      </c>
      <c r="J19" s="92">
        <v>558196</v>
      </c>
      <c r="K19" s="92">
        <f t="shared" si="7"/>
        <v>72565</v>
      </c>
      <c r="L19" s="91">
        <v>174</v>
      </c>
      <c r="M19" s="91">
        <v>47</v>
      </c>
      <c r="N19" s="223">
        <v>150777</v>
      </c>
      <c r="O19" s="215">
        <f t="shared" si="8"/>
        <v>19601</v>
      </c>
      <c r="P19" s="106">
        <f t="shared" si="11"/>
        <v>0.27011494252873564</v>
      </c>
      <c r="Q19" s="112" t="s">
        <v>268</v>
      </c>
      <c r="R19" s="155">
        <v>0.13</v>
      </c>
      <c r="S19" s="106">
        <f t="shared" si="3"/>
        <v>1.4414250570915499E-7</v>
      </c>
      <c r="T19" s="234"/>
      <c r="U19" s="203">
        <v>44728</v>
      </c>
      <c r="V19" s="205" t="s">
        <v>252</v>
      </c>
      <c r="W19" s="94"/>
      <c r="X19" s="94"/>
      <c r="Y19" s="94">
        <v>3</v>
      </c>
      <c r="Z19" s="76"/>
    </row>
    <row r="20" spans="1:29" s="42" customFormat="1" ht="15" customHeight="1" x14ac:dyDescent="0.25">
      <c r="A20" s="91" t="s">
        <v>400</v>
      </c>
      <c r="B20" s="91" t="s">
        <v>171</v>
      </c>
      <c r="C20" s="91" t="s">
        <v>175</v>
      </c>
      <c r="D20" s="91" t="s">
        <v>154</v>
      </c>
      <c r="E20" s="104" t="s">
        <v>139</v>
      </c>
      <c r="F20" s="95" t="s">
        <v>128</v>
      </c>
      <c r="G20" s="111">
        <v>44835</v>
      </c>
      <c r="H20" s="111">
        <v>44865</v>
      </c>
      <c r="I20" s="94" t="s">
        <v>248</v>
      </c>
      <c r="J20" s="92">
        <v>425292</v>
      </c>
      <c r="K20" s="92">
        <f t="shared" si="7"/>
        <v>55288</v>
      </c>
      <c r="L20" s="91">
        <v>174</v>
      </c>
      <c r="M20" s="91">
        <v>47</v>
      </c>
      <c r="N20" s="223">
        <f>ROUND(J20*P20,0)</f>
        <v>114878</v>
      </c>
      <c r="O20" s="215">
        <f t="shared" si="8"/>
        <v>14934</v>
      </c>
      <c r="P20" s="106">
        <f t="shared" si="11"/>
        <v>0.27011494252873564</v>
      </c>
      <c r="Q20" s="112" t="s">
        <v>268</v>
      </c>
      <c r="R20" s="155">
        <v>0.13</v>
      </c>
      <c r="S20" s="106">
        <f t="shared" si="3"/>
        <v>-6.4864156618105184E-7</v>
      </c>
      <c r="T20" s="234"/>
      <c r="U20" s="203">
        <v>44728</v>
      </c>
      <c r="V20" s="205" t="s">
        <v>252</v>
      </c>
      <c r="W20" s="94"/>
      <c r="X20" s="94"/>
      <c r="Y20" s="94">
        <v>3</v>
      </c>
      <c r="Z20" s="76"/>
    </row>
    <row r="21" spans="1:29" s="42" customFormat="1" ht="15" customHeight="1" x14ac:dyDescent="0.25">
      <c r="A21" s="91" t="s">
        <v>400</v>
      </c>
      <c r="B21" s="91" t="s">
        <v>171</v>
      </c>
      <c r="C21" s="91" t="s">
        <v>175</v>
      </c>
      <c r="D21" s="91" t="s">
        <v>154</v>
      </c>
      <c r="E21" s="104" t="s">
        <v>139</v>
      </c>
      <c r="F21" s="95" t="s">
        <v>128</v>
      </c>
      <c r="G21" s="111">
        <v>44866</v>
      </c>
      <c r="H21" s="111">
        <v>44895</v>
      </c>
      <c r="I21" s="94" t="s">
        <v>248</v>
      </c>
      <c r="J21" s="92">
        <v>558196</v>
      </c>
      <c r="K21" s="92">
        <f t="shared" si="7"/>
        <v>72565</v>
      </c>
      <c r="L21" s="91">
        <v>174</v>
      </c>
      <c r="M21" s="91">
        <v>47</v>
      </c>
      <c r="N21" s="223">
        <v>150777</v>
      </c>
      <c r="O21" s="215">
        <f t="shared" si="8"/>
        <v>19601</v>
      </c>
      <c r="P21" s="106">
        <f t="shared" si="11"/>
        <v>0.27011494252873564</v>
      </c>
      <c r="Q21" s="112" t="s">
        <v>268</v>
      </c>
      <c r="R21" s="155">
        <v>0.13</v>
      </c>
      <c r="S21" s="106">
        <f t="shared" si="3"/>
        <v>1.4414250570915499E-7</v>
      </c>
      <c r="T21" s="234" t="s">
        <v>375</v>
      </c>
      <c r="U21" s="203">
        <v>44728</v>
      </c>
      <c r="V21" s="205" t="s">
        <v>252</v>
      </c>
      <c r="W21" s="94"/>
      <c r="X21" s="94"/>
      <c r="Y21" s="94"/>
      <c r="Z21" s="76"/>
      <c r="AA21" s="42" t="s">
        <v>408</v>
      </c>
      <c r="AB21" s="231" t="s">
        <v>409</v>
      </c>
      <c r="AC21" s="231" t="s">
        <v>409</v>
      </c>
    </row>
    <row r="22" spans="1:29" s="42" customFormat="1" ht="15" customHeight="1" x14ac:dyDescent="0.25">
      <c r="A22" s="91" t="s">
        <v>400</v>
      </c>
      <c r="B22" s="91" t="s">
        <v>171</v>
      </c>
      <c r="C22" s="91" t="s">
        <v>175</v>
      </c>
      <c r="D22" s="91" t="s">
        <v>154</v>
      </c>
      <c r="E22" s="104" t="s">
        <v>139</v>
      </c>
      <c r="F22" s="95" t="s">
        <v>128</v>
      </c>
      <c r="G22" s="111">
        <v>44896</v>
      </c>
      <c r="H22" s="111">
        <v>44926</v>
      </c>
      <c r="I22" s="94" t="s">
        <v>248</v>
      </c>
      <c r="J22" s="92">
        <v>451873</v>
      </c>
      <c r="K22" s="92">
        <f t="shared" si="7"/>
        <v>58743</v>
      </c>
      <c r="L22" s="91">
        <v>174</v>
      </c>
      <c r="M22" s="91">
        <v>47</v>
      </c>
      <c r="N22" s="223">
        <v>122058</v>
      </c>
      <c r="O22" s="215">
        <f t="shared" si="8"/>
        <v>15868</v>
      </c>
      <c r="P22" s="106">
        <f t="shared" si="11"/>
        <v>0.27011494252873564</v>
      </c>
      <c r="Q22" s="112" t="s">
        <v>268</v>
      </c>
      <c r="R22" s="155">
        <v>0.13</v>
      </c>
      <c r="S22" s="106">
        <f t="shared" si="3"/>
        <v>-7.7582575774837181E-7</v>
      </c>
      <c r="T22" s="234" t="s">
        <v>375</v>
      </c>
      <c r="U22" s="203">
        <v>44728</v>
      </c>
      <c r="V22" s="205" t="s">
        <v>252</v>
      </c>
      <c r="W22" s="94"/>
      <c r="X22" s="94"/>
      <c r="Y22" s="94"/>
      <c r="Z22" s="76"/>
      <c r="AA22" s="42" t="s">
        <v>408</v>
      </c>
      <c r="AB22" s="42" t="s">
        <v>408</v>
      </c>
      <c r="AC22" s="42" t="s">
        <v>408</v>
      </c>
    </row>
    <row r="23" spans="1:29" s="42" customFormat="1" ht="15" customHeight="1" x14ac:dyDescent="0.25">
      <c r="A23" s="91" t="s">
        <v>400</v>
      </c>
      <c r="B23" s="91" t="s">
        <v>171</v>
      </c>
      <c r="C23" s="91" t="s">
        <v>175</v>
      </c>
      <c r="D23" s="91" t="s">
        <v>154</v>
      </c>
      <c r="E23" s="104" t="s">
        <v>139</v>
      </c>
      <c r="F23" s="95" t="s">
        <v>128</v>
      </c>
      <c r="G23" s="111">
        <v>44927</v>
      </c>
      <c r="H23" s="111">
        <v>44957</v>
      </c>
      <c r="I23" s="94" t="s">
        <v>248</v>
      </c>
      <c r="J23" s="92">
        <v>615492</v>
      </c>
      <c r="K23" s="92">
        <f t="shared" si="7"/>
        <v>80014</v>
      </c>
      <c r="L23" s="91">
        <v>174</v>
      </c>
      <c r="M23" s="91">
        <v>43</v>
      </c>
      <c r="N23" s="223">
        <v>150000</v>
      </c>
      <c r="O23" s="215">
        <f t="shared" si="8"/>
        <v>19500</v>
      </c>
      <c r="P23" s="106">
        <f t="shared" ref="P23" si="12">M23/L23</f>
        <v>0.2471264367816092</v>
      </c>
      <c r="Q23" s="112" t="s">
        <v>268</v>
      </c>
      <c r="R23" s="155">
        <v>0.13</v>
      </c>
      <c r="S23" s="106">
        <f t="shared" si="3"/>
        <v>3.4189637356557279E-3</v>
      </c>
      <c r="T23" s="234" t="s">
        <v>375</v>
      </c>
      <c r="U23" s="203">
        <v>44936</v>
      </c>
      <c r="V23" s="205" t="s">
        <v>252</v>
      </c>
      <c r="W23" s="94"/>
      <c r="X23" s="94"/>
      <c r="Y23" s="94"/>
      <c r="Z23" s="76"/>
      <c r="AA23" s="42" t="s">
        <v>408</v>
      </c>
      <c r="AB23" s="42">
        <v>0</v>
      </c>
      <c r="AC23" s="42">
        <v>0</v>
      </c>
    </row>
    <row r="24" spans="1:29" s="42" customFormat="1" ht="15" customHeight="1" x14ac:dyDescent="0.25">
      <c r="A24" s="91" t="s">
        <v>400</v>
      </c>
      <c r="B24" s="91" t="s">
        <v>171</v>
      </c>
      <c r="C24" s="91" t="s">
        <v>175</v>
      </c>
      <c r="D24" s="91" t="s">
        <v>154</v>
      </c>
      <c r="E24" s="104" t="s">
        <v>139</v>
      </c>
      <c r="F24" s="95" t="s">
        <v>128</v>
      </c>
      <c r="G24" s="111">
        <v>44958</v>
      </c>
      <c r="H24" s="111">
        <v>44985</v>
      </c>
      <c r="I24" s="94" t="s">
        <v>248</v>
      </c>
      <c r="J24" s="92">
        <v>553943</v>
      </c>
      <c r="K24" s="92">
        <f t="shared" si="7"/>
        <v>72013</v>
      </c>
      <c r="L24" s="91">
        <v>174</v>
      </c>
      <c r="M24" s="91">
        <v>43</v>
      </c>
      <c r="N24" s="223">
        <f t="shared" ref="N24" si="13">ROUND(J24*P24,0)</f>
        <v>136894</v>
      </c>
      <c r="O24" s="215">
        <f t="shared" si="8"/>
        <v>17796</v>
      </c>
      <c r="P24" s="106">
        <f t="shared" ref="P24" si="14">M24/L24</f>
        <v>0.2471264367816092</v>
      </c>
      <c r="Q24" s="112" t="s">
        <v>268</v>
      </c>
      <c r="R24" s="155">
        <v>0.13</v>
      </c>
      <c r="S24" s="106">
        <f t="shared" si="3"/>
        <v>-7.2624593255854464E-8</v>
      </c>
      <c r="T24" s="234" t="s">
        <v>375</v>
      </c>
      <c r="U24" s="203">
        <v>44936</v>
      </c>
      <c r="V24" s="205" t="s">
        <v>252</v>
      </c>
      <c r="W24" s="94"/>
      <c r="X24" s="94"/>
      <c r="Y24" s="94"/>
      <c r="Z24" s="76"/>
      <c r="AA24" s="42" t="s">
        <v>408</v>
      </c>
      <c r="AB24" s="42">
        <v>-103532</v>
      </c>
      <c r="AC24" s="42">
        <v>44593</v>
      </c>
    </row>
    <row r="25" spans="1:29" s="42" customFormat="1" ht="15" customHeight="1" x14ac:dyDescent="0.25">
      <c r="A25" s="91" t="s">
        <v>400</v>
      </c>
      <c r="B25" s="91" t="s">
        <v>171</v>
      </c>
      <c r="C25" s="91" t="s">
        <v>175</v>
      </c>
      <c r="D25" s="91" t="s">
        <v>154</v>
      </c>
      <c r="E25" s="104" t="s">
        <v>139</v>
      </c>
      <c r="F25" s="95" t="s">
        <v>128</v>
      </c>
      <c r="G25" s="111">
        <v>44986</v>
      </c>
      <c r="H25" s="111">
        <v>45016</v>
      </c>
      <c r="I25" s="94" t="s">
        <v>248</v>
      </c>
      <c r="J25" s="92">
        <v>555411</v>
      </c>
      <c r="K25" s="92">
        <f t="shared" ref="K25" si="15">ROUND(J25*R25,0)</f>
        <v>72203</v>
      </c>
      <c r="L25" s="91">
        <v>174</v>
      </c>
      <c r="M25" s="91">
        <v>46</v>
      </c>
      <c r="N25" s="223">
        <f>ROUND(J25*P25,0)</f>
        <v>146833</v>
      </c>
      <c r="O25" s="215">
        <f t="shared" ref="O25" si="16">ROUND(N25*R25,0)</f>
        <v>19088</v>
      </c>
      <c r="P25" s="106">
        <f t="shared" ref="P25" si="17">M25/L25</f>
        <v>0.26436781609195403</v>
      </c>
      <c r="Q25" s="112" t="s">
        <v>268</v>
      </c>
      <c r="R25" s="155">
        <v>0.13</v>
      </c>
      <c r="S25" s="106">
        <f t="shared" ref="S25" si="18">P25-(N25/J25)</f>
        <v>-3.725107203811362E-7</v>
      </c>
      <c r="T25" s="234" t="s">
        <v>375</v>
      </c>
      <c r="U25" s="203">
        <v>44985</v>
      </c>
      <c r="V25" s="205" t="s">
        <v>252</v>
      </c>
      <c r="W25" s="94"/>
      <c r="X25" s="94"/>
      <c r="Y25" s="94"/>
      <c r="Z25" s="76"/>
      <c r="AA25" s="42" t="s">
        <v>408</v>
      </c>
      <c r="AB25" s="42">
        <v>-105000</v>
      </c>
      <c r="AC25" s="42">
        <v>44403</v>
      </c>
    </row>
    <row r="26" spans="1:29" s="42" customFormat="1" ht="15" customHeight="1" x14ac:dyDescent="0.25">
      <c r="A26" s="91" t="s">
        <v>400</v>
      </c>
      <c r="B26" s="91" t="s">
        <v>171</v>
      </c>
      <c r="C26" s="91" t="s">
        <v>175</v>
      </c>
      <c r="D26" s="91" t="s">
        <v>154</v>
      </c>
      <c r="E26" s="104" t="s">
        <v>139</v>
      </c>
      <c r="F26" s="95" t="s">
        <v>128</v>
      </c>
      <c r="G26" s="111">
        <v>45017</v>
      </c>
      <c r="H26" s="111">
        <v>45046</v>
      </c>
      <c r="I26" s="94" t="s">
        <v>248</v>
      </c>
      <c r="J26" s="92">
        <v>450411</v>
      </c>
      <c r="K26" s="92">
        <f t="shared" ref="K26:K28" si="19">ROUND(J26*R26,0)</f>
        <v>58553</v>
      </c>
      <c r="L26" s="91">
        <v>174</v>
      </c>
      <c r="M26" s="91">
        <v>46</v>
      </c>
      <c r="N26" s="223">
        <f t="shared" ref="N26:N28" si="20">ROUND(J26*P26,0)</f>
        <v>119074</v>
      </c>
      <c r="O26" s="215">
        <f t="shared" ref="O26:O28" si="21">ROUND(N26*R26,0)</f>
        <v>15480</v>
      </c>
      <c r="P26" s="106">
        <f t="shared" ref="P26:P28" si="22">M26/L26</f>
        <v>0.26436781609195403</v>
      </c>
      <c r="Q26" s="112" t="s">
        <v>268</v>
      </c>
      <c r="R26" s="155">
        <v>0.13</v>
      </c>
      <c r="S26" s="106">
        <f t="shared" ref="S26:S28" si="23">P26-(N26/J26)</f>
        <v>3.827921456478478E-7</v>
      </c>
      <c r="T26" s="234" t="s">
        <v>375</v>
      </c>
      <c r="U26" s="203">
        <v>44985</v>
      </c>
      <c r="V26" s="205" t="s">
        <v>252</v>
      </c>
      <c r="W26" s="94"/>
      <c r="X26" s="94"/>
      <c r="Y26" s="94"/>
      <c r="Z26" s="76"/>
      <c r="AA26" s="42" t="s">
        <v>408</v>
      </c>
      <c r="AB26" s="42">
        <v>0</v>
      </c>
      <c r="AC26" s="239">
        <v>58053</v>
      </c>
    </row>
    <row r="27" spans="1:29" s="42" customFormat="1" ht="15" customHeight="1" x14ac:dyDescent="0.25">
      <c r="A27" s="91" t="s">
        <v>400</v>
      </c>
      <c r="B27" s="91" t="s">
        <v>171</v>
      </c>
      <c r="C27" s="91" t="s">
        <v>175</v>
      </c>
      <c r="D27" s="91" t="s">
        <v>154</v>
      </c>
      <c r="E27" s="104" t="s">
        <v>139</v>
      </c>
      <c r="F27" s="95" t="s">
        <v>128</v>
      </c>
      <c r="G27" s="111">
        <v>45047</v>
      </c>
      <c r="H27" s="111">
        <v>45077</v>
      </c>
      <c r="I27" s="94" t="s">
        <v>267</v>
      </c>
      <c r="J27" s="92">
        <v>579100</v>
      </c>
      <c r="K27" s="92">
        <f t="shared" si="19"/>
        <v>75283</v>
      </c>
      <c r="L27" s="91">
        <v>174</v>
      </c>
      <c r="M27" s="91">
        <v>46</v>
      </c>
      <c r="N27" s="223">
        <f t="shared" si="20"/>
        <v>153095</v>
      </c>
      <c r="O27" s="215">
        <f t="shared" si="21"/>
        <v>19902</v>
      </c>
      <c r="P27" s="106">
        <f t="shared" si="22"/>
        <v>0.26436781609195403</v>
      </c>
      <c r="Q27" s="112" t="s">
        <v>268</v>
      </c>
      <c r="R27" s="155">
        <v>0.13</v>
      </c>
      <c r="S27" s="106">
        <f t="shared" si="23"/>
        <v>6.9469668551036534E-7</v>
      </c>
      <c r="T27" s="234" t="s">
        <v>375</v>
      </c>
      <c r="U27" s="203">
        <v>44985</v>
      </c>
      <c r="V27" s="205" t="s">
        <v>252</v>
      </c>
      <c r="W27" s="94"/>
      <c r="X27" s="94"/>
      <c r="Y27" s="94"/>
      <c r="Z27" s="76"/>
    </row>
    <row r="28" spans="1:29" s="42" customFormat="1" ht="15" customHeight="1" x14ac:dyDescent="0.25">
      <c r="A28" s="91" t="s">
        <v>400</v>
      </c>
      <c r="B28" s="91" t="s">
        <v>171</v>
      </c>
      <c r="C28" s="91" t="s">
        <v>175</v>
      </c>
      <c r="D28" s="91" t="s">
        <v>154</v>
      </c>
      <c r="E28" s="104" t="s">
        <v>139</v>
      </c>
      <c r="F28" s="95" t="s">
        <v>128</v>
      </c>
      <c r="G28" s="111">
        <v>45078</v>
      </c>
      <c r="H28" s="111">
        <v>45107</v>
      </c>
      <c r="I28" s="94" t="s">
        <v>267</v>
      </c>
      <c r="J28" s="92">
        <v>746100</v>
      </c>
      <c r="K28" s="92">
        <f t="shared" si="19"/>
        <v>96993</v>
      </c>
      <c r="L28" s="91">
        <v>174</v>
      </c>
      <c r="M28" s="91">
        <v>35</v>
      </c>
      <c r="N28" s="223">
        <f t="shared" si="20"/>
        <v>150078</v>
      </c>
      <c r="O28" s="215">
        <f t="shared" si="21"/>
        <v>19510</v>
      </c>
      <c r="P28" s="106">
        <f t="shared" si="22"/>
        <v>0.20114942528735633</v>
      </c>
      <c r="Q28" s="112" t="s">
        <v>268</v>
      </c>
      <c r="R28" s="155">
        <v>0.13</v>
      </c>
      <c r="S28" s="106">
        <f t="shared" si="23"/>
        <v>-5.5460810005625305E-7</v>
      </c>
      <c r="T28" s="234" t="s">
        <v>375</v>
      </c>
      <c r="U28" s="203">
        <v>45065</v>
      </c>
      <c r="V28" s="205"/>
      <c r="W28" s="94"/>
      <c r="X28" s="94"/>
      <c r="Y28" s="94"/>
      <c r="Z28" s="76"/>
    </row>
    <row r="29" spans="1:29" s="42" customFormat="1" ht="15" customHeight="1" x14ac:dyDescent="0.25">
      <c r="A29" s="91" t="s">
        <v>236</v>
      </c>
      <c r="B29" s="91" t="s">
        <v>11</v>
      </c>
      <c r="C29" s="91" t="s">
        <v>185</v>
      </c>
      <c r="D29" s="91" t="s">
        <v>158</v>
      </c>
      <c r="E29" s="104" t="s">
        <v>12</v>
      </c>
      <c r="F29" s="95" t="s">
        <v>13</v>
      </c>
      <c r="G29" s="111">
        <v>44621</v>
      </c>
      <c r="H29" s="111">
        <v>44651</v>
      </c>
      <c r="I29" s="94" t="s">
        <v>248</v>
      </c>
      <c r="J29" s="92">
        <v>463999</v>
      </c>
      <c r="K29" s="92">
        <f t="shared" si="7"/>
        <v>60320</v>
      </c>
      <c r="L29" s="91">
        <v>174</v>
      </c>
      <c r="M29" s="91">
        <v>89</v>
      </c>
      <c r="N29" s="223">
        <v>200000</v>
      </c>
      <c r="O29" s="215">
        <f t="shared" si="8"/>
        <v>26000</v>
      </c>
      <c r="P29" s="106">
        <f t="shared" si="9"/>
        <v>0.5114942528735632</v>
      </c>
      <c r="Q29" s="112" t="s">
        <v>268</v>
      </c>
      <c r="R29" s="155">
        <v>0.13</v>
      </c>
      <c r="S29" s="106">
        <f t="shared" si="3"/>
        <v>8.0458841159313843E-2</v>
      </c>
      <c r="T29" s="234"/>
      <c r="U29" s="203"/>
      <c r="V29" s="205" t="s">
        <v>252</v>
      </c>
      <c r="W29" s="94"/>
      <c r="X29" s="94"/>
      <c r="Y29" s="94">
        <v>3</v>
      </c>
      <c r="Z29" s="76"/>
    </row>
    <row r="30" spans="1:29" s="42" customFormat="1" ht="15" customHeight="1" x14ac:dyDescent="0.25">
      <c r="A30" s="91" t="s">
        <v>236</v>
      </c>
      <c r="B30" s="91" t="s">
        <v>11</v>
      </c>
      <c r="C30" s="91" t="s">
        <v>185</v>
      </c>
      <c r="D30" s="91" t="s">
        <v>158</v>
      </c>
      <c r="E30" s="104" t="s">
        <v>12</v>
      </c>
      <c r="F30" s="95" t="s">
        <v>13</v>
      </c>
      <c r="G30" s="111">
        <v>44652</v>
      </c>
      <c r="H30" s="111">
        <v>44681</v>
      </c>
      <c r="I30" s="94" t="s">
        <v>248</v>
      </c>
      <c r="J30" s="92">
        <v>464000</v>
      </c>
      <c r="K30" s="92">
        <f t="shared" si="7"/>
        <v>60320</v>
      </c>
      <c r="L30" s="91">
        <v>174</v>
      </c>
      <c r="M30" s="91">
        <v>89</v>
      </c>
      <c r="N30" s="223">
        <v>200000</v>
      </c>
      <c r="O30" s="215">
        <f t="shared" si="8"/>
        <v>26000</v>
      </c>
      <c r="P30" s="106">
        <f t="shared" si="9"/>
        <v>0.5114942528735632</v>
      </c>
      <c r="Q30" s="112" t="s">
        <v>268</v>
      </c>
      <c r="R30" s="155">
        <v>0.13</v>
      </c>
      <c r="S30" s="106">
        <f t="shared" si="3"/>
        <v>8.0459770114942541E-2</v>
      </c>
      <c r="T30" s="234"/>
      <c r="U30" s="203"/>
      <c r="V30" s="205" t="s">
        <v>252</v>
      </c>
      <c r="W30" s="94"/>
      <c r="X30" s="94"/>
      <c r="Y30" s="94">
        <v>3</v>
      </c>
      <c r="Z30" s="76"/>
    </row>
    <row r="31" spans="1:29" s="42" customFormat="1" ht="15" customHeight="1" x14ac:dyDescent="0.25">
      <c r="A31" s="91" t="s">
        <v>236</v>
      </c>
      <c r="B31" s="91" t="s">
        <v>11</v>
      </c>
      <c r="C31" s="91" t="s">
        <v>185</v>
      </c>
      <c r="D31" s="91" t="s">
        <v>158</v>
      </c>
      <c r="E31" s="104" t="s">
        <v>12</v>
      </c>
      <c r="F31" s="95" t="s">
        <v>13</v>
      </c>
      <c r="G31" s="111">
        <v>44682</v>
      </c>
      <c r="H31" s="111">
        <v>44712</v>
      </c>
      <c r="I31" s="94" t="s">
        <v>248</v>
      </c>
      <c r="J31" s="92">
        <v>463999</v>
      </c>
      <c r="K31" s="92">
        <f t="shared" si="7"/>
        <v>60320</v>
      </c>
      <c r="L31" s="91">
        <v>174</v>
      </c>
      <c r="M31" s="91">
        <v>89</v>
      </c>
      <c r="N31" s="223">
        <v>200000</v>
      </c>
      <c r="O31" s="215">
        <f t="shared" si="8"/>
        <v>26000</v>
      </c>
      <c r="P31" s="106">
        <f t="shared" si="9"/>
        <v>0.5114942528735632</v>
      </c>
      <c r="Q31" s="112" t="s">
        <v>268</v>
      </c>
      <c r="R31" s="155">
        <v>0.13</v>
      </c>
      <c r="S31" s="106">
        <f t="shared" si="3"/>
        <v>8.0458841159313843E-2</v>
      </c>
      <c r="T31" s="234"/>
      <c r="U31" s="203"/>
      <c r="V31" s="205" t="s">
        <v>252</v>
      </c>
      <c r="W31" s="94"/>
      <c r="X31" s="94"/>
      <c r="Y31" s="94">
        <v>3</v>
      </c>
      <c r="Z31" s="76"/>
    </row>
    <row r="32" spans="1:29" s="42" customFormat="1" ht="15" customHeight="1" x14ac:dyDescent="0.25">
      <c r="A32" s="91" t="s">
        <v>236</v>
      </c>
      <c r="B32" s="91" t="s">
        <v>11</v>
      </c>
      <c r="C32" s="91" t="s">
        <v>185</v>
      </c>
      <c r="D32" s="91" t="s">
        <v>158</v>
      </c>
      <c r="E32" s="104" t="s">
        <v>12</v>
      </c>
      <c r="F32" s="95" t="s">
        <v>13</v>
      </c>
      <c r="G32" s="111">
        <v>44713</v>
      </c>
      <c r="H32" s="111">
        <v>44742</v>
      </c>
      <c r="I32" s="94" t="s">
        <v>248</v>
      </c>
      <c r="J32" s="92">
        <v>464000</v>
      </c>
      <c r="K32" s="92">
        <f t="shared" si="7"/>
        <v>60320</v>
      </c>
      <c r="L32" s="91">
        <v>174</v>
      </c>
      <c r="M32" s="91">
        <v>89</v>
      </c>
      <c r="N32" s="223">
        <v>200000</v>
      </c>
      <c r="O32" s="215">
        <f t="shared" si="8"/>
        <v>26000</v>
      </c>
      <c r="P32" s="106">
        <f t="shared" si="9"/>
        <v>0.5114942528735632</v>
      </c>
      <c r="Q32" s="112" t="s">
        <v>268</v>
      </c>
      <c r="R32" s="155">
        <v>0.13</v>
      </c>
      <c r="S32" s="106">
        <f t="shared" si="3"/>
        <v>8.0459770114942541E-2</v>
      </c>
      <c r="T32" s="234"/>
      <c r="U32" s="203"/>
      <c r="V32" s="205" t="s">
        <v>252</v>
      </c>
      <c r="W32" s="94"/>
      <c r="X32" s="94"/>
      <c r="Y32" s="94">
        <v>3</v>
      </c>
      <c r="Z32" s="76"/>
    </row>
    <row r="33" spans="1:29" s="42" customFormat="1" ht="15" customHeight="1" x14ac:dyDescent="0.25">
      <c r="A33" s="91" t="s">
        <v>236</v>
      </c>
      <c r="B33" s="91" t="s">
        <v>11</v>
      </c>
      <c r="C33" s="91" t="s">
        <v>185</v>
      </c>
      <c r="D33" s="91" t="s">
        <v>158</v>
      </c>
      <c r="E33" s="104" t="s">
        <v>12</v>
      </c>
      <c r="F33" s="95" t="s">
        <v>13</v>
      </c>
      <c r="G33" s="111">
        <v>44743</v>
      </c>
      <c r="H33" s="111">
        <v>44773</v>
      </c>
      <c r="I33" s="94" t="s">
        <v>248</v>
      </c>
      <c r="J33" s="92">
        <v>464000</v>
      </c>
      <c r="K33" s="92">
        <f t="shared" si="7"/>
        <v>60320</v>
      </c>
      <c r="L33" s="91">
        <v>174</v>
      </c>
      <c r="M33" s="91">
        <v>89</v>
      </c>
      <c r="N33" s="223">
        <v>200000</v>
      </c>
      <c r="O33" s="215">
        <f t="shared" si="8"/>
        <v>26000</v>
      </c>
      <c r="P33" s="106">
        <f t="shared" si="9"/>
        <v>0.5114942528735632</v>
      </c>
      <c r="Q33" s="112" t="s">
        <v>268</v>
      </c>
      <c r="R33" s="155">
        <v>0.13</v>
      </c>
      <c r="S33" s="106">
        <f t="shared" si="3"/>
        <v>8.0459770114942541E-2</v>
      </c>
      <c r="T33" s="234"/>
      <c r="U33" s="203"/>
      <c r="V33" s="205" t="s">
        <v>252</v>
      </c>
      <c r="W33" s="94"/>
      <c r="X33" s="94"/>
      <c r="Y33" s="94">
        <v>3</v>
      </c>
      <c r="Z33" s="76"/>
    </row>
    <row r="34" spans="1:29" s="42" customFormat="1" ht="15" customHeight="1" x14ac:dyDescent="0.25">
      <c r="A34" s="91" t="s">
        <v>236</v>
      </c>
      <c r="B34" s="91" t="s">
        <v>11</v>
      </c>
      <c r="C34" s="91" t="s">
        <v>185</v>
      </c>
      <c r="D34" s="91" t="s">
        <v>158</v>
      </c>
      <c r="E34" s="104" t="s">
        <v>12</v>
      </c>
      <c r="F34" s="95" t="s">
        <v>13</v>
      </c>
      <c r="G34" s="111">
        <v>44774</v>
      </c>
      <c r="H34" s="111">
        <v>44804</v>
      </c>
      <c r="I34" s="94" t="s">
        <v>248</v>
      </c>
      <c r="J34" s="92">
        <v>464000</v>
      </c>
      <c r="K34" s="92">
        <f t="shared" si="7"/>
        <v>60320</v>
      </c>
      <c r="L34" s="91">
        <v>174</v>
      </c>
      <c r="M34" s="91">
        <v>89</v>
      </c>
      <c r="N34" s="223">
        <v>200000</v>
      </c>
      <c r="O34" s="215">
        <f t="shared" si="8"/>
        <v>26000</v>
      </c>
      <c r="P34" s="106">
        <f t="shared" si="9"/>
        <v>0.5114942528735632</v>
      </c>
      <c r="Q34" s="112" t="s">
        <v>268</v>
      </c>
      <c r="R34" s="155">
        <v>0.13</v>
      </c>
      <c r="S34" s="106">
        <f t="shared" si="3"/>
        <v>8.0459770114942541E-2</v>
      </c>
      <c r="T34" s="234"/>
      <c r="U34" s="203"/>
      <c r="V34" s="205" t="s">
        <v>252</v>
      </c>
      <c r="W34" s="94"/>
      <c r="X34" s="94"/>
      <c r="Y34" s="94">
        <v>3</v>
      </c>
      <c r="Z34" s="76"/>
    </row>
    <row r="35" spans="1:29" s="42" customFormat="1" ht="15" customHeight="1" x14ac:dyDescent="0.25">
      <c r="A35" s="91" t="s">
        <v>236</v>
      </c>
      <c r="B35" s="91" t="s">
        <v>11</v>
      </c>
      <c r="C35" s="91" t="s">
        <v>185</v>
      </c>
      <c r="D35" s="91" t="s">
        <v>158</v>
      </c>
      <c r="E35" s="104" t="s">
        <v>12</v>
      </c>
      <c r="F35" s="95" t="s">
        <v>13</v>
      </c>
      <c r="G35" s="111">
        <v>44805</v>
      </c>
      <c r="H35" s="111">
        <v>44834</v>
      </c>
      <c r="I35" s="94" t="s">
        <v>248</v>
      </c>
      <c r="J35" s="92">
        <v>394000</v>
      </c>
      <c r="K35" s="92">
        <f t="shared" si="7"/>
        <v>51220</v>
      </c>
      <c r="L35" s="91">
        <v>174</v>
      </c>
      <c r="M35" s="91">
        <v>89</v>
      </c>
      <c r="N35" s="223">
        <v>200000</v>
      </c>
      <c r="O35" s="215">
        <f t="shared" si="8"/>
        <v>26000</v>
      </c>
      <c r="P35" s="106">
        <f t="shared" ref="P35:P37" si="24">M35/L35</f>
        <v>0.5114942528735632</v>
      </c>
      <c r="Q35" s="112" t="s">
        <v>268</v>
      </c>
      <c r="R35" s="155">
        <v>0.13</v>
      </c>
      <c r="S35" s="106">
        <f t="shared" si="3"/>
        <v>3.8800396755936939E-3</v>
      </c>
      <c r="T35" s="234"/>
      <c r="U35" s="203">
        <v>44796</v>
      </c>
      <c r="V35" s="205" t="s">
        <v>252</v>
      </c>
      <c r="W35" s="94"/>
      <c r="X35" s="94"/>
      <c r="Y35" s="94">
        <v>3</v>
      </c>
      <c r="Z35" s="76"/>
    </row>
    <row r="36" spans="1:29" s="42" customFormat="1" ht="15" customHeight="1" x14ac:dyDescent="0.25">
      <c r="A36" s="91" t="s">
        <v>236</v>
      </c>
      <c r="B36" s="91" t="s">
        <v>11</v>
      </c>
      <c r="C36" s="91" t="s">
        <v>185</v>
      </c>
      <c r="D36" s="91" t="s">
        <v>158</v>
      </c>
      <c r="E36" s="104" t="s">
        <v>12</v>
      </c>
      <c r="F36" s="95" t="s">
        <v>13</v>
      </c>
      <c r="G36" s="111">
        <v>44835</v>
      </c>
      <c r="H36" s="111">
        <v>44865</v>
      </c>
      <c r="I36" s="94" t="s">
        <v>248</v>
      </c>
      <c r="J36" s="92">
        <v>394000</v>
      </c>
      <c r="K36" s="92">
        <f t="shared" si="7"/>
        <v>51220</v>
      </c>
      <c r="L36" s="91">
        <v>174</v>
      </c>
      <c r="M36" s="91">
        <v>89</v>
      </c>
      <c r="N36" s="223">
        <v>200000</v>
      </c>
      <c r="O36" s="215">
        <f t="shared" si="8"/>
        <v>26000</v>
      </c>
      <c r="P36" s="106">
        <f t="shared" si="24"/>
        <v>0.5114942528735632</v>
      </c>
      <c r="Q36" s="112" t="s">
        <v>268</v>
      </c>
      <c r="R36" s="155">
        <v>0.13</v>
      </c>
      <c r="S36" s="106">
        <f t="shared" si="3"/>
        <v>3.8800396755936939E-3</v>
      </c>
      <c r="T36" s="234"/>
      <c r="U36" s="203">
        <v>44796</v>
      </c>
      <c r="V36" s="205" t="s">
        <v>252</v>
      </c>
      <c r="W36" s="94"/>
      <c r="X36" s="94"/>
      <c r="Y36" s="94">
        <v>3</v>
      </c>
      <c r="Z36" s="76"/>
    </row>
    <row r="37" spans="1:29" s="42" customFormat="1" ht="15" customHeight="1" x14ac:dyDescent="0.25">
      <c r="A37" s="91" t="s">
        <v>236</v>
      </c>
      <c r="B37" s="91" t="s">
        <v>11</v>
      </c>
      <c r="C37" s="91" t="s">
        <v>185</v>
      </c>
      <c r="D37" s="91" t="s">
        <v>158</v>
      </c>
      <c r="E37" s="104" t="s">
        <v>12</v>
      </c>
      <c r="F37" s="95" t="s">
        <v>13</v>
      </c>
      <c r="G37" s="111">
        <v>44866</v>
      </c>
      <c r="H37" s="111">
        <v>44895</v>
      </c>
      <c r="I37" s="94" t="s">
        <v>248</v>
      </c>
      <c r="J37" s="92">
        <v>394000</v>
      </c>
      <c r="K37" s="92">
        <f t="shared" si="7"/>
        <v>51220</v>
      </c>
      <c r="L37" s="91">
        <v>174</v>
      </c>
      <c r="M37" s="91">
        <v>89</v>
      </c>
      <c r="N37" s="223">
        <v>200000</v>
      </c>
      <c r="O37" s="215">
        <f t="shared" si="8"/>
        <v>26000</v>
      </c>
      <c r="P37" s="106">
        <f t="shared" si="24"/>
        <v>0.5114942528735632</v>
      </c>
      <c r="Q37" s="112" t="s">
        <v>268</v>
      </c>
      <c r="R37" s="155">
        <v>0.13</v>
      </c>
      <c r="S37" s="106">
        <f t="shared" si="3"/>
        <v>3.8800396755936939E-3</v>
      </c>
      <c r="T37" s="234" t="s">
        <v>377</v>
      </c>
      <c r="U37" s="203">
        <v>44796</v>
      </c>
      <c r="V37" s="205" t="s">
        <v>252</v>
      </c>
      <c r="W37" s="94"/>
      <c r="X37" s="94"/>
      <c r="Y37" s="94"/>
      <c r="Z37" s="76"/>
      <c r="AA37" s="42" t="s">
        <v>408</v>
      </c>
      <c r="AB37" s="231" t="s">
        <v>409</v>
      </c>
      <c r="AC37" s="231" t="s">
        <v>409</v>
      </c>
    </row>
    <row r="38" spans="1:29" s="42" customFormat="1" ht="15" customHeight="1" x14ac:dyDescent="0.25">
      <c r="A38" s="91" t="s">
        <v>236</v>
      </c>
      <c r="B38" s="91" t="s">
        <v>11</v>
      </c>
      <c r="C38" s="91" t="s">
        <v>185</v>
      </c>
      <c r="D38" s="91" t="s">
        <v>158</v>
      </c>
      <c r="E38" s="104" t="s">
        <v>12</v>
      </c>
      <c r="F38" s="95" t="s">
        <v>13</v>
      </c>
      <c r="G38" s="111">
        <v>44896</v>
      </c>
      <c r="H38" s="111">
        <v>44926</v>
      </c>
      <c r="I38" s="94" t="s">
        <v>248</v>
      </c>
      <c r="J38" s="92">
        <v>394000</v>
      </c>
      <c r="K38" s="92">
        <f t="shared" si="7"/>
        <v>51220</v>
      </c>
      <c r="L38" s="91">
        <v>174</v>
      </c>
      <c r="M38" s="91">
        <v>89</v>
      </c>
      <c r="N38" s="223">
        <v>200000</v>
      </c>
      <c r="O38" s="215">
        <f t="shared" si="8"/>
        <v>26000</v>
      </c>
      <c r="P38" s="106">
        <f t="shared" ref="P38" si="25">M38/L38</f>
        <v>0.5114942528735632</v>
      </c>
      <c r="Q38" s="112" t="s">
        <v>268</v>
      </c>
      <c r="R38" s="155">
        <v>0.13</v>
      </c>
      <c r="S38" s="106">
        <f t="shared" si="3"/>
        <v>3.8800396755936939E-3</v>
      </c>
      <c r="T38" s="234" t="s">
        <v>377</v>
      </c>
      <c r="U38" s="203">
        <v>44883</v>
      </c>
      <c r="V38" s="205" t="s">
        <v>252</v>
      </c>
      <c r="W38" s="94"/>
      <c r="X38" s="94"/>
      <c r="Y38" s="94"/>
      <c r="Z38" s="76"/>
      <c r="AA38" s="42" t="s">
        <v>408</v>
      </c>
      <c r="AB38" s="239" t="s">
        <v>409</v>
      </c>
      <c r="AC38" s="239" t="s">
        <v>409</v>
      </c>
    </row>
    <row r="39" spans="1:29" s="42" customFormat="1" ht="15" customHeight="1" x14ac:dyDescent="0.25">
      <c r="A39" s="91" t="s">
        <v>236</v>
      </c>
      <c r="B39" s="91" t="s">
        <v>11</v>
      </c>
      <c r="C39" s="91" t="s">
        <v>185</v>
      </c>
      <c r="D39" s="91" t="s">
        <v>158</v>
      </c>
      <c r="E39" s="104" t="s">
        <v>12</v>
      </c>
      <c r="F39" s="95" t="s">
        <v>13</v>
      </c>
      <c r="G39" s="111">
        <v>44927</v>
      </c>
      <c r="H39" s="111">
        <v>44957</v>
      </c>
      <c r="I39" s="94" t="s">
        <v>248</v>
      </c>
      <c r="J39" s="92">
        <v>449200</v>
      </c>
      <c r="K39" s="92">
        <f t="shared" si="7"/>
        <v>58396</v>
      </c>
      <c r="L39" s="91">
        <v>174</v>
      </c>
      <c r="M39" s="91">
        <v>83</v>
      </c>
      <c r="N39" s="223">
        <v>213000</v>
      </c>
      <c r="O39" s="215">
        <f t="shared" si="8"/>
        <v>27690</v>
      </c>
      <c r="P39" s="106">
        <f t="shared" ref="P39:P48" si="26">M39/L39</f>
        <v>0.47701149425287354</v>
      </c>
      <c r="Q39" s="112" t="s">
        <v>268</v>
      </c>
      <c r="R39" s="155">
        <v>0.13</v>
      </c>
      <c r="S39" s="106">
        <f t="shared" si="3"/>
        <v>2.8351808067471063E-3</v>
      </c>
      <c r="T39" s="234" t="s">
        <v>377</v>
      </c>
      <c r="U39" s="203">
        <v>44946</v>
      </c>
      <c r="V39" s="205" t="s">
        <v>252</v>
      </c>
      <c r="W39" s="94"/>
      <c r="X39" s="94"/>
      <c r="Y39" s="94"/>
      <c r="Z39" s="76"/>
      <c r="AA39" s="42" t="s">
        <v>408</v>
      </c>
      <c r="AB39" s="239">
        <v>6818</v>
      </c>
      <c r="AC39" s="239">
        <v>19500</v>
      </c>
    </row>
    <row r="40" spans="1:29" s="42" customFormat="1" ht="15" customHeight="1" x14ac:dyDescent="0.25">
      <c r="A40" s="91" t="s">
        <v>236</v>
      </c>
      <c r="B40" s="91" t="s">
        <v>11</v>
      </c>
      <c r="C40" s="91" t="s">
        <v>185</v>
      </c>
      <c r="D40" s="91" t="s">
        <v>158</v>
      </c>
      <c r="E40" s="104" t="s">
        <v>12</v>
      </c>
      <c r="F40" s="95" t="s">
        <v>13</v>
      </c>
      <c r="G40" s="111">
        <v>44958</v>
      </c>
      <c r="H40" s="111">
        <v>44985</v>
      </c>
      <c r="I40" s="94" t="s">
        <v>248</v>
      </c>
      <c r="J40" s="92">
        <v>449200</v>
      </c>
      <c r="K40" s="92">
        <f t="shared" si="7"/>
        <v>58396</v>
      </c>
      <c r="L40" s="91">
        <v>174</v>
      </c>
      <c r="M40" s="91">
        <v>83</v>
      </c>
      <c r="N40" s="223">
        <v>213000</v>
      </c>
      <c r="O40" s="215">
        <f t="shared" si="8"/>
        <v>27690</v>
      </c>
      <c r="P40" s="106">
        <f t="shared" ref="P40:P44" si="27">M40/L40</f>
        <v>0.47701149425287354</v>
      </c>
      <c r="Q40" s="112" t="s">
        <v>268</v>
      </c>
      <c r="R40" s="155">
        <v>0.13</v>
      </c>
      <c r="S40" s="106">
        <f t="shared" si="3"/>
        <v>2.8351808067471063E-3</v>
      </c>
      <c r="T40" s="234" t="s">
        <v>377</v>
      </c>
      <c r="U40" s="203">
        <v>44946</v>
      </c>
      <c r="V40" s="205" t="s">
        <v>252</v>
      </c>
      <c r="W40" s="94"/>
      <c r="X40" s="94"/>
      <c r="Y40" s="94"/>
      <c r="Z40" s="76"/>
      <c r="AA40" s="42" t="s">
        <v>408</v>
      </c>
      <c r="AB40" s="239">
        <v>0</v>
      </c>
      <c r="AC40" s="239">
        <v>76076</v>
      </c>
    </row>
    <row r="41" spans="1:29" s="42" customFormat="1" ht="15" customHeight="1" x14ac:dyDescent="0.25">
      <c r="A41" s="91" t="s">
        <v>236</v>
      </c>
      <c r="B41" s="91" t="s">
        <v>11</v>
      </c>
      <c r="C41" s="91" t="s">
        <v>185</v>
      </c>
      <c r="D41" s="91" t="s">
        <v>158</v>
      </c>
      <c r="E41" s="104" t="s">
        <v>12</v>
      </c>
      <c r="F41" s="95" t="s">
        <v>13</v>
      </c>
      <c r="G41" s="111">
        <v>44986</v>
      </c>
      <c r="H41" s="111">
        <v>45016</v>
      </c>
      <c r="I41" s="94" t="s">
        <v>248</v>
      </c>
      <c r="J41" s="92">
        <v>449200</v>
      </c>
      <c r="K41" s="92">
        <f t="shared" si="7"/>
        <v>58396</v>
      </c>
      <c r="L41" s="91">
        <v>174</v>
      </c>
      <c r="M41" s="91">
        <v>83</v>
      </c>
      <c r="N41" s="223">
        <v>213000</v>
      </c>
      <c r="O41" s="215">
        <f t="shared" si="8"/>
        <v>27690</v>
      </c>
      <c r="P41" s="106">
        <f t="shared" si="27"/>
        <v>0.47701149425287354</v>
      </c>
      <c r="Q41" s="112" t="s">
        <v>268</v>
      </c>
      <c r="R41" s="155">
        <v>0.13</v>
      </c>
      <c r="S41" s="106">
        <f t="shared" ref="S41:S79" si="28">P41-(N41/J41)</f>
        <v>2.8351808067471063E-3</v>
      </c>
      <c r="T41" s="234" t="s">
        <v>377</v>
      </c>
      <c r="U41" s="203">
        <v>44946</v>
      </c>
      <c r="V41" s="205" t="s">
        <v>252</v>
      </c>
      <c r="W41" s="94"/>
      <c r="X41" s="94"/>
      <c r="Y41" s="94"/>
      <c r="Z41" s="76"/>
      <c r="AA41" s="42" t="s">
        <v>408</v>
      </c>
      <c r="AB41" s="42">
        <v>0</v>
      </c>
      <c r="AC41" s="239">
        <v>76076</v>
      </c>
    </row>
    <row r="42" spans="1:29" s="42" customFormat="1" ht="15" customHeight="1" x14ac:dyDescent="0.25">
      <c r="A42" s="91" t="s">
        <v>236</v>
      </c>
      <c r="B42" s="91" t="s">
        <v>11</v>
      </c>
      <c r="C42" s="91" t="s">
        <v>185</v>
      </c>
      <c r="D42" s="91" t="s">
        <v>158</v>
      </c>
      <c r="E42" s="104" t="s">
        <v>12</v>
      </c>
      <c r="F42" s="95" t="s">
        <v>13</v>
      </c>
      <c r="G42" s="111">
        <v>45017</v>
      </c>
      <c r="H42" s="111">
        <v>45046</v>
      </c>
      <c r="I42" s="94" t="s">
        <v>248</v>
      </c>
      <c r="J42" s="92">
        <v>449200</v>
      </c>
      <c r="K42" s="92">
        <f t="shared" si="7"/>
        <v>58396</v>
      </c>
      <c r="L42" s="91">
        <v>174</v>
      </c>
      <c r="M42" s="91">
        <v>83</v>
      </c>
      <c r="N42" s="223">
        <v>213000</v>
      </c>
      <c r="O42" s="215">
        <f t="shared" si="8"/>
        <v>27690</v>
      </c>
      <c r="P42" s="106">
        <f t="shared" si="27"/>
        <v>0.47701149425287354</v>
      </c>
      <c r="Q42" s="112" t="s">
        <v>268</v>
      </c>
      <c r="R42" s="155">
        <v>0.13</v>
      </c>
      <c r="S42" s="106">
        <f t="shared" si="28"/>
        <v>2.8351808067471063E-3</v>
      </c>
      <c r="T42" s="234" t="s">
        <v>377</v>
      </c>
      <c r="U42" s="203">
        <v>44946</v>
      </c>
      <c r="V42" s="205" t="s">
        <v>252</v>
      </c>
      <c r="W42" s="94"/>
      <c r="X42" s="94"/>
      <c r="Y42" s="94"/>
      <c r="Z42" s="76"/>
      <c r="AA42" s="42" t="s">
        <v>408</v>
      </c>
      <c r="AB42" s="42">
        <v>0</v>
      </c>
      <c r="AC42" s="239">
        <v>76076</v>
      </c>
    </row>
    <row r="43" spans="1:29" s="42" customFormat="1" ht="15" customHeight="1" x14ac:dyDescent="0.25">
      <c r="A43" s="91" t="s">
        <v>236</v>
      </c>
      <c r="B43" s="91" t="s">
        <v>11</v>
      </c>
      <c r="C43" s="91" t="s">
        <v>185</v>
      </c>
      <c r="D43" s="91" t="s">
        <v>158</v>
      </c>
      <c r="E43" s="104" t="s">
        <v>12</v>
      </c>
      <c r="F43" s="95" t="s">
        <v>13</v>
      </c>
      <c r="G43" s="111">
        <v>45047</v>
      </c>
      <c r="H43" s="111">
        <v>45077</v>
      </c>
      <c r="I43" s="94" t="s">
        <v>267</v>
      </c>
      <c r="J43" s="92">
        <v>449200</v>
      </c>
      <c r="K43" s="92">
        <f t="shared" si="7"/>
        <v>58396</v>
      </c>
      <c r="L43" s="91">
        <v>174</v>
      </c>
      <c r="M43" s="91">
        <v>83</v>
      </c>
      <c r="N43" s="223">
        <v>213000</v>
      </c>
      <c r="O43" s="215">
        <f t="shared" si="8"/>
        <v>27690</v>
      </c>
      <c r="P43" s="106">
        <f t="shared" si="27"/>
        <v>0.47701149425287354</v>
      </c>
      <c r="Q43" s="112" t="s">
        <v>268</v>
      </c>
      <c r="R43" s="155">
        <v>0.13</v>
      </c>
      <c r="S43" s="106">
        <f t="shared" si="28"/>
        <v>2.8351808067471063E-3</v>
      </c>
      <c r="T43" s="234" t="s">
        <v>377</v>
      </c>
      <c r="U43" s="203">
        <v>44946</v>
      </c>
      <c r="V43" s="205" t="s">
        <v>252</v>
      </c>
      <c r="W43" s="94"/>
      <c r="X43" s="94"/>
      <c r="Y43" s="94"/>
      <c r="Z43" s="76"/>
    </row>
    <row r="44" spans="1:29" s="42" customFormat="1" ht="15" customHeight="1" x14ac:dyDescent="0.25">
      <c r="A44" s="91" t="s">
        <v>236</v>
      </c>
      <c r="B44" s="91" t="s">
        <v>11</v>
      </c>
      <c r="C44" s="91" t="s">
        <v>185</v>
      </c>
      <c r="D44" s="91" t="s">
        <v>158</v>
      </c>
      <c r="E44" s="104" t="s">
        <v>12</v>
      </c>
      <c r="F44" s="95" t="s">
        <v>13</v>
      </c>
      <c r="G44" s="249">
        <v>45078</v>
      </c>
      <c r="H44" s="111">
        <v>45107</v>
      </c>
      <c r="I44" s="94" t="s">
        <v>267</v>
      </c>
      <c r="J44" s="92">
        <v>449200</v>
      </c>
      <c r="K44" s="92">
        <f t="shared" si="7"/>
        <v>58396</v>
      </c>
      <c r="L44" s="91">
        <v>174</v>
      </c>
      <c r="M44" s="91">
        <v>83</v>
      </c>
      <c r="N44" s="223">
        <v>213000</v>
      </c>
      <c r="O44" s="215">
        <f t="shared" si="8"/>
        <v>27690</v>
      </c>
      <c r="P44" s="106">
        <f t="shared" si="27"/>
        <v>0.47701149425287354</v>
      </c>
      <c r="Q44" s="112" t="s">
        <v>268</v>
      </c>
      <c r="R44" s="155">
        <v>0.13</v>
      </c>
      <c r="S44" s="106">
        <f t="shared" si="28"/>
        <v>2.8351808067471063E-3</v>
      </c>
      <c r="T44" s="234" t="s">
        <v>377</v>
      </c>
      <c r="U44" s="203">
        <v>44946</v>
      </c>
      <c r="V44" s="205" t="s">
        <v>252</v>
      </c>
      <c r="W44" s="94"/>
      <c r="X44" s="94"/>
      <c r="Y44" s="94"/>
      <c r="Z44" s="76"/>
    </row>
    <row r="45" spans="1:29" s="42" customFormat="1" ht="15" customHeight="1" x14ac:dyDescent="0.25">
      <c r="A45" s="91" t="s">
        <v>445</v>
      </c>
      <c r="B45" s="91" t="s">
        <v>162</v>
      </c>
      <c r="C45" s="91" t="s">
        <v>163</v>
      </c>
      <c r="D45" s="91" t="s">
        <v>146</v>
      </c>
      <c r="E45" s="104" t="s">
        <v>139</v>
      </c>
      <c r="F45" s="95" t="s">
        <v>395</v>
      </c>
      <c r="G45" s="111">
        <v>45017</v>
      </c>
      <c r="H45" s="111">
        <v>45046</v>
      </c>
      <c r="I45" s="94" t="s">
        <v>248</v>
      </c>
      <c r="J45" s="92">
        <v>700000</v>
      </c>
      <c r="K45" s="92">
        <f t="shared" ref="K45" si="29">ROUND(J45*R45,0)</f>
        <v>91000</v>
      </c>
      <c r="L45" s="91">
        <v>174</v>
      </c>
      <c r="M45" s="91">
        <v>50</v>
      </c>
      <c r="N45" s="223">
        <f t="shared" ref="N45" si="30">ROUND(J45*P45,0)</f>
        <v>201149</v>
      </c>
      <c r="O45" s="215">
        <f t="shared" ref="O45" si="31">ROUND(N45*R45,0)</f>
        <v>26149</v>
      </c>
      <c r="P45" s="106">
        <f t="shared" ref="P45" si="32">M45/L45</f>
        <v>0.28735632183908044</v>
      </c>
      <c r="Q45" s="112" t="s">
        <v>268</v>
      </c>
      <c r="R45" s="155">
        <v>0.13</v>
      </c>
      <c r="S45" s="106">
        <f t="shared" ref="S45" si="33">P45-(N45/J45)</f>
        <v>6.0755336617202005E-7</v>
      </c>
      <c r="T45" s="234">
        <v>8479830956</v>
      </c>
      <c r="U45" s="203">
        <v>45002</v>
      </c>
      <c r="V45" s="205" t="s">
        <v>252</v>
      </c>
      <c r="W45" s="94"/>
      <c r="X45" s="94"/>
      <c r="Y45" s="94"/>
      <c r="Z45" s="76"/>
      <c r="AA45" s="42" t="s">
        <v>408</v>
      </c>
      <c r="AB45" s="42">
        <v>0</v>
      </c>
      <c r="AC45" s="239">
        <v>68640</v>
      </c>
    </row>
    <row r="46" spans="1:29" s="42" customFormat="1" ht="15" customHeight="1" x14ac:dyDescent="0.25">
      <c r="A46" s="91" t="s">
        <v>445</v>
      </c>
      <c r="B46" s="91" t="s">
        <v>162</v>
      </c>
      <c r="C46" s="91" t="s">
        <v>163</v>
      </c>
      <c r="D46" s="91" t="s">
        <v>146</v>
      </c>
      <c r="E46" s="104" t="s">
        <v>139</v>
      </c>
      <c r="F46" s="95" t="s">
        <v>395</v>
      </c>
      <c r="G46" s="111">
        <v>45047</v>
      </c>
      <c r="H46" s="111">
        <v>45077</v>
      </c>
      <c r="I46" s="94" t="s">
        <v>267</v>
      </c>
      <c r="J46" s="92">
        <v>700000</v>
      </c>
      <c r="K46" s="92">
        <f t="shared" ref="K46:K47" si="34">ROUND(J46*R46,0)</f>
        <v>91000</v>
      </c>
      <c r="L46" s="91">
        <v>174</v>
      </c>
      <c r="M46" s="91">
        <v>50</v>
      </c>
      <c r="N46" s="223">
        <f t="shared" ref="N46:N47" si="35">ROUND(J46*P46,0)</f>
        <v>201149</v>
      </c>
      <c r="O46" s="215">
        <f t="shared" ref="O46:O47" si="36">ROUND(N46*R46,0)</f>
        <v>26149</v>
      </c>
      <c r="P46" s="106">
        <f t="shared" ref="P46:P47" si="37">M46/L46</f>
        <v>0.28735632183908044</v>
      </c>
      <c r="Q46" s="112" t="s">
        <v>268</v>
      </c>
      <c r="R46" s="155">
        <v>0.13</v>
      </c>
      <c r="S46" s="106">
        <f t="shared" ref="S46:S47" si="38">P46-(N46/J46)</f>
        <v>6.0755336617202005E-7</v>
      </c>
      <c r="T46" s="234">
        <v>8479830956</v>
      </c>
      <c r="U46" s="203">
        <v>45002</v>
      </c>
      <c r="V46" s="205" t="s">
        <v>252</v>
      </c>
      <c r="W46" s="94"/>
      <c r="X46" s="94"/>
      <c r="Y46" s="94"/>
      <c r="Z46" s="76"/>
    </row>
    <row r="47" spans="1:29" s="42" customFormat="1" ht="15" customHeight="1" x14ac:dyDescent="0.25">
      <c r="A47" s="91" t="s">
        <v>445</v>
      </c>
      <c r="B47" s="91" t="s">
        <v>162</v>
      </c>
      <c r="C47" s="91" t="s">
        <v>163</v>
      </c>
      <c r="D47" s="91" t="s">
        <v>146</v>
      </c>
      <c r="E47" s="104" t="s">
        <v>139</v>
      </c>
      <c r="F47" s="95" t="s">
        <v>395</v>
      </c>
      <c r="G47" s="111">
        <v>45078</v>
      </c>
      <c r="H47" s="111">
        <v>45107</v>
      </c>
      <c r="I47" s="94" t="s">
        <v>267</v>
      </c>
      <c r="J47" s="92">
        <v>700000</v>
      </c>
      <c r="K47" s="92">
        <f t="shared" si="34"/>
        <v>91000</v>
      </c>
      <c r="L47" s="91">
        <v>174</v>
      </c>
      <c r="M47" s="91">
        <v>50</v>
      </c>
      <c r="N47" s="223">
        <f t="shared" si="35"/>
        <v>201149</v>
      </c>
      <c r="O47" s="215">
        <f t="shared" si="36"/>
        <v>26149</v>
      </c>
      <c r="P47" s="106">
        <f t="shared" si="37"/>
        <v>0.28735632183908044</v>
      </c>
      <c r="Q47" s="112" t="s">
        <v>268</v>
      </c>
      <c r="R47" s="155">
        <v>0.13</v>
      </c>
      <c r="S47" s="106">
        <f t="shared" si="38"/>
        <v>6.0755336617202005E-7</v>
      </c>
      <c r="T47" s="234">
        <v>8479830956</v>
      </c>
      <c r="U47" s="203">
        <v>45002</v>
      </c>
      <c r="V47" s="205" t="s">
        <v>252</v>
      </c>
      <c r="W47" s="94"/>
      <c r="X47" s="94"/>
      <c r="Y47" s="94"/>
      <c r="Z47" s="76"/>
    </row>
    <row r="48" spans="1:29" s="42" customFormat="1" ht="15" customHeight="1" x14ac:dyDescent="0.25">
      <c r="A48" s="91" t="s">
        <v>394</v>
      </c>
      <c r="B48" s="91" t="s">
        <v>162</v>
      </c>
      <c r="C48" s="91" t="s">
        <v>163</v>
      </c>
      <c r="D48" s="91" t="s">
        <v>146</v>
      </c>
      <c r="E48" s="104" t="s">
        <v>139</v>
      </c>
      <c r="F48" s="95" t="s">
        <v>395</v>
      </c>
      <c r="G48" s="111">
        <v>44927</v>
      </c>
      <c r="H48" s="111">
        <v>44957</v>
      </c>
      <c r="I48" s="94" t="s">
        <v>248</v>
      </c>
      <c r="J48" s="92">
        <v>1100000</v>
      </c>
      <c r="K48" s="92">
        <f t="shared" si="7"/>
        <v>143000</v>
      </c>
      <c r="L48" s="91">
        <v>174</v>
      </c>
      <c r="M48" s="91">
        <v>32</v>
      </c>
      <c r="N48" s="223">
        <f>ROUND(J48*P48,0)</f>
        <v>202299</v>
      </c>
      <c r="O48" s="215">
        <f t="shared" si="8"/>
        <v>26299</v>
      </c>
      <c r="P48" s="106">
        <f t="shared" si="26"/>
        <v>0.18390804597701149</v>
      </c>
      <c r="Q48" s="112" t="s">
        <v>268</v>
      </c>
      <c r="R48" s="155">
        <v>0.13</v>
      </c>
      <c r="S48" s="106">
        <f t="shared" si="28"/>
        <v>-1.3584117034004528E-7</v>
      </c>
      <c r="T48" s="234" t="s">
        <v>416</v>
      </c>
      <c r="U48" s="203">
        <v>44938</v>
      </c>
      <c r="V48" s="205" t="s">
        <v>252</v>
      </c>
      <c r="W48" s="94"/>
      <c r="X48" s="94"/>
      <c r="Y48" s="94"/>
      <c r="Z48" s="76"/>
      <c r="AA48" s="42" t="s">
        <v>408</v>
      </c>
      <c r="AB48" s="42">
        <v>0</v>
      </c>
      <c r="AC48" s="42">
        <v>0</v>
      </c>
    </row>
    <row r="49" spans="1:29" s="42" customFormat="1" ht="15" customHeight="1" x14ac:dyDescent="0.25">
      <c r="A49" s="91" t="s">
        <v>394</v>
      </c>
      <c r="B49" s="91" t="s">
        <v>162</v>
      </c>
      <c r="C49" s="91" t="s">
        <v>163</v>
      </c>
      <c r="D49" s="91" t="s">
        <v>146</v>
      </c>
      <c r="E49" s="104" t="s">
        <v>139</v>
      </c>
      <c r="F49" s="95" t="s">
        <v>395</v>
      </c>
      <c r="G49" s="111">
        <v>44958</v>
      </c>
      <c r="H49" s="111">
        <v>44985</v>
      </c>
      <c r="I49" s="94" t="s">
        <v>248</v>
      </c>
      <c r="J49" s="92">
        <v>1100000</v>
      </c>
      <c r="K49" s="92">
        <f t="shared" si="7"/>
        <v>143000</v>
      </c>
      <c r="L49" s="91">
        <v>174</v>
      </c>
      <c r="M49" s="91">
        <v>32</v>
      </c>
      <c r="N49" s="223">
        <f>ROUND(J49*P49,0)</f>
        <v>202299</v>
      </c>
      <c r="O49" s="215">
        <f t="shared" si="8"/>
        <v>26299</v>
      </c>
      <c r="P49" s="106">
        <f t="shared" ref="P49" si="39">M49/L49</f>
        <v>0.18390804597701149</v>
      </c>
      <c r="Q49" s="112" t="s">
        <v>268</v>
      </c>
      <c r="R49" s="155">
        <v>0.13</v>
      </c>
      <c r="S49" s="106">
        <f t="shared" si="28"/>
        <v>-1.3584117034004528E-7</v>
      </c>
      <c r="T49" s="234" t="s">
        <v>416</v>
      </c>
      <c r="U49" s="203">
        <v>44938</v>
      </c>
      <c r="V49" s="205" t="s">
        <v>252</v>
      </c>
      <c r="W49" s="94"/>
      <c r="X49" s="94"/>
      <c r="Y49" s="94"/>
      <c r="Z49" s="76"/>
      <c r="AA49" s="42" t="s">
        <v>408</v>
      </c>
      <c r="AB49" s="42">
        <v>0</v>
      </c>
      <c r="AC49" s="42">
        <v>104832</v>
      </c>
    </row>
    <row r="50" spans="1:29" s="42" customFormat="1" ht="15" customHeight="1" x14ac:dyDescent="0.25">
      <c r="A50" s="91" t="s">
        <v>394</v>
      </c>
      <c r="B50" s="91" t="s">
        <v>162</v>
      </c>
      <c r="C50" s="91" t="s">
        <v>163</v>
      </c>
      <c r="D50" s="91" t="s">
        <v>146</v>
      </c>
      <c r="E50" s="104" t="s">
        <v>139</v>
      </c>
      <c r="F50" s="95" t="s">
        <v>395</v>
      </c>
      <c r="G50" s="111">
        <v>44986</v>
      </c>
      <c r="H50" s="111">
        <v>45016</v>
      </c>
      <c r="I50" s="94" t="s">
        <v>248</v>
      </c>
      <c r="J50" s="92">
        <v>1100000</v>
      </c>
      <c r="K50" s="92">
        <f t="shared" ref="K50" si="40">ROUND(J50*R50,0)</f>
        <v>143000</v>
      </c>
      <c r="L50" s="91">
        <v>174</v>
      </c>
      <c r="M50" s="91">
        <v>32</v>
      </c>
      <c r="N50" s="223">
        <f t="shared" ref="N50" si="41">ROUND(J50*P50,0)</f>
        <v>202299</v>
      </c>
      <c r="O50" s="215">
        <f t="shared" ref="O50" si="42">ROUND(N50*R50,0)</f>
        <v>26299</v>
      </c>
      <c r="P50" s="106">
        <f t="shared" ref="P50" si="43">M50/L50</f>
        <v>0.18390804597701149</v>
      </c>
      <c r="Q50" s="112" t="s">
        <v>268</v>
      </c>
      <c r="R50" s="155">
        <v>0.13</v>
      </c>
      <c r="S50" s="106">
        <f t="shared" ref="S50" si="44">P50-(N50/J50)</f>
        <v>-1.3584117034004528E-7</v>
      </c>
      <c r="T50" s="234" t="s">
        <v>416</v>
      </c>
      <c r="U50" s="203">
        <v>44977</v>
      </c>
      <c r="V50" s="205" t="s">
        <v>252</v>
      </c>
      <c r="W50" s="94"/>
      <c r="X50" s="94"/>
      <c r="Y50" s="94"/>
      <c r="Z50" s="76"/>
      <c r="AA50" s="42" t="s">
        <v>408</v>
      </c>
      <c r="AB50" s="42">
        <v>0</v>
      </c>
      <c r="AC50" s="42">
        <v>104832</v>
      </c>
    </row>
    <row r="51" spans="1:29" s="42" customFormat="1" ht="15" customHeight="1" x14ac:dyDescent="0.25">
      <c r="A51" s="91" t="s">
        <v>394</v>
      </c>
      <c r="B51" s="91" t="s">
        <v>162</v>
      </c>
      <c r="C51" s="91" t="s">
        <v>163</v>
      </c>
      <c r="D51" s="91" t="s">
        <v>146</v>
      </c>
      <c r="E51" s="104" t="s">
        <v>139</v>
      </c>
      <c r="F51" s="95" t="s">
        <v>395</v>
      </c>
      <c r="G51" s="111">
        <v>45017</v>
      </c>
      <c r="H51" s="111">
        <v>45046</v>
      </c>
      <c r="I51" s="94" t="s">
        <v>248</v>
      </c>
      <c r="J51" s="92">
        <v>1100000</v>
      </c>
      <c r="K51" s="92">
        <f t="shared" ref="K51:K53" si="45">ROUND(J51*R51,0)</f>
        <v>143000</v>
      </c>
      <c r="L51" s="91">
        <v>174</v>
      </c>
      <c r="M51" s="91">
        <v>32</v>
      </c>
      <c r="N51" s="223">
        <f t="shared" ref="N51:N53" si="46">ROUND(J51*P51,0)</f>
        <v>202299</v>
      </c>
      <c r="O51" s="215">
        <f t="shared" ref="O51:O53" si="47">ROUND(N51*R51,0)</f>
        <v>26299</v>
      </c>
      <c r="P51" s="106">
        <f t="shared" ref="P51:P53" si="48">M51/L51</f>
        <v>0.18390804597701149</v>
      </c>
      <c r="Q51" s="112" t="s">
        <v>268</v>
      </c>
      <c r="R51" s="155">
        <v>0.13</v>
      </c>
      <c r="S51" s="106">
        <f t="shared" ref="S51:S53" si="49">P51-(N51/J51)</f>
        <v>-1.3584117034004528E-7</v>
      </c>
      <c r="T51" s="234" t="s">
        <v>416</v>
      </c>
      <c r="U51" s="203">
        <v>44977</v>
      </c>
      <c r="V51" s="205" t="s">
        <v>252</v>
      </c>
      <c r="W51" s="94"/>
      <c r="X51" s="94"/>
      <c r="Y51" s="94"/>
      <c r="Z51" s="76"/>
      <c r="AA51" s="42" t="s">
        <v>408</v>
      </c>
      <c r="AB51" s="42">
        <v>0</v>
      </c>
      <c r="AC51" s="239">
        <v>104832</v>
      </c>
    </row>
    <row r="52" spans="1:29" s="42" customFormat="1" ht="15" customHeight="1" x14ac:dyDescent="0.25">
      <c r="A52" s="91" t="s">
        <v>394</v>
      </c>
      <c r="B52" s="91" t="s">
        <v>162</v>
      </c>
      <c r="C52" s="91" t="s">
        <v>163</v>
      </c>
      <c r="D52" s="91" t="s">
        <v>146</v>
      </c>
      <c r="E52" s="104" t="s">
        <v>139</v>
      </c>
      <c r="F52" s="95" t="s">
        <v>395</v>
      </c>
      <c r="G52" s="111">
        <v>45047</v>
      </c>
      <c r="H52" s="111">
        <v>45077</v>
      </c>
      <c r="I52" s="94" t="s">
        <v>267</v>
      </c>
      <c r="J52" s="92">
        <v>1100000</v>
      </c>
      <c r="K52" s="92">
        <f t="shared" si="45"/>
        <v>143000</v>
      </c>
      <c r="L52" s="91">
        <v>174</v>
      </c>
      <c r="M52" s="91">
        <v>32</v>
      </c>
      <c r="N52" s="223">
        <f t="shared" si="46"/>
        <v>202299</v>
      </c>
      <c r="O52" s="215">
        <f t="shared" si="47"/>
        <v>26299</v>
      </c>
      <c r="P52" s="106">
        <f t="shared" si="48"/>
        <v>0.18390804597701149</v>
      </c>
      <c r="Q52" s="112" t="s">
        <v>268</v>
      </c>
      <c r="R52" s="155">
        <v>0.13</v>
      </c>
      <c r="S52" s="106">
        <f t="shared" si="49"/>
        <v>-1.3584117034004528E-7</v>
      </c>
      <c r="T52" s="234" t="s">
        <v>416</v>
      </c>
      <c r="U52" s="203">
        <v>44977</v>
      </c>
      <c r="V52" s="205" t="s">
        <v>252</v>
      </c>
      <c r="W52" s="94"/>
      <c r="X52" s="94"/>
      <c r="Y52" s="94"/>
      <c r="Z52" s="76"/>
    </row>
    <row r="53" spans="1:29" s="42" customFormat="1" ht="15" customHeight="1" x14ac:dyDescent="0.25">
      <c r="A53" s="91" t="s">
        <v>394</v>
      </c>
      <c r="B53" s="91" t="s">
        <v>162</v>
      </c>
      <c r="C53" s="91" t="s">
        <v>163</v>
      </c>
      <c r="D53" s="91" t="s">
        <v>146</v>
      </c>
      <c r="E53" s="104" t="s">
        <v>139</v>
      </c>
      <c r="F53" s="95" t="s">
        <v>395</v>
      </c>
      <c r="G53" s="111">
        <v>45078</v>
      </c>
      <c r="H53" s="111">
        <v>45107</v>
      </c>
      <c r="I53" s="94" t="s">
        <v>267</v>
      </c>
      <c r="J53" s="92">
        <v>1100000</v>
      </c>
      <c r="K53" s="92">
        <f t="shared" si="45"/>
        <v>143000</v>
      </c>
      <c r="L53" s="91">
        <v>174</v>
      </c>
      <c r="M53" s="91">
        <v>32</v>
      </c>
      <c r="N53" s="223">
        <f t="shared" si="46"/>
        <v>202299</v>
      </c>
      <c r="O53" s="215">
        <f t="shared" si="47"/>
        <v>26299</v>
      </c>
      <c r="P53" s="106">
        <f t="shared" si="48"/>
        <v>0.18390804597701149</v>
      </c>
      <c r="Q53" s="112" t="s">
        <v>268</v>
      </c>
      <c r="R53" s="155">
        <v>0.13</v>
      </c>
      <c r="S53" s="106">
        <f t="shared" si="49"/>
        <v>-1.3584117034004528E-7</v>
      </c>
      <c r="T53" s="234" t="s">
        <v>416</v>
      </c>
      <c r="U53" s="203">
        <v>44977</v>
      </c>
      <c r="V53" s="205" t="s">
        <v>252</v>
      </c>
      <c r="W53" s="94"/>
      <c r="X53" s="94"/>
      <c r="Y53" s="94"/>
      <c r="Z53" s="76"/>
    </row>
    <row r="54" spans="1:29" s="42" customFormat="1" ht="15" customHeight="1" x14ac:dyDescent="0.25">
      <c r="A54" s="91" t="s">
        <v>16</v>
      </c>
      <c r="B54" s="91" t="s">
        <v>184</v>
      </c>
      <c r="C54" s="91" t="s">
        <v>187</v>
      </c>
      <c r="D54" s="91" t="s">
        <v>158</v>
      </c>
      <c r="E54" s="104" t="s">
        <v>139</v>
      </c>
      <c r="F54" s="95" t="s">
        <v>135</v>
      </c>
      <c r="G54" s="111">
        <v>44501</v>
      </c>
      <c r="H54" s="111">
        <v>44530</v>
      </c>
      <c r="I54" s="94" t="s">
        <v>248</v>
      </c>
      <c r="J54" s="92">
        <v>517500</v>
      </c>
      <c r="K54" s="92">
        <f t="shared" ref="K54:K55" si="50">ROUND(J54*0.155,0)</f>
        <v>80213</v>
      </c>
      <c r="L54" s="91">
        <v>174</v>
      </c>
      <c r="M54" s="91">
        <v>174</v>
      </c>
      <c r="N54" s="223">
        <v>517500</v>
      </c>
      <c r="O54" s="215">
        <f t="shared" ref="O54:O55" si="51">ROUND(N54*0.155,0)</f>
        <v>80213</v>
      </c>
      <c r="P54" s="106">
        <f t="shared" ref="P54:P61" si="52">M54/L54</f>
        <v>1</v>
      </c>
      <c r="Q54" s="112" t="s">
        <v>268</v>
      </c>
      <c r="R54" s="94"/>
      <c r="S54" s="106">
        <f t="shared" si="28"/>
        <v>0</v>
      </c>
      <c r="T54" s="234"/>
      <c r="U54" s="203"/>
      <c r="V54" s="205"/>
      <c r="W54" s="94" t="s">
        <v>252</v>
      </c>
      <c r="X54" s="94"/>
      <c r="Y54" s="94">
        <v>3</v>
      </c>
      <c r="Z54" s="76"/>
    </row>
    <row r="55" spans="1:29" s="42" customFormat="1" ht="15" customHeight="1" x14ac:dyDescent="0.25">
      <c r="A55" s="91" t="s">
        <v>16</v>
      </c>
      <c r="B55" s="91" t="s">
        <v>184</v>
      </c>
      <c r="C55" s="91" t="s">
        <v>187</v>
      </c>
      <c r="D55" s="91" t="s">
        <v>158</v>
      </c>
      <c r="E55" s="104" t="s">
        <v>139</v>
      </c>
      <c r="F55" s="95" t="s">
        <v>135</v>
      </c>
      <c r="G55" s="111">
        <v>44531</v>
      </c>
      <c r="H55" s="111">
        <v>44561</v>
      </c>
      <c r="I55" s="94" t="s">
        <v>248</v>
      </c>
      <c r="J55" s="92">
        <v>517500</v>
      </c>
      <c r="K55" s="92">
        <f t="shared" si="50"/>
        <v>80213</v>
      </c>
      <c r="L55" s="91">
        <v>174</v>
      </c>
      <c r="M55" s="91">
        <v>174</v>
      </c>
      <c r="N55" s="223">
        <v>517500</v>
      </c>
      <c r="O55" s="215">
        <f t="shared" si="51"/>
        <v>80213</v>
      </c>
      <c r="P55" s="106">
        <f t="shared" si="52"/>
        <v>1</v>
      </c>
      <c r="Q55" s="112" t="s">
        <v>268</v>
      </c>
      <c r="R55" s="94"/>
      <c r="S55" s="106">
        <f t="shared" si="28"/>
        <v>0</v>
      </c>
      <c r="T55" s="234"/>
      <c r="U55" s="203"/>
      <c r="V55" s="205"/>
      <c r="W55" s="94" t="s">
        <v>252</v>
      </c>
      <c r="X55" s="94"/>
      <c r="Y55" s="94">
        <v>3</v>
      </c>
      <c r="Z55" s="76"/>
    </row>
    <row r="56" spans="1:29" s="42" customFormat="1" ht="15" customHeight="1" x14ac:dyDescent="0.25">
      <c r="A56" s="91" t="s">
        <v>16</v>
      </c>
      <c r="B56" s="91" t="s">
        <v>184</v>
      </c>
      <c r="C56" s="91" t="s">
        <v>187</v>
      </c>
      <c r="D56" s="91" t="s">
        <v>158</v>
      </c>
      <c r="E56" s="104" t="s">
        <v>139</v>
      </c>
      <c r="F56" s="95" t="s">
        <v>135</v>
      </c>
      <c r="G56" s="111">
        <v>44562</v>
      </c>
      <c r="H56" s="111">
        <v>44592</v>
      </c>
      <c r="I56" s="94" t="s">
        <v>248</v>
      </c>
      <c r="J56" s="92">
        <v>566900</v>
      </c>
      <c r="K56" s="92">
        <f t="shared" ref="K56:K77" si="53">ROUND(J56*R56,0)</f>
        <v>73697</v>
      </c>
      <c r="L56" s="91">
        <v>174</v>
      </c>
      <c r="M56" s="91">
        <v>174</v>
      </c>
      <c r="N56" s="223">
        <v>566900</v>
      </c>
      <c r="O56" s="215">
        <f t="shared" ref="O56:O73" si="54">ROUND(N56*R56,0)</f>
        <v>73697</v>
      </c>
      <c r="P56" s="106">
        <f t="shared" si="52"/>
        <v>1</v>
      </c>
      <c r="Q56" s="112" t="s">
        <v>268</v>
      </c>
      <c r="R56" s="155">
        <v>0.13</v>
      </c>
      <c r="S56" s="106">
        <f t="shared" si="28"/>
        <v>0</v>
      </c>
      <c r="T56" s="234"/>
      <c r="U56" s="203"/>
      <c r="V56" s="94" t="s">
        <v>252</v>
      </c>
      <c r="W56" s="94" t="s">
        <v>252</v>
      </c>
      <c r="X56" s="94"/>
      <c r="Y56" s="94">
        <v>3</v>
      </c>
      <c r="Z56" s="76"/>
    </row>
    <row r="57" spans="1:29" s="42" customFormat="1" ht="15" customHeight="1" x14ac:dyDescent="0.25">
      <c r="A57" s="91" t="s">
        <v>16</v>
      </c>
      <c r="B57" s="91" t="s">
        <v>184</v>
      </c>
      <c r="C57" s="91" t="s">
        <v>187</v>
      </c>
      <c r="D57" s="91" t="s">
        <v>158</v>
      </c>
      <c r="E57" s="104" t="s">
        <v>139</v>
      </c>
      <c r="F57" s="95" t="s">
        <v>135</v>
      </c>
      <c r="G57" s="111">
        <v>44593</v>
      </c>
      <c r="H57" s="111">
        <v>44620</v>
      </c>
      <c r="I57" s="94" t="s">
        <v>248</v>
      </c>
      <c r="J57" s="92">
        <v>566900</v>
      </c>
      <c r="K57" s="92">
        <f t="shared" si="53"/>
        <v>73697</v>
      </c>
      <c r="L57" s="91">
        <v>174</v>
      </c>
      <c r="M57" s="91">
        <v>174</v>
      </c>
      <c r="N57" s="223">
        <v>566900</v>
      </c>
      <c r="O57" s="215">
        <f t="shared" si="54"/>
        <v>73697</v>
      </c>
      <c r="P57" s="106">
        <f t="shared" si="52"/>
        <v>1</v>
      </c>
      <c r="Q57" s="112" t="s">
        <v>268</v>
      </c>
      <c r="R57" s="155">
        <v>0.13</v>
      </c>
      <c r="S57" s="106">
        <f t="shared" si="28"/>
        <v>0</v>
      </c>
      <c r="T57" s="234"/>
      <c r="U57" s="203"/>
      <c r="V57" s="94" t="s">
        <v>252</v>
      </c>
      <c r="W57" s="94" t="s">
        <v>252</v>
      </c>
      <c r="X57" s="94"/>
      <c r="Y57" s="94">
        <v>3</v>
      </c>
      <c r="Z57" s="76"/>
    </row>
    <row r="58" spans="1:29" s="42" customFormat="1" ht="15" customHeight="1" x14ac:dyDescent="0.25">
      <c r="A58" s="91" t="s">
        <v>16</v>
      </c>
      <c r="B58" s="91" t="s">
        <v>184</v>
      </c>
      <c r="C58" s="91" t="s">
        <v>187</v>
      </c>
      <c r="D58" s="91" t="s">
        <v>158</v>
      </c>
      <c r="E58" s="104" t="s">
        <v>139</v>
      </c>
      <c r="F58" s="95" t="s">
        <v>135</v>
      </c>
      <c r="G58" s="111">
        <v>44621</v>
      </c>
      <c r="H58" s="111">
        <v>44651</v>
      </c>
      <c r="I58" s="94" t="s">
        <v>248</v>
      </c>
      <c r="J58" s="92">
        <v>566900</v>
      </c>
      <c r="K58" s="92">
        <f t="shared" si="53"/>
        <v>73697</v>
      </c>
      <c r="L58" s="91">
        <v>174</v>
      </c>
      <c r="M58" s="91">
        <v>174</v>
      </c>
      <c r="N58" s="223">
        <v>566900</v>
      </c>
      <c r="O58" s="215">
        <f t="shared" si="54"/>
        <v>73697</v>
      </c>
      <c r="P58" s="106">
        <f t="shared" si="52"/>
        <v>1</v>
      </c>
      <c r="Q58" s="112" t="s">
        <v>268</v>
      </c>
      <c r="R58" s="155">
        <v>0.13</v>
      </c>
      <c r="S58" s="106">
        <f t="shared" si="28"/>
        <v>0</v>
      </c>
      <c r="T58" s="234"/>
      <c r="U58" s="203"/>
      <c r="V58" s="94" t="s">
        <v>252</v>
      </c>
      <c r="W58" s="94" t="s">
        <v>252</v>
      </c>
      <c r="X58" s="94"/>
      <c r="Y58" s="94">
        <v>3</v>
      </c>
      <c r="Z58" s="76"/>
    </row>
    <row r="59" spans="1:29" s="42" customFormat="1" ht="15" customHeight="1" x14ac:dyDescent="0.25">
      <c r="A59" s="91" t="s">
        <v>16</v>
      </c>
      <c r="B59" s="91" t="s">
        <v>184</v>
      </c>
      <c r="C59" s="91" t="s">
        <v>187</v>
      </c>
      <c r="D59" s="91" t="s">
        <v>158</v>
      </c>
      <c r="E59" s="104" t="s">
        <v>139</v>
      </c>
      <c r="F59" s="95" t="s">
        <v>135</v>
      </c>
      <c r="G59" s="111">
        <v>44652</v>
      </c>
      <c r="H59" s="111">
        <v>44681</v>
      </c>
      <c r="I59" s="94" t="s">
        <v>248</v>
      </c>
      <c r="J59" s="92">
        <v>566900</v>
      </c>
      <c r="K59" s="92">
        <f t="shared" si="53"/>
        <v>73697</v>
      </c>
      <c r="L59" s="91">
        <v>174</v>
      </c>
      <c r="M59" s="91">
        <v>174</v>
      </c>
      <c r="N59" s="223">
        <v>566900</v>
      </c>
      <c r="O59" s="215">
        <f t="shared" si="54"/>
        <v>73697</v>
      </c>
      <c r="P59" s="106">
        <f t="shared" si="52"/>
        <v>1</v>
      </c>
      <c r="Q59" s="112" t="s">
        <v>268</v>
      </c>
      <c r="R59" s="155">
        <v>0.13</v>
      </c>
      <c r="S59" s="106">
        <f t="shared" si="28"/>
        <v>0</v>
      </c>
      <c r="T59" s="234"/>
      <c r="U59" s="203"/>
      <c r="V59" s="94" t="s">
        <v>252</v>
      </c>
      <c r="W59" s="94" t="s">
        <v>252</v>
      </c>
      <c r="X59" s="94"/>
      <c r="Y59" s="94">
        <v>3</v>
      </c>
      <c r="Z59" s="76"/>
    </row>
    <row r="60" spans="1:29" s="42" customFormat="1" ht="15" customHeight="1" x14ac:dyDescent="0.25">
      <c r="A60" s="91" t="s">
        <v>16</v>
      </c>
      <c r="B60" s="91" t="s">
        <v>184</v>
      </c>
      <c r="C60" s="91" t="s">
        <v>187</v>
      </c>
      <c r="D60" s="91" t="s">
        <v>158</v>
      </c>
      <c r="E60" s="104" t="s">
        <v>139</v>
      </c>
      <c r="F60" s="95" t="s">
        <v>135</v>
      </c>
      <c r="G60" s="111">
        <v>44682</v>
      </c>
      <c r="H60" s="111">
        <v>44712</v>
      </c>
      <c r="I60" s="94" t="s">
        <v>248</v>
      </c>
      <c r="J60" s="92">
        <v>566900</v>
      </c>
      <c r="K60" s="92">
        <f t="shared" si="53"/>
        <v>73697</v>
      </c>
      <c r="L60" s="91">
        <v>174</v>
      </c>
      <c r="M60" s="91">
        <v>174</v>
      </c>
      <c r="N60" s="223">
        <v>566900</v>
      </c>
      <c r="O60" s="215">
        <f t="shared" si="54"/>
        <v>73697</v>
      </c>
      <c r="P60" s="106">
        <f t="shared" si="52"/>
        <v>1</v>
      </c>
      <c r="Q60" s="112" t="s">
        <v>268</v>
      </c>
      <c r="R60" s="155">
        <v>0.13</v>
      </c>
      <c r="S60" s="106">
        <f t="shared" si="28"/>
        <v>0</v>
      </c>
      <c r="T60" s="234"/>
      <c r="U60" s="203"/>
      <c r="V60" s="94" t="s">
        <v>252</v>
      </c>
      <c r="W60" s="94" t="s">
        <v>252</v>
      </c>
      <c r="X60" s="94"/>
      <c r="Y60" s="94">
        <v>3</v>
      </c>
      <c r="Z60" s="76"/>
    </row>
    <row r="61" spans="1:29" s="42" customFormat="1" ht="15" customHeight="1" x14ac:dyDescent="0.25">
      <c r="A61" s="91" t="s">
        <v>16</v>
      </c>
      <c r="B61" s="91" t="s">
        <v>184</v>
      </c>
      <c r="C61" s="91" t="s">
        <v>187</v>
      </c>
      <c r="D61" s="91" t="s">
        <v>158</v>
      </c>
      <c r="E61" s="104" t="s">
        <v>139</v>
      </c>
      <c r="F61" s="95" t="s">
        <v>135</v>
      </c>
      <c r="G61" s="111">
        <v>44713</v>
      </c>
      <c r="H61" s="111">
        <v>44742</v>
      </c>
      <c r="I61" s="94" t="s">
        <v>248</v>
      </c>
      <c r="J61" s="92">
        <v>566899</v>
      </c>
      <c r="K61" s="92">
        <f t="shared" si="53"/>
        <v>73697</v>
      </c>
      <c r="L61" s="91">
        <v>174</v>
      </c>
      <c r="M61" s="91">
        <v>174</v>
      </c>
      <c r="N61" s="223">
        <v>566900</v>
      </c>
      <c r="O61" s="215">
        <f t="shared" si="54"/>
        <v>73697</v>
      </c>
      <c r="P61" s="106">
        <f t="shared" si="52"/>
        <v>1</v>
      </c>
      <c r="Q61" s="112" t="s">
        <v>268</v>
      </c>
      <c r="R61" s="155">
        <v>0.13</v>
      </c>
      <c r="S61" s="106">
        <f t="shared" si="28"/>
        <v>-1.7639826495052802E-6</v>
      </c>
      <c r="T61" s="234"/>
      <c r="U61" s="203"/>
      <c r="V61" s="94" t="s">
        <v>252</v>
      </c>
      <c r="W61" s="94" t="s">
        <v>252</v>
      </c>
      <c r="X61" s="94"/>
      <c r="Y61" s="94">
        <v>3</v>
      </c>
      <c r="Z61" s="76"/>
    </row>
    <row r="62" spans="1:29" s="42" customFormat="1" ht="15" customHeight="1" x14ac:dyDescent="0.25">
      <c r="A62" s="91" t="s">
        <v>16</v>
      </c>
      <c r="B62" s="91" t="s">
        <v>184</v>
      </c>
      <c r="C62" s="91" t="s">
        <v>187</v>
      </c>
      <c r="D62" s="91" t="s">
        <v>158</v>
      </c>
      <c r="E62" s="104" t="s">
        <v>139</v>
      </c>
      <c r="F62" s="95" t="s">
        <v>135</v>
      </c>
      <c r="G62" s="111">
        <v>44743</v>
      </c>
      <c r="H62" s="111">
        <v>44773</v>
      </c>
      <c r="I62" s="94" t="s">
        <v>248</v>
      </c>
      <c r="J62" s="92">
        <v>404929</v>
      </c>
      <c r="K62" s="92">
        <f t="shared" si="53"/>
        <v>52641</v>
      </c>
      <c r="L62" s="91">
        <v>174</v>
      </c>
      <c r="M62" s="91">
        <v>164</v>
      </c>
      <c r="N62" s="223">
        <f t="shared" ref="N62:N89" si="55">ROUND(J62*P62,0)</f>
        <v>381657</v>
      </c>
      <c r="O62" s="215">
        <f t="shared" si="54"/>
        <v>49615</v>
      </c>
      <c r="P62" s="106">
        <f t="shared" ref="P62" si="56">M62/L62</f>
        <v>0.94252873563218387</v>
      </c>
      <c r="Q62" s="112" t="s">
        <v>268</v>
      </c>
      <c r="R62" s="155">
        <v>0.13</v>
      </c>
      <c r="S62" s="106">
        <f t="shared" si="28"/>
        <v>5.3933110388815209E-7</v>
      </c>
      <c r="T62" s="234"/>
      <c r="U62" s="203">
        <v>44725</v>
      </c>
      <c r="V62" s="94" t="s">
        <v>252</v>
      </c>
      <c r="W62" s="94"/>
      <c r="X62" s="94"/>
      <c r="Y62" s="94">
        <v>3</v>
      </c>
      <c r="Z62" s="76"/>
    </row>
    <row r="63" spans="1:29" s="42" customFormat="1" ht="15" customHeight="1" x14ac:dyDescent="0.25">
      <c r="A63" s="91" t="s">
        <v>16</v>
      </c>
      <c r="B63" s="91" t="s">
        <v>184</v>
      </c>
      <c r="C63" s="91" t="s">
        <v>187</v>
      </c>
      <c r="D63" s="91" t="s">
        <v>158</v>
      </c>
      <c r="E63" s="104" t="s">
        <v>139</v>
      </c>
      <c r="F63" s="95" t="s">
        <v>135</v>
      </c>
      <c r="G63" s="111">
        <v>44774</v>
      </c>
      <c r="H63" s="111">
        <v>44804</v>
      </c>
      <c r="I63" s="94" t="s">
        <v>248</v>
      </c>
      <c r="J63" s="92">
        <v>443661</v>
      </c>
      <c r="K63" s="92">
        <f t="shared" si="53"/>
        <v>57676</v>
      </c>
      <c r="L63" s="91">
        <v>174</v>
      </c>
      <c r="M63" s="91">
        <v>164</v>
      </c>
      <c r="N63" s="223">
        <f t="shared" si="55"/>
        <v>418163</v>
      </c>
      <c r="O63" s="215">
        <f t="shared" si="54"/>
        <v>54361</v>
      </c>
      <c r="P63" s="106">
        <f t="shared" ref="P63:P74" si="57">M63/L63</f>
        <v>0.94252873563218387</v>
      </c>
      <c r="Q63" s="112" t="s">
        <v>268</v>
      </c>
      <c r="R63" s="155">
        <v>0.13</v>
      </c>
      <c r="S63" s="106">
        <f t="shared" si="28"/>
        <v>5.4406249438976317E-7</v>
      </c>
      <c r="T63" s="234"/>
      <c r="U63" s="203">
        <v>44725</v>
      </c>
      <c r="V63" s="94" t="s">
        <v>252</v>
      </c>
      <c r="W63" s="94"/>
      <c r="X63" s="94"/>
      <c r="Y63" s="94">
        <v>3</v>
      </c>
      <c r="Z63" s="76"/>
    </row>
    <row r="64" spans="1:29" s="42" customFormat="1" ht="15" customHeight="1" x14ac:dyDescent="0.25">
      <c r="A64" s="91" t="s">
        <v>16</v>
      </c>
      <c r="B64" s="91" t="s">
        <v>184</v>
      </c>
      <c r="C64" s="91" t="s">
        <v>187</v>
      </c>
      <c r="D64" s="91" t="s">
        <v>158</v>
      </c>
      <c r="E64" s="104" t="s">
        <v>139</v>
      </c>
      <c r="F64" s="95" t="s">
        <v>135</v>
      </c>
      <c r="G64" s="111">
        <v>44805</v>
      </c>
      <c r="H64" s="111">
        <v>44834</v>
      </c>
      <c r="I64" s="94" t="s">
        <v>248</v>
      </c>
      <c r="J64" s="92">
        <v>566900</v>
      </c>
      <c r="K64" s="92">
        <f t="shared" si="53"/>
        <v>73697</v>
      </c>
      <c r="L64" s="91">
        <v>174</v>
      </c>
      <c r="M64" s="91">
        <v>164</v>
      </c>
      <c r="N64" s="223">
        <f t="shared" si="55"/>
        <v>534320</v>
      </c>
      <c r="O64" s="215">
        <f t="shared" si="54"/>
        <v>69462</v>
      </c>
      <c r="P64" s="106">
        <f t="shared" si="57"/>
        <v>0.94252873563218387</v>
      </c>
      <c r="Q64" s="112" t="s">
        <v>268</v>
      </c>
      <c r="R64" s="155">
        <v>0.13</v>
      </c>
      <c r="S64" s="106">
        <f t="shared" si="28"/>
        <v>-8.1102507487607056E-7</v>
      </c>
      <c r="T64" s="234"/>
      <c r="U64" s="203">
        <v>44725</v>
      </c>
      <c r="V64" s="94" t="s">
        <v>252</v>
      </c>
      <c r="W64" s="94"/>
      <c r="X64" s="94"/>
      <c r="Y64" s="94">
        <v>3</v>
      </c>
      <c r="Z64" s="76"/>
    </row>
    <row r="65" spans="1:29" s="42" customFormat="1" ht="15" customHeight="1" x14ac:dyDescent="0.25">
      <c r="A65" s="91" t="s">
        <v>16</v>
      </c>
      <c r="B65" s="91" t="s">
        <v>184</v>
      </c>
      <c r="C65" s="91" t="s">
        <v>187</v>
      </c>
      <c r="D65" s="91" t="s">
        <v>158</v>
      </c>
      <c r="E65" s="104" t="s">
        <v>139</v>
      </c>
      <c r="F65" s="95" t="s">
        <v>135</v>
      </c>
      <c r="G65" s="111">
        <v>44835</v>
      </c>
      <c r="H65" s="111">
        <v>44865</v>
      </c>
      <c r="I65" s="94" t="s">
        <v>248</v>
      </c>
      <c r="J65" s="92">
        <v>566900</v>
      </c>
      <c r="K65" s="92">
        <f t="shared" si="53"/>
        <v>73697</v>
      </c>
      <c r="L65" s="91">
        <v>174</v>
      </c>
      <c r="M65" s="91">
        <v>164</v>
      </c>
      <c r="N65" s="223">
        <f t="shared" si="55"/>
        <v>534320</v>
      </c>
      <c r="O65" s="215">
        <f t="shared" si="54"/>
        <v>69462</v>
      </c>
      <c r="P65" s="106">
        <f t="shared" si="57"/>
        <v>0.94252873563218387</v>
      </c>
      <c r="Q65" s="112" t="s">
        <v>268</v>
      </c>
      <c r="R65" s="155">
        <v>0.13</v>
      </c>
      <c r="S65" s="106">
        <f t="shared" si="28"/>
        <v>-8.1102507487607056E-7</v>
      </c>
      <c r="T65" s="234"/>
      <c r="U65" s="203">
        <v>44725</v>
      </c>
      <c r="V65" s="94" t="s">
        <v>252</v>
      </c>
      <c r="W65" s="94"/>
      <c r="X65" s="94"/>
      <c r="Y65" s="94">
        <v>3</v>
      </c>
      <c r="Z65" s="76"/>
    </row>
    <row r="66" spans="1:29" s="42" customFormat="1" ht="15" customHeight="1" x14ac:dyDescent="0.25">
      <c r="A66" s="91" t="s">
        <v>16</v>
      </c>
      <c r="B66" s="91" t="s">
        <v>184</v>
      </c>
      <c r="C66" s="91" t="s">
        <v>187</v>
      </c>
      <c r="D66" s="91" t="s">
        <v>158</v>
      </c>
      <c r="E66" s="104" t="s">
        <v>139</v>
      </c>
      <c r="F66" s="95" t="s">
        <v>135</v>
      </c>
      <c r="G66" s="111">
        <v>44866</v>
      </c>
      <c r="H66" s="111">
        <v>44895</v>
      </c>
      <c r="I66" s="94" t="s">
        <v>248</v>
      </c>
      <c r="J66" s="92">
        <v>566900</v>
      </c>
      <c r="K66" s="92">
        <f t="shared" si="53"/>
        <v>73697</v>
      </c>
      <c r="L66" s="91">
        <v>174</v>
      </c>
      <c r="M66" s="91">
        <v>164</v>
      </c>
      <c r="N66" s="223">
        <f t="shared" si="55"/>
        <v>534320</v>
      </c>
      <c r="O66" s="215">
        <f t="shared" si="54"/>
        <v>69462</v>
      </c>
      <c r="P66" s="106">
        <f t="shared" si="57"/>
        <v>0.94252873563218387</v>
      </c>
      <c r="Q66" s="112" t="s">
        <v>268</v>
      </c>
      <c r="R66" s="155">
        <v>0.13</v>
      </c>
      <c r="S66" s="106">
        <f t="shared" si="28"/>
        <v>-8.1102507487607056E-7</v>
      </c>
      <c r="T66" s="234" t="s">
        <v>378</v>
      </c>
      <c r="U66" s="203">
        <v>44725</v>
      </c>
      <c r="V66" s="94" t="s">
        <v>252</v>
      </c>
      <c r="W66" s="94"/>
      <c r="X66" s="94"/>
      <c r="Y66" s="94"/>
      <c r="Z66" s="76"/>
      <c r="AA66" s="42" t="s">
        <v>408</v>
      </c>
      <c r="AB66" s="42" t="s">
        <v>408</v>
      </c>
      <c r="AC66" s="42" t="s">
        <v>408</v>
      </c>
    </row>
    <row r="67" spans="1:29" s="42" customFormat="1" ht="15" customHeight="1" x14ac:dyDescent="0.25">
      <c r="A67" s="91" t="s">
        <v>16</v>
      </c>
      <c r="B67" s="91" t="s">
        <v>184</v>
      </c>
      <c r="C67" s="91" t="s">
        <v>187</v>
      </c>
      <c r="D67" s="91" t="s">
        <v>158</v>
      </c>
      <c r="E67" s="104" t="s">
        <v>139</v>
      </c>
      <c r="F67" s="95" t="s">
        <v>135</v>
      </c>
      <c r="G67" s="111">
        <v>44896</v>
      </c>
      <c r="H67" s="111">
        <v>44926</v>
      </c>
      <c r="I67" s="94" t="s">
        <v>248</v>
      </c>
      <c r="J67" s="92">
        <v>566899</v>
      </c>
      <c r="K67" s="92">
        <f t="shared" si="53"/>
        <v>73697</v>
      </c>
      <c r="L67" s="91">
        <v>174</v>
      </c>
      <c r="M67" s="91">
        <v>164</v>
      </c>
      <c r="N67" s="223">
        <f t="shared" si="55"/>
        <v>534319</v>
      </c>
      <c r="O67" s="215">
        <f t="shared" si="54"/>
        <v>69461</v>
      </c>
      <c r="P67" s="106">
        <f t="shared" si="57"/>
        <v>0.94252873563218387</v>
      </c>
      <c r="Q67" s="112" t="s">
        <v>268</v>
      </c>
      <c r="R67" s="155">
        <v>0.13</v>
      </c>
      <c r="S67" s="106">
        <f t="shared" si="28"/>
        <v>-7.0964819232077758E-7</v>
      </c>
      <c r="T67" s="234" t="s">
        <v>378</v>
      </c>
      <c r="U67" s="203">
        <v>44725</v>
      </c>
      <c r="V67" s="94" t="s">
        <v>252</v>
      </c>
      <c r="W67" s="94"/>
      <c r="X67" s="94"/>
      <c r="Y67" s="94"/>
      <c r="Z67" s="76"/>
      <c r="AA67" s="42" t="s">
        <v>408</v>
      </c>
      <c r="AB67" s="42" t="s">
        <v>408</v>
      </c>
      <c r="AC67" s="42" t="s">
        <v>408</v>
      </c>
    </row>
    <row r="68" spans="1:29" s="42" customFormat="1" ht="15" customHeight="1" x14ac:dyDescent="0.25">
      <c r="A68" s="91" t="s">
        <v>16</v>
      </c>
      <c r="B68" s="91" t="s">
        <v>184</v>
      </c>
      <c r="C68" s="91" t="s">
        <v>187</v>
      </c>
      <c r="D68" s="91" t="s">
        <v>158</v>
      </c>
      <c r="E68" s="104" t="s">
        <v>139</v>
      </c>
      <c r="F68" s="95" t="s">
        <v>135</v>
      </c>
      <c r="G68" s="111">
        <v>44927</v>
      </c>
      <c r="H68" s="111">
        <v>44957</v>
      </c>
      <c r="I68" s="94" t="s">
        <v>248</v>
      </c>
      <c r="J68" s="92">
        <v>640599</v>
      </c>
      <c r="K68" s="92">
        <f t="shared" si="53"/>
        <v>83278</v>
      </c>
      <c r="L68" s="91">
        <v>174</v>
      </c>
      <c r="M68" s="91">
        <v>164</v>
      </c>
      <c r="N68" s="223">
        <f t="shared" si="55"/>
        <v>603783</v>
      </c>
      <c r="O68" s="215">
        <f t="shared" si="54"/>
        <v>78492</v>
      </c>
      <c r="P68" s="106">
        <f t="shared" ref="P68" si="58">M68/L68</f>
        <v>0.94252873563218387</v>
      </c>
      <c r="Q68" s="112" t="s">
        <v>268</v>
      </c>
      <c r="R68" s="155">
        <v>0.13</v>
      </c>
      <c r="S68" s="106">
        <f t="shared" si="28"/>
        <v>-5.3828929869048636E-8</v>
      </c>
      <c r="T68" s="234" t="s">
        <v>378</v>
      </c>
      <c r="U68" s="203">
        <v>44936</v>
      </c>
      <c r="V68" s="94" t="s">
        <v>252</v>
      </c>
      <c r="W68" s="94"/>
      <c r="X68" s="94"/>
      <c r="Y68" s="94"/>
      <c r="Z68" s="76"/>
      <c r="AA68" s="42" t="s">
        <v>408</v>
      </c>
      <c r="AB68" s="42">
        <v>0</v>
      </c>
      <c r="AC68" s="42">
        <v>0</v>
      </c>
    </row>
    <row r="69" spans="1:29" s="42" customFormat="1" ht="15" customHeight="1" x14ac:dyDescent="0.25">
      <c r="A69" s="91" t="s">
        <v>16</v>
      </c>
      <c r="B69" s="91" t="s">
        <v>184</v>
      </c>
      <c r="C69" s="91" t="s">
        <v>187</v>
      </c>
      <c r="D69" s="91" t="s">
        <v>158</v>
      </c>
      <c r="E69" s="104" t="s">
        <v>139</v>
      </c>
      <c r="F69" s="95" t="s">
        <v>430</v>
      </c>
      <c r="G69" s="111">
        <v>44958</v>
      </c>
      <c r="H69" s="111">
        <v>44985</v>
      </c>
      <c r="I69" s="94" t="s">
        <v>248</v>
      </c>
      <c r="J69" s="92">
        <v>640600</v>
      </c>
      <c r="K69" s="92">
        <f t="shared" si="53"/>
        <v>83278</v>
      </c>
      <c r="L69" s="91">
        <v>174</v>
      </c>
      <c r="M69" s="91">
        <v>164</v>
      </c>
      <c r="N69" s="223">
        <f t="shared" si="55"/>
        <v>603784</v>
      </c>
      <c r="O69" s="215">
        <f t="shared" si="54"/>
        <v>78492</v>
      </c>
      <c r="P69" s="106">
        <f t="shared" ref="P69:P73" si="59">M69/L69</f>
        <v>0.94252873563218387</v>
      </c>
      <c r="Q69" s="112" t="s">
        <v>268</v>
      </c>
      <c r="R69" s="155">
        <v>0.13</v>
      </c>
      <c r="S69" s="106">
        <f t="shared" si="28"/>
        <v>-1.4354358879309359E-7</v>
      </c>
      <c r="T69" s="234" t="s">
        <v>378</v>
      </c>
      <c r="U69" s="203">
        <v>44936</v>
      </c>
      <c r="V69" s="94" t="s">
        <v>252</v>
      </c>
      <c r="W69" s="94"/>
      <c r="X69" s="94"/>
      <c r="Y69" s="94"/>
      <c r="Z69" s="76"/>
      <c r="AA69" s="42" t="s">
        <v>408</v>
      </c>
      <c r="AB69" s="42">
        <v>0</v>
      </c>
      <c r="AC69" s="239">
        <v>58958</v>
      </c>
    </row>
    <row r="70" spans="1:29" s="42" customFormat="1" ht="15" customHeight="1" x14ac:dyDescent="0.25">
      <c r="A70" s="91" t="s">
        <v>16</v>
      </c>
      <c r="B70" s="91" t="s">
        <v>184</v>
      </c>
      <c r="C70" s="91" t="s">
        <v>187</v>
      </c>
      <c r="D70" s="91" t="s">
        <v>158</v>
      </c>
      <c r="E70" s="104" t="s">
        <v>139</v>
      </c>
      <c r="F70" s="95" t="s">
        <v>430</v>
      </c>
      <c r="G70" s="111">
        <v>44986</v>
      </c>
      <c r="H70" s="111">
        <v>45016</v>
      </c>
      <c r="I70" s="94" t="s">
        <v>248</v>
      </c>
      <c r="J70" s="92">
        <v>640600</v>
      </c>
      <c r="K70" s="92">
        <f t="shared" si="53"/>
        <v>83278</v>
      </c>
      <c r="L70" s="91">
        <v>174</v>
      </c>
      <c r="M70" s="91">
        <v>164</v>
      </c>
      <c r="N70" s="223">
        <f t="shared" si="55"/>
        <v>603784</v>
      </c>
      <c r="O70" s="215">
        <f t="shared" si="54"/>
        <v>78492</v>
      </c>
      <c r="P70" s="106">
        <f t="shared" si="59"/>
        <v>0.94252873563218387</v>
      </c>
      <c r="Q70" s="112" t="s">
        <v>268</v>
      </c>
      <c r="R70" s="155">
        <v>0.13</v>
      </c>
      <c r="S70" s="106">
        <f t="shared" si="28"/>
        <v>-1.4354358879309359E-7</v>
      </c>
      <c r="T70" s="234" t="s">
        <v>378</v>
      </c>
      <c r="U70" s="203">
        <v>44936</v>
      </c>
      <c r="V70" s="94" t="s">
        <v>252</v>
      </c>
      <c r="W70" s="94"/>
      <c r="X70" s="94"/>
      <c r="Y70" s="94"/>
      <c r="Z70" s="76"/>
      <c r="AA70" s="42" t="s">
        <v>408</v>
      </c>
      <c r="AB70" s="42">
        <v>0</v>
      </c>
      <c r="AC70" s="42">
        <v>58958</v>
      </c>
    </row>
    <row r="71" spans="1:29" s="42" customFormat="1" ht="15" customHeight="1" x14ac:dyDescent="0.25">
      <c r="A71" s="91" t="s">
        <v>16</v>
      </c>
      <c r="B71" s="91" t="s">
        <v>184</v>
      </c>
      <c r="C71" s="91" t="s">
        <v>187</v>
      </c>
      <c r="D71" s="91" t="s">
        <v>158</v>
      </c>
      <c r="E71" s="104" t="s">
        <v>139</v>
      </c>
      <c r="F71" s="95" t="s">
        <v>430</v>
      </c>
      <c r="G71" s="111">
        <v>45017</v>
      </c>
      <c r="H71" s="111">
        <v>45046</v>
      </c>
      <c r="I71" s="94" t="s">
        <v>248</v>
      </c>
      <c r="J71" s="92">
        <v>640600</v>
      </c>
      <c r="K71" s="92">
        <f t="shared" si="53"/>
        <v>83278</v>
      </c>
      <c r="L71" s="91">
        <v>174</v>
      </c>
      <c r="M71" s="91">
        <v>164</v>
      </c>
      <c r="N71" s="223">
        <f t="shared" si="55"/>
        <v>603784</v>
      </c>
      <c r="O71" s="215">
        <f t="shared" si="54"/>
        <v>78492</v>
      </c>
      <c r="P71" s="106">
        <f t="shared" si="59"/>
        <v>0.94252873563218387</v>
      </c>
      <c r="Q71" s="112" t="s">
        <v>268</v>
      </c>
      <c r="R71" s="155">
        <v>0.13</v>
      </c>
      <c r="S71" s="106">
        <f t="shared" si="28"/>
        <v>-1.4354358879309359E-7</v>
      </c>
      <c r="T71" s="234" t="s">
        <v>378</v>
      </c>
      <c r="U71" s="203">
        <v>44936</v>
      </c>
      <c r="V71" s="94" t="s">
        <v>252</v>
      </c>
      <c r="W71" s="94"/>
      <c r="X71" s="94"/>
      <c r="Y71" s="94"/>
      <c r="Z71" s="76"/>
      <c r="AA71" s="42" t="s">
        <v>408</v>
      </c>
      <c r="AB71" s="42">
        <v>0</v>
      </c>
      <c r="AC71" s="239">
        <v>58958</v>
      </c>
    </row>
    <row r="72" spans="1:29" s="42" customFormat="1" ht="15" customHeight="1" x14ac:dyDescent="0.25">
      <c r="A72" s="91" t="s">
        <v>16</v>
      </c>
      <c r="B72" s="91" t="s">
        <v>184</v>
      </c>
      <c r="C72" s="91" t="s">
        <v>187</v>
      </c>
      <c r="D72" s="91" t="s">
        <v>158</v>
      </c>
      <c r="E72" s="104" t="s">
        <v>139</v>
      </c>
      <c r="F72" s="95" t="s">
        <v>430</v>
      </c>
      <c r="G72" s="111">
        <v>45047</v>
      </c>
      <c r="H72" s="111">
        <v>45077</v>
      </c>
      <c r="I72" s="94" t="s">
        <v>267</v>
      </c>
      <c r="J72" s="92">
        <v>640600</v>
      </c>
      <c r="K72" s="92">
        <f t="shared" si="53"/>
        <v>83278</v>
      </c>
      <c r="L72" s="91">
        <v>174</v>
      </c>
      <c r="M72" s="91">
        <v>164</v>
      </c>
      <c r="N72" s="223">
        <f t="shared" si="55"/>
        <v>603784</v>
      </c>
      <c r="O72" s="215">
        <f t="shared" si="54"/>
        <v>78492</v>
      </c>
      <c r="P72" s="106">
        <f t="shared" si="59"/>
        <v>0.94252873563218387</v>
      </c>
      <c r="Q72" s="112" t="s">
        <v>268</v>
      </c>
      <c r="R72" s="155">
        <v>0.13</v>
      </c>
      <c r="S72" s="106">
        <f t="shared" si="28"/>
        <v>-1.4354358879309359E-7</v>
      </c>
      <c r="T72" s="234" t="s">
        <v>378</v>
      </c>
      <c r="U72" s="203">
        <v>44936</v>
      </c>
      <c r="V72" s="94" t="s">
        <v>252</v>
      </c>
      <c r="W72" s="94"/>
      <c r="X72" s="94"/>
      <c r="Y72" s="94"/>
      <c r="Z72" s="76"/>
    </row>
    <row r="73" spans="1:29" s="42" customFormat="1" ht="15" customHeight="1" x14ac:dyDescent="0.25">
      <c r="A73" s="91" t="s">
        <v>16</v>
      </c>
      <c r="B73" s="91" t="s">
        <v>184</v>
      </c>
      <c r="C73" s="91" t="s">
        <v>187</v>
      </c>
      <c r="D73" s="91" t="s">
        <v>158</v>
      </c>
      <c r="E73" s="104" t="s">
        <v>139</v>
      </c>
      <c r="F73" s="95" t="s">
        <v>430</v>
      </c>
      <c r="G73" s="111">
        <v>45078</v>
      </c>
      <c r="H73" s="111">
        <v>45107</v>
      </c>
      <c r="I73" s="94" t="s">
        <v>267</v>
      </c>
      <c r="J73" s="92">
        <v>640600</v>
      </c>
      <c r="K73" s="92">
        <f t="shared" si="53"/>
        <v>83278</v>
      </c>
      <c r="L73" s="91">
        <v>174</v>
      </c>
      <c r="M73" s="91">
        <v>164</v>
      </c>
      <c r="N73" s="223">
        <f t="shared" si="55"/>
        <v>603784</v>
      </c>
      <c r="O73" s="215">
        <f t="shared" si="54"/>
        <v>78492</v>
      </c>
      <c r="P73" s="106">
        <f t="shared" si="59"/>
        <v>0.94252873563218387</v>
      </c>
      <c r="Q73" s="112" t="s">
        <v>268</v>
      </c>
      <c r="R73" s="155">
        <v>0.13</v>
      </c>
      <c r="S73" s="106">
        <f t="shared" si="28"/>
        <v>-1.4354358879309359E-7</v>
      </c>
      <c r="T73" s="234" t="s">
        <v>378</v>
      </c>
      <c r="U73" s="203">
        <v>44936</v>
      </c>
      <c r="V73" s="94" t="s">
        <v>252</v>
      </c>
      <c r="W73" s="94"/>
      <c r="X73" s="94"/>
      <c r="Y73" s="94"/>
      <c r="Z73" s="76"/>
    </row>
    <row r="74" spans="1:29" s="42" customFormat="1" ht="15" customHeight="1" x14ac:dyDescent="0.25">
      <c r="A74" s="91" t="s">
        <v>307</v>
      </c>
      <c r="B74" s="91" t="s">
        <v>62</v>
      </c>
      <c r="C74" s="91" t="s">
        <v>98</v>
      </c>
      <c r="D74" s="91" t="s">
        <v>150</v>
      </c>
      <c r="E74" s="104" t="s">
        <v>139</v>
      </c>
      <c r="F74" s="95" t="s">
        <v>308</v>
      </c>
      <c r="G74" s="111">
        <v>44743</v>
      </c>
      <c r="H74" s="111">
        <v>44773</v>
      </c>
      <c r="I74" s="94" t="s">
        <v>248</v>
      </c>
      <c r="J74" s="92">
        <v>485714</v>
      </c>
      <c r="K74" s="92">
        <f t="shared" si="53"/>
        <v>63143</v>
      </c>
      <c r="L74" s="91">
        <v>174</v>
      </c>
      <c r="M74" s="91">
        <v>100</v>
      </c>
      <c r="N74" s="223">
        <f t="shared" si="55"/>
        <v>279146</v>
      </c>
      <c r="O74" s="215">
        <v>21347</v>
      </c>
      <c r="P74" s="106">
        <f t="shared" si="57"/>
        <v>0.57471264367816088</v>
      </c>
      <c r="Q74" s="112" t="s">
        <v>268</v>
      </c>
      <c r="R74" s="155">
        <v>0.13</v>
      </c>
      <c r="S74" s="106">
        <f t="shared" si="28"/>
        <v>-4.7329304364573943E-8</v>
      </c>
      <c r="T74" s="234"/>
      <c r="U74" s="203">
        <v>44750</v>
      </c>
      <c r="V74" s="94" t="s">
        <v>252</v>
      </c>
      <c r="W74" s="94"/>
      <c r="X74" s="248"/>
      <c r="Y74" s="94">
        <v>3</v>
      </c>
      <c r="Z74" s="76"/>
    </row>
    <row r="75" spans="1:29" s="42" customFormat="1" ht="15" customHeight="1" x14ac:dyDescent="0.25">
      <c r="A75" s="91" t="s">
        <v>307</v>
      </c>
      <c r="B75" s="91" t="s">
        <v>62</v>
      </c>
      <c r="C75" s="91" t="s">
        <v>98</v>
      </c>
      <c r="D75" s="91" t="s">
        <v>150</v>
      </c>
      <c r="E75" s="104" t="s">
        <v>139</v>
      </c>
      <c r="F75" s="95" t="s">
        <v>308</v>
      </c>
      <c r="G75" s="111">
        <v>44774</v>
      </c>
      <c r="H75" s="111">
        <v>44804</v>
      </c>
      <c r="I75" s="94" t="s">
        <v>248</v>
      </c>
      <c r="J75" s="92">
        <v>399131</v>
      </c>
      <c r="K75" s="92">
        <f t="shared" si="53"/>
        <v>51887</v>
      </c>
      <c r="L75" s="91">
        <v>174</v>
      </c>
      <c r="M75" s="91">
        <v>100</v>
      </c>
      <c r="N75" s="223">
        <f t="shared" si="55"/>
        <v>229386</v>
      </c>
      <c r="O75" s="215">
        <v>18126</v>
      </c>
      <c r="P75" s="106">
        <f t="shared" ref="P75:P76" si="60">M75/L75</f>
        <v>0.57471264367816088</v>
      </c>
      <c r="Q75" s="112" t="s">
        <v>268</v>
      </c>
      <c r="R75" s="155">
        <v>0.13</v>
      </c>
      <c r="S75" s="106">
        <f t="shared" si="28"/>
        <v>-9.2154228048535458E-7</v>
      </c>
      <c r="T75" s="234"/>
      <c r="U75" s="203">
        <v>44750</v>
      </c>
      <c r="V75" s="94" t="s">
        <v>252</v>
      </c>
      <c r="W75" s="94"/>
      <c r="X75" s="248"/>
      <c r="Y75" s="94">
        <v>3</v>
      </c>
      <c r="Z75" s="76"/>
    </row>
    <row r="76" spans="1:29" s="42" customFormat="1" ht="15" customHeight="1" x14ac:dyDescent="0.25">
      <c r="A76" s="91" t="s">
        <v>307</v>
      </c>
      <c r="B76" s="91" t="s">
        <v>62</v>
      </c>
      <c r="C76" s="91" t="s">
        <v>98</v>
      </c>
      <c r="D76" s="91" t="s">
        <v>150</v>
      </c>
      <c r="E76" s="104" t="s">
        <v>139</v>
      </c>
      <c r="F76" s="95" t="s">
        <v>308</v>
      </c>
      <c r="G76" s="111">
        <v>44805</v>
      </c>
      <c r="H76" s="111">
        <v>44834</v>
      </c>
      <c r="I76" s="94" t="s">
        <v>248</v>
      </c>
      <c r="J76" s="92">
        <v>510000</v>
      </c>
      <c r="K76" s="92">
        <f t="shared" si="53"/>
        <v>66300</v>
      </c>
      <c r="L76" s="91">
        <v>174</v>
      </c>
      <c r="M76" s="91">
        <v>80</v>
      </c>
      <c r="N76" s="223">
        <f t="shared" si="55"/>
        <v>234483</v>
      </c>
      <c r="O76" s="215">
        <v>26897</v>
      </c>
      <c r="P76" s="106">
        <f t="shared" si="60"/>
        <v>0.45977011494252873</v>
      </c>
      <c r="Q76" s="112" t="s">
        <v>268</v>
      </c>
      <c r="R76" s="155">
        <v>0.13</v>
      </c>
      <c r="S76" s="106">
        <f t="shared" si="28"/>
        <v>-4.7329276536833831E-7</v>
      </c>
      <c r="T76" s="234"/>
      <c r="U76" s="203">
        <v>44799</v>
      </c>
      <c r="V76" s="94" t="s">
        <v>252</v>
      </c>
      <c r="W76" s="94"/>
      <c r="X76" s="248"/>
      <c r="Y76" s="94">
        <v>3</v>
      </c>
      <c r="Z76" s="76"/>
    </row>
    <row r="77" spans="1:29" s="42" customFormat="1" ht="15" customHeight="1" x14ac:dyDescent="0.25">
      <c r="A77" s="91" t="s">
        <v>307</v>
      </c>
      <c r="B77" s="91" t="s">
        <v>62</v>
      </c>
      <c r="C77" s="91" t="s">
        <v>98</v>
      </c>
      <c r="D77" s="91" t="s">
        <v>150</v>
      </c>
      <c r="E77" s="104" t="s">
        <v>139</v>
      </c>
      <c r="F77" s="95" t="s">
        <v>308</v>
      </c>
      <c r="G77" s="111">
        <v>44835</v>
      </c>
      <c r="H77" s="111">
        <v>44865</v>
      </c>
      <c r="I77" s="94" t="s">
        <v>248</v>
      </c>
      <c r="J77" s="92">
        <v>510000</v>
      </c>
      <c r="K77" s="92">
        <f t="shared" si="53"/>
        <v>66300</v>
      </c>
      <c r="L77" s="91">
        <v>174</v>
      </c>
      <c r="M77" s="91">
        <v>80</v>
      </c>
      <c r="N77" s="223">
        <f t="shared" si="55"/>
        <v>234483</v>
      </c>
      <c r="O77" s="215">
        <v>26897</v>
      </c>
      <c r="P77" s="106">
        <f t="shared" ref="P77:P89" si="61">M77/L77</f>
        <v>0.45977011494252873</v>
      </c>
      <c r="Q77" s="112" t="s">
        <v>268</v>
      </c>
      <c r="R77" s="155">
        <v>0.13</v>
      </c>
      <c r="S77" s="106">
        <f t="shared" si="28"/>
        <v>-4.7329276536833831E-7</v>
      </c>
      <c r="T77" s="234"/>
      <c r="U77" s="203">
        <v>44799</v>
      </c>
      <c r="V77" s="94" t="s">
        <v>252</v>
      </c>
      <c r="W77" s="94"/>
      <c r="X77" s="94"/>
      <c r="Y77" s="94">
        <v>3</v>
      </c>
      <c r="Z77" s="76"/>
    </row>
    <row r="78" spans="1:29" s="42" customFormat="1" ht="15" customHeight="1" x14ac:dyDescent="0.25">
      <c r="A78" s="91" t="s">
        <v>307</v>
      </c>
      <c r="B78" s="91" t="s">
        <v>62</v>
      </c>
      <c r="C78" s="91" t="s">
        <v>98</v>
      </c>
      <c r="D78" s="91" t="s">
        <v>150</v>
      </c>
      <c r="E78" s="104" t="s">
        <v>139</v>
      </c>
      <c r="F78" s="95" t="s">
        <v>308</v>
      </c>
      <c r="G78" s="111">
        <v>44866</v>
      </c>
      <c r="H78" s="111">
        <v>44895</v>
      </c>
      <c r="I78" s="94" t="s">
        <v>248</v>
      </c>
      <c r="J78" s="92">
        <v>510000</v>
      </c>
      <c r="K78" s="92">
        <v>58500</v>
      </c>
      <c r="L78" s="91">
        <v>174</v>
      </c>
      <c r="M78" s="91">
        <v>80</v>
      </c>
      <c r="N78" s="223">
        <f t="shared" si="55"/>
        <v>234483</v>
      </c>
      <c r="O78" s="215">
        <v>26897</v>
      </c>
      <c r="P78" s="106">
        <f t="shared" si="61"/>
        <v>0.45977011494252873</v>
      </c>
      <c r="Q78" s="112" t="s">
        <v>268</v>
      </c>
      <c r="R78" s="155">
        <v>0.13</v>
      </c>
      <c r="S78" s="106">
        <f t="shared" si="28"/>
        <v>-4.7329276536833831E-7</v>
      </c>
      <c r="T78" s="234" t="s">
        <v>379</v>
      </c>
      <c r="U78" s="203">
        <v>44799</v>
      </c>
      <c r="V78" s="94" t="s">
        <v>252</v>
      </c>
      <c r="W78" s="94"/>
      <c r="X78" s="94"/>
      <c r="Y78" s="94"/>
      <c r="Z78" s="76"/>
      <c r="AA78" s="42" t="s">
        <v>408</v>
      </c>
      <c r="AB78" s="42" t="s">
        <v>408</v>
      </c>
      <c r="AC78" s="42" t="s">
        <v>408</v>
      </c>
    </row>
    <row r="79" spans="1:29" s="42" customFormat="1" ht="15" customHeight="1" x14ac:dyDescent="0.25">
      <c r="A79" s="91" t="s">
        <v>307</v>
      </c>
      <c r="B79" s="91" t="s">
        <v>62</v>
      </c>
      <c r="C79" s="91" t="s">
        <v>98</v>
      </c>
      <c r="D79" s="91" t="s">
        <v>150</v>
      </c>
      <c r="E79" s="104" t="s">
        <v>139</v>
      </c>
      <c r="F79" s="95" t="s">
        <v>308</v>
      </c>
      <c r="G79" s="111">
        <v>44896</v>
      </c>
      <c r="H79" s="111">
        <v>44926</v>
      </c>
      <c r="I79" s="94" t="s">
        <v>248</v>
      </c>
      <c r="J79" s="92">
        <v>510000</v>
      </c>
      <c r="K79" s="92">
        <f t="shared" ref="K79:K125" si="62">ROUND(J79*R79,0)</f>
        <v>66300</v>
      </c>
      <c r="L79" s="91">
        <v>174</v>
      </c>
      <c r="M79" s="91">
        <v>80</v>
      </c>
      <c r="N79" s="223">
        <f t="shared" si="55"/>
        <v>234483</v>
      </c>
      <c r="O79" s="215">
        <f t="shared" ref="O79:O125" si="63">ROUND(N79*R79,0)</f>
        <v>30483</v>
      </c>
      <c r="P79" s="106">
        <f t="shared" si="61"/>
        <v>0.45977011494252873</v>
      </c>
      <c r="Q79" s="112" t="s">
        <v>268</v>
      </c>
      <c r="R79" s="155">
        <v>0.13</v>
      </c>
      <c r="S79" s="106">
        <f t="shared" si="28"/>
        <v>-4.7329276536833831E-7</v>
      </c>
      <c r="T79" s="234" t="s">
        <v>379</v>
      </c>
      <c r="U79" s="203">
        <v>44799</v>
      </c>
      <c r="V79" s="94" t="s">
        <v>252</v>
      </c>
      <c r="W79" s="94"/>
      <c r="X79" s="94"/>
      <c r="Y79" s="94"/>
      <c r="Z79" s="76"/>
      <c r="AA79" s="42" t="s">
        <v>408</v>
      </c>
      <c r="AB79" s="239" t="s">
        <v>409</v>
      </c>
      <c r="AC79" s="239" t="s">
        <v>409</v>
      </c>
    </row>
    <row r="80" spans="1:29" s="42" customFormat="1" ht="15" customHeight="1" x14ac:dyDescent="0.25">
      <c r="A80" s="91" t="s">
        <v>307</v>
      </c>
      <c r="B80" s="91" t="s">
        <v>62</v>
      </c>
      <c r="C80" s="91" t="s">
        <v>98</v>
      </c>
      <c r="D80" s="91" t="s">
        <v>150</v>
      </c>
      <c r="E80" s="104" t="s">
        <v>139</v>
      </c>
      <c r="F80" s="95" t="s">
        <v>308</v>
      </c>
      <c r="G80" s="111">
        <v>44927</v>
      </c>
      <c r="H80" s="111">
        <v>44957</v>
      </c>
      <c r="I80" s="94" t="s">
        <v>248</v>
      </c>
      <c r="J80" s="92">
        <v>549000</v>
      </c>
      <c r="K80" s="92">
        <v>47338</v>
      </c>
      <c r="L80" s="91">
        <v>174</v>
      </c>
      <c r="M80" s="91">
        <v>80</v>
      </c>
      <c r="N80" s="223">
        <f t="shared" si="55"/>
        <v>252414</v>
      </c>
      <c r="O80" s="215">
        <v>21765</v>
      </c>
      <c r="P80" s="106">
        <f t="shared" si="61"/>
        <v>0.45977011494252873</v>
      </c>
      <c r="Q80" s="112" t="s">
        <v>268</v>
      </c>
      <c r="R80" s="155">
        <v>0.13</v>
      </c>
      <c r="S80" s="106">
        <f t="shared" ref="S80:S116" si="64">P80-(N80/J80)</f>
        <v>-3.7686074993992236E-7</v>
      </c>
      <c r="T80" s="234" t="s">
        <v>379</v>
      </c>
      <c r="U80" s="203">
        <v>44799</v>
      </c>
      <c r="V80" s="94" t="s">
        <v>252</v>
      </c>
      <c r="W80" s="94"/>
      <c r="X80" s="94"/>
      <c r="Y80" s="94"/>
      <c r="Z80" s="76"/>
      <c r="AA80" s="42" t="s">
        <v>408</v>
      </c>
      <c r="AB80" s="239">
        <v>44545</v>
      </c>
      <c r="AC80" s="239">
        <v>12072</v>
      </c>
    </row>
    <row r="81" spans="1:29" s="42" customFormat="1" ht="15" customHeight="1" x14ac:dyDescent="0.25">
      <c r="A81" s="91" t="s">
        <v>307</v>
      </c>
      <c r="B81" s="91" t="s">
        <v>62</v>
      </c>
      <c r="C81" s="91" t="s">
        <v>98</v>
      </c>
      <c r="D81" s="91" t="s">
        <v>150</v>
      </c>
      <c r="E81" s="104" t="s">
        <v>139</v>
      </c>
      <c r="F81" s="95" t="s">
        <v>308</v>
      </c>
      <c r="G81" s="111">
        <v>44958</v>
      </c>
      <c r="H81" s="111">
        <v>44985</v>
      </c>
      <c r="I81" s="94" t="s">
        <v>248</v>
      </c>
      <c r="J81" s="92">
        <v>549000</v>
      </c>
      <c r="K81" s="92">
        <v>47338</v>
      </c>
      <c r="L81" s="91">
        <v>174</v>
      </c>
      <c r="M81" s="91">
        <v>80</v>
      </c>
      <c r="N81" s="223">
        <f t="shared" si="55"/>
        <v>252414</v>
      </c>
      <c r="O81" s="215">
        <v>21765</v>
      </c>
      <c r="P81" s="106">
        <f t="shared" si="61"/>
        <v>0.45977011494252873</v>
      </c>
      <c r="Q81" s="112" t="s">
        <v>268</v>
      </c>
      <c r="R81" s="155">
        <v>0.13</v>
      </c>
      <c r="S81" s="106">
        <f t="shared" si="64"/>
        <v>-3.7686074993992236E-7</v>
      </c>
      <c r="T81" s="234" t="s">
        <v>379</v>
      </c>
      <c r="U81" s="203">
        <v>44799</v>
      </c>
      <c r="V81" s="94" t="s">
        <v>252</v>
      </c>
      <c r="W81" s="94"/>
      <c r="X81" s="94"/>
      <c r="Y81" s="94"/>
      <c r="Z81" s="76"/>
      <c r="AA81" s="42" t="s">
        <v>408</v>
      </c>
      <c r="AB81" s="239">
        <v>21919</v>
      </c>
      <c r="AC81" s="239">
        <v>28972</v>
      </c>
    </row>
    <row r="82" spans="1:29" s="42" customFormat="1" ht="15" customHeight="1" x14ac:dyDescent="0.25">
      <c r="A82" s="91" t="s">
        <v>307</v>
      </c>
      <c r="B82" s="91" t="s">
        <v>62</v>
      </c>
      <c r="C82" s="91" t="s">
        <v>98</v>
      </c>
      <c r="D82" s="91" t="s">
        <v>150</v>
      </c>
      <c r="E82" s="104" t="s">
        <v>139</v>
      </c>
      <c r="F82" s="95" t="s">
        <v>308</v>
      </c>
      <c r="G82" s="111">
        <v>44986</v>
      </c>
      <c r="H82" s="111">
        <v>45016</v>
      </c>
      <c r="I82" s="94" t="s">
        <v>248</v>
      </c>
      <c r="J82" s="92">
        <v>480500</v>
      </c>
      <c r="K82" s="92">
        <v>47196</v>
      </c>
      <c r="L82" s="91">
        <v>174</v>
      </c>
      <c r="M82" s="91">
        <v>80</v>
      </c>
      <c r="N82" s="223">
        <f t="shared" si="55"/>
        <v>220920</v>
      </c>
      <c r="O82" s="215">
        <v>21699</v>
      </c>
      <c r="P82" s="106">
        <f t="shared" si="61"/>
        <v>0.45977011494252873</v>
      </c>
      <c r="Q82" s="112" t="s">
        <v>268</v>
      </c>
      <c r="R82" s="155">
        <v>0.13</v>
      </c>
      <c r="S82" s="106">
        <f t="shared" si="64"/>
        <v>-9.5685767936837252E-7</v>
      </c>
      <c r="T82" s="234" t="s">
        <v>379</v>
      </c>
      <c r="U82" s="203">
        <v>44799</v>
      </c>
      <c r="V82" s="94" t="s">
        <v>252</v>
      </c>
      <c r="W82" s="94"/>
      <c r="X82" s="94"/>
      <c r="Y82" s="94"/>
      <c r="Z82" s="76"/>
      <c r="AA82" s="42" t="s">
        <v>408</v>
      </c>
      <c r="AB82" s="42">
        <v>90419</v>
      </c>
      <c r="AC82" s="42">
        <v>29114</v>
      </c>
    </row>
    <row r="83" spans="1:29" s="42" customFormat="1" ht="15" customHeight="1" x14ac:dyDescent="0.25">
      <c r="A83" s="91" t="s">
        <v>307</v>
      </c>
      <c r="B83" s="91" t="s">
        <v>62</v>
      </c>
      <c r="C83" s="91" t="s">
        <v>98</v>
      </c>
      <c r="D83" s="91" t="s">
        <v>150</v>
      </c>
      <c r="E83" s="104" t="s">
        <v>139</v>
      </c>
      <c r="F83" s="95" t="s">
        <v>308</v>
      </c>
      <c r="G83" s="111">
        <v>45017</v>
      </c>
      <c r="H83" s="111">
        <v>45046</v>
      </c>
      <c r="I83" s="94" t="s">
        <v>248</v>
      </c>
      <c r="J83" s="92">
        <v>549000</v>
      </c>
      <c r="K83" s="92">
        <f t="shared" si="62"/>
        <v>71370</v>
      </c>
      <c r="L83" s="91">
        <v>174</v>
      </c>
      <c r="M83" s="91">
        <v>80</v>
      </c>
      <c r="N83" s="223">
        <f t="shared" si="55"/>
        <v>252414</v>
      </c>
      <c r="O83" s="215">
        <f t="shared" si="63"/>
        <v>32814</v>
      </c>
      <c r="P83" s="106">
        <f t="shared" si="61"/>
        <v>0.45977011494252873</v>
      </c>
      <c r="Q83" s="112" t="s">
        <v>268</v>
      </c>
      <c r="R83" s="155">
        <v>0.13</v>
      </c>
      <c r="S83" s="106">
        <f t="shared" si="64"/>
        <v>-3.7686074993992236E-7</v>
      </c>
      <c r="T83" s="234" t="s">
        <v>379</v>
      </c>
      <c r="U83" s="203">
        <v>44799</v>
      </c>
      <c r="V83" s="94" t="s">
        <v>252</v>
      </c>
      <c r="W83" s="94"/>
      <c r="X83" s="94"/>
      <c r="Y83" s="94"/>
      <c r="Z83" s="76"/>
      <c r="AA83" s="42" t="s">
        <v>408</v>
      </c>
      <c r="AB83" s="239">
        <v>21919</v>
      </c>
      <c r="AC83" s="239">
        <v>4940</v>
      </c>
    </row>
    <row r="84" spans="1:29" s="42" customFormat="1" ht="15" customHeight="1" x14ac:dyDescent="0.25">
      <c r="A84" s="91" t="s">
        <v>307</v>
      </c>
      <c r="B84" s="91" t="s">
        <v>62</v>
      </c>
      <c r="C84" s="91" t="s">
        <v>98</v>
      </c>
      <c r="D84" s="91" t="s">
        <v>150</v>
      </c>
      <c r="E84" s="104" t="s">
        <v>139</v>
      </c>
      <c r="F84" s="95" t="s">
        <v>308</v>
      </c>
      <c r="G84" s="111">
        <v>45047</v>
      </c>
      <c r="H84" s="111">
        <v>45077</v>
      </c>
      <c r="I84" s="94" t="s">
        <v>267</v>
      </c>
      <c r="J84" s="92">
        <v>549000</v>
      </c>
      <c r="K84" s="92">
        <f t="shared" si="62"/>
        <v>71370</v>
      </c>
      <c r="L84" s="91">
        <v>174</v>
      </c>
      <c r="M84" s="91">
        <v>80</v>
      </c>
      <c r="N84" s="223">
        <f t="shared" si="55"/>
        <v>252414</v>
      </c>
      <c r="O84" s="215">
        <f t="shared" si="63"/>
        <v>32814</v>
      </c>
      <c r="P84" s="106">
        <f t="shared" si="61"/>
        <v>0.45977011494252873</v>
      </c>
      <c r="Q84" s="112" t="s">
        <v>268</v>
      </c>
      <c r="R84" s="155">
        <v>0.13</v>
      </c>
      <c r="S84" s="106">
        <f t="shared" si="64"/>
        <v>-3.7686074993992236E-7</v>
      </c>
      <c r="T84" s="234" t="s">
        <v>379</v>
      </c>
      <c r="U84" s="203">
        <v>44799</v>
      </c>
      <c r="V84" s="94" t="s">
        <v>252</v>
      </c>
      <c r="W84" s="94"/>
      <c r="X84" s="94"/>
      <c r="Y84" s="94"/>
      <c r="Z84" s="76"/>
    </row>
    <row r="85" spans="1:29" s="42" customFormat="1" ht="15" customHeight="1" x14ac:dyDescent="0.25">
      <c r="A85" s="91" t="s">
        <v>307</v>
      </c>
      <c r="B85" s="91" t="s">
        <v>62</v>
      </c>
      <c r="C85" s="91" t="s">
        <v>98</v>
      </c>
      <c r="D85" s="91" t="s">
        <v>150</v>
      </c>
      <c r="E85" s="104" t="s">
        <v>139</v>
      </c>
      <c r="F85" s="95" t="s">
        <v>308</v>
      </c>
      <c r="G85" s="111">
        <v>45078</v>
      </c>
      <c r="H85" s="111">
        <v>45107</v>
      </c>
      <c r="I85" s="94" t="s">
        <v>267</v>
      </c>
      <c r="J85" s="92">
        <v>549000</v>
      </c>
      <c r="K85" s="92">
        <f t="shared" si="62"/>
        <v>71370</v>
      </c>
      <c r="L85" s="91">
        <v>174</v>
      </c>
      <c r="M85" s="91">
        <v>80</v>
      </c>
      <c r="N85" s="223">
        <f t="shared" si="55"/>
        <v>252414</v>
      </c>
      <c r="O85" s="215">
        <f t="shared" si="63"/>
        <v>32814</v>
      </c>
      <c r="P85" s="106">
        <f t="shared" si="61"/>
        <v>0.45977011494252873</v>
      </c>
      <c r="Q85" s="112" t="s">
        <v>268</v>
      </c>
      <c r="R85" s="155">
        <v>0.13</v>
      </c>
      <c r="S85" s="106">
        <f t="shared" si="64"/>
        <v>-3.7686074993992236E-7</v>
      </c>
      <c r="T85" s="234" t="s">
        <v>379</v>
      </c>
      <c r="U85" s="203">
        <v>44799</v>
      </c>
      <c r="V85" s="94" t="s">
        <v>252</v>
      </c>
      <c r="W85" s="94"/>
      <c r="X85" s="94"/>
      <c r="Y85" s="94"/>
      <c r="Z85" s="76"/>
    </row>
    <row r="86" spans="1:29" s="42" customFormat="1" ht="15" customHeight="1" x14ac:dyDescent="0.25">
      <c r="A86" s="91" t="s">
        <v>307</v>
      </c>
      <c r="B86" s="91" t="s">
        <v>62</v>
      </c>
      <c r="C86" s="91" t="s">
        <v>98</v>
      </c>
      <c r="D86" s="91" t="s">
        <v>150</v>
      </c>
      <c r="E86" s="104" t="s">
        <v>139</v>
      </c>
      <c r="F86" s="95" t="s">
        <v>308</v>
      </c>
      <c r="G86" s="111">
        <v>45108</v>
      </c>
      <c r="H86" s="111">
        <v>45138</v>
      </c>
      <c r="I86" s="94" t="s">
        <v>267</v>
      </c>
      <c r="J86" s="92">
        <v>549000</v>
      </c>
      <c r="K86" s="92">
        <f t="shared" si="62"/>
        <v>71370</v>
      </c>
      <c r="L86" s="91">
        <v>174</v>
      </c>
      <c r="M86" s="91">
        <v>80</v>
      </c>
      <c r="N86" s="223">
        <f t="shared" si="55"/>
        <v>252414</v>
      </c>
      <c r="O86" s="215">
        <f t="shared" si="63"/>
        <v>32814</v>
      </c>
      <c r="P86" s="106">
        <f t="shared" si="61"/>
        <v>0.45977011494252873</v>
      </c>
      <c r="Q86" s="112" t="s">
        <v>268</v>
      </c>
      <c r="R86" s="155">
        <v>0.13</v>
      </c>
      <c r="S86" s="106">
        <f t="shared" si="64"/>
        <v>-3.7686074993992236E-7</v>
      </c>
      <c r="T86" s="234" t="s">
        <v>379</v>
      </c>
      <c r="U86" s="203">
        <v>44799</v>
      </c>
      <c r="V86" s="94" t="s">
        <v>252</v>
      </c>
      <c r="W86" s="94"/>
      <c r="X86" s="94"/>
      <c r="Y86" s="94"/>
      <c r="Z86" s="76"/>
    </row>
    <row r="87" spans="1:29" s="42" customFormat="1" ht="15" customHeight="1" x14ac:dyDescent="0.25">
      <c r="A87" s="91" t="s">
        <v>307</v>
      </c>
      <c r="B87" s="91" t="s">
        <v>62</v>
      </c>
      <c r="C87" s="91" t="s">
        <v>98</v>
      </c>
      <c r="D87" s="91" t="s">
        <v>150</v>
      </c>
      <c r="E87" s="104" t="s">
        <v>139</v>
      </c>
      <c r="F87" s="95" t="s">
        <v>308</v>
      </c>
      <c r="G87" s="111">
        <v>45139</v>
      </c>
      <c r="H87" s="111">
        <v>45169</v>
      </c>
      <c r="I87" s="94" t="s">
        <v>267</v>
      </c>
      <c r="J87" s="92">
        <v>549000</v>
      </c>
      <c r="K87" s="92">
        <f t="shared" si="62"/>
        <v>71370</v>
      </c>
      <c r="L87" s="91">
        <v>174</v>
      </c>
      <c r="M87" s="91">
        <v>80</v>
      </c>
      <c r="N87" s="223">
        <f t="shared" si="55"/>
        <v>252414</v>
      </c>
      <c r="O87" s="215">
        <f t="shared" si="63"/>
        <v>32814</v>
      </c>
      <c r="P87" s="106">
        <f t="shared" si="61"/>
        <v>0.45977011494252873</v>
      </c>
      <c r="Q87" s="112" t="s">
        <v>268</v>
      </c>
      <c r="R87" s="155">
        <v>0.13</v>
      </c>
      <c r="S87" s="106">
        <f t="shared" si="64"/>
        <v>-3.7686074993992236E-7</v>
      </c>
      <c r="T87" s="234" t="s">
        <v>379</v>
      </c>
      <c r="U87" s="203">
        <v>44799</v>
      </c>
      <c r="V87" s="94" t="s">
        <v>252</v>
      </c>
      <c r="W87" s="94"/>
      <c r="X87" s="94"/>
      <c r="Y87" s="94"/>
      <c r="Z87" s="76"/>
    </row>
    <row r="88" spans="1:29" s="42" customFormat="1" ht="15" customHeight="1" x14ac:dyDescent="0.25">
      <c r="A88" s="91" t="s">
        <v>307</v>
      </c>
      <c r="B88" s="91" t="s">
        <v>62</v>
      </c>
      <c r="C88" s="91" t="s">
        <v>98</v>
      </c>
      <c r="D88" s="91" t="s">
        <v>150</v>
      </c>
      <c r="E88" s="104" t="s">
        <v>139</v>
      </c>
      <c r="F88" s="95" t="s">
        <v>308</v>
      </c>
      <c r="G88" s="111">
        <v>45170</v>
      </c>
      <c r="H88" s="111">
        <v>45199</v>
      </c>
      <c r="I88" s="94" t="s">
        <v>267</v>
      </c>
      <c r="J88" s="92">
        <v>549000</v>
      </c>
      <c r="K88" s="92">
        <f t="shared" si="62"/>
        <v>71370</v>
      </c>
      <c r="L88" s="91">
        <v>174</v>
      </c>
      <c r="M88" s="91">
        <v>80</v>
      </c>
      <c r="N88" s="223">
        <f t="shared" si="55"/>
        <v>252414</v>
      </c>
      <c r="O88" s="215">
        <f t="shared" si="63"/>
        <v>32814</v>
      </c>
      <c r="P88" s="106">
        <f t="shared" si="61"/>
        <v>0.45977011494252873</v>
      </c>
      <c r="Q88" s="112" t="s">
        <v>268</v>
      </c>
      <c r="R88" s="155">
        <v>0.13</v>
      </c>
      <c r="S88" s="106">
        <f t="shared" si="64"/>
        <v>-3.7686074993992236E-7</v>
      </c>
      <c r="T88" s="234" t="s">
        <v>379</v>
      </c>
      <c r="U88" s="203">
        <v>44799</v>
      </c>
      <c r="V88" s="94" t="s">
        <v>252</v>
      </c>
      <c r="W88" s="94"/>
      <c r="X88" s="94"/>
      <c r="Y88" s="94"/>
      <c r="Z88" s="76"/>
    </row>
    <row r="89" spans="1:29" s="42" customFormat="1" ht="15" customHeight="1" x14ac:dyDescent="0.25">
      <c r="A89" s="91" t="s">
        <v>307</v>
      </c>
      <c r="B89" s="91" t="s">
        <v>62</v>
      </c>
      <c r="C89" s="91" t="s">
        <v>98</v>
      </c>
      <c r="D89" s="91" t="s">
        <v>150</v>
      </c>
      <c r="E89" s="104" t="s">
        <v>139</v>
      </c>
      <c r="F89" s="95" t="s">
        <v>308</v>
      </c>
      <c r="G89" s="111">
        <v>45200</v>
      </c>
      <c r="H89" s="111">
        <v>45230</v>
      </c>
      <c r="I89" s="94" t="s">
        <v>267</v>
      </c>
      <c r="J89" s="92">
        <v>549000</v>
      </c>
      <c r="K89" s="92">
        <f t="shared" si="62"/>
        <v>71370</v>
      </c>
      <c r="L89" s="91">
        <v>174</v>
      </c>
      <c r="M89" s="91">
        <v>80</v>
      </c>
      <c r="N89" s="223">
        <f t="shared" si="55"/>
        <v>252414</v>
      </c>
      <c r="O89" s="215">
        <f t="shared" si="63"/>
        <v>32814</v>
      </c>
      <c r="P89" s="106">
        <f t="shared" si="61"/>
        <v>0.45977011494252873</v>
      </c>
      <c r="Q89" s="112" t="s">
        <v>268</v>
      </c>
      <c r="R89" s="155">
        <v>0.13</v>
      </c>
      <c r="S89" s="106">
        <f t="shared" si="64"/>
        <v>-3.7686074993992236E-7</v>
      </c>
      <c r="T89" s="234" t="s">
        <v>379</v>
      </c>
      <c r="U89" s="203">
        <v>44799</v>
      </c>
      <c r="V89" s="94" t="s">
        <v>252</v>
      </c>
      <c r="W89" s="94"/>
      <c r="X89" s="94"/>
      <c r="Y89" s="94"/>
      <c r="Z89" s="76"/>
    </row>
    <row r="90" spans="1:29" s="42" customFormat="1" ht="15" customHeight="1" x14ac:dyDescent="0.25">
      <c r="A90" s="91" t="s">
        <v>127</v>
      </c>
      <c r="B90" s="91" t="s">
        <v>172</v>
      </c>
      <c r="C90" s="91" t="s">
        <v>176</v>
      </c>
      <c r="D90" s="91" t="s">
        <v>154</v>
      </c>
      <c r="E90" s="104" t="s">
        <v>139</v>
      </c>
      <c r="F90" s="95" t="s">
        <v>128</v>
      </c>
      <c r="G90" s="111">
        <v>44621</v>
      </c>
      <c r="H90" s="111">
        <v>44651</v>
      </c>
      <c r="I90" s="94" t="s">
        <v>248</v>
      </c>
      <c r="J90" s="92">
        <v>664199</v>
      </c>
      <c r="K90" s="92">
        <f t="shared" si="62"/>
        <v>86346</v>
      </c>
      <c r="L90" s="91">
        <v>174</v>
      </c>
      <c r="M90" s="91">
        <v>32</v>
      </c>
      <c r="N90" s="223">
        <v>122152</v>
      </c>
      <c r="O90" s="215">
        <f t="shared" si="63"/>
        <v>15880</v>
      </c>
      <c r="P90" s="106">
        <f t="shared" ref="P90:P93" si="65">M90/L90</f>
        <v>0.18390804597701149</v>
      </c>
      <c r="Q90" s="112" t="s">
        <v>268</v>
      </c>
      <c r="R90" s="155">
        <v>0.13</v>
      </c>
      <c r="S90" s="106">
        <f t="shared" si="64"/>
        <v>-6.9221741516578561E-7</v>
      </c>
      <c r="T90" s="234"/>
      <c r="U90" s="203"/>
      <c r="V90" s="205"/>
      <c r="W90" s="94"/>
      <c r="X90" s="94"/>
      <c r="Y90" s="94">
        <v>3</v>
      </c>
      <c r="Z90" s="76"/>
    </row>
    <row r="91" spans="1:29" s="42" customFormat="1" ht="15" customHeight="1" x14ac:dyDescent="0.25">
      <c r="A91" s="91" t="s">
        <v>127</v>
      </c>
      <c r="B91" s="91" t="s">
        <v>172</v>
      </c>
      <c r="C91" s="91" t="s">
        <v>176</v>
      </c>
      <c r="D91" s="91" t="s">
        <v>154</v>
      </c>
      <c r="E91" s="104" t="s">
        <v>139</v>
      </c>
      <c r="F91" s="95" t="s">
        <v>128</v>
      </c>
      <c r="G91" s="111">
        <v>44652</v>
      </c>
      <c r="H91" s="111">
        <v>44681</v>
      </c>
      <c r="I91" s="94" t="s">
        <v>248</v>
      </c>
      <c r="J91" s="92">
        <v>600000</v>
      </c>
      <c r="K91" s="92">
        <f t="shared" si="62"/>
        <v>78000</v>
      </c>
      <c r="L91" s="91">
        <v>174</v>
      </c>
      <c r="M91" s="91">
        <v>35</v>
      </c>
      <c r="N91" s="223">
        <v>120690</v>
      </c>
      <c r="O91" s="215">
        <f t="shared" si="63"/>
        <v>15690</v>
      </c>
      <c r="P91" s="106">
        <f t="shared" si="65"/>
        <v>0.20114942528735633</v>
      </c>
      <c r="Q91" s="112" t="s">
        <v>268</v>
      </c>
      <c r="R91" s="155">
        <v>0.13</v>
      </c>
      <c r="S91" s="106">
        <f t="shared" si="64"/>
        <v>-5.7471264366948382E-7</v>
      </c>
      <c r="T91" s="234"/>
      <c r="U91" s="203"/>
      <c r="V91" s="205"/>
      <c r="W91" s="94"/>
      <c r="X91" s="94"/>
      <c r="Y91" s="94">
        <v>3</v>
      </c>
      <c r="Z91" s="76"/>
    </row>
    <row r="92" spans="1:29" s="42" customFormat="1" ht="15" customHeight="1" x14ac:dyDescent="0.25">
      <c r="A92" s="91" t="s">
        <v>127</v>
      </c>
      <c r="B92" s="91" t="s">
        <v>172</v>
      </c>
      <c r="C92" s="91" t="s">
        <v>176</v>
      </c>
      <c r="D92" s="91" t="s">
        <v>154</v>
      </c>
      <c r="E92" s="104" t="s">
        <v>139</v>
      </c>
      <c r="F92" s="95" t="s">
        <v>128</v>
      </c>
      <c r="G92" s="111">
        <v>44682</v>
      </c>
      <c r="H92" s="111">
        <v>44712</v>
      </c>
      <c r="I92" s="94" t="s">
        <v>248</v>
      </c>
      <c r="J92" s="92">
        <v>640000</v>
      </c>
      <c r="K92" s="92">
        <f t="shared" si="62"/>
        <v>83200</v>
      </c>
      <c r="L92" s="91">
        <v>174</v>
      </c>
      <c r="M92" s="91">
        <v>33</v>
      </c>
      <c r="N92" s="223">
        <v>121379</v>
      </c>
      <c r="O92" s="215">
        <f t="shared" si="63"/>
        <v>15779</v>
      </c>
      <c r="P92" s="106">
        <f t="shared" si="65"/>
        <v>0.18965517241379309</v>
      </c>
      <c r="Q92" s="112" t="s">
        <v>268</v>
      </c>
      <c r="R92" s="155">
        <v>0.13</v>
      </c>
      <c r="S92" s="106">
        <f t="shared" si="64"/>
        <v>4.8491379309179017E-7</v>
      </c>
      <c r="T92" s="234"/>
      <c r="U92" s="203"/>
      <c r="V92" s="94" t="s">
        <v>252</v>
      </c>
      <c r="W92" s="94"/>
      <c r="X92" s="94"/>
      <c r="Y92" s="94">
        <v>3</v>
      </c>
      <c r="Z92" s="76"/>
    </row>
    <row r="93" spans="1:29" s="42" customFormat="1" ht="15" customHeight="1" x14ac:dyDescent="0.25">
      <c r="A93" s="91" t="s">
        <v>127</v>
      </c>
      <c r="B93" s="91" t="s">
        <v>172</v>
      </c>
      <c r="C93" s="91" t="s">
        <v>176</v>
      </c>
      <c r="D93" s="91" t="s">
        <v>154</v>
      </c>
      <c r="E93" s="104" t="s">
        <v>139</v>
      </c>
      <c r="F93" s="95" t="s">
        <v>128</v>
      </c>
      <c r="G93" s="111">
        <v>44713</v>
      </c>
      <c r="H93" s="111">
        <v>44742</v>
      </c>
      <c r="I93" s="94" t="s">
        <v>248</v>
      </c>
      <c r="J93" s="92">
        <v>640000</v>
      </c>
      <c r="K93" s="92">
        <f t="shared" si="62"/>
        <v>83200</v>
      </c>
      <c r="L93" s="91">
        <v>174</v>
      </c>
      <c r="M93" s="91">
        <v>33</v>
      </c>
      <c r="N93" s="223">
        <v>121379</v>
      </c>
      <c r="O93" s="215">
        <f t="shared" si="63"/>
        <v>15779</v>
      </c>
      <c r="P93" s="106">
        <f t="shared" si="65"/>
        <v>0.18965517241379309</v>
      </c>
      <c r="Q93" s="112" t="s">
        <v>268</v>
      </c>
      <c r="R93" s="155">
        <v>0.13</v>
      </c>
      <c r="S93" s="106">
        <f t="shared" si="64"/>
        <v>4.8491379309179017E-7</v>
      </c>
      <c r="T93" s="234"/>
      <c r="U93" s="203"/>
      <c r="V93" s="94" t="s">
        <v>252</v>
      </c>
      <c r="W93" s="94"/>
      <c r="X93" s="94"/>
      <c r="Y93" s="94">
        <v>3</v>
      </c>
      <c r="Z93" s="76"/>
    </row>
    <row r="94" spans="1:29" s="42" customFormat="1" ht="15" customHeight="1" x14ac:dyDescent="0.25">
      <c r="A94" s="91" t="s">
        <v>127</v>
      </c>
      <c r="B94" s="91" t="s">
        <v>172</v>
      </c>
      <c r="C94" s="91" t="s">
        <v>176</v>
      </c>
      <c r="D94" s="91" t="s">
        <v>154</v>
      </c>
      <c r="E94" s="104" t="s">
        <v>139</v>
      </c>
      <c r="F94" s="95" t="s">
        <v>128</v>
      </c>
      <c r="G94" s="111">
        <v>44743</v>
      </c>
      <c r="H94" s="111">
        <v>44773</v>
      </c>
      <c r="I94" s="94" t="s">
        <v>248</v>
      </c>
      <c r="J94" s="92">
        <v>563000</v>
      </c>
      <c r="K94" s="92">
        <f t="shared" si="62"/>
        <v>73190</v>
      </c>
      <c r="L94" s="91">
        <v>174</v>
      </c>
      <c r="M94" s="91">
        <v>38</v>
      </c>
      <c r="N94" s="223">
        <v>122954</v>
      </c>
      <c r="O94" s="215">
        <f t="shared" si="63"/>
        <v>15984</v>
      </c>
      <c r="P94" s="106">
        <f t="shared" ref="P94" si="66">M94/L94</f>
        <v>0.21839080459770116</v>
      </c>
      <c r="Q94" s="112" t="s">
        <v>268</v>
      </c>
      <c r="R94" s="155">
        <v>0.13</v>
      </c>
      <c r="S94" s="106">
        <f t="shared" si="64"/>
        <v>4.083215943140317E-8</v>
      </c>
      <c r="T94" s="234"/>
      <c r="U94" s="203">
        <v>44739</v>
      </c>
      <c r="V94" s="94" t="s">
        <v>252</v>
      </c>
      <c r="W94" s="94"/>
      <c r="X94" s="94"/>
      <c r="Y94" s="94">
        <v>3</v>
      </c>
      <c r="Z94" s="76"/>
    </row>
    <row r="95" spans="1:29" s="42" customFormat="1" ht="15" customHeight="1" x14ac:dyDescent="0.25">
      <c r="A95" s="91" t="s">
        <v>127</v>
      </c>
      <c r="B95" s="91" t="s">
        <v>172</v>
      </c>
      <c r="C95" s="91" t="s">
        <v>176</v>
      </c>
      <c r="D95" s="91" t="s">
        <v>154</v>
      </c>
      <c r="E95" s="104" t="s">
        <v>139</v>
      </c>
      <c r="F95" s="95" t="s">
        <v>128</v>
      </c>
      <c r="G95" s="111">
        <v>44774</v>
      </c>
      <c r="H95" s="111">
        <v>44804</v>
      </c>
      <c r="I95" s="94" t="s">
        <v>248</v>
      </c>
      <c r="J95" s="92">
        <v>440608</v>
      </c>
      <c r="K95" s="92">
        <f t="shared" si="62"/>
        <v>57279</v>
      </c>
      <c r="L95" s="91">
        <v>174</v>
      </c>
      <c r="M95" s="91">
        <v>38</v>
      </c>
      <c r="N95" s="223">
        <f>ROUND(J95*P95,0)</f>
        <v>96225</v>
      </c>
      <c r="O95" s="215">
        <f t="shared" si="63"/>
        <v>12509</v>
      </c>
      <c r="P95" s="106">
        <f t="shared" ref="P95:P97" si="67">M95/L95</f>
        <v>0.21839080459770116</v>
      </c>
      <c r="Q95" s="112" t="s">
        <v>268</v>
      </c>
      <c r="R95" s="155">
        <v>0.13</v>
      </c>
      <c r="S95" s="106">
        <f t="shared" si="64"/>
        <v>-6.0000684529160075E-7</v>
      </c>
      <c r="T95" s="234"/>
      <c r="U95" s="203">
        <v>44739</v>
      </c>
      <c r="V95" s="94" t="s">
        <v>252</v>
      </c>
      <c r="W95" s="94"/>
      <c r="X95" s="94"/>
      <c r="Y95" s="94">
        <v>3</v>
      </c>
      <c r="Z95" s="76"/>
    </row>
    <row r="96" spans="1:29" s="42" customFormat="1" ht="15" customHeight="1" x14ac:dyDescent="0.25">
      <c r="A96" s="91" t="s">
        <v>127</v>
      </c>
      <c r="B96" s="91" t="s">
        <v>172</v>
      </c>
      <c r="C96" s="91" t="s">
        <v>176</v>
      </c>
      <c r="D96" s="91" t="s">
        <v>154</v>
      </c>
      <c r="E96" s="104" t="s">
        <v>139</v>
      </c>
      <c r="F96" s="95" t="s">
        <v>128</v>
      </c>
      <c r="G96" s="111">
        <v>44805</v>
      </c>
      <c r="H96" s="111">
        <v>44834</v>
      </c>
      <c r="I96" s="94" t="s">
        <v>248</v>
      </c>
      <c r="J96" s="92">
        <v>563000</v>
      </c>
      <c r="K96" s="92">
        <f t="shared" si="62"/>
        <v>73190</v>
      </c>
      <c r="L96" s="91">
        <v>174</v>
      </c>
      <c r="M96" s="91">
        <v>38</v>
      </c>
      <c r="N96" s="223">
        <v>122954</v>
      </c>
      <c r="O96" s="215">
        <f t="shared" si="63"/>
        <v>15984</v>
      </c>
      <c r="P96" s="106">
        <f t="shared" si="67"/>
        <v>0.21839080459770116</v>
      </c>
      <c r="Q96" s="112" t="s">
        <v>268</v>
      </c>
      <c r="R96" s="155">
        <v>0.13</v>
      </c>
      <c r="S96" s="106">
        <f t="shared" si="64"/>
        <v>4.083215943140317E-8</v>
      </c>
      <c r="T96" s="234"/>
      <c r="U96" s="203">
        <v>44739</v>
      </c>
      <c r="V96" s="94" t="s">
        <v>252</v>
      </c>
      <c r="W96" s="94"/>
      <c r="X96" s="94"/>
      <c r="Y96" s="94">
        <v>3</v>
      </c>
      <c r="Z96" s="76"/>
    </row>
    <row r="97" spans="1:29" s="42" customFormat="1" ht="15" customHeight="1" x14ac:dyDescent="0.25">
      <c r="A97" s="91" t="s">
        <v>127</v>
      </c>
      <c r="B97" s="91" t="s">
        <v>172</v>
      </c>
      <c r="C97" s="91" t="s">
        <v>176</v>
      </c>
      <c r="D97" s="91" t="s">
        <v>154</v>
      </c>
      <c r="E97" s="104" t="s">
        <v>139</v>
      </c>
      <c r="F97" s="95" t="s">
        <v>128</v>
      </c>
      <c r="G97" s="111">
        <v>44835</v>
      </c>
      <c r="H97" s="111">
        <v>44865</v>
      </c>
      <c r="I97" s="94" t="s">
        <v>248</v>
      </c>
      <c r="J97" s="92">
        <v>473000</v>
      </c>
      <c r="K97" s="92">
        <f t="shared" si="62"/>
        <v>61490</v>
      </c>
      <c r="L97" s="91">
        <v>174</v>
      </c>
      <c r="M97" s="91">
        <v>45</v>
      </c>
      <c r="N97" s="223">
        <f t="shared" ref="N97:N108" si="68">ROUND(J97*P97,0)</f>
        <v>122328</v>
      </c>
      <c r="O97" s="215">
        <f t="shared" si="63"/>
        <v>15903</v>
      </c>
      <c r="P97" s="106">
        <f t="shared" si="67"/>
        <v>0.25862068965517243</v>
      </c>
      <c r="Q97" s="112" t="s">
        <v>268</v>
      </c>
      <c r="R97" s="155">
        <v>0.13</v>
      </c>
      <c r="S97" s="106">
        <f t="shared" si="64"/>
        <v>-8.7482685717787945E-7</v>
      </c>
      <c r="T97" s="234"/>
      <c r="U97" s="203">
        <v>44831</v>
      </c>
      <c r="V97" s="94" t="s">
        <v>252</v>
      </c>
      <c r="W97" s="94"/>
      <c r="X97" s="94"/>
      <c r="Y97" s="94">
        <v>3</v>
      </c>
      <c r="Z97" s="76"/>
    </row>
    <row r="98" spans="1:29" s="42" customFormat="1" ht="15" customHeight="1" x14ac:dyDescent="0.25">
      <c r="A98" s="91" t="s">
        <v>127</v>
      </c>
      <c r="B98" s="91" t="s">
        <v>172</v>
      </c>
      <c r="C98" s="91" t="s">
        <v>176</v>
      </c>
      <c r="D98" s="91" t="s">
        <v>154</v>
      </c>
      <c r="E98" s="104" t="s">
        <v>139</v>
      </c>
      <c r="F98" s="95" t="s">
        <v>128</v>
      </c>
      <c r="G98" s="111">
        <v>44866</v>
      </c>
      <c r="H98" s="111">
        <v>44895</v>
      </c>
      <c r="I98" s="94" t="s">
        <v>248</v>
      </c>
      <c r="J98" s="92">
        <v>459487</v>
      </c>
      <c r="K98" s="92">
        <f t="shared" si="62"/>
        <v>59733</v>
      </c>
      <c r="L98" s="91">
        <v>174</v>
      </c>
      <c r="M98" s="91">
        <v>45</v>
      </c>
      <c r="N98" s="223">
        <f t="shared" si="68"/>
        <v>118833</v>
      </c>
      <c r="O98" s="215">
        <f t="shared" si="63"/>
        <v>15448</v>
      </c>
      <c r="P98" s="106">
        <f t="shared" ref="P98:P99" si="69">M98/L98</f>
        <v>0.25862068965517243</v>
      </c>
      <c r="Q98" s="112" t="s">
        <v>268</v>
      </c>
      <c r="R98" s="155">
        <v>0.13</v>
      </c>
      <c r="S98" s="106">
        <f t="shared" si="64"/>
        <v>-3.377079521027504E-7</v>
      </c>
      <c r="T98" s="234" t="s">
        <v>380</v>
      </c>
      <c r="U98" s="203">
        <v>44831</v>
      </c>
      <c r="V98" s="94" t="s">
        <v>252</v>
      </c>
      <c r="W98" s="94"/>
      <c r="X98" s="94"/>
      <c r="Y98" s="94"/>
      <c r="Z98" s="76"/>
      <c r="AA98" s="42" t="s">
        <v>408</v>
      </c>
      <c r="AB98" s="42" t="s">
        <v>408</v>
      </c>
      <c r="AC98" s="42" t="s">
        <v>408</v>
      </c>
    </row>
    <row r="99" spans="1:29" s="42" customFormat="1" ht="15" customHeight="1" x14ac:dyDescent="0.25">
      <c r="A99" s="91" t="s">
        <v>127</v>
      </c>
      <c r="B99" s="91" t="s">
        <v>172</v>
      </c>
      <c r="C99" s="91" t="s">
        <v>176</v>
      </c>
      <c r="D99" s="91" t="s">
        <v>154</v>
      </c>
      <c r="E99" s="104" t="s">
        <v>139</v>
      </c>
      <c r="F99" s="95" t="s">
        <v>128</v>
      </c>
      <c r="G99" s="111">
        <v>44896</v>
      </c>
      <c r="H99" s="111">
        <v>44926</v>
      </c>
      <c r="I99" s="94" t="s">
        <v>248</v>
      </c>
      <c r="J99" s="92">
        <v>472999</v>
      </c>
      <c r="K99" s="92">
        <f t="shared" si="62"/>
        <v>61490</v>
      </c>
      <c r="L99" s="91">
        <v>174</v>
      </c>
      <c r="M99" s="91">
        <v>45</v>
      </c>
      <c r="N99" s="223">
        <f t="shared" si="68"/>
        <v>122327</v>
      </c>
      <c r="O99" s="215">
        <f t="shared" si="63"/>
        <v>15903</v>
      </c>
      <c r="P99" s="106">
        <f t="shared" si="69"/>
        <v>0.25862068965517243</v>
      </c>
      <c r="Q99" s="112" t="s">
        <v>268</v>
      </c>
      <c r="R99" s="155">
        <v>0.13</v>
      </c>
      <c r="S99" s="106">
        <f t="shared" si="64"/>
        <v>6.9257272616862764E-7</v>
      </c>
      <c r="T99" s="234" t="s">
        <v>380</v>
      </c>
      <c r="U99" s="203">
        <v>44831</v>
      </c>
      <c r="V99" s="94" t="s">
        <v>252</v>
      </c>
      <c r="W99" s="94"/>
      <c r="X99" s="94"/>
      <c r="Y99" s="94"/>
      <c r="Z99" s="76"/>
      <c r="AA99" s="42" t="s">
        <v>408</v>
      </c>
      <c r="AB99" s="42" t="s">
        <v>408</v>
      </c>
      <c r="AC99" s="42" t="s">
        <v>408</v>
      </c>
    </row>
    <row r="100" spans="1:29" s="42" customFormat="1" ht="15" customHeight="1" x14ac:dyDescent="0.25">
      <c r="A100" s="91" t="s">
        <v>127</v>
      </c>
      <c r="B100" s="91" t="s">
        <v>172</v>
      </c>
      <c r="C100" s="91" t="s">
        <v>176</v>
      </c>
      <c r="D100" s="91" t="s">
        <v>154</v>
      </c>
      <c r="E100" s="104" t="s">
        <v>139</v>
      </c>
      <c r="F100" s="95" t="s">
        <v>128</v>
      </c>
      <c r="G100" s="111">
        <v>44927</v>
      </c>
      <c r="H100" s="111">
        <v>44957</v>
      </c>
      <c r="I100" s="94" t="s">
        <v>248</v>
      </c>
      <c r="J100" s="92">
        <v>506100</v>
      </c>
      <c r="K100" s="92">
        <f t="shared" si="62"/>
        <v>65793</v>
      </c>
      <c r="L100" s="91">
        <v>174</v>
      </c>
      <c r="M100" s="91">
        <v>42</v>
      </c>
      <c r="N100" s="223">
        <f t="shared" si="68"/>
        <v>122162</v>
      </c>
      <c r="O100" s="215">
        <f t="shared" si="63"/>
        <v>15881</v>
      </c>
      <c r="P100" s="106">
        <f t="shared" ref="P100" si="70">M100/L100</f>
        <v>0.2413793103448276</v>
      </c>
      <c r="Q100" s="112" t="s">
        <v>268</v>
      </c>
      <c r="R100" s="155">
        <v>0.13</v>
      </c>
      <c r="S100" s="106">
        <f t="shared" si="64"/>
        <v>1.3626855807635785E-7</v>
      </c>
      <c r="T100" s="234" t="s">
        <v>380</v>
      </c>
      <c r="U100" s="203">
        <v>44936</v>
      </c>
      <c r="V100" s="205" t="s">
        <v>252</v>
      </c>
      <c r="W100" s="94"/>
      <c r="X100" s="94"/>
      <c r="Y100" s="94"/>
      <c r="Z100" s="76"/>
      <c r="AA100" s="42" t="s">
        <v>408</v>
      </c>
      <c r="AB100" s="42">
        <v>0</v>
      </c>
      <c r="AC100" s="42">
        <v>0</v>
      </c>
    </row>
    <row r="101" spans="1:29" s="42" customFormat="1" ht="15" customHeight="1" x14ac:dyDescent="0.25">
      <c r="A101" s="91" t="s">
        <v>127</v>
      </c>
      <c r="B101" s="91" t="s">
        <v>172</v>
      </c>
      <c r="C101" s="91" t="s">
        <v>176</v>
      </c>
      <c r="D101" s="91" t="s">
        <v>154</v>
      </c>
      <c r="E101" s="104" t="s">
        <v>139</v>
      </c>
      <c r="F101" s="95" t="s">
        <v>128</v>
      </c>
      <c r="G101" s="111">
        <v>44958</v>
      </c>
      <c r="H101" s="111">
        <v>44985</v>
      </c>
      <c r="I101" s="94" t="s">
        <v>248</v>
      </c>
      <c r="J101" s="92">
        <v>483326</v>
      </c>
      <c r="K101" s="92">
        <f t="shared" si="62"/>
        <v>62832</v>
      </c>
      <c r="L101" s="91">
        <v>174</v>
      </c>
      <c r="M101" s="91">
        <v>42</v>
      </c>
      <c r="N101" s="223">
        <f t="shared" si="68"/>
        <v>116665</v>
      </c>
      <c r="O101" s="215">
        <f t="shared" si="63"/>
        <v>15166</v>
      </c>
      <c r="P101" s="106">
        <f t="shared" ref="P101:P106" si="71">M101/L101</f>
        <v>0.2413793103448276</v>
      </c>
      <c r="Q101" s="112" t="s">
        <v>268</v>
      </c>
      <c r="R101" s="155">
        <v>0.13</v>
      </c>
      <c r="S101" s="106">
        <f t="shared" si="64"/>
        <v>-2.1403416297638422E-7</v>
      </c>
      <c r="T101" s="234" t="s">
        <v>380</v>
      </c>
      <c r="U101" s="203">
        <v>44936</v>
      </c>
      <c r="V101" s="205" t="s">
        <v>252</v>
      </c>
      <c r="W101" s="94"/>
      <c r="X101" s="94"/>
      <c r="Y101" s="94"/>
      <c r="Z101" s="76"/>
      <c r="AA101" s="42" t="s">
        <v>408</v>
      </c>
      <c r="AB101" s="42">
        <v>47774</v>
      </c>
      <c r="AC101" s="42">
        <v>55403</v>
      </c>
    </row>
    <row r="102" spans="1:29" s="42" customFormat="1" ht="15" customHeight="1" x14ac:dyDescent="0.25">
      <c r="A102" s="91" t="s">
        <v>127</v>
      </c>
      <c r="B102" s="91" t="s">
        <v>172</v>
      </c>
      <c r="C102" s="91" t="s">
        <v>176</v>
      </c>
      <c r="D102" s="91" t="s">
        <v>154</v>
      </c>
      <c r="E102" s="104" t="s">
        <v>139</v>
      </c>
      <c r="F102" s="95" t="s">
        <v>128</v>
      </c>
      <c r="G102" s="111">
        <v>44986</v>
      </c>
      <c r="H102" s="111">
        <v>45016</v>
      </c>
      <c r="I102" s="94" t="s">
        <v>248</v>
      </c>
      <c r="J102" s="92">
        <v>531100</v>
      </c>
      <c r="K102" s="92">
        <f t="shared" si="62"/>
        <v>69043</v>
      </c>
      <c r="L102" s="91">
        <v>174</v>
      </c>
      <c r="M102" s="91">
        <v>40</v>
      </c>
      <c r="N102" s="223">
        <f t="shared" si="68"/>
        <v>122092</v>
      </c>
      <c r="O102" s="215">
        <f t="shared" si="63"/>
        <v>15872</v>
      </c>
      <c r="P102" s="106">
        <f t="shared" si="71"/>
        <v>0.22988505747126436</v>
      </c>
      <c r="Q102" s="112" t="s">
        <v>268</v>
      </c>
      <c r="R102" s="155">
        <v>0.13</v>
      </c>
      <c r="S102" s="106">
        <f t="shared" si="64"/>
        <v>-8.6569405949310507E-8</v>
      </c>
      <c r="T102" s="234" t="s">
        <v>380</v>
      </c>
      <c r="U102" s="203">
        <v>44980</v>
      </c>
      <c r="V102" s="205" t="s">
        <v>252</v>
      </c>
      <c r="W102" s="94"/>
      <c r="X102" s="94"/>
      <c r="Y102" s="94"/>
      <c r="Z102" s="76"/>
      <c r="AA102" s="42" t="s">
        <v>408</v>
      </c>
      <c r="AB102" s="42">
        <v>0</v>
      </c>
      <c r="AC102" s="42">
        <v>49192</v>
      </c>
    </row>
    <row r="103" spans="1:29" s="42" customFormat="1" ht="15" customHeight="1" x14ac:dyDescent="0.25">
      <c r="A103" s="91" t="s">
        <v>127</v>
      </c>
      <c r="B103" s="91" t="s">
        <v>172</v>
      </c>
      <c r="C103" s="91" t="s">
        <v>176</v>
      </c>
      <c r="D103" s="91" t="s">
        <v>154</v>
      </c>
      <c r="E103" s="104" t="s">
        <v>139</v>
      </c>
      <c r="F103" s="95" t="s">
        <v>128</v>
      </c>
      <c r="G103" s="111">
        <v>45017</v>
      </c>
      <c r="H103" s="111">
        <v>45046</v>
      </c>
      <c r="I103" s="94" t="s">
        <v>248</v>
      </c>
      <c r="J103" s="92">
        <v>531100</v>
      </c>
      <c r="K103" s="92">
        <f t="shared" ref="K103:K105" si="72">ROUND(J103*R103,0)</f>
        <v>69043</v>
      </c>
      <c r="L103" s="91">
        <v>174</v>
      </c>
      <c r="M103" s="91">
        <v>40</v>
      </c>
      <c r="N103" s="223">
        <f t="shared" ref="N103:N105" si="73">ROUND(J103*P103,0)</f>
        <v>122092</v>
      </c>
      <c r="O103" s="215">
        <f t="shared" ref="O103:O105" si="74">ROUND(N103*R103,0)</f>
        <v>15872</v>
      </c>
      <c r="P103" s="106">
        <f t="shared" ref="P103:P105" si="75">M103/L103</f>
        <v>0.22988505747126436</v>
      </c>
      <c r="Q103" s="112" t="s">
        <v>268</v>
      </c>
      <c r="R103" s="155">
        <v>0.13</v>
      </c>
      <c r="S103" s="106">
        <f t="shared" ref="S103:S105" si="76">P103-(N103/J103)</f>
        <v>-8.6569405949310507E-8</v>
      </c>
      <c r="T103" s="234" t="s">
        <v>380</v>
      </c>
      <c r="U103" s="203">
        <v>44980</v>
      </c>
      <c r="V103" s="205" t="s">
        <v>252</v>
      </c>
      <c r="W103" s="94"/>
      <c r="X103" s="94"/>
      <c r="Y103" s="94"/>
      <c r="Z103" s="76"/>
      <c r="AA103" s="42" t="s">
        <v>408</v>
      </c>
      <c r="AB103" s="42">
        <v>0</v>
      </c>
      <c r="AC103" s="239">
        <v>49192</v>
      </c>
    </row>
    <row r="104" spans="1:29" s="42" customFormat="1" ht="15" customHeight="1" x14ac:dyDescent="0.25">
      <c r="A104" s="91" t="s">
        <v>127</v>
      </c>
      <c r="B104" s="91" t="s">
        <v>172</v>
      </c>
      <c r="C104" s="91" t="s">
        <v>176</v>
      </c>
      <c r="D104" s="91" t="s">
        <v>154</v>
      </c>
      <c r="E104" s="104" t="s">
        <v>139</v>
      </c>
      <c r="F104" s="95" t="s">
        <v>128</v>
      </c>
      <c r="G104" s="111">
        <v>45047</v>
      </c>
      <c r="H104" s="111">
        <v>45077</v>
      </c>
      <c r="I104" s="94" t="s">
        <v>267</v>
      </c>
      <c r="J104" s="92">
        <v>531100</v>
      </c>
      <c r="K104" s="92">
        <f t="shared" si="72"/>
        <v>69043</v>
      </c>
      <c r="L104" s="91">
        <v>174</v>
      </c>
      <c r="M104" s="91">
        <v>40</v>
      </c>
      <c r="N104" s="223">
        <f t="shared" si="73"/>
        <v>122092</v>
      </c>
      <c r="O104" s="215">
        <f t="shared" si="74"/>
        <v>15872</v>
      </c>
      <c r="P104" s="106">
        <f t="shared" si="75"/>
        <v>0.22988505747126436</v>
      </c>
      <c r="Q104" s="112" t="s">
        <v>268</v>
      </c>
      <c r="R104" s="155">
        <v>0.13</v>
      </c>
      <c r="S104" s="106">
        <f t="shared" si="76"/>
        <v>-8.6569405949310507E-8</v>
      </c>
      <c r="T104" s="234" t="s">
        <v>380</v>
      </c>
      <c r="U104" s="203">
        <v>44980</v>
      </c>
      <c r="V104" s="205" t="s">
        <v>252</v>
      </c>
      <c r="W104" s="94"/>
      <c r="X104" s="94"/>
      <c r="Y104" s="94"/>
      <c r="Z104" s="76"/>
    </row>
    <row r="105" spans="1:29" s="42" customFormat="1" ht="15" customHeight="1" x14ac:dyDescent="0.25">
      <c r="A105" s="91" t="s">
        <v>127</v>
      </c>
      <c r="B105" s="91" t="s">
        <v>172</v>
      </c>
      <c r="C105" s="91" t="s">
        <v>176</v>
      </c>
      <c r="D105" s="91" t="s">
        <v>154</v>
      </c>
      <c r="E105" s="104" t="s">
        <v>139</v>
      </c>
      <c r="F105" s="95" t="s">
        <v>128</v>
      </c>
      <c r="G105" s="111">
        <v>45078</v>
      </c>
      <c r="H105" s="111">
        <v>45107</v>
      </c>
      <c r="I105" s="94" t="s">
        <v>267</v>
      </c>
      <c r="J105" s="92">
        <v>663100</v>
      </c>
      <c r="K105" s="92">
        <f t="shared" si="72"/>
        <v>86203</v>
      </c>
      <c r="L105" s="91">
        <v>174</v>
      </c>
      <c r="M105" s="91">
        <v>32</v>
      </c>
      <c r="N105" s="223">
        <f t="shared" si="73"/>
        <v>121949</v>
      </c>
      <c r="O105" s="215">
        <f t="shared" si="74"/>
        <v>15853</v>
      </c>
      <c r="P105" s="106">
        <f t="shared" si="75"/>
        <v>0.18390804597701149</v>
      </c>
      <c r="Q105" s="112" t="s">
        <v>268</v>
      </c>
      <c r="R105" s="155">
        <v>0.13</v>
      </c>
      <c r="S105" s="106">
        <f t="shared" si="76"/>
        <v>6.4136232291733819E-7</v>
      </c>
      <c r="T105" s="234" t="s">
        <v>380</v>
      </c>
      <c r="U105" s="203">
        <v>45064</v>
      </c>
      <c r="V105" s="205"/>
      <c r="W105" s="94"/>
      <c r="X105" s="94"/>
      <c r="Y105" s="94"/>
      <c r="Z105" s="76"/>
    </row>
    <row r="106" spans="1:29" s="42" customFormat="1" ht="15" customHeight="1" x14ac:dyDescent="0.25">
      <c r="A106" s="91" t="s">
        <v>396</v>
      </c>
      <c r="B106" s="91" t="s">
        <v>162</v>
      </c>
      <c r="C106" s="91" t="s">
        <v>163</v>
      </c>
      <c r="D106" s="91" t="s">
        <v>146</v>
      </c>
      <c r="E106" s="104" t="s">
        <v>139</v>
      </c>
      <c r="F106" s="95" t="s">
        <v>395</v>
      </c>
      <c r="G106" s="111">
        <v>44927</v>
      </c>
      <c r="H106" s="111">
        <v>44957</v>
      </c>
      <c r="I106" s="94" t="s">
        <v>248</v>
      </c>
      <c r="J106" s="92">
        <v>1150000</v>
      </c>
      <c r="K106" s="92">
        <f t="shared" si="62"/>
        <v>149500</v>
      </c>
      <c r="L106" s="91">
        <v>174</v>
      </c>
      <c r="M106" s="91">
        <v>60</v>
      </c>
      <c r="N106" s="223">
        <f t="shared" si="68"/>
        <v>396552</v>
      </c>
      <c r="O106" s="215">
        <f t="shared" si="63"/>
        <v>51552</v>
      </c>
      <c r="P106" s="106">
        <f t="shared" si="71"/>
        <v>0.34482758620689657</v>
      </c>
      <c r="Q106" s="112" t="s">
        <v>268</v>
      </c>
      <c r="R106" s="155">
        <v>0.13</v>
      </c>
      <c r="S106" s="106">
        <f t="shared" si="64"/>
        <v>-2.3988005992681138E-7</v>
      </c>
      <c r="T106" s="234" t="s">
        <v>397</v>
      </c>
      <c r="U106" s="203">
        <v>44938</v>
      </c>
      <c r="V106" s="205" t="s">
        <v>252</v>
      </c>
      <c r="W106" s="94"/>
      <c r="X106" s="94"/>
      <c r="Y106" s="94"/>
      <c r="Z106" s="76"/>
      <c r="AA106" s="42" t="s">
        <v>408</v>
      </c>
      <c r="AB106" s="239">
        <v>1</v>
      </c>
      <c r="AC106" s="42">
        <v>0</v>
      </c>
    </row>
    <row r="107" spans="1:29" s="42" customFormat="1" ht="15" customHeight="1" x14ac:dyDescent="0.25">
      <c r="A107" s="91" t="s">
        <v>396</v>
      </c>
      <c r="B107" s="91" t="s">
        <v>162</v>
      </c>
      <c r="C107" s="91" t="s">
        <v>163</v>
      </c>
      <c r="D107" s="91" t="s">
        <v>146</v>
      </c>
      <c r="E107" s="104" t="s">
        <v>139</v>
      </c>
      <c r="F107" s="95" t="s">
        <v>395</v>
      </c>
      <c r="G107" s="111">
        <v>44958</v>
      </c>
      <c r="H107" s="111">
        <v>44985</v>
      </c>
      <c r="I107" s="94" t="s">
        <v>248</v>
      </c>
      <c r="J107" s="92">
        <v>1150000</v>
      </c>
      <c r="K107" s="92">
        <f t="shared" si="62"/>
        <v>149500</v>
      </c>
      <c r="L107" s="91">
        <v>174</v>
      </c>
      <c r="M107" s="91">
        <v>60</v>
      </c>
      <c r="N107" s="223">
        <f t="shared" si="68"/>
        <v>396552</v>
      </c>
      <c r="O107" s="215">
        <f t="shared" si="63"/>
        <v>51552</v>
      </c>
      <c r="P107" s="106">
        <f t="shared" ref="P107:P108" si="77">M107/L107</f>
        <v>0.34482758620689657</v>
      </c>
      <c r="Q107" s="112" t="s">
        <v>268</v>
      </c>
      <c r="R107" s="155">
        <v>0.13</v>
      </c>
      <c r="S107" s="106">
        <f t="shared" si="64"/>
        <v>-2.3988005992681138E-7</v>
      </c>
      <c r="T107" s="234" t="s">
        <v>397</v>
      </c>
      <c r="U107" s="203">
        <v>44938</v>
      </c>
      <c r="V107" s="205" t="s">
        <v>252</v>
      </c>
      <c r="W107" s="94"/>
      <c r="X107" s="94"/>
      <c r="Y107" s="94"/>
      <c r="Z107" s="76"/>
      <c r="AA107" s="42" t="s">
        <v>408</v>
      </c>
      <c r="AB107" s="42">
        <v>0</v>
      </c>
      <c r="AC107" s="42">
        <v>109699</v>
      </c>
    </row>
    <row r="108" spans="1:29" s="42" customFormat="1" ht="15" customHeight="1" x14ac:dyDescent="0.25">
      <c r="A108" s="91" t="s">
        <v>396</v>
      </c>
      <c r="B108" s="91" t="s">
        <v>162</v>
      </c>
      <c r="C108" s="91" t="s">
        <v>163</v>
      </c>
      <c r="D108" s="91" t="s">
        <v>146</v>
      </c>
      <c r="E108" s="104" t="s">
        <v>139</v>
      </c>
      <c r="F108" s="95" t="s">
        <v>395</v>
      </c>
      <c r="G108" s="111">
        <v>44986</v>
      </c>
      <c r="H108" s="111">
        <v>45016</v>
      </c>
      <c r="I108" s="94" t="s">
        <v>248</v>
      </c>
      <c r="J108" s="92">
        <v>1150000</v>
      </c>
      <c r="K108" s="92">
        <f t="shared" si="62"/>
        <v>149500</v>
      </c>
      <c r="L108" s="91">
        <v>174</v>
      </c>
      <c r="M108" s="91">
        <v>60</v>
      </c>
      <c r="N108" s="223">
        <f t="shared" si="68"/>
        <v>396552</v>
      </c>
      <c r="O108" s="215">
        <f t="shared" si="63"/>
        <v>51552</v>
      </c>
      <c r="P108" s="106">
        <f t="shared" si="77"/>
        <v>0.34482758620689657</v>
      </c>
      <c r="Q108" s="112" t="s">
        <v>268</v>
      </c>
      <c r="R108" s="155">
        <v>0.13</v>
      </c>
      <c r="S108" s="106">
        <f t="shared" si="64"/>
        <v>-2.3988005992681138E-7</v>
      </c>
      <c r="T108" s="234" t="s">
        <v>397</v>
      </c>
      <c r="U108" s="203">
        <v>44938</v>
      </c>
      <c r="V108" s="205" t="s">
        <v>252</v>
      </c>
      <c r="W108" s="94"/>
      <c r="X108" s="94"/>
      <c r="Y108" s="94"/>
      <c r="Z108" s="76"/>
      <c r="AA108" s="42" t="s">
        <v>408</v>
      </c>
      <c r="AB108" s="42">
        <v>0</v>
      </c>
      <c r="AC108" s="42">
        <v>109699</v>
      </c>
    </row>
    <row r="109" spans="1:29" s="42" customFormat="1" ht="15" customHeight="1" x14ac:dyDescent="0.25">
      <c r="A109" s="91" t="s">
        <v>396</v>
      </c>
      <c r="B109" s="91" t="s">
        <v>162</v>
      </c>
      <c r="C109" s="91" t="s">
        <v>163</v>
      </c>
      <c r="D109" s="91" t="s">
        <v>146</v>
      </c>
      <c r="E109" s="104" t="s">
        <v>139</v>
      </c>
      <c r="F109" s="95" t="s">
        <v>395</v>
      </c>
      <c r="G109" s="111">
        <v>45017</v>
      </c>
      <c r="H109" s="111">
        <v>45046</v>
      </c>
      <c r="I109" s="94" t="s">
        <v>248</v>
      </c>
      <c r="J109" s="92">
        <v>1150000</v>
      </c>
      <c r="K109" s="92">
        <f t="shared" ref="K109" si="78">ROUND(J109*R109,0)</f>
        <v>149500</v>
      </c>
      <c r="L109" s="91">
        <v>174</v>
      </c>
      <c r="M109" s="91">
        <v>30</v>
      </c>
      <c r="N109" s="223">
        <f t="shared" ref="N109" si="79">ROUND(J109*P109,0)</f>
        <v>198276</v>
      </c>
      <c r="O109" s="215">
        <f t="shared" ref="O109" si="80">ROUND(N109*R109,0)</f>
        <v>25776</v>
      </c>
      <c r="P109" s="106">
        <f t="shared" ref="P109" si="81">M109/L109</f>
        <v>0.17241379310344829</v>
      </c>
      <c r="Q109" s="112" t="s">
        <v>268</v>
      </c>
      <c r="R109" s="155">
        <v>0.13</v>
      </c>
      <c r="S109" s="106">
        <f t="shared" ref="S109" si="82">P109-(N109/J109)</f>
        <v>-1.1994002996340569E-7</v>
      </c>
      <c r="T109" s="234" t="s">
        <v>397</v>
      </c>
      <c r="U109" s="203">
        <v>45002</v>
      </c>
      <c r="V109" s="205" t="s">
        <v>252</v>
      </c>
      <c r="W109" s="94"/>
      <c r="X109" s="94"/>
      <c r="Y109" s="94"/>
      <c r="Z109" s="76"/>
      <c r="AA109" s="42" t="s">
        <v>408</v>
      </c>
      <c r="AB109" s="42">
        <v>0</v>
      </c>
      <c r="AC109" s="239">
        <v>109699</v>
      </c>
    </row>
    <row r="110" spans="1:29" s="42" customFormat="1" ht="15" customHeight="1" x14ac:dyDescent="0.25">
      <c r="A110" s="91" t="s">
        <v>396</v>
      </c>
      <c r="B110" s="91" t="s">
        <v>162</v>
      </c>
      <c r="C110" s="91" t="s">
        <v>163</v>
      </c>
      <c r="D110" s="91" t="s">
        <v>146</v>
      </c>
      <c r="E110" s="104" t="s">
        <v>139</v>
      </c>
      <c r="F110" s="95" t="s">
        <v>395</v>
      </c>
      <c r="G110" s="111">
        <v>45047</v>
      </c>
      <c r="H110" s="111">
        <v>45077</v>
      </c>
      <c r="I110" s="94" t="s">
        <v>267</v>
      </c>
      <c r="J110" s="92">
        <v>1150000</v>
      </c>
      <c r="K110" s="92">
        <f t="shared" ref="K110:K113" si="83">ROUND(J110*R110,0)</f>
        <v>149500</v>
      </c>
      <c r="L110" s="91">
        <v>174</v>
      </c>
      <c r="M110" s="91">
        <v>30</v>
      </c>
      <c r="N110" s="223">
        <f t="shared" ref="N110:N113" si="84">ROUND(J110*P110,0)</f>
        <v>198276</v>
      </c>
      <c r="O110" s="215">
        <f t="shared" ref="O110:O113" si="85">ROUND(N110*R110,0)</f>
        <v>25776</v>
      </c>
      <c r="P110" s="106">
        <f t="shared" ref="P110:P113" si="86">M110/L110</f>
        <v>0.17241379310344829</v>
      </c>
      <c r="Q110" s="112" t="s">
        <v>268</v>
      </c>
      <c r="R110" s="155">
        <v>0.13</v>
      </c>
      <c r="S110" s="106">
        <f t="shared" ref="S110:S113" si="87">P110-(N110/J110)</f>
        <v>-1.1994002996340569E-7</v>
      </c>
      <c r="T110" s="234" t="s">
        <v>397</v>
      </c>
      <c r="U110" s="203">
        <v>45002</v>
      </c>
      <c r="V110" s="205" t="s">
        <v>252</v>
      </c>
      <c r="W110" s="94"/>
      <c r="X110" s="94"/>
      <c r="Y110" s="94"/>
      <c r="Z110" s="76"/>
    </row>
    <row r="111" spans="1:29" s="42" customFormat="1" ht="15" customHeight="1" x14ac:dyDescent="0.25">
      <c r="A111" s="91" t="s">
        <v>396</v>
      </c>
      <c r="B111" s="91" t="s">
        <v>162</v>
      </c>
      <c r="C111" s="91" t="s">
        <v>163</v>
      </c>
      <c r="D111" s="91" t="s">
        <v>146</v>
      </c>
      <c r="E111" s="104" t="s">
        <v>139</v>
      </c>
      <c r="F111" s="95" t="s">
        <v>395</v>
      </c>
      <c r="G111" s="111">
        <v>45078</v>
      </c>
      <c r="H111" s="111">
        <v>45107</v>
      </c>
      <c r="I111" s="94" t="s">
        <v>267</v>
      </c>
      <c r="J111" s="92">
        <v>1150000</v>
      </c>
      <c r="K111" s="92">
        <f t="shared" si="83"/>
        <v>149500</v>
      </c>
      <c r="L111" s="91">
        <v>174</v>
      </c>
      <c r="M111" s="91">
        <v>30</v>
      </c>
      <c r="N111" s="223">
        <f t="shared" si="84"/>
        <v>198276</v>
      </c>
      <c r="O111" s="215">
        <f t="shared" si="85"/>
        <v>25776</v>
      </c>
      <c r="P111" s="106">
        <f t="shared" si="86"/>
        <v>0.17241379310344829</v>
      </c>
      <c r="Q111" s="112" t="s">
        <v>268</v>
      </c>
      <c r="R111" s="155">
        <v>0.13</v>
      </c>
      <c r="S111" s="106">
        <f t="shared" si="87"/>
        <v>-1.1994002996340569E-7</v>
      </c>
      <c r="T111" s="234" t="s">
        <v>397</v>
      </c>
      <c r="U111" s="203">
        <v>45002</v>
      </c>
      <c r="V111" s="205" t="s">
        <v>252</v>
      </c>
      <c r="W111" s="94"/>
      <c r="X111" s="94"/>
      <c r="Y111" s="94"/>
      <c r="Z111" s="76"/>
    </row>
    <row r="112" spans="1:29" s="42" customFormat="1" ht="15" customHeight="1" x14ac:dyDescent="0.25">
      <c r="A112" s="91" t="s">
        <v>396</v>
      </c>
      <c r="B112" s="91" t="s">
        <v>162</v>
      </c>
      <c r="C112" s="91" t="s">
        <v>163</v>
      </c>
      <c r="D112" s="91" t="s">
        <v>146</v>
      </c>
      <c r="E112" s="104" t="s">
        <v>139</v>
      </c>
      <c r="F112" s="95" t="s">
        <v>395</v>
      </c>
      <c r="G112" s="111">
        <v>45108</v>
      </c>
      <c r="H112" s="111">
        <v>45138</v>
      </c>
      <c r="I112" s="94" t="s">
        <v>267</v>
      </c>
      <c r="J112" s="92">
        <v>1150000</v>
      </c>
      <c r="K112" s="92">
        <f t="shared" si="83"/>
        <v>149500</v>
      </c>
      <c r="L112" s="91">
        <v>174</v>
      </c>
      <c r="M112" s="91">
        <v>30</v>
      </c>
      <c r="N112" s="223">
        <f t="shared" si="84"/>
        <v>198276</v>
      </c>
      <c r="O112" s="215">
        <f t="shared" si="85"/>
        <v>25776</v>
      </c>
      <c r="P112" s="106">
        <f t="shared" si="86"/>
        <v>0.17241379310344829</v>
      </c>
      <c r="Q112" s="112" t="s">
        <v>268</v>
      </c>
      <c r="R112" s="155">
        <v>0.13</v>
      </c>
      <c r="S112" s="106">
        <f t="shared" si="87"/>
        <v>-1.1994002996340569E-7</v>
      </c>
      <c r="T112" s="234" t="s">
        <v>397</v>
      </c>
      <c r="U112" s="203">
        <v>45002</v>
      </c>
      <c r="V112" s="205" t="s">
        <v>252</v>
      </c>
      <c r="W112" s="94"/>
      <c r="X112" s="94"/>
      <c r="Y112" s="94"/>
      <c r="Z112" s="76"/>
    </row>
    <row r="113" spans="1:29" s="42" customFormat="1" ht="15" customHeight="1" x14ac:dyDescent="0.25">
      <c r="A113" s="91" t="s">
        <v>396</v>
      </c>
      <c r="B113" s="91" t="s">
        <v>162</v>
      </c>
      <c r="C113" s="91" t="s">
        <v>163</v>
      </c>
      <c r="D113" s="91" t="s">
        <v>146</v>
      </c>
      <c r="E113" s="104" t="s">
        <v>139</v>
      </c>
      <c r="F113" s="95" t="s">
        <v>395</v>
      </c>
      <c r="G113" s="111">
        <v>45139</v>
      </c>
      <c r="H113" s="111">
        <v>45169</v>
      </c>
      <c r="I113" s="94" t="s">
        <v>267</v>
      </c>
      <c r="J113" s="92">
        <v>1150000</v>
      </c>
      <c r="K113" s="92">
        <f t="shared" si="83"/>
        <v>149500</v>
      </c>
      <c r="L113" s="91">
        <v>174</v>
      </c>
      <c r="M113" s="91">
        <v>30</v>
      </c>
      <c r="N113" s="223">
        <f t="shared" si="84"/>
        <v>198276</v>
      </c>
      <c r="O113" s="215">
        <f t="shared" si="85"/>
        <v>25776</v>
      </c>
      <c r="P113" s="106">
        <f t="shared" si="86"/>
        <v>0.17241379310344829</v>
      </c>
      <c r="Q113" s="112" t="s">
        <v>268</v>
      </c>
      <c r="R113" s="155">
        <v>0.13</v>
      </c>
      <c r="S113" s="106">
        <f t="shared" si="87"/>
        <v>-1.1994002996340569E-7</v>
      </c>
      <c r="T113" s="234" t="s">
        <v>397</v>
      </c>
      <c r="U113" s="203">
        <v>45002</v>
      </c>
      <c r="V113" s="205" t="s">
        <v>252</v>
      </c>
      <c r="W113" s="94"/>
      <c r="X113" s="94"/>
      <c r="Y113" s="94"/>
      <c r="Z113" s="76"/>
    </row>
    <row r="114" spans="1:29" s="42" customFormat="1" ht="15" customHeight="1" x14ac:dyDescent="0.25">
      <c r="A114" s="91" t="s">
        <v>22</v>
      </c>
      <c r="B114" s="91" t="s">
        <v>164</v>
      </c>
      <c r="C114" s="91" t="s">
        <v>165</v>
      </c>
      <c r="D114" s="91" t="s">
        <v>148</v>
      </c>
      <c r="E114" s="104" t="s">
        <v>139</v>
      </c>
      <c r="F114" s="95" t="s">
        <v>17</v>
      </c>
      <c r="G114" s="111">
        <v>44621</v>
      </c>
      <c r="H114" s="111">
        <v>44651</v>
      </c>
      <c r="I114" s="94" t="s">
        <v>248</v>
      </c>
      <c r="J114" s="92">
        <v>820000</v>
      </c>
      <c r="K114" s="92">
        <f t="shared" si="62"/>
        <v>106600</v>
      </c>
      <c r="L114" s="91">
        <v>174</v>
      </c>
      <c r="M114" s="91">
        <v>34</v>
      </c>
      <c r="N114" s="223">
        <v>160230</v>
      </c>
      <c r="O114" s="215">
        <f t="shared" si="63"/>
        <v>20830</v>
      </c>
      <c r="P114" s="106">
        <f t="shared" ref="P114:P137" si="88">M114/L114</f>
        <v>0.19540229885057472</v>
      </c>
      <c r="Q114" s="112" t="s">
        <v>268</v>
      </c>
      <c r="R114" s="155">
        <v>0.13</v>
      </c>
      <c r="S114" s="106">
        <f t="shared" si="64"/>
        <v>-1.401738155271115E-7</v>
      </c>
      <c r="T114" s="234"/>
      <c r="U114" s="203"/>
      <c r="V114" s="94" t="s">
        <v>252</v>
      </c>
      <c r="W114" s="94" t="s">
        <v>252</v>
      </c>
      <c r="X114" s="94"/>
      <c r="Y114" s="94">
        <v>3</v>
      </c>
      <c r="Z114" s="76"/>
    </row>
    <row r="115" spans="1:29" s="42" customFormat="1" ht="15" customHeight="1" x14ac:dyDescent="0.25">
      <c r="A115" s="91" t="s">
        <v>22</v>
      </c>
      <c r="B115" s="91" t="s">
        <v>164</v>
      </c>
      <c r="C115" s="91" t="s">
        <v>165</v>
      </c>
      <c r="D115" s="91" t="s">
        <v>148</v>
      </c>
      <c r="E115" s="104" t="s">
        <v>139</v>
      </c>
      <c r="F115" s="95" t="s">
        <v>17</v>
      </c>
      <c r="G115" s="111">
        <v>44652</v>
      </c>
      <c r="H115" s="111">
        <v>44681</v>
      </c>
      <c r="I115" s="94" t="s">
        <v>248</v>
      </c>
      <c r="J115" s="92">
        <v>820000</v>
      </c>
      <c r="K115" s="92">
        <f t="shared" si="62"/>
        <v>106600</v>
      </c>
      <c r="L115" s="91">
        <v>174</v>
      </c>
      <c r="M115" s="91">
        <v>34</v>
      </c>
      <c r="N115" s="223">
        <v>160230</v>
      </c>
      <c r="O115" s="215">
        <f t="shared" si="63"/>
        <v>20830</v>
      </c>
      <c r="P115" s="106">
        <f t="shared" si="88"/>
        <v>0.19540229885057472</v>
      </c>
      <c r="Q115" s="112" t="s">
        <v>268</v>
      </c>
      <c r="R115" s="155">
        <v>0.13</v>
      </c>
      <c r="S115" s="106">
        <f t="shared" si="64"/>
        <v>-1.401738155271115E-7</v>
      </c>
      <c r="T115" s="234"/>
      <c r="U115" s="203"/>
      <c r="V115" s="94" t="s">
        <v>252</v>
      </c>
      <c r="W115" s="94" t="s">
        <v>252</v>
      </c>
      <c r="X115" s="94"/>
      <c r="Y115" s="94">
        <v>3</v>
      </c>
      <c r="Z115" s="76"/>
    </row>
    <row r="116" spans="1:29" s="42" customFormat="1" ht="15" customHeight="1" x14ac:dyDescent="0.25">
      <c r="A116" s="91" t="s">
        <v>22</v>
      </c>
      <c r="B116" s="91" t="s">
        <v>164</v>
      </c>
      <c r="C116" s="91" t="s">
        <v>165</v>
      </c>
      <c r="D116" s="91" t="s">
        <v>148</v>
      </c>
      <c r="E116" s="104" t="s">
        <v>139</v>
      </c>
      <c r="F116" s="95" t="s">
        <v>17</v>
      </c>
      <c r="G116" s="111">
        <v>44682</v>
      </c>
      <c r="H116" s="111">
        <v>44712</v>
      </c>
      <c r="I116" s="94" t="s">
        <v>248</v>
      </c>
      <c r="J116" s="92">
        <v>820000</v>
      </c>
      <c r="K116" s="92">
        <f t="shared" si="62"/>
        <v>106600</v>
      </c>
      <c r="L116" s="91">
        <v>174</v>
      </c>
      <c r="M116" s="91">
        <v>34</v>
      </c>
      <c r="N116" s="223">
        <v>160230</v>
      </c>
      <c r="O116" s="215">
        <f t="shared" si="63"/>
        <v>20830</v>
      </c>
      <c r="P116" s="106">
        <f t="shared" si="88"/>
        <v>0.19540229885057472</v>
      </c>
      <c r="Q116" s="112" t="s">
        <v>268</v>
      </c>
      <c r="R116" s="155">
        <v>0.13</v>
      </c>
      <c r="S116" s="106">
        <f t="shared" si="64"/>
        <v>-1.401738155271115E-7</v>
      </c>
      <c r="T116" s="234"/>
      <c r="U116" s="203"/>
      <c r="V116" s="94" t="s">
        <v>252</v>
      </c>
      <c r="W116" s="94" t="s">
        <v>252</v>
      </c>
      <c r="X116" s="94"/>
      <c r="Y116" s="94">
        <v>3</v>
      </c>
      <c r="Z116" s="76"/>
    </row>
    <row r="117" spans="1:29" s="42" customFormat="1" ht="15" customHeight="1" x14ac:dyDescent="0.25">
      <c r="A117" s="91" t="s">
        <v>22</v>
      </c>
      <c r="B117" s="91" t="s">
        <v>164</v>
      </c>
      <c r="C117" s="91" t="s">
        <v>165</v>
      </c>
      <c r="D117" s="91" t="s">
        <v>148</v>
      </c>
      <c r="E117" s="104" t="s">
        <v>139</v>
      </c>
      <c r="F117" s="95" t="s">
        <v>17</v>
      </c>
      <c r="G117" s="111">
        <v>44713</v>
      </c>
      <c r="H117" s="111">
        <v>44742</v>
      </c>
      <c r="I117" s="94" t="s">
        <v>248</v>
      </c>
      <c r="J117" s="92">
        <v>820000</v>
      </c>
      <c r="K117" s="92">
        <f t="shared" si="62"/>
        <v>106600</v>
      </c>
      <c r="L117" s="91">
        <v>174</v>
      </c>
      <c r="M117" s="91">
        <v>34</v>
      </c>
      <c r="N117" s="223">
        <v>160230</v>
      </c>
      <c r="O117" s="215">
        <f t="shared" si="63"/>
        <v>20830</v>
      </c>
      <c r="P117" s="106">
        <f t="shared" si="88"/>
        <v>0.19540229885057472</v>
      </c>
      <c r="Q117" s="112" t="s">
        <v>268</v>
      </c>
      <c r="R117" s="155">
        <v>0.13</v>
      </c>
      <c r="S117" s="106">
        <f t="shared" ref="S117:S156" si="89">P117-(N117/J117)</f>
        <v>-1.401738155271115E-7</v>
      </c>
      <c r="T117" s="234"/>
      <c r="U117" s="203"/>
      <c r="V117" s="94" t="s">
        <v>252</v>
      </c>
      <c r="W117" s="94" t="s">
        <v>252</v>
      </c>
      <c r="X117" s="94"/>
      <c r="Y117" s="94">
        <v>3</v>
      </c>
      <c r="Z117" s="76"/>
    </row>
    <row r="118" spans="1:29" s="42" customFormat="1" ht="15" customHeight="1" x14ac:dyDescent="0.25">
      <c r="A118" s="91" t="s">
        <v>22</v>
      </c>
      <c r="B118" s="91" t="s">
        <v>164</v>
      </c>
      <c r="C118" s="91" t="s">
        <v>165</v>
      </c>
      <c r="D118" s="91" t="s">
        <v>148</v>
      </c>
      <c r="E118" s="104" t="s">
        <v>139</v>
      </c>
      <c r="F118" s="95" t="s">
        <v>17</v>
      </c>
      <c r="G118" s="111">
        <v>44743</v>
      </c>
      <c r="H118" s="111">
        <v>44773</v>
      </c>
      <c r="I118" s="94" t="s">
        <v>248</v>
      </c>
      <c r="J118" s="92">
        <v>820000</v>
      </c>
      <c r="K118" s="92">
        <f t="shared" si="62"/>
        <v>106600</v>
      </c>
      <c r="L118" s="91">
        <v>174</v>
      </c>
      <c r="M118" s="91">
        <v>34</v>
      </c>
      <c r="N118" s="223">
        <v>160230</v>
      </c>
      <c r="O118" s="215">
        <f t="shared" si="63"/>
        <v>20830</v>
      </c>
      <c r="P118" s="106">
        <f t="shared" ref="P118" si="90">M118/L118</f>
        <v>0.19540229885057472</v>
      </c>
      <c r="Q118" s="112" t="s">
        <v>268</v>
      </c>
      <c r="R118" s="155">
        <v>0.13</v>
      </c>
      <c r="S118" s="106">
        <f t="shared" si="89"/>
        <v>-1.401738155271115E-7</v>
      </c>
      <c r="T118" s="234"/>
      <c r="U118" s="203">
        <v>44732</v>
      </c>
      <c r="V118" s="94" t="s">
        <v>252</v>
      </c>
      <c r="W118" s="94"/>
      <c r="X118" s="94"/>
      <c r="Y118" s="94">
        <v>3</v>
      </c>
      <c r="Z118" s="76"/>
    </row>
    <row r="119" spans="1:29" s="42" customFormat="1" ht="15" customHeight="1" x14ac:dyDescent="0.25">
      <c r="A119" s="91" t="s">
        <v>22</v>
      </c>
      <c r="B119" s="91" t="s">
        <v>164</v>
      </c>
      <c r="C119" s="91" t="s">
        <v>165</v>
      </c>
      <c r="D119" s="91" t="s">
        <v>148</v>
      </c>
      <c r="E119" s="104" t="s">
        <v>139</v>
      </c>
      <c r="F119" s="95" t="s">
        <v>17</v>
      </c>
      <c r="G119" s="111">
        <v>44774</v>
      </c>
      <c r="H119" s="111">
        <v>44804</v>
      </c>
      <c r="I119" s="94" t="s">
        <v>248</v>
      </c>
      <c r="J119" s="92">
        <v>713043</v>
      </c>
      <c r="K119" s="92">
        <f t="shared" si="62"/>
        <v>92696</v>
      </c>
      <c r="L119" s="91">
        <v>174</v>
      </c>
      <c r="M119" s="91">
        <v>34</v>
      </c>
      <c r="N119" s="223">
        <f>ROUND(J119*P119,0)</f>
        <v>139330</v>
      </c>
      <c r="O119" s="215">
        <f t="shared" si="63"/>
        <v>18113</v>
      </c>
      <c r="P119" s="106">
        <f t="shared" ref="P119" si="91">M119/L119</f>
        <v>0.19540229885057472</v>
      </c>
      <c r="Q119" s="112" t="s">
        <v>268</v>
      </c>
      <c r="R119" s="155">
        <v>0.13</v>
      </c>
      <c r="S119" s="106">
        <f t="shared" si="89"/>
        <v>3.3851999156619961E-7</v>
      </c>
      <c r="T119" s="234"/>
      <c r="U119" s="203">
        <v>44732</v>
      </c>
      <c r="V119" s="94" t="s">
        <v>252</v>
      </c>
      <c r="W119" s="94"/>
      <c r="X119" s="94"/>
      <c r="Y119" s="94">
        <v>3</v>
      </c>
      <c r="Z119" s="76"/>
    </row>
    <row r="120" spans="1:29" s="42" customFormat="1" ht="15" customHeight="1" x14ac:dyDescent="0.25">
      <c r="A120" s="91" t="s">
        <v>22</v>
      </c>
      <c r="B120" s="91" t="s">
        <v>164</v>
      </c>
      <c r="C120" s="91" t="s">
        <v>165</v>
      </c>
      <c r="D120" s="91" t="s">
        <v>148</v>
      </c>
      <c r="E120" s="104" t="s">
        <v>139</v>
      </c>
      <c r="F120" s="95" t="s">
        <v>17</v>
      </c>
      <c r="G120" s="111">
        <v>44805</v>
      </c>
      <c r="H120" s="111">
        <v>44834</v>
      </c>
      <c r="I120" s="94" t="s">
        <v>248</v>
      </c>
      <c r="J120" s="92">
        <v>820000</v>
      </c>
      <c r="K120" s="92">
        <f t="shared" si="62"/>
        <v>106600</v>
      </c>
      <c r="L120" s="91">
        <v>174</v>
      </c>
      <c r="M120" s="91">
        <v>34</v>
      </c>
      <c r="N120" s="223">
        <v>160230</v>
      </c>
      <c r="O120" s="215">
        <f t="shared" si="63"/>
        <v>20830</v>
      </c>
      <c r="P120" s="106">
        <f t="shared" ref="P120" si="92">M120/L120</f>
        <v>0.19540229885057472</v>
      </c>
      <c r="Q120" s="112" t="s">
        <v>268</v>
      </c>
      <c r="R120" s="155">
        <v>0.13</v>
      </c>
      <c r="S120" s="106">
        <f t="shared" si="89"/>
        <v>-1.401738155271115E-7</v>
      </c>
      <c r="T120" s="234"/>
      <c r="U120" s="203">
        <v>44797</v>
      </c>
      <c r="V120" s="94" t="s">
        <v>252</v>
      </c>
      <c r="W120" s="94"/>
      <c r="X120" s="94"/>
      <c r="Y120" s="94">
        <v>3</v>
      </c>
      <c r="Z120" s="76"/>
    </row>
    <row r="121" spans="1:29" s="42" customFormat="1" ht="15" customHeight="1" x14ac:dyDescent="0.25">
      <c r="A121" s="91" t="s">
        <v>22</v>
      </c>
      <c r="B121" s="91" t="s">
        <v>164</v>
      </c>
      <c r="C121" s="91" t="s">
        <v>165</v>
      </c>
      <c r="D121" s="91" t="s">
        <v>148</v>
      </c>
      <c r="E121" s="104" t="s">
        <v>139</v>
      </c>
      <c r="F121" s="95" t="s">
        <v>17</v>
      </c>
      <c r="G121" s="111">
        <v>44835</v>
      </c>
      <c r="H121" s="111">
        <v>44865</v>
      </c>
      <c r="I121" s="94" t="s">
        <v>248</v>
      </c>
      <c r="J121" s="92">
        <v>796573</v>
      </c>
      <c r="K121" s="92">
        <f t="shared" si="62"/>
        <v>103554</v>
      </c>
      <c r="L121" s="91">
        <v>174</v>
      </c>
      <c r="M121" s="91">
        <v>34</v>
      </c>
      <c r="N121" s="223">
        <f>ROUND(J121*P121,0)</f>
        <v>155652</v>
      </c>
      <c r="O121" s="215">
        <f t="shared" si="63"/>
        <v>20235</v>
      </c>
      <c r="P121" s="106">
        <f t="shared" ref="P121:P124" si="93">M121/L121</f>
        <v>0.19540229885057472</v>
      </c>
      <c r="Q121" s="112" t="s">
        <v>268</v>
      </c>
      <c r="R121" s="155">
        <v>0.13</v>
      </c>
      <c r="S121" s="106">
        <f t="shared" si="89"/>
        <v>2.4530369327480095E-7</v>
      </c>
      <c r="T121" s="234"/>
      <c r="U121" s="203">
        <v>44797</v>
      </c>
      <c r="V121" s="94" t="s">
        <v>252</v>
      </c>
      <c r="W121" s="94"/>
      <c r="X121" s="94"/>
      <c r="Y121" s="94">
        <v>3</v>
      </c>
      <c r="Z121" s="76"/>
    </row>
    <row r="122" spans="1:29" s="42" customFormat="1" ht="15" customHeight="1" x14ac:dyDescent="0.25">
      <c r="A122" s="91" t="s">
        <v>22</v>
      </c>
      <c r="B122" s="91" t="s">
        <v>164</v>
      </c>
      <c r="C122" s="91" t="s">
        <v>165</v>
      </c>
      <c r="D122" s="91" t="s">
        <v>148</v>
      </c>
      <c r="E122" s="104" t="s">
        <v>139</v>
      </c>
      <c r="F122" s="95" t="s">
        <v>17</v>
      </c>
      <c r="G122" s="111">
        <v>44866</v>
      </c>
      <c r="H122" s="111">
        <v>44895</v>
      </c>
      <c r="I122" s="94" t="s">
        <v>248</v>
      </c>
      <c r="J122" s="92">
        <v>820000</v>
      </c>
      <c r="K122" s="92">
        <f t="shared" si="62"/>
        <v>106600</v>
      </c>
      <c r="L122" s="91">
        <v>174</v>
      </c>
      <c r="M122" s="91">
        <v>34</v>
      </c>
      <c r="N122" s="223">
        <v>160230</v>
      </c>
      <c r="O122" s="215">
        <f t="shared" si="63"/>
        <v>20830</v>
      </c>
      <c r="P122" s="106">
        <f t="shared" si="93"/>
        <v>0.19540229885057472</v>
      </c>
      <c r="Q122" s="112" t="s">
        <v>268</v>
      </c>
      <c r="R122" s="155">
        <v>0.13</v>
      </c>
      <c r="S122" s="106">
        <f t="shared" si="89"/>
        <v>-1.401738155271115E-7</v>
      </c>
      <c r="T122" s="234" t="s">
        <v>381</v>
      </c>
      <c r="U122" s="203">
        <v>44797</v>
      </c>
      <c r="V122" s="94" t="s">
        <v>252</v>
      </c>
      <c r="W122" s="94"/>
      <c r="X122" s="94"/>
      <c r="Y122" s="94"/>
      <c r="Z122" s="76"/>
      <c r="AA122" s="42" t="s">
        <v>408</v>
      </c>
      <c r="AB122" s="42" t="s">
        <v>408</v>
      </c>
      <c r="AC122" s="42" t="s">
        <v>408</v>
      </c>
    </row>
    <row r="123" spans="1:29" s="42" customFormat="1" ht="15" customHeight="1" x14ac:dyDescent="0.25">
      <c r="A123" s="91" t="s">
        <v>22</v>
      </c>
      <c r="B123" s="91" t="s">
        <v>164</v>
      </c>
      <c r="C123" s="91" t="s">
        <v>165</v>
      </c>
      <c r="D123" s="91" t="s">
        <v>148</v>
      </c>
      <c r="E123" s="104" t="s">
        <v>139</v>
      </c>
      <c r="F123" s="95" t="s">
        <v>17</v>
      </c>
      <c r="G123" s="111">
        <v>44896</v>
      </c>
      <c r="H123" s="111">
        <v>44926</v>
      </c>
      <c r="I123" s="94" t="s">
        <v>248</v>
      </c>
      <c r="J123" s="92">
        <v>820000</v>
      </c>
      <c r="K123" s="92">
        <f t="shared" si="62"/>
        <v>106600</v>
      </c>
      <c r="L123" s="91">
        <v>174</v>
      </c>
      <c r="M123" s="91">
        <v>34</v>
      </c>
      <c r="N123" s="223">
        <v>160230</v>
      </c>
      <c r="O123" s="215">
        <f t="shared" si="63"/>
        <v>20830</v>
      </c>
      <c r="P123" s="106">
        <f t="shared" si="93"/>
        <v>0.19540229885057472</v>
      </c>
      <c r="Q123" s="112" t="s">
        <v>268</v>
      </c>
      <c r="R123" s="155">
        <v>0.13</v>
      </c>
      <c r="S123" s="106">
        <f t="shared" si="89"/>
        <v>-1.401738155271115E-7</v>
      </c>
      <c r="T123" s="234" t="s">
        <v>381</v>
      </c>
      <c r="U123" s="203">
        <v>44797</v>
      </c>
      <c r="V123" s="94" t="s">
        <v>252</v>
      </c>
      <c r="W123" s="94"/>
      <c r="X123" s="94"/>
      <c r="Y123" s="94"/>
      <c r="Z123" s="76"/>
      <c r="AA123" s="42" t="s">
        <v>408</v>
      </c>
      <c r="AB123" s="239" t="s">
        <v>409</v>
      </c>
      <c r="AC123" s="42" t="s">
        <v>408</v>
      </c>
    </row>
    <row r="124" spans="1:29" s="42" customFormat="1" ht="15" customHeight="1" x14ac:dyDescent="0.25">
      <c r="A124" s="91" t="s">
        <v>22</v>
      </c>
      <c r="B124" s="91" t="s">
        <v>164</v>
      </c>
      <c r="C124" s="91" t="s">
        <v>165</v>
      </c>
      <c r="D124" s="91" t="s">
        <v>148</v>
      </c>
      <c r="E124" s="104" t="s">
        <v>139</v>
      </c>
      <c r="F124" s="95" t="s">
        <v>17</v>
      </c>
      <c r="G124" s="111">
        <v>44927</v>
      </c>
      <c r="H124" s="111">
        <v>44957</v>
      </c>
      <c r="I124" s="94" t="s">
        <v>248</v>
      </c>
      <c r="J124" s="92">
        <v>840000</v>
      </c>
      <c r="K124" s="92">
        <f t="shared" si="62"/>
        <v>109200</v>
      </c>
      <c r="L124" s="91">
        <v>174</v>
      </c>
      <c r="M124" s="91">
        <v>36</v>
      </c>
      <c r="N124" s="223">
        <f>ROUND(J124*P124,0)</f>
        <v>173793</v>
      </c>
      <c r="O124" s="215">
        <f t="shared" si="63"/>
        <v>22593</v>
      </c>
      <c r="P124" s="106">
        <f t="shared" si="93"/>
        <v>0.20689655172413793</v>
      </c>
      <c r="Q124" s="112" t="s">
        <v>268</v>
      </c>
      <c r="R124" s="155">
        <v>0.13</v>
      </c>
      <c r="S124" s="106">
        <f t="shared" si="89"/>
        <v>1.2315270936369416E-7</v>
      </c>
      <c r="T124" s="234" t="s">
        <v>381</v>
      </c>
      <c r="U124" s="203">
        <v>44945</v>
      </c>
      <c r="V124" s="94" t="s">
        <v>252</v>
      </c>
      <c r="W124" s="94"/>
      <c r="X124" s="94"/>
      <c r="Y124" s="94"/>
      <c r="Z124" s="76"/>
      <c r="AA124" s="42" t="s">
        <v>408</v>
      </c>
      <c r="AB124" s="42">
        <v>0</v>
      </c>
      <c r="AC124" s="42">
        <v>0</v>
      </c>
    </row>
    <row r="125" spans="1:29" s="42" customFormat="1" ht="15" customHeight="1" x14ac:dyDescent="0.25">
      <c r="A125" s="91" t="s">
        <v>22</v>
      </c>
      <c r="B125" s="91" t="s">
        <v>164</v>
      </c>
      <c r="C125" s="91" t="s">
        <v>165</v>
      </c>
      <c r="D125" s="91" t="s">
        <v>148</v>
      </c>
      <c r="E125" s="104" t="s">
        <v>139</v>
      </c>
      <c r="F125" s="95" t="s">
        <v>431</v>
      </c>
      <c r="G125" s="111">
        <v>44958</v>
      </c>
      <c r="H125" s="111">
        <v>44985</v>
      </c>
      <c r="I125" s="94" t="s">
        <v>248</v>
      </c>
      <c r="J125" s="92">
        <v>840000</v>
      </c>
      <c r="K125" s="92">
        <f t="shared" si="62"/>
        <v>109200</v>
      </c>
      <c r="L125" s="91">
        <v>174</v>
      </c>
      <c r="M125" s="91">
        <v>36</v>
      </c>
      <c r="N125" s="223">
        <f>ROUND(J125*P125,0)</f>
        <v>173793</v>
      </c>
      <c r="O125" s="215">
        <f t="shared" si="63"/>
        <v>22593</v>
      </c>
      <c r="P125" s="106">
        <f t="shared" ref="P125" si="94">M125/L125</f>
        <v>0.20689655172413793</v>
      </c>
      <c r="Q125" s="112" t="s">
        <v>268</v>
      </c>
      <c r="R125" s="155">
        <v>0.13</v>
      </c>
      <c r="S125" s="106">
        <f t="shared" si="89"/>
        <v>1.2315270936369416E-7</v>
      </c>
      <c r="T125" s="234" t="s">
        <v>381</v>
      </c>
      <c r="U125" s="203">
        <v>44945</v>
      </c>
      <c r="V125" s="94" t="s">
        <v>252</v>
      </c>
      <c r="W125" s="94"/>
      <c r="X125" s="94"/>
      <c r="Y125" s="94"/>
      <c r="Z125" s="76"/>
      <c r="AA125" s="42" t="s">
        <v>408</v>
      </c>
      <c r="AB125" s="42">
        <v>0</v>
      </c>
      <c r="AC125" s="42">
        <v>63960</v>
      </c>
    </row>
    <row r="126" spans="1:29" s="42" customFormat="1" ht="15" customHeight="1" x14ac:dyDescent="0.25">
      <c r="A126" s="91" t="s">
        <v>22</v>
      </c>
      <c r="B126" s="91" t="s">
        <v>164</v>
      </c>
      <c r="C126" s="91" t="s">
        <v>165</v>
      </c>
      <c r="D126" s="91" t="s">
        <v>148</v>
      </c>
      <c r="E126" s="104" t="s">
        <v>139</v>
      </c>
      <c r="F126" s="95" t="s">
        <v>431</v>
      </c>
      <c r="G126" s="111">
        <v>44986</v>
      </c>
      <c r="H126" s="111">
        <v>45016</v>
      </c>
      <c r="I126" s="94" t="s">
        <v>248</v>
      </c>
      <c r="J126" s="92">
        <v>840000</v>
      </c>
      <c r="K126" s="92">
        <f t="shared" ref="K126" si="95">ROUND(J126*R126,0)</f>
        <v>109200</v>
      </c>
      <c r="L126" s="91">
        <v>174</v>
      </c>
      <c r="M126" s="91">
        <v>47</v>
      </c>
      <c r="N126" s="223">
        <f t="shared" ref="N126" si="96">ROUND(J126*P126,0)</f>
        <v>226897</v>
      </c>
      <c r="O126" s="215">
        <f t="shared" ref="O126" si="97">ROUND(N126*R126,0)</f>
        <v>29497</v>
      </c>
      <c r="P126" s="106">
        <f t="shared" ref="P126" si="98">M126/L126</f>
        <v>0.27011494252873564</v>
      </c>
      <c r="Q126" s="112" t="s">
        <v>268</v>
      </c>
      <c r="R126" s="155">
        <v>0.13</v>
      </c>
      <c r="S126" s="106">
        <f t="shared" ref="S126" si="99">P126-(N126/J126)</f>
        <v>-5.3366174057600801E-7</v>
      </c>
      <c r="T126" s="234" t="s">
        <v>381</v>
      </c>
      <c r="U126" s="203">
        <v>44998</v>
      </c>
      <c r="V126" s="94" t="s">
        <v>252</v>
      </c>
      <c r="W126" s="94"/>
      <c r="X126" s="94"/>
      <c r="Y126" s="94"/>
      <c r="Z126" s="76"/>
      <c r="AA126" s="42" t="s">
        <v>408</v>
      </c>
      <c r="AB126" s="42">
        <v>0</v>
      </c>
      <c r="AC126" s="42">
        <v>63960</v>
      </c>
    </row>
    <row r="127" spans="1:29" s="42" customFormat="1" ht="15" customHeight="1" x14ac:dyDescent="0.25">
      <c r="A127" s="91" t="s">
        <v>22</v>
      </c>
      <c r="B127" s="91" t="s">
        <v>164</v>
      </c>
      <c r="C127" s="91" t="s">
        <v>165</v>
      </c>
      <c r="D127" s="91" t="s">
        <v>148</v>
      </c>
      <c r="E127" s="104" t="s">
        <v>139</v>
      </c>
      <c r="F127" s="95" t="s">
        <v>431</v>
      </c>
      <c r="G127" s="111">
        <v>45017</v>
      </c>
      <c r="H127" s="111">
        <v>45046</v>
      </c>
      <c r="I127" s="94" t="s">
        <v>248</v>
      </c>
      <c r="J127" s="92">
        <v>840000</v>
      </c>
      <c r="K127" s="92">
        <f t="shared" ref="K127" si="100">ROUND(J127*R127,0)</f>
        <v>109200</v>
      </c>
      <c r="L127" s="91">
        <v>174</v>
      </c>
      <c r="M127" s="91">
        <v>47</v>
      </c>
      <c r="N127" s="223">
        <f t="shared" ref="N127" si="101">ROUND(J127*P127,0)</f>
        <v>226897</v>
      </c>
      <c r="O127" s="215">
        <f t="shared" ref="O127" si="102">ROUND(N127*R127,0)</f>
        <v>29497</v>
      </c>
      <c r="P127" s="106">
        <f t="shared" ref="P127" si="103">M127/L127</f>
        <v>0.27011494252873564</v>
      </c>
      <c r="Q127" s="112" t="s">
        <v>268</v>
      </c>
      <c r="R127" s="155">
        <v>0.13</v>
      </c>
      <c r="S127" s="106">
        <f t="shared" ref="S127" si="104">P127-(N127/J127)</f>
        <v>-5.3366174057600801E-7</v>
      </c>
      <c r="T127" s="234" t="s">
        <v>381</v>
      </c>
      <c r="U127" s="203">
        <v>44998</v>
      </c>
      <c r="V127" s="94" t="s">
        <v>252</v>
      </c>
      <c r="W127" s="94"/>
      <c r="X127" s="94"/>
      <c r="Y127" s="94"/>
      <c r="Z127" s="76"/>
      <c r="AA127" s="42" t="s">
        <v>408</v>
      </c>
      <c r="AB127" s="42">
        <v>0</v>
      </c>
      <c r="AC127" s="239">
        <v>63960</v>
      </c>
    </row>
    <row r="128" spans="1:29" s="42" customFormat="1" ht="15" customHeight="1" x14ac:dyDescent="0.25">
      <c r="A128" s="91" t="s">
        <v>22</v>
      </c>
      <c r="B128" s="91" t="s">
        <v>164</v>
      </c>
      <c r="C128" s="91" t="s">
        <v>165</v>
      </c>
      <c r="D128" s="91" t="s">
        <v>148</v>
      </c>
      <c r="E128" s="104" t="s">
        <v>139</v>
      </c>
      <c r="F128" s="95" t="s">
        <v>431</v>
      </c>
      <c r="G128" s="111">
        <v>45047</v>
      </c>
      <c r="H128" s="111">
        <v>45077</v>
      </c>
      <c r="I128" s="94" t="s">
        <v>267</v>
      </c>
      <c r="J128" s="92">
        <v>840000</v>
      </c>
      <c r="K128" s="92">
        <f t="shared" ref="K128" si="105">ROUND(J128*R128,0)</f>
        <v>109200</v>
      </c>
      <c r="L128" s="91">
        <v>174</v>
      </c>
      <c r="M128" s="91">
        <v>47</v>
      </c>
      <c r="N128" s="223">
        <f t="shared" ref="N128" si="106">ROUND(J128*P128,0)</f>
        <v>226897</v>
      </c>
      <c r="O128" s="215">
        <f t="shared" ref="O128" si="107">ROUND(N128*R128,0)</f>
        <v>29497</v>
      </c>
      <c r="P128" s="106">
        <f t="shared" ref="P128" si="108">M128/L128</f>
        <v>0.27011494252873564</v>
      </c>
      <c r="Q128" s="112" t="s">
        <v>268</v>
      </c>
      <c r="R128" s="155">
        <v>0.13</v>
      </c>
      <c r="S128" s="106">
        <f t="shared" ref="S128" si="109">P128-(N128/J128)</f>
        <v>-5.3366174057600801E-7</v>
      </c>
      <c r="T128" s="234" t="s">
        <v>381</v>
      </c>
      <c r="U128" s="203">
        <v>45036</v>
      </c>
      <c r="V128" s="94" t="s">
        <v>252</v>
      </c>
      <c r="W128" s="94"/>
      <c r="X128" s="94"/>
      <c r="Y128" s="94"/>
      <c r="Z128" s="76"/>
    </row>
    <row r="129" spans="1:29" s="42" customFormat="1" ht="15" customHeight="1" x14ac:dyDescent="0.25">
      <c r="A129" s="91" t="s">
        <v>22</v>
      </c>
      <c r="B129" s="91" t="s">
        <v>164</v>
      </c>
      <c r="C129" s="91" t="s">
        <v>165</v>
      </c>
      <c r="D129" s="91" t="s">
        <v>148</v>
      </c>
      <c r="E129" s="104" t="s">
        <v>139</v>
      </c>
      <c r="F129" s="95" t="s">
        <v>431</v>
      </c>
      <c r="G129" s="111">
        <v>45078</v>
      </c>
      <c r="H129" s="111">
        <v>45107</v>
      </c>
      <c r="I129" s="94" t="s">
        <v>267</v>
      </c>
      <c r="J129" s="92">
        <v>840000</v>
      </c>
      <c r="K129" s="92">
        <f t="shared" ref="K129" si="110">ROUND(J129*R129,0)</f>
        <v>109200</v>
      </c>
      <c r="L129" s="91">
        <v>174</v>
      </c>
      <c r="M129" s="91">
        <v>47</v>
      </c>
      <c r="N129" s="223">
        <f t="shared" ref="N129" si="111">ROUND(J129*P129,0)</f>
        <v>226897</v>
      </c>
      <c r="O129" s="215">
        <f t="shared" ref="O129" si="112">ROUND(N129*R129,0)</f>
        <v>29497</v>
      </c>
      <c r="P129" s="106">
        <f t="shared" ref="P129" si="113">M129/L129</f>
        <v>0.27011494252873564</v>
      </c>
      <c r="Q129" s="112" t="s">
        <v>268</v>
      </c>
      <c r="R129" s="155">
        <v>0.13</v>
      </c>
      <c r="S129" s="106">
        <f t="shared" ref="S129" si="114">P129-(N129/J129)</f>
        <v>-5.3366174057600801E-7</v>
      </c>
      <c r="T129" s="234" t="s">
        <v>381</v>
      </c>
      <c r="U129" s="203">
        <v>45036</v>
      </c>
      <c r="V129" s="94" t="s">
        <v>252</v>
      </c>
      <c r="W129" s="94"/>
      <c r="X129" s="94"/>
      <c r="Y129" s="94"/>
      <c r="Z129" s="76"/>
    </row>
    <row r="130" spans="1:29" s="42" customFormat="1" ht="15" customHeight="1" x14ac:dyDescent="0.25">
      <c r="A130" s="91" t="s">
        <v>22</v>
      </c>
      <c r="B130" s="91" t="s">
        <v>24</v>
      </c>
      <c r="C130" s="91" t="s">
        <v>188</v>
      </c>
      <c r="D130" s="91" t="s">
        <v>158</v>
      </c>
      <c r="E130" s="104" t="s">
        <v>12</v>
      </c>
      <c r="F130" s="95" t="s">
        <v>17</v>
      </c>
      <c r="G130" s="111">
        <v>44501</v>
      </c>
      <c r="H130" s="111">
        <v>44530</v>
      </c>
      <c r="I130" s="94" t="s">
        <v>248</v>
      </c>
      <c r="J130" s="92">
        <f>896930-100000-6930-37619</f>
        <v>752381</v>
      </c>
      <c r="K130" s="92">
        <f t="shared" ref="K130:K131" si="115">ROUND(J130*0.155,0)</f>
        <v>116619</v>
      </c>
      <c r="L130" s="91">
        <v>174</v>
      </c>
      <c r="M130" s="91">
        <v>10</v>
      </c>
      <c r="N130" s="223">
        <v>43240</v>
      </c>
      <c r="O130" s="215">
        <f t="shared" ref="O130" si="116">ROUND(N130*0.155,0)</f>
        <v>6702</v>
      </c>
      <c r="P130" s="106">
        <f t="shared" si="88"/>
        <v>5.7471264367816091E-2</v>
      </c>
      <c r="Q130" s="112" t="s">
        <v>268</v>
      </c>
      <c r="R130" s="94"/>
      <c r="S130" s="106">
        <f t="shared" si="89"/>
        <v>3.8192926434671426E-7</v>
      </c>
      <c r="T130" s="234"/>
      <c r="U130" s="203"/>
      <c r="V130" s="205"/>
      <c r="W130" s="94" t="s">
        <v>252</v>
      </c>
      <c r="X130" s="94" t="s">
        <v>252</v>
      </c>
      <c r="Y130" s="94">
        <v>3</v>
      </c>
      <c r="Z130" s="76"/>
    </row>
    <row r="131" spans="1:29" s="42" customFormat="1" ht="15" customHeight="1" x14ac:dyDescent="0.25">
      <c r="A131" s="91" t="s">
        <v>22</v>
      </c>
      <c r="B131" s="91" t="s">
        <v>24</v>
      </c>
      <c r="C131" s="91" t="s">
        <v>188</v>
      </c>
      <c r="D131" s="91" t="s">
        <v>158</v>
      </c>
      <c r="E131" s="104" t="s">
        <v>12</v>
      </c>
      <c r="F131" s="95" t="s">
        <v>17</v>
      </c>
      <c r="G131" s="111">
        <v>44531</v>
      </c>
      <c r="H131" s="111">
        <v>44561</v>
      </c>
      <c r="I131" s="94" t="s">
        <v>248</v>
      </c>
      <c r="J131" s="92">
        <v>790000</v>
      </c>
      <c r="K131" s="92">
        <f t="shared" si="115"/>
        <v>122450</v>
      </c>
      <c r="L131" s="91">
        <v>174</v>
      </c>
      <c r="M131" s="91">
        <v>21</v>
      </c>
      <c r="N131" s="223">
        <v>95345</v>
      </c>
      <c r="O131" s="215">
        <f t="shared" ref="O131" si="117">ROUND(N131*0.155,0)</f>
        <v>14778</v>
      </c>
      <c r="P131" s="106">
        <f t="shared" si="88"/>
        <v>0.1206896551724138</v>
      </c>
      <c r="Q131" s="112" t="s">
        <v>268</v>
      </c>
      <c r="R131" s="94"/>
      <c r="S131" s="106">
        <f t="shared" si="89"/>
        <v>-2.1824530771485939E-7</v>
      </c>
      <c r="T131" s="234"/>
      <c r="U131" s="203"/>
      <c r="V131" s="205"/>
      <c r="W131" s="94" t="s">
        <v>252</v>
      </c>
      <c r="X131" s="94"/>
      <c r="Y131" s="94">
        <v>3</v>
      </c>
      <c r="Z131" s="76"/>
    </row>
    <row r="132" spans="1:29" s="42" customFormat="1" ht="15" customHeight="1" x14ac:dyDescent="0.25">
      <c r="A132" s="91" t="s">
        <v>22</v>
      </c>
      <c r="B132" s="91" t="s">
        <v>24</v>
      </c>
      <c r="C132" s="91" t="s">
        <v>188</v>
      </c>
      <c r="D132" s="91" t="s">
        <v>158</v>
      </c>
      <c r="E132" s="104" t="s">
        <v>12</v>
      </c>
      <c r="F132" s="95" t="s">
        <v>17</v>
      </c>
      <c r="G132" s="111">
        <v>44562</v>
      </c>
      <c r="H132" s="111">
        <v>44592</v>
      </c>
      <c r="I132" s="94" t="s">
        <v>248</v>
      </c>
      <c r="J132" s="92">
        <v>820000</v>
      </c>
      <c r="K132" s="92">
        <f t="shared" ref="K132:K145" si="118">ROUND(J132*R132,0)</f>
        <v>106600</v>
      </c>
      <c r="L132" s="91">
        <v>174</v>
      </c>
      <c r="M132" s="91">
        <v>21</v>
      </c>
      <c r="N132" s="223">
        <v>98966</v>
      </c>
      <c r="O132" s="215">
        <f t="shared" ref="O132:O145" si="119">ROUND(N132*R132,0)</f>
        <v>12866</v>
      </c>
      <c r="P132" s="106">
        <f t="shared" si="88"/>
        <v>0.1206896551724138</v>
      </c>
      <c r="Q132" s="112" t="s">
        <v>268</v>
      </c>
      <c r="R132" s="155">
        <v>0.13</v>
      </c>
      <c r="S132" s="106">
        <f t="shared" si="89"/>
        <v>-5.8873002523052165E-7</v>
      </c>
      <c r="T132" s="234"/>
      <c r="U132" s="203"/>
      <c r="V132" s="205"/>
      <c r="W132" s="94" t="s">
        <v>252</v>
      </c>
      <c r="X132" s="94"/>
      <c r="Y132" s="94">
        <v>3</v>
      </c>
      <c r="Z132" s="76"/>
    </row>
    <row r="133" spans="1:29" s="42" customFormat="1" ht="15" customHeight="1" x14ac:dyDescent="0.25">
      <c r="A133" s="91" t="s">
        <v>22</v>
      </c>
      <c r="B133" s="91" t="s">
        <v>24</v>
      </c>
      <c r="C133" s="91" t="s">
        <v>188</v>
      </c>
      <c r="D133" s="91" t="s">
        <v>158</v>
      </c>
      <c r="E133" s="104" t="s">
        <v>12</v>
      </c>
      <c r="F133" s="95" t="s">
        <v>17</v>
      </c>
      <c r="G133" s="111">
        <v>44593</v>
      </c>
      <c r="H133" s="111">
        <v>44620</v>
      </c>
      <c r="I133" s="94" t="s">
        <v>248</v>
      </c>
      <c r="J133" s="92">
        <v>820000</v>
      </c>
      <c r="K133" s="92">
        <f t="shared" si="118"/>
        <v>106600</v>
      </c>
      <c r="L133" s="91">
        <v>174</v>
      </c>
      <c r="M133" s="91">
        <v>21</v>
      </c>
      <c r="N133" s="223">
        <v>98966</v>
      </c>
      <c r="O133" s="215">
        <f t="shared" si="119"/>
        <v>12866</v>
      </c>
      <c r="P133" s="106">
        <f t="shared" si="88"/>
        <v>0.1206896551724138</v>
      </c>
      <c r="Q133" s="112" t="s">
        <v>268</v>
      </c>
      <c r="R133" s="155">
        <v>0.13</v>
      </c>
      <c r="S133" s="106">
        <f t="shared" si="89"/>
        <v>-5.8873002523052165E-7</v>
      </c>
      <c r="T133" s="234"/>
      <c r="U133" s="203"/>
      <c r="V133" s="205"/>
      <c r="W133" s="94" t="s">
        <v>252</v>
      </c>
      <c r="X133" s="94"/>
      <c r="Y133" s="94">
        <v>3</v>
      </c>
      <c r="Z133" s="76"/>
    </row>
    <row r="134" spans="1:29" s="42" customFormat="1" ht="15" customHeight="1" x14ac:dyDescent="0.25">
      <c r="A134" s="91" t="s">
        <v>22</v>
      </c>
      <c r="B134" s="91" t="s">
        <v>24</v>
      </c>
      <c r="C134" s="91" t="s">
        <v>188</v>
      </c>
      <c r="D134" s="91" t="s">
        <v>158</v>
      </c>
      <c r="E134" s="104" t="s">
        <v>12</v>
      </c>
      <c r="F134" s="95" t="s">
        <v>17</v>
      </c>
      <c r="G134" s="111">
        <v>44621</v>
      </c>
      <c r="H134" s="111">
        <v>44651</v>
      </c>
      <c r="I134" s="94" t="s">
        <v>248</v>
      </c>
      <c r="J134" s="92">
        <v>820000</v>
      </c>
      <c r="K134" s="92">
        <f t="shared" si="118"/>
        <v>106600</v>
      </c>
      <c r="L134" s="91">
        <v>174</v>
      </c>
      <c r="M134" s="91">
        <v>47</v>
      </c>
      <c r="N134" s="223">
        <v>221494</v>
      </c>
      <c r="O134" s="215">
        <f t="shared" si="119"/>
        <v>28794</v>
      </c>
      <c r="P134" s="106">
        <f t="shared" si="88"/>
        <v>0.27011494252873564</v>
      </c>
      <c r="Q134" s="112" t="s">
        <v>268</v>
      </c>
      <c r="R134" s="155">
        <v>0.13</v>
      </c>
      <c r="S134" s="106">
        <f t="shared" si="89"/>
        <v>3.0838239417629865E-7</v>
      </c>
      <c r="T134" s="234"/>
      <c r="U134" s="203"/>
      <c r="V134" s="94" t="s">
        <v>252</v>
      </c>
      <c r="W134" s="94" t="s">
        <v>252</v>
      </c>
      <c r="X134" s="94"/>
      <c r="Y134" s="94">
        <v>3</v>
      </c>
      <c r="Z134" s="76"/>
    </row>
    <row r="135" spans="1:29" s="42" customFormat="1" ht="15" customHeight="1" x14ac:dyDescent="0.25">
      <c r="A135" s="91" t="s">
        <v>22</v>
      </c>
      <c r="B135" s="91" t="s">
        <v>24</v>
      </c>
      <c r="C135" s="91" t="s">
        <v>188</v>
      </c>
      <c r="D135" s="91" t="s">
        <v>158</v>
      </c>
      <c r="E135" s="104" t="s">
        <v>12</v>
      </c>
      <c r="F135" s="95" t="s">
        <v>17</v>
      </c>
      <c r="G135" s="111">
        <v>44652</v>
      </c>
      <c r="H135" s="111">
        <v>44681</v>
      </c>
      <c r="I135" s="94" t="s">
        <v>248</v>
      </c>
      <c r="J135" s="92">
        <v>820000</v>
      </c>
      <c r="K135" s="92">
        <f t="shared" si="118"/>
        <v>106600</v>
      </c>
      <c r="L135" s="91">
        <v>174</v>
      </c>
      <c r="M135" s="91">
        <v>47</v>
      </c>
      <c r="N135" s="223">
        <v>221494</v>
      </c>
      <c r="O135" s="215">
        <f t="shared" si="119"/>
        <v>28794</v>
      </c>
      <c r="P135" s="106">
        <f t="shared" si="88"/>
        <v>0.27011494252873564</v>
      </c>
      <c r="Q135" s="112" t="s">
        <v>268</v>
      </c>
      <c r="R135" s="155">
        <v>0.13</v>
      </c>
      <c r="S135" s="106">
        <f t="shared" si="89"/>
        <v>3.0838239417629865E-7</v>
      </c>
      <c r="T135" s="234"/>
      <c r="U135" s="203"/>
      <c r="V135" s="94" t="s">
        <v>252</v>
      </c>
      <c r="W135" s="94" t="s">
        <v>252</v>
      </c>
      <c r="X135" s="94"/>
      <c r="Y135" s="94">
        <v>3</v>
      </c>
      <c r="Z135" s="76"/>
    </row>
    <row r="136" spans="1:29" s="42" customFormat="1" ht="15" customHeight="1" x14ac:dyDescent="0.25">
      <c r="A136" s="91" t="s">
        <v>22</v>
      </c>
      <c r="B136" s="91" t="s">
        <v>24</v>
      </c>
      <c r="C136" s="91" t="s">
        <v>188</v>
      </c>
      <c r="D136" s="91" t="s">
        <v>158</v>
      </c>
      <c r="E136" s="104" t="s">
        <v>12</v>
      </c>
      <c r="F136" s="95" t="s">
        <v>17</v>
      </c>
      <c r="G136" s="111">
        <v>44682</v>
      </c>
      <c r="H136" s="111">
        <v>44712</v>
      </c>
      <c r="I136" s="94" t="s">
        <v>248</v>
      </c>
      <c r="J136" s="92">
        <v>820000</v>
      </c>
      <c r="K136" s="92">
        <f t="shared" si="118"/>
        <v>106600</v>
      </c>
      <c r="L136" s="91">
        <v>174</v>
      </c>
      <c r="M136" s="91">
        <v>47</v>
      </c>
      <c r="N136" s="223">
        <v>221494</v>
      </c>
      <c r="O136" s="215">
        <f t="shared" si="119"/>
        <v>28794</v>
      </c>
      <c r="P136" s="106">
        <f t="shared" si="88"/>
        <v>0.27011494252873564</v>
      </c>
      <c r="Q136" s="112" t="s">
        <v>268</v>
      </c>
      <c r="R136" s="155">
        <v>0.13</v>
      </c>
      <c r="S136" s="106">
        <f t="shared" si="89"/>
        <v>3.0838239417629865E-7</v>
      </c>
      <c r="T136" s="234"/>
      <c r="U136" s="203"/>
      <c r="V136" s="94" t="s">
        <v>252</v>
      </c>
      <c r="W136" s="94" t="s">
        <v>252</v>
      </c>
      <c r="X136" s="94"/>
      <c r="Y136" s="94">
        <v>3</v>
      </c>
      <c r="Z136" s="76"/>
    </row>
    <row r="137" spans="1:29" s="42" customFormat="1" ht="15" customHeight="1" x14ac:dyDescent="0.25">
      <c r="A137" s="91" t="s">
        <v>22</v>
      </c>
      <c r="B137" s="91" t="s">
        <v>24</v>
      </c>
      <c r="C137" s="91" t="s">
        <v>188</v>
      </c>
      <c r="D137" s="91" t="s">
        <v>158</v>
      </c>
      <c r="E137" s="104" t="s">
        <v>12</v>
      </c>
      <c r="F137" s="95" t="s">
        <v>17</v>
      </c>
      <c r="G137" s="111">
        <v>44713</v>
      </c>
      <c r="H137" s="111">
        <v>44742</v>
      </c>
      <c r="I137" s="94" t="s">
        <v>248</v>
      </c>
      <c r="J137" s="92">
        <v>820000</v>
      </c>
      <c r="K137" s="92">
        <f t="shared" si="118"/>
        <v>106600</v>
      </c>
      <c r="L137" s="91">
        <v>174</v>
      </c>
      <c r="M137" s="91">
        <v>47</v>
      </c>
      <c r="N137" s="223">
        <v>221494</v>
      </c>
      <c r="O137" s="215">
        <f t="shared" si="119"/>
        <v>28794</v>
      </c>
      <c r="P137" s="106">
        <f t="shared" si="88"/>
        <v>0.27011494252873564</v>
      </c>
      <c r="Q137" s="112" t="s">
        <v>268</v>
      </c>
      <c r="R137" s="155">
        <v>0.13</v>
      </c>
      <c r="S137" s="106">
        <f t="shared" si="89"/>
        <v>3.0838239417629865E-7</v>
      </c>
      <c r="T137" s="234"/>
      <c r="U137" s="203"/>
      <c r="V137" s="94" t="s">
        <v>252</v>
      </c>
      <c r="W137" s="94" t="s">
        <v>252</v>
      </c>
      <c r="X137" s="94"/>
      <c r="Y137" s="94">
        <v>3</v>
      </c>
      <c r="Z137" s="76"/>
    </row>
    <row r="138" spans="1:29" s="42" customFormat="1" ht="15" customHeight="1" x14ac:dyDescent="0.25">
      <c r="A138" s="91" t="s">
        <v>22</v>
      </c>
      <c r="B138" s="91" t="s">
        <v>24</v>
      </c>
      <c r="C138" s="91" t="s">
        <v>188</v>
      </c>
      <c r="D138" s="91" t="s">
        <v>158</v>
      </c>
      <c r="E138" s="104" t="s">
        <v>12</v>
      </c>
      <c r="F138" s="95" t="s">
        <v>17</v>
      </c>
      <c r="G138" s="111">
        <v>44743</v>
      </c>
      <c r="H138" s="111">
        <v>44773</v>
      </c>
      <c r="I138" s="94" t="s">
        <v>248</v>
      </c>
      <c r="J138" s="92">
        <v>820000</v>
      </c>
      <c r="K138" s="92">
        <f t="shared" si="118"/>
        <v>106600</v>
      </c>
      <c r="L138" s="91">
        <v>174</v>
      </c>
      <c r="M138" s="91">
        <v>47</v>
      </c>
      <c r="N138" s="223">
        <v>221494</v>
      </c>
      <c r="O138" s="215">
        <f t="shared" si="119"/>
        <v>28794</v>
      </c>
      <c r="P138" s="106">
        <f t="shared" ref="P138" si="120">M138/L138</f>
        <v>0.27011494252873564</v>
      </c>
      <c r="Q138" s="112" t="s">
        <v>268</v>
      </c>
      <c r="R138" s="155">
        <v>0.13</v>
      </c>
      <c r="S138" s="106">
        <f t="shared" si="89"/>
        <v>3.0838239417629865E-7</v>
      </c>
      <c r="T138" s="234"/>
      <c r="U138" s="203">
        <v>44732</v>
      </c>
      <c r="V138" s="94" t="s">
        <v>252</v>
      </c>
      <c r="W138" s="94"/>
      <c r="X138" s="94"/>
      <c r="Y138" s="94">
        <v>3</v>
      </c>
      <c r="Z138" s="76"/>
    </row>
    <row r="139" spans="1:29" s="42" customFormat="1" ht="15" customHeight="1" x14ac:dyDescent="0.25">
      <c r="A139" s="91" t="s">
        <v>22</v>
      </c>
      <c r="B139" s="91" t="s">
        <v>24</v>
      </c>
      <c r="C139" s="91" t="s">
        <v>188</v>
      </c>
      <c r="D139" s="91" t="s">
        <v>158</v>
      </c>
      <c r="E139" s="104" t="s">
        <v>12</v>
      </c>
      <c r="F139" s="95" t="s">
        <v>17</v>
      </c>
      <c r="G139" s="111">
        <v>44774</v>
      </c>
      <c r="H139" s="111">
        <v>44804</v>
      </c>
      <c r="I139" s="94" t="s">
        <v>248</v>
      </c>
      <c r="J139" s="92">
        <v>713043</v>
      </c>
      <c r="K139" s="92">
        <f t="shared" si="118"/>
        <v>92696</v>
      </c>
      <c r="L139" s="91">
        <v>174</v>
      </c>
      <c r="M139" s="91">
        <v>47</v>
      </c>
      <c r="N139" s="223">
        <f>ROUND(J139*P139,0)</f>
        <v>192604</v>
      </c>
      <c r="O139" s="215">
        <f t="shared" si="119"/>
        <v>25039</v>
      </c>
      <c r="P139" s="106">
        <f t="shared" ref="P139" si="121">M139/L139</f>
        <v>0.27011494252873564</v>
      </c>
      <c r="Q139" s="112" t="s">
        <v>268</v>
      </c>
      <c r="R139" s="155">
        <v>0.13</v>
      </c>
      <c r="S139" s="106">
        <f t="shared" si="89"/>
        <v>-6.0449998495748503E-7</v>
      </c>
      <c r="T139" s="234"/>
      <c r="U139" s="203">
        <v>44732</v>
      </c>
      <c r="V139" s="94" t="s">
        <v>252</v>
      </c>
      <c r="W139" s="94"/>
      <c r="X139" s="94"/>
      <c r="Y139" s="94">
        <v>3</v>
      </c>
      <c r="Z139" s="76"/>
    </row>
    <row r="140" spans="1:29" s="42" customFormat="1" ht="15" customHeight="1" x14ac:dyDescent="0.25">
      <c r="A140" s="91" t="s">
        <v>22</v>
      </c>
      <c r="B140" s="91" t="s">
        <v>24</v>
      </c>
      <c r="C140" s="91" t="s">
        <v>188</v>
      </c>
      <c r="D140" s="91" t="s">
        <v>158</v>
      </c>
      <c r="E140" s="104" t="s">
        <v>12</v>
      </c>
      <c r="F140" s="95" t="s">
        <v>17</v>
      </c>
      <c r="G140" s="111">
        <v>44805</v>
      </c>
      <c r="H140" s="111">
        <v>44834</v>
      </c>
      <c r="I140" s="94" t="s">
        <v>248</v>
      </c>
      <c r="J140" s="92">
        <v>820000</v>
      </c>
      <c r="K140" s="92">
        <f t="shared" si="118"/>
        <v>106600</v>
      </c>
      <c r="L140" s="91">
        <v>174</v>
      </c>
      <c r="M140" s="91">
        <v>47</v>
      </c>
      <c r="N140" s="223">
        <v>221494</v>
      </c>
      <c r="O140" s="215">
        <f t="shared" si="119"/>
        <v>28794</v>
      </c>
      <c r="P140" s="106">
        <f t="shared" ref="P140" si="122">M140/L140</f>
        <v>0.27011494252873564</v>
      </c>
      <c r="Q140" s="112" t="s">
        <v>268</v>
      </c>
      <c r="R140" s="155">
        <v>0.13</v>
      </c>
      <c r="S140" s="106">
        <f t="shared" si="89"/>
        <v>3.0838239417629865E-7</v>
      </c>
      <c r="T140" s="234"/>
      <c r="U140" s="203">
        <v>44797</v>
      </c>
      <c r="V140" s="94" t="s">
        <v>252</v>
      </c>
      <c r="W140" s="94"/>
      <c r="X140" s="94"/>
      <c r="Y140" s="94">
        <v>3</v>
      </c>
      <c r="Z140" s="76"/>
    </row>
    <row r="141" spans="1:29" s="42" customFormat="1" ht="15" customHeight="1" x14ac:dyDescent="0.25">
      <c r="A141" s="91" t="s">
        <v>22</v>
      </c>
      <c r="B141" s="91" t="s">
        <v>24</v>
      </c>
      <c r="C141" s="91" t="s">
        <v>188</v>
      </c>
      <c r="D141" s="91" t="s">
        <v>158</v>
      </c>
      <c r="E141" s="104" t="s">
        <v>12</v>
      </c>
      <c r="F141" s="95" t="s">
        <v>17</v>
      </c>
      <c r="G141" s="111">
        <v>44835</v>
      </c>
      <c r="H141" s="111">
        <v>44865</v>
      </c>
      <c r="I141" s="94" t="s">
        <v>248</v>
      </c>
      <c r="J141" s="92">
        <v>796573</v>
      </c>
      <c r="K141" s="92">
        <f t="shared" si="118"/>
        <v>103554</v>
      </c>
      <c r="L141" s="91">
        <v>174</v>
      </c>
      <c r="M141" s="91">
        <v>47</v>
      </c>
      <c r="N141" s="223">
        <f>ROUND(J141*P141,0)</f>
        <v>215166</v>
      </c>
      <c r="O141" s="215">
        <f t="shared" si="119"/>
        <v>27972</v>
      </c>
      <c r="P141" s="106">
        <f t="shared" ref="P141:P144" si="123">M141/L141</f>
        <v>0.27011494252873564</v>
      </c>
      <c r="Q141" s="112" t="s">
        <v>268</v>
      </c>
      <c r="R141" s="155">
        <v>0.13</v>
      </c>
      <c r="S141" s="106">
        <f t="shared" si="89"/>
        <v>3.3909628188721896E-7</v>
      </c>
      <c r="T141" s="234"/>
      <c r="U141" s="203">
        <v>44797</v>
      </c>
      <c r="V141" s="94" t="s">
        <v>252</v>
      </c>
      <c r="W141" s="94"/>
      <c r="X141" s="94"/>
      <c r="Y141" s="94">
        <v>3</v>
      </c>
      <c r="Z141" s="76"/>
    </row>
    <row r="142" spans="1:29" s="42" customFormat="1" ht="15" customHeight="1" x14ac:dyDescent="0.25">
      <c r="A142" s="91" t="s">
        <v>22</v>
      </c>
      <c r="B142" s="91" t="s">
        <v>24</v>
      </c>
      <c r="C142" s="91" t="s">
        <v>188</v>
      </c>
      <c r="D142" s="91" t="s">
        <v>158</v>
      </c>
      <c r="E142" s="104" t="s">
        <v>12</v>
      </c>
      <c r="F142" s="95" t="s">
        <v>17</v>
      </c>
      <c r="G142" s="111">
        <v>44866</v>
      </c>
      <c r="H142" s="111">
        <v>44895</v>
      </c>
      <c r="I142" s="94" t="s">
        <v>248</v>
      </c>
      <c r="J142" s="92">
        <v>820000</v>
      </c>
      <c r="K142" s="92">
        <f t="shared" si="118"/>
        <v>106600</v>
      </c>
      <c r="L142" s="91">
        <v>174</v>
      </c>
      <c r="M142" s="91">
        <v>47</v>
      </c>
      <c r="N142" s="223">
        <v>221494</v>
      </c>
      <c r="O142" s="215">
        <f t="shared" si="119"/>
        <v>28794</v>
      </c>
      <c r="P142" s="106">
        <f t="shared" si="123"/>
        <v>0.27011494252873564</v>
      </c>
      <c r="Q142" s="112" t="s">
        <v>268</v>
      </c>
      <c r="R142" s="155">
        <v>0.13</v>
      </c>
      <c r="S142" s="106">
        <f t="shared" si="89"/>
        <v>3.0838239417629865E-7</v>
      </c>
      <c r="T142" s="234" t="s">
        <v>381</v>
      </c>
      <c r="U142" s="203">
        <v>44797</v>
      </c>
      <c r="V142" s="94" t="s">
        <v>252</v>
      </c>
      <c r="W142" s="94"/>
      <c r="X142" s="94"/>
      <c r="Y142" s="94"/>
      <c r="Z142" s="76"/>
      <c r="AA142" s="42" t="s">
        <v>408</v>
      </c>
      <c r="AB142" s="42" t="s">
        <v>408</v>
      </c>
      <c r="AC142" s="42" t="s">
        <v>408</v>
      </c>
    </row>
    <row r="143" spans="1:29" s="42" customFormat="1" ht="15" customHeight="1" x14ac:dyDescent="0.25">
      <c r="A143" s="91" t="s">
        <v>22</v>
      </c>
      <c r="B143" s="91" t="s">
        <v>24</v>
      </c>
      <c r="C143" s="91" t="s">
        <v>188</v>
      </c>
      <c r="D143" s="91" t="s">
        <v>158</v>
      </c>
      <c r="E143" s="104" t="s">
        <v>12</v>
      </c>
      <c r="F143" s="95" t="s">
        <v>17</v>
      </c>
      <c r="G143" s="111">
        <v>44896</v>
      </c>
      <c r="H143" s="111">
        <v>44926</v>
      </c>
      <c r="I143" s="94" t="s">
        <v>248</v>
      </c>
      <c r="J143" s="92">
        <v>820000</v>
      </c>
      <c r="K143" s="92">
        <f t="shared" si="118"/>
        <v>106600</v>
      </c>
      <c r="L143" s="91">
        <v>174</v>
      </c>
      <c r="M143" s="91">
        <v>47</v>
      </c>
      <c r="N143" s="223">
        <v>221494</v>
      </c>
      <c r="O143" s="215">
        <f t="shared" si="119"/>
        <v>28794</v>
      </c>
      <c r="P143" s="106">
        <f t="shared" si="123"/>
        <v>0.27011494252873564</v>
      </c>
      <c r="Q143" s="112" t="s">
        <v>268</v>
      </c>
      <c r="R143" s="155">
        <v>0.13</v>
      </c>
      <c r="S143" s="106">
        <f t="shared" si="89"/>
        <v>3.0838239417629865E-7</v>
      </c>
      <c r="T143" s="234" t="s">
        <v>381</v>
      </c>
      <c r="U143" s="203">
        <v>44797</v>
      </c>
      <c r="V143" s="94" t="s">
        <v>252</v>
      </c>
      <c r="W143" s="94"/>
      <c r="X143" s="94"/>
      <c r="Y143" s="94"/>
      <c r="Z143" s="76"/>
      <c r="AA143" s="42" t="s">
        <v>408</v>
      </c>
      <c r="AB143" s="239" t="s">
        <v>409</v>
      </c>
      <c r="AC143" s="42" t="s">
        <v>408</v>
      </c>
    </row>
    <row r="144" spans="1:29" s="42" customFormat="1" ht="15" customHeight="1" x14ac:dyDescent="0.25">
      <c r="A144" s="91" t="s">
        <v>22</v>
      </c>
      <c r="B144" s="91" t="s">
        <v>24</v>
      </c>
      <c r="C144" s="91" t="s">
        <v>188</v>
      </c>
      <c r="D144" s="91" t="s">
        <v>158</v>
      </c>
      <c r="E144" s="104" t="s">
        <v>12</v>
      </c>
      <c r="F144" s="95" t="s">
        <v>17</v>
      </c>
      <c r="G144" s="111">
        <v>44927</v>
      </c>
      <c r="H144" s="111">
        <v>44957</v>
      </c>
      <c r="I144" s="94" t="s">
        <v>248</v>
      </c>
      <c r="J144" s="92">
        <v>840000</v>
      </c>
      <c r="K144" s="92">
        <f t="shared" si="118"/>
        <v>109200</v>
      </c>
      <c r="L144" s="91">
        <v>174</v>
      </c>
      <c r="M144" s="91">
        <v>47</v>
      </c>
      <c r="N144" s="223">
        <f>ROUND(J144*P144,0)</f>
        <v>226897</v>
      </c>
      <c r="O144" s="215">
        <f t="shared" si="119"/>
        <v>29497</v>
      </c>
      <c r="P144" s="106">
        <f t="shared" si="123"/>
        <v>0.27011494252873564</v>
      </c>
      <c r="Q144" s="112" t="s">
        <v>268</v>
      </c>
      <c r="R144" s="155">
        <v>0.13</v>
      </c>
      <c r="S144" s="106">
        <f t="shared" si="89"/>
        <v>-5.3366174057600801E-7</v>
      </c>
      <c r="T144" s="234" t="s">
        <v>381</v>
      </c>
      <c r="U144" s="203">
        <v>44945</v>
      </c>
      <c r="V144" s="94" t="s">
        <v>252</v>
      </c>
      <c r="W144" s="94"/>
      <c r="X144" s="94"/>
      <c r="Y144" s="94"/>
      <c r="Z144" s="76"/>
      <c r="AA144" s="42" t="s">
        <v>408</v>
      </c>
      <c r="AB144" s="42">
        <v>0</v>
      </c>
      <c r="AC144" s="42">
        <v>0</v>
      </c>
    </row>
    <row r="145" spans="1:29" s="42" customFormat="1" ht="15" customHeight="1" x14ac:dyDescent="0.25">
      <c r="A145" s="91" t="s">
        <v>22</v>
      </c>
      <c r="B145" s="91" t="s">
        <v>24</v>
      </c>
      <c r="C145" s="91" t="s">
        <v>188</v>
      </c>
      <c r="D145" s="91" t="s">
        <v>158</v>
      </c>
      <c r="E145" s="104" t="s">
        <v>12</v>
      </c>
      <c r="F145" s="95" t="s">
        <v>431</v>
      </c>
      <c r="G145" s="111">
        <v>44958</v>
      </c>
      <c r="H145" s="111">
        <v>44985</v>
      </c>
      <c r="I145" s="94" t="s">
        <v>248</v>
      </c>
      <c r="J145" s="92">
        <v>840000</v>
      </c>
      <c r="K145" s="92">
        <f t="shared" si="118"/>
        <v>109200</v>
      </c>
      <c r="L145" s="91">
        <v>174</v>
      </c>
      <c r="M145" s="91">
        <v>47</v>
      </c>
      <c r="N145" s="223">
        <f>ROUND(J145*P145,0)</f>
        <v>226897</v>
      </c>
      <c r="O145" s="215">
        <f t="shared" si="119"/>
        <v>29497</v>
      </c>
      <c r="P145" s="106">
        <f t="shared" ref="P145" si="124">M145/L145</f>
        <v>0.27011494252873564</v>
      </c>
      <c r="Q145" s="112" t="s">
        <v>268</v>
      </c>
      <c r="R145" s="155">
        <v>0.13</v>
      </c>
      <c r="S145" s="106">
        <f t="shared" si="89"/>
        <v>-5.3366174057600801E-7</v>
      </c>
      <c r="T145" s="234" t="s">
        <v>381</v>
      </c>
      <c r="U145" s="203">
        <v>44945</v>
      </c>
      <c r="V145" s="94" t="s">
        <v>252</v>
      </c>
      <c r="W145" s="94"/>
      <c r="X145" s="94"/>
      <c r="Y145" s="94"/>
      <c r="Z145" s="76"/>
      <c r="AA145" s="42" t="s">
        <v>408</v>
      </c>
      <c r="AB145" s="42">
        <v>0</v>
      </c>
      <c r="AC145" s="42">
        <v>63960</v>
      </c>
    </row>
    <row r="146" spans="1:29" s="42" customFormat="1" ht="15" customHeight="1" x14ac:dyDescent="0.25">
      <c r="A146" s="91" t="s">
        <v>22</v>
      </c>
      <c r="B146" s="91" t="s">
        <v>24</v>
      </c>
      <c r="C146" s="91" t="s">
        <v>188</v>
      </c>
      <c r="D146" s="91" t="s">
        <v>158</v>
      </c>
      <c r="E146" s="104" t="s">
        <v>12</v>
      </c>
      <c r="F146" s="95" t="s">
        <v>431</v>
      </c>
      <c r="G146" s="111">
        <v>44986</v>
      </c>
      <c r="H146" s="111">
        <v>45016</v>
      </c>
      <c r="I146" s="94" t="s">
        <v>248</v>
      </c>
      <c r="J146" s="92">
        <v>840000</v>
      </c>
      <c r="K146" s="92">
        <f t="shared" ref="K146" si="125">ROUND(J146*R146,0)</f>
        <v>109200</v>
      </c>
      <c r="L146" s="91">
        <v>174</v>
      </c>
      <c r="M146" s="91">
        <v>47</v>
      </c>
      <c r="N146" s="223">
        <f t="shared" ref="N146" si="126">ROUND(J146*P146,0)</f>
        <v>226897</v>
      </c>
      <c r="O146" s="215">
        <f t="shared" ref="O146" si="127">ROUND(N146*R146,0)</f>
        <v>29497</v>
      </c>
      <c r="P146" s="106">
        <f t="shared" ref="P146" si="128">M146/L146</f>
        <v>0.27011494252873564</v>
      </c>
      <c r="Q146" s="112" t="s">
        <v>268</v>
      </c>
      <c r="R146" s="155">
        <v>0.13</v>
      </c>
      <c r="S146" s="106">
        <f t="shared" ref="S146" si="129">P146-(N146/J146)</f>
        <v>-5.3366174057600801E-7</v>
      </c>
      <c r="T146" s="234" t="s">
        <v>381</v>
      </c>
      <c r="U146" s="203">
        <v>44998</v>
      </c>
      <c r="V146" s="94" t="s">
        <v>252</v>
      </c>
      <c r="W146" s="94"/>
      <c r="X146" s="94"/>
      <c r="Y146" s="94"/>
      <c r="Z146" s="76"/>
      <c r="AA146" s="42" t="s">
        <v>408</v>
      </c>
      <c r="AB146" s="42">
        <v>0</v>
      </c>
      <c r="AC146" s="42">
        <v>63960</v>
      </c>
    </row>
    <row r="147" spans="1:29" s="42" customFormat="1" ht="15" customHeight="1" x14ac:dyDescent="0.25">
      <c r="A147" s="91" t="s">
        <v>22</v>
      </c>
      <c r="B147" s="91" t="s">
        <v>24</v>
      </c>
      <c r="C147" s="91" t="s">
        <v>188</v>
      </c>
      <c r="D147" s="91" t="s">
        <v>158</v>
      </c>
      <c r="E147" s="104" t="s">
        <v>12</v>
      </c>
      <c r="F147" s="95" t="s">
        <v>431</v>
      </c>
      <c r="G147" s="111">
        <v>45017</v>
      </c>
      <c r="H147" s="111">
        <v>45046</v>
      </c>
      <c r="I147" s="94" t="s">
        <v>248</v>
      </c>
      <c r="J147" s="92">
        <v>840000</v>
      </c>
      <c r="K147" s="92">
        <f t="shared" ref="K147" si="130">ROUND(J147*R147,0)</f>
        <v>109200</v>
      </c>
      <c r="L147" s="91">
        <v>174</v>
      </c>
      <c r="M147" s="91">
        <v>47</v>
      </c>
      <c r="N147" s="223">
        <f t="shared" ref="N147" si="131">ROUND(J147*P147,0)</f>
        <v>226897</v>
      </c>
      <c r="O147" s="215">
        <f t="shared" ref="O147" si="132">ROUND(N147*R147,0)</f>
        <v>29497</v>
      </c>
      <c r="P147" s="106">
        <f t="shared" ref="P147" si="133">M147/L147</f>
        <v>0.27011494252873564</v>
      </c>
      <c r="Q147" s="112" t="s">
        <v>268</v>
      </c>
      <c r="R147" s="155">
        <v>0.13</v>
      </c>
      <c r="S147" s="106">
        <f t="shared" ref="S147" si="134">P147-(N147/J147)</f>
        <v>-5.3366174057600801E-7</v>
      </c>
      <c r="T147" s="234" t="s">
        <v>381</v>
      </c>
      <c r="U147" s="203">
        <v>44998</v>
      </c>
      <c r="V147" s="94" t="s">
        <v>252</v>
      </c>
      <c r="W147" s="94"/>
      <c r="X147" s="94"/>
      <c r="Y147" s="94"/>
      <c r="Z147" s="76"/>
      <c r="AA147" s="42" t="s">
        <v>408</v>
      </c>
      <c r="AB147" s="42">
        <v>0</v>
      </c>
      <c r="AC147" s="239">
        <v>63960</v>
      </c>
    </row>
    <row r="148" spans="1:29" s="42" customFormat="1" ht="15" customHeight="1" x14ac:dyDescent="0.25">
      <c r="A148" s="91" t="s">
        <v>22</v>
      </c>
      <c r="B148" s="91" t="s">
        <v>24</v>
      </c>
      <c r="C148" s="91" t="s">
        <v>188</v>
      </c>
      <c r="D148" s="91" t="s">
        <v>158</v>
      </c>
      <c r="E148" s="104" t="s">
        <v>12</v>
      </c>
      <c r="F148" s="95" t="s">
        <v>431</v>
      </c>
      <c r="G148" s="111">
        <v>45047</v>
      </c>
      <c r="H148" s="111">
        <v>45077</v>
      </c>
      <c r="I148" s="94" t="s">
        <v>267</v>
      </c>
      <c r="J148" s="92">
        <v>840000</v>
      </c>
      <c r="K148" s="92">
        <f t="shared" ref="K148" si="135">ROUND(J148*R148,0)</f>
        <v>109200</v>
      </c>
      <c r="L148" s="91">
        <v>174</v>
      </c>
      <c r="M148" s="91">
        <v>47</v>
      </c>
      <c r="N148" s="223">
        <f t="shared" ref="N148" si="136">ROUND(J148*P148,0)</f>
        <v>226897</v>
      </c>
      <c r="O148" s="215">
        <f t="shared" ref="O148" si="137">ROUND(N148*R148,0)</f>
        <v>29497</v>
      </c>
      <c r="P148" s="106">
        <f t="shared" ref="P148" si="138">M148/L148</f>
        <v>0.27011494252873564</v>
      </c>
      <c r="Q148" s="112" t="s">
        <v>268</v>
      </c>
      <c r="R148" s="155">
        <v>0.13</v>
      </c>
      <c r="S148" s="106">
        <f t="shared" ref="S148" si="139">P148-(N148/J148)</f>
        <v>-5.3366174057600801E-7</v>
      </c>
      <c r="T148" s="234" t="s">
        <v>381</v>
      </c>
      <c r="U148" s="203">
        <v>45036</v>
      </c>
      <c r="V148" s="94" t="s">
        <v>252</v>
      </c>
      <c r="W148" s="94"/>
      <c r="X148" s="94"/>
      <c r="Y148" s="94"/>
      <c r="Z148" s="76"/>
    </row>
    <row r="149" spans="1:29" s="42" customFormat="1" ht="15" customHeight="1" x14ac:dyDescent="0.25">
      <c r="A149" s="91" t="s">
        <v>22</v>
      </c>
      <c r="B149" s="91" t="s">
        <v>24</v>
      </c>
      <c r="C149" s="91" t="s">
        <v>188</v>
      </c>
      <c r="D149" s="91" t="s">
        <v>158</v>
      </c>
      <c r="E149" s="104" t="s">
        <v>12</v>
      </c>
      <c r="F149" s="95" t="s">
        <v>431</v>
      </c>
      <c r="G149" s="111">
        <v>45078</v>
      </c>
      <c r="H149" s="111">
        <v>45107</v>
      </c>
      <c r="I149" s="94" t="s">
        <v>267</v>
      </c>
      <c r="J149" s="92">
        <v>840000</v>
      </c>
      <c r="K149" s="92">
        <f t="shared" ref="K149" si="140">ROUND(J149*R149,0)</f>
        <v>109200</v>
      </c>
      <c r="L149" s="91">
        <v>174</v>
      </c>
      <c r="M149" s="91">
        <v>47</v>
      </c>
      <c r="N149" s="223">
        <f t="shared" ref="N149" si="141">ROUND(J149*P149,0)</f>
        <v>226897</v>
      </c>
      <c r="O149" s="215">
        <f t="shared" ref="O149" si="142">ROUND(N149*R149,0)</f>
        <v>29497</v>
      </c>
      <c r="P149" s="106">
        <f t="shared" ref="P149" si="143">M149/L149</f>
        <v>0.27011494252873564</v>
      </c>
      <c r="Q149" s="112" t="s">
        <v>268</v>
      </c>
      <c r="R149" s="155">
        <v>0.13</v>
      </c>
      <c r="S149" s="106">
        <f t="shared" ref="S149" si="144">P149-(N149/J149)</f>
        <v>-5.3366174057600801E-7</v>
      </c>
      <c r="T149" s="234" t="s">
        <v>381</v>
      </c>
      <c r="U149" s="203">
        <v>45036</v>
      </c>
      <c r="V149" s="94" t="s">
        <v>252</v>
      </c>
      <c r="W149" s="94"/>
      <c r="X149" s="94"/>
      <c r="Y149" s="94"/>
      <c r="Z149" s="76"/>
    </row>
    <row r="150" spans="1:29" s="42" customFormat="1" ht="15" customHeight="1" x14ac:dyDescent="0.25">
      <c r="A150" s="91" t="s">
        <v>26</v>
      </c>
      <c r="B150" s="91" t="s">
        <v>164</v>
      </c>
      <c r="C150" s="91" t="s">
        <v>165</v>
      </c>
      <c r="D150" s="91" t="s">
        <v>148</v>
      </c>
      <c r="E150" s="104" t="s">
        <v>12</v>
      </c>
      <c r="F150" s="95" t="s">
        <v>17</v>
      </c>
      <c r="G150" s="111">
        <v>44501</v>
      </c>
      <c r="H150" s="111">
        <v>44530</v>
      </c>
      <c r="I150" s="94" t="s">
        <v>248</v>
      </c>
      <c r="J150" s="92">
        <v>285000</v>
      </c>
      <c r="K150" s="92">
        <f t="shared" ref="K150:K151" si="145">ROUND(J150*0.155,0)</f>
        <v>44175</v>
      </c>
      <c r="L150" s="91">
        <v>174</v>
      </c>
      <c r="M150" s="91">
        <v>51</v>
      </c>
      <c r="N150" s="223">
        <v>83534</v>
      </c>
      <c r="O150" s="215">
        <f t="shared" ref="O150:O151" si="146">ROUND(N150*0.155,0)</f>
        <v>12948</v>
      </c>
      <c r="P150" s="106">
        <f t="shared" ref="P150:P159" si="147">M150/L150</f>
        <v>0.29310344827586204</v>
      </c>
      <c r="Q150" s="112" t="s">
        <v>268</v>
      </c>
      <c r="R150" s="94"/>
      <c r="S150" s="106">
        <f t="shared" si="89"/>
        <v>1.6938898971252669E-6</v>
      </c>
      <c r="T150" s="234"/>
      <c r="U150" s="203"/>
      <c r="V150" s="205"/>
      <c r="W150" s="94" t="s">
        <v>252</v>
      </c>
      <c r="X150" s="94"/>
      <c r="Y150" s="94">
        <v>3</v>
      </c>
      <c r="Z150" s="76"/>
    </row>
    <row r="151" spans="1:29" s="42" customFormat="1" ht="15" customHeight="1" x14ac:dyDescent="0.25">
      <c r="A151" s="91" t="s">
        <v>26</v>
      </c>
      <c r="B151" s="91" t="s">
        <v>164</v>
      </c>
      <c r="C151" s="91" t="s">
        <v>165</v>
      </c>
      <c r="D151" s="91" t="s">
        <v>148</v>
      </c>
      <c r="E151" s="104" t="s">
        <v>12</v>
      </c>
      <c r="F151" s="95" t="s">
        <v>17</v>
      </c>
      <c r="G151" s="111">
        <v>44531</v>
      </c>
      <c r="H151" s="111">
        <v>44561</v>
      </c>
      <c r="I151" s="94" t="s">
        <v>248</v>
      </c>
      <c r="J151" s="92">
        <v>295870</v>
      </c>
      <c r="K151" s="92">
        <f t="shared" si="145"/>
        <v>45860</v>
      </c>
      <c r="L151" s="91">
        <v>174</v>
      </c>
      <c r="M151" s="91">
        <v>51</v>
      </c>
      <c r="N151" s="223">
        <v>86721</v>
      </c>
      <c r="O151" s="215">
        <f t="shared" si="146"/>
        <v>13442</v>
      </c>
      <c r="P151" s="106">
        <f t="shared" si="147"/>
        <v>0.29310344827586204</v>
      </c>
      <c r="Q151" s="112" t="s">
        <v>268</v>
      </c>
      <c r="R151" s="94"/>
      <c r="S151" s="106">
        <f t="shared" si="89"/>
        <v>-1.6316578926311998E-6</v>
      </c>
      <c r="T151" s="234"/>
      <c r="U151" s="203"/>
      <c r="V151" s="205"/>
      <c r="W151" s="94" t="s">
        <v>252</v>
      </c>
      <c r="X151" s="94"/>
      <c r="Y151" s="94">
        <v>3</v>
      </c>
      <c r="Z151" s="76"/>
    </row>
    <row r="152" spans="1:29" s="42" customFormat="1" ht="15" customHeight="1" x14ac:dyDescent="0.25">
      <c r="A152" s="91" t="s">
        <v>26</v>
      </c>
      <c r="B152" s="91" t="s">
        <v>164</v>
      </c>
      <c r="C152" s="91" t="s">
        <v>165</v>
      </c>
      <c r="D152" s="91" t="s">
        <v>148</v>
      </c>
      <c r="E152" s="104" t="s">
        <v>12</v>
      </c>
      <c r="F152" s="95" t="s">
        <v>17</v>
      </c>
      <c r="G152" s="111">
        <v>44562</v>
      </c>
      <c r="H152" s="111">
        <v>44592</v>
      </c>
      <c r="I152" s="94" t="s">
        <v>248</v>
      </c>
      <c r="J152" s="92">
        <v>319000</v>
      </c>
      <c r="K152" s="92">
        <f t="shared" ref="K152:K191" si="148">ROUND(J152*R152,0)</f>
        <v>41470</v>
      </c>
      <c r="L152" s="91">
        <v>174</v>
      </c>
      <c r="M152" s="91">
        <v>51</v>
      </c>
      <c r="N152" s="223">
        <v>93500</v>
      </c>
      <c r="O152" s="215">
        <f t="shared" ref="O152:O191" si="149">ROUND(N152*R152,0)</f>
        <v>12155</v>
      </c>
      <c r="P152" s="106">
        <f t="shared" si="147"/>
        <v>0.29310344827586204</v>
      </c>
      <c r="Q152" s="112" t="s">
        <v>268</v>
      </c>
      <c r="R152" s="155">
        <v>0.13</v>
      </c>
      <c r="S152" s="106">
        <f t="shared" si="89"/>
        <v>0</v>
      </c>
      <c r="T152" s="234"/>
      <c r="U152" s="203"/>
      <c r="V152" s="205"/>
      <c r="W152" s="94" t="s">
        <v>252</v>
      </c>
      <c r="X152" s="94"/>
      <c r="Y152" s="94">
        <v>3</v>
      </c>
      <c r="Z152" s="76"/>
    </row>
    <row r="153" spans="1:29" s="42" customFormat="1" ht="15" customHeight="1" x14ac:dyDescent="0.25">
      <c r="A153" s="91" t="s">
        <v>26</v>
      </c>
      <c r="B153" s="91" t="s">
        <v>164</v>
      </c>
      <c r="C153" s="91" t="s">
        <v>165</v>
      </c>
      <c r="D153" s="91" t="s">
        <v>148</v>
      </c>
      <c r="E153" s="104" t="s">
        <v>12</v>
      </c>
      <c r="F153" s="96" t="s">
        <v>17</v>
      </c>
      <c r="G153" s="111">
        <v>44593</v>
      </c>
      <c r="H153" s="111">
        <v>44620</v>
      </c>
      <c r="I153" s="94" t="s">
        <v>248</v>
      </c>
      <c r="J153" s="92">
        <v>175450</v>
      </c>
      <c r="K153" s="92">
        <f t="shared" si="148"/>
        <v>22809</v>
      </c>
      <c r="L153" s="91">
        <v>174</v>
      </c>
      <c r="M153" s="91">
        <v>51</v>
      </c>
      <c r="N153" s="223">
        <v>51425</v>
      </c>
      <c r="O153" s="215">
        <f t="shared" si="149"/>
        <v>6685</v>
      </c>
      <c r="P153" s="106">
        <f t="shared" si="147"/>
        <v>0.29310344827586204</v>
      </c>
      <c r="Q153" s="112" t="s">
        <v>268</v>
      </c>
      <c r="R153" s="155">
        <v>0.13</v>
      </c>
      <c r="S153" s="106">
        <f t="shared" si="89"/>
        <v>0</v>
      </c>
      <c r="T153" s="234"/>
      <c r="U153" s="203"/>
      <c r="V153" s="205"/>
      <c r="W153" s="94" t="s">
        <v>252</v>
      </c>
      <c r="X153" s="248"/>
      <c r="Y153" s="94">
        <v>3</v>
      </c>
      <c r="Z153" s="77"/>
    </row>
    <row r="154" spans="1:29" s="42" customFormat="1" ht="15" customHeight="1" x14ac:dyDescent="0.25">
      <c r="A154" s="91" t="s">
        <v>26</v>
      </c>
      <c r="B154" s="91" t="s">
        <v>164</v>
      </c>
      <c r="C154" s="91" t="s">
        <v>165</v>
      </c>
      <c r="D154" s="91" t="s">
        <v>148</v>
      </c>
      <c r="E154" s="104" t="s">
        <v>12</v>
      </c>
      <c r="F154" s="95" t="s">
        <v>17</v>
      </c>
      <c r="G154" s="111">
        <v>44621</v>
      </c>
      <c r="H154" s="111">
        <v>44651</v>
      </c>
      <c r="I154" s="94" t="s">
        <v>248</v>
      </c>
      <c r="J154" s="92">
        <v>285000</v>
      </c>
      <c r="K154" s="92">
        <f t="shared" si="148"/>
        <v>37050</v>
      </c>
      <c r="L154" s="91">
        <v>174</v>
      </c>
      <c r="M154" s="91">
        <v>51</v>
      </c>
      <c r="N154" s="223">
        <v>83534</v>
      </c>
      <c r="O154" s="215">
        <f t="shared" si="149"/>
        <v>10859</v>
      </c>
      <c r="P154" s="106">
        <f t="shared" si="147"/>
        <v>0.29310344827586204</v>
      </c>
      <c r="Q154" s="112" t="s">
        <v>268</v>
      </c>
      <c r="R154" s="155">
        <v>0.13</v>
      </c>
      <c r="S154" s="106">
        <f t="shared" si="89"/>
        <v>1.6938898971252669E-6</v>
      </c>
      <c r="T154" s="234"/>
      <c r="U154" s="203"/>
      <c r="V154" s="205"/>
      <c r="W154" s="94" t="s">
        <v>252</v>
      </c>
      <c r="X154" s="94"/>
      <c r="Y154" s="94">
        <v>3</v>
      </c>
      <c r="Z154" s="76"/>
    </row>
    <row r="155" spans="1:29" s="42" customFormat="1" ht="15" customHeight="1" x14ac:dyDescent="0.25">
      <c r="A155" s="91" t="s">
        <v>26</v>
      </c>
      <c r="B155" s="91" t="s">
        <v>164</v>
      </c>
      <c r="C155" s="91" t="s">
        <v>165</v>
      </c>
      <c r="D155" s="91" t="s">
        <v>148</v>
      </c>
      <c r="E155" s="104" t="s">
        <v>12</v>
      </c>
      <c r="F155" s="95" t="s">
        <v>17</v>
      </c>
      <c r="G155" s="111">
        <v>44652</v>
      </c>
      <c r="H155" s="111">
        <v>44681</v>
      </c>
      <c r="I155" s="94" t="s">
        <v>248</v>
      </c>
      <c r="J155" s="92">
        <v>539999</v>
      </c>
      <c r="K155" s="92">
        <f t="shared" si="148"/>
        <v>70200</v>
      </c>
      <c r="L155" s="91">
        <v>174</v>
      </c>
      <c r="M155" s="91">
        <v>51</v>
      </c>
      <c r="N155" s="223">
        <v>158276</v>
      </c>
      <c r="O155" s="215">
        <f t="shared" si="149"/>
        <v>20576</v>
      </c>
      <c r="P155" s="106">
        <f t="shared" si="147"/>
        <v>0.29310344827586204</v>
      </c>
      <c r="Q155" s="112" t="s">
        <v>268</v>
      </c>
      <c r="R155" s="155">
        <v>0.13</v>
      </c>
      <c r="S155" s="106">
        <f t="shared" si="89"/>
        <v>-7.9821348331066133E-7</v>
      </c>
      <c r="T155" s="234"/>
      <c r="U155" s="203"/>
      <c r="V155" s="94" t="s">
        <v>252</v>
      </c>
      <c r="W155" s="94" t="s">
        <v>252</v>
      </c>
      <c r="X155" s="94"/>
      <c r="Y155" s="94">
        <v>3</v>
      </c>
      <c r="Z155" s="76"/>
    </row>
    <row r="156" spans="1:29" s="42" customFormat="1" ht="15" customHeight="1" x14ac:dyDescent="0.25">
      <c r="A156" s="91" t="s">
        <v>26</v>
      </c>
      <c r="B156" s="91" t="s">
        <v>164</v>
      </c>
      <c r="C156" s="91" t="s">
        <v>165</v>
      </c>
      <c r="D156" s="91" t="s">
        <v>148</v>
      </c>
      <c r="E156" s="104" t="s">
        <v>12</v>
      </c>
      <c r="F156" s="95" t="s">
        <v>17</v>
      </c>
      <c r="G156" s="111">
        <v>44682</v>
      </c>
      <c r="H156" s="111">
        <v>44712</v>
      </c>
      <c r="I156" s="94" t="s">
        <v>248</v>
      </c>
      <c r="J156" s="92">
        <v>540000</v>
      </c>
      <c r="K156" s="92">
        <f t="shared" si="148"/>
        <v>70200</v>
      </c>
      <c r="L156" s="91">
        <v>174</v>
      </c>
      <c r="M156" s="91">
        <v>51</v>
      </c>
      <c r="N156" s="223">
        <v>158276</v>
      </c>
      <c r="O156" s="215">
        <f t="shared" si="149"/>
        <v>20576</v>
      </c>
      <c r="P156" s="106">
        <f t="shared" si="147"/>
        <v>0.29310344827586204</v>
      </c>
      <c r="Q156" s="112" t="s">
        <v>268</v>
      </c>
      <c r="R156" s="155">
        <v>0.13</v>
      </c>
      <c r="S156" s="106">
        <f t="shared" si="89"/>
        <v>-2.5542784165555332E-7</v>
      </c>
      <c r="T156" s="234"/>
      <c r="U156" s="203"/>
      <c r="V156" s="94" t="s">
        <v>252</v>
      </c>
      <c r="W156" s="94" t="s">
        <v>252</v>
      </c>
      <c r="X156" s="94"/>
      <c r="Y156" s="94">
        <v>3</v>
      </c>
      <c r="Z156" s="76"/>
    </row>
    <row r="157" spans="1:29" s="42" customFormat="1" ht="15" customHeight="1" x14ac:dyDescent="0.25">
      <c r="A157" s="91" t="s">
        <v>26</v>
      </c>
      <c r="B157" s="91" t="s">
        <v>164</v>
      </c>
      <c r="C157" s="91" t="s">
        <v>165</v>
      </c>
      <c r="D157" s="91" t="s">
        <v>148</v>
      </c>
      <c r="E157" s="104" t="s">
        <v>12</v>
      </c>
      <c r="F157" s="95" t="s">
        <v>17</v>
      </c>
      <c r="G157" s="111">
        <v>44713</v>
      </c>
      <c r="H157" s="111">
        <v>44742</v>
      </c>
      <c r="I157" s="94" t="s">
        <v>248</v>
      </c>
      <c r="J157" s="92">
        <v>540000</v>
      </c>
      <c r="K157" s="92">
        <f t="shared" si="148"/>
        <v>70200</v>
      </c>
      <c r="L157" s="91">
        <v>174</v>
      </c>
      <c r="M157" s="91">
        <v>51</v>
      </c>
      <c r="N157" s="223">
        <v>158276</v>
      </c>
      <c r="O157" s="215">
        <f t="shared" si="149"/>
        <v>20576</v>
      </c>
      <c r="P157" s="106">
        <f t="shared" si="147"/>
        <v>0.29310344827586204</v>
      </c>
      <c r="Q157" s="112" t="s">
        <v>268</v>
      </c>
      <c r="R157" s="155">
        <v>0.13</v>
      </c>
      <c r="S157" s="106">
        <f t="shared" ref="S157:S193" si="150">P157-(N157/J157)</f>
        <v>-2.5542784165555332E-7</v>
      </c>
      <c r="T157" s="234"/>
      <c r="U157" s="203"/>
      <c r="V157" s="94" t="s">
        <v>252</v>
      </c>
      <c r="W157" s="94" t="s">
        <v>252</v>
      </c>
      <c r="X157" s="94"/>
      <c r="Y157" s="94">
        <v>3</v>
      </c>
      <c r="Z157" s="76"/>
    </row>
    <row r="158" spans="1:29" s="42" customFormat="1" ht="15" customHeight="1" x14ac:dyDescent="0.25">
      <c r="A158" s="91" t="s">
        <v>26</v>
      </c>
      <c r="B158" s="91" t="s">
        <v>164</v>
      </c>
      <c r="C158" s="91" t="s">
        <v>165</v>
      </c>
      <c r="D158" s="91" t="s">
        <v>148</v>
      </c>
      <c r="E158" s="104" t="s">
        <v>12</v>
      </c>
      <c r="F158" s="95" t="s">
        <v>17</v>
      </c>
      <c r="G158" s="111">
        <v>44743</v>
      </c>
      <c r="H158" s="111">
        <v>44773</v>
      </c>
      <c r="I158" s="94" t="s">
        <v>248</v>
      </c>
      <c r="J158" s="92">
        <v>540000</v>
      </c>
      <c r="K158" s="92">
        <f t="shared" si="148"/>
        <v>70200</v>
      </c>
      <c r="L158" s="91">
        <v>174</v>
      </c>
      <c r="M158" s="91">
        <v>51</v>
      </c>
      <c r="N158" s="223">
        <v>158276</v>
      </c>
      <c r="O158" s="215">
        <f t="shared" si="149"/>
        <v>20576</v>
      </c>
      <c r="P158" s="106">
        <f t="shared" si="147"/>
        <v>0.29310344827586204</v>
      </c>
      <c r="Q158" s="112" t="s">
        <v>268</v>
      </c>
      <c r="R158" s="155">
        <v>0.13</v>
      </c>
      <c r="S158" s="106">
        <f t="shared" si="150"/>
        <v>-2.5542784165555332E-7</v>
      </c>
      <c r="T158" s="234"/>
      <c r="U158" s="203"/>
      <c r="V158" s="94" t="s">
        <v>252</v>
      </c>
      <c r="W158" s="94" t="s">
        <v>252</v>
      </c>
      <c r="X158" s="94"/>
      <c r="Y158" s="94">
        <v>3</v>
      </c>
      <c r="Z158" s="76"/>
    </row>
    <row r="159" spans="1:29" s="42" customFormat="1" ht="15" customHeight="1" x14ac:dyDescent="0.25">
      <c r="A159" s="91" t="s">
        <v>26</v>
      </c>
      <c r="B159" s="91" t="s">
        <v>164</v>
      </c>
      <c r="C159" s="91" t="s">
        <v>165</v>
      </c>
      <c r="D159" s="91" t="s">
        <v>148</v>
      </c>
      <c r="E159" s="104" t="s">
        <v>12</v>
      </c>
      <c r="F159" s="95" t="s">
        <v>17</v>
      </c>
      <c r="G159" s="111">
        <v>44774</v>
      </c>
      <c r="H159" s="111">
        <v>44804</v>
      </c>
      <c r="I159" s="94" t="s">
        <v>248</v>
      </c>
      <c r="J159" s="92">
        <v>422609</v>
      </c>
      <c r="K159" s="92">
        <f t="shared" si="148"/>
        <v>54939</v>
      </c>
      <c r="L159" s="91">
        <v>174</v>
      </c>
      <c r="M159" s="91">
        <v>51</v>
      </c>
      <c r="N159" s="223">
        <f>ROUND(J159*P159,0)</f>
        <v>123868</v>
      </c>
      <c r="O159" s="215">
        <f t="shared" si="149"/>
        <v>16103</v>
      </c>
      <c r="P159" s="106">
        <f t="shared" si="147"/>
        <v>0.29310344827586204</v>
      </c>
      <c r="Q159" s="112" t="s">
        <v>268</v>
      </c>
      <c r="R159" s="155">
        <v>0.13</v>
      </c>
      <c r="S159" s="106">
        <f t="shared" si="150"/>
        <v>3.6717725787616118E-7</v>
      </c>
      <c r="T159" s="234"/>
      <c r="U159" s="203"/>
      <c r="V159" s="94" t="s">
        <v>252</v>
      </c>
      <c r="W159" s="94" t="s">
        <v>252</v>
      </c>
      <c r="X159" s="94"/>
      <c r="Y159" s="94">
        <v>3</v>
      </c>
      <c r="Z159" s="76"/>
    </row>
    <row r="160" spans="1:29" s="42" customFormat="1" ht="15" customHeight="1" x14ac:dyDescent="0.25">
      <c r="A160" s="91" t="s">
        <v>26</v>
      </c>
      <c r="B160" s="91" t="s">
        <v>164</v>
      </c>
      <c r="C160" s="91" t="s">
        <v>165</v>
      </c>
      <c r="D160" s="91" t="s">
        <v>148</v>
      </c>
      <c r="E160" s="104" t="s">
        <v>12</v>
      </c>
      <c r="F160" s="95" t="s">
        <v>17</v>
      </c>
      <c r="G160" s="111">
        <v>44805</v>
      </c>
      <c r="H160" s="111">
        <v>44831</v>
      </c>
      <c r="I160" s="94" t="s">
        <v>248</v>
      </c>
      <c r="J160" s="92">
        <v>434566</v>
      </c>
      <c r="K160" s="92">
        <f t="shared" si="148"/>
        <v>56494</v>
      </c>
      <c r="L160" s="91">
        <v>174</v>
      </c>
      <c r="M160" s="91">
        <v>49</v>
      </c>
      <c r="N160" s="223">
        <v>122378</v>
      </c>
      <c r="O160" s="215">
        <f t="shared" si="149"/>
        <v>15909</v>
      </c>
      <c r="P160" s="106">
        <f t="shared" ref="P160" si="151">M160/L160</f>
        <v>0.28160919540229884</v>
      </c>
      <c r="Q160" s="112" t="s">
        <v>268</v>
      </c>
      <c r="R160" s="155">
        <v>0.13</v>
      </c>
      <c r="S160" s="106">
        <f t="shared" si="150"/>
        <v>-5.0254922062675789E-7</v>
      </c>
      <c r="T160" s="234"/>
      <c r="U160" s="203">
        <v>44792</v>
      </c>
      <c r="V160" s="94" t="s">
        <v>252</v>
      </c>
      <c r="W160" s="94" t="s">
        <v>252</v>
      </c>
      <c r="X160" s="94"/>
      <c r="Y160" s="94">
        <v>3</v>
      </c>
      <c r="Z160" s="76"/>
    </row>
    <row r="161" spans="1:29" s="42" customFormat="1" ht="15" customHeight="1" x14ac:dyDescent="0.25">
      <c r="A161" s="91" t="s">
        <v>26</v>
      </c>
      <c r="B161" s="91" t="s">
        <v>164</v>
      </c>
      <c r="C161" s="91" t="s">
        <v>165</v>
      </c>
      <c r="D161" s="91" t="s">
        <v>148</v>
      </c>
      <c r="E161" s="104" t="s">
        <v>12</v>
      </c>
      <c r="F161" s="95" t="s">
        <v>17</v>
      </c>
      <c r="G161" s="111">
        <v>44835</v>
      </c>
      <c r="H161" s="111">
        <v>44865</v>
      </c>
      <c r="I161" s="94" t="s">
        <v>248</v>
      </c>
      <c r="J161" s="92">
        <v>540000</v>
      </c>
      <c r="K161" s="92">
        <f t="shared" si="148"/>
        <v>70200</v>
      </c>
      <c r="L161" s="91">
        <v>174</v>
      </c>
      <c r="M161" s="91">
        <v>51</v>
      </c>
      <c r="N161" s="223">
        <v>158276</v>
      </c>
      <c r="O161" s="215">
        <f t="shared" si="149"/>
        <v>20576</v>
      </c>
      <c r="P161" s="106">
        <f t="shared" ref="P161" si="152">M161/L161</f>
        <v>0.29310344827586204</v>
      </c>
      <c r="Q161" s="112" t="s">
        <v>268</v>
      </c>
      <c r="R161" s="155">
        <v>0.13</v>
      </c>
      <c r="S161" s="106">
        <f t="shared" si="150"/>
        <v>-2.5542784165555332E-7</v>
      </c>
      <c r="T161" s="234"/>
      <c r="U161" s="203">
        <v>44823</v>
      </c>
      <c r="V161" s="94" t="s">
        <v>252</v>
      </c>
      <c r="W161" s="94" t="s">
        <v>252</v>
      </c>
      <c r="X161" s="94"/>
      <c r="Y161" s="94">
        <v>3</v>
      </c>
      <c r="Z161" s="76"/>
    </row>
    <row r="162" spans="1:29" s="42" customFormat="1" ht="15" customHeight="1" x14ac:dyDescent="0.25">
      <c r="A162" s="91" t="s">
        <v>26</v>
      </c>
      <c r="B162" s="91" t="s">
        <v>164</v>
      </c>
      <c r="C162" s="91" t="s">
        <v>165</v>
      </c>
      <c r="D162" s="91" t="s">
        <v>148</v>
      </c>
      <c r="E162" s="104" t="s">
        <v>12</v>
      </c>
      <c r="F162" s="95" t="s">
        <v>17</v>
      </c>
      <c r="G162" s="111">
        <v>44866</v>
      </c>
      <c r="H162" s="111">
        <v>44895</v>
      </c>
      <c r="I162" s="94" t="s">
        <v>248</v>
      </c>
      <c r="J162" s="92">
        <v>540000</v>
      </c>
      <c r="K162" s="92">
        <f t="shared" si="148"/>
        <v>70200</v>
      </c>
      <c r="L162" s="91">
        <v>174</v>
      </c>
      <c r="M162" s="91">
        <v>51</v>
      </c>
      <c r="N162" s="223">
        <v>158276</v>
      </c>
      <c r="O162" s="215">
        <f t="shared" si="149"/>
        <v>20576</v>
      </c>
      <c r="P162" s="106">
        <f t="shared" ref="P162" si="153">M162/L162</f>
        <v>0.29310344827586204</v>
      </c>
      <c r="Q162" s="112" t="s">
        <v>268</v>
      </c>
      <c r="R162" s="155">
        <v>0.13</v>
      </c>
      <c r="S162" s="106">
        <f t="shared" si="150"/>
        <v>-2.5542784165555332E-7</v>
      </c>
      <c r="T162" s="234" t="s">
        <v>382</v>
      </c>
      <c r="U162" s="203">
        <v>44823</v>
      </c>
      <c r="V162" s="94" t="s">
        <v>252</v>
      </c>
      <c r="W162" s="94" t="s">
        <v>252</v>
      </c>
      <c r="X162" s="94"/>
      <c r="Y162" s="94"/>
      <c r="Z162" s="76"/>
      <c r="AA162" s="42" t="s">
        <v>408</v>
      </c>
      <c r="AB162" s="42" t="s">
        <v>408</v>
      </c>
      <c r="AC162" s="42" t="s">
        <v>408</v>
      </c>
    </row>
    <row r="163" spans="1:29" s="42" customFormat="1" ht="15" customHeight="1" x14ac:dyDescent="0.25">
      <c r="A163" s="91" t="s">
        <v>26</v>
      </c>
      <c r="B163" s="91" t="s">
        <v>164</v>
      </c>
      <c r="C163" s="91" t="s">
        <v>165</v>
      </c>
      <c r="D163" s="91" t="s">
        <v>148</v>
      </c>
      <c r="E163" s="104" t="s">
        <v>12</v>
      </c>
      <c r="F163" s="95" t="s">
        <v>17</v>
      </c>
      <c r="G163" s="111">
        <v>44927</v>
      </c>
      <c r="H163" s="111">
        <v>44957</v>
      </c>
      <c r="I163" s="94" t="s">
        <v>248</v>
      </c>
      <c r="J163" s="92">
        <v>567000</v>
      </c>
      <c r="K163" s="92">
        <f t="shared" si="148"/>
        <v>73710</v>
      </c>
      <c r="L163" s="91">
        <v>174</v>
      </c>
      <c r="M163" s="91">
        <v>55</v>
      </c>
      <c r="N163" s="223">
        <f t="shared" ref="N163:N168" si="154">ROUND(J163*P163,0)</f>
        <v>179224</v>
      </c>
      <c r="O163" s="215">
        <f t="shared" si="149"/>
        <v>23299</v>
      </c>
      <c r="P163" s="106">
        <f t="shared" ref="P163" si="155">M163/L163</f>
        <v>0.31609195402298851</v>
      </c>
      <c r="Q163" s="112" t="s">
        <v>268</v>
      </c>
      <c r="R163" s="155">
        <v>0.13</v>
      </c>
      <c r="S163" s="106">
        <f t="shared" si="150"/>
        <v>2.4326461106616293E-7</v>
      </c>
      <c r="T163" s="234" t="s">
        <v>382</v>
      </c>
      <c r="U163" s="203">
        <v>44945</v>
      </c>
      <c r="V163" s="94" t="s">
        <v>252</v>
      </c>
      <c r="W163" s="94"/>
      <c r="X163" s="94"/>
      <c r="Y163" s="94"/>
      <c r="Z163" s="76"/>
      <c r="AA163" s="42" t="s">
        <v>408</v>
      </c>
      <c r="AB163" s="42">
        <v>0</v>
      </c>
      <c r="AC163" s="42">
        <v>0</v>
      </c>
    </row>
    <row r="164" spans="1:29" s="42" customFormat="1" ht="15" customHeight="1" x14ac:dyDescent="0.25">
      <c r="A164" s="91" t="s">
        <v>26</v>
      </c>
      <c r="B164" s="91" t="s">
        <v>164</v>
      </c>
      <c r="C164" s="91" t="s">
        <v>165</v>
      </c>
      <c r="D164" s="91" t="s">
        <v>148</v>
      </c>
      <c r="E164" s="104" t="s">
        <v>12</v>
      </c>
      <c r="F164" s="95" t="s">
        <v>431</v>
      </c>
      <c r="G164" s="111">
        <v>44958</v>
      </c>
      <c r="H164" s="111">
        <v>44985</v>
      </c>
      <c r="I164" s="94" t="s">
        <v>248</v>
      </c>
      <c r="J164" s="92">
        <v>541485</v>
      </c>
      <c r="K164" s="92">
        <f t="shared" si="148"/>
        <v>70393</v>
      </c>
      <c r="L164" s="91">
        <v>174</v>
      </c>
      <c r="M164" s="91">
        <v>55</v>
      </c>
      <c r="N164" s="223">
        <f t="shared" si="154"/>
        <v>171159</v>
      </c>
      <c r="O164" s="215">
        <f t="shared" si="149"/>
        <v>22251</v>
      </c>
      <c r="P164" s="106">
        <f t="shared" ref="P164:P169" si="156">M164/L164</f>
        <v>0.31609195402298851</v>
      </c>
      <c r="Q164" s="112" t="s">
        <v>268</v>
      </c>
      <c r="R164" s="155">
        <v>0.13</v>
      </c>
      <c r="S164" s="106">
        <f t="shared" si="150"/>
        <v>9.5522753040810926E-8</v>
      </c>
      <c r="T164" s="234" t="s">
        <v>382</v>
      </c>
      <c r="U164" s="203">
        <v>44945</v>
      </c>
      <c r="V164" s="94" t="s">
        <v>252</v>
      </c>
      <c r="W164" s="94"/>
      <c r="X164" s="94"/>
      <c r="Y164" s="94"/>
      <c r="Z164" s="76"/>
      <c r="AA164" s="42" t="s">
        <v>408</v>
      </c>
      <c r="AB164" s="42">
        <v>25515</v>
      </c>
      <c r="AC164" s="42">
        <v>45437</v>
      </c>
    </row>
    <row r="165" spans="1:29" s="42" customFormat="1" ht="15" customHeight="1" x14ac:dyDescent="0.25">
      <c r="A165" s="91" t="s">
        <v>26</v>
      </c>
      <c r="B165" s="91" t="s">
        <v>164</v>
      </c>
      <c r="C165" s="91" t="s">
        <v>165</v>
      </c>
      <c r="D165" s="91" t="s">
        <v>148</v>
      </c>
      <c r="E165" s="104" t="s">
        <v>12</v>
      </c>
      <c r="F165" s="95" t="s">
        <v>431</v>
      </c>
      <c r="G165" s="111">
        <v>44986</v>
      </c>
      <c r="H165" s="111">
        <v>45016</v>
      </c>
      <c r="I165" s="94" t="s">
        <v>248</v>
      </c>
      <c r="J165" s="92">
        <v>566999</v>
      </c>
      <c r="K165" s="92">
        <f t="shared" si="148"/>
        <v>73710</v>
      </c>
      <c r="L165" s="91">
        <v>174</v>
      </c>
      <c r="M165" s="91">
        <v>55</v>
      </c>
      <c r="N165" s="223">
        <f t="shared" si="154"/>
        <v>179224</v>
      </c>
      <c r="O165" s="215">
        <f t="shared" si="149"/>
        <v>23299</v>
      </c>
      <c r="P165" s="106">
        <f t="shared" si="156"/>
        <v>0.31609195402298851</v>
      </c>
      <c r="Q165" s="112" t="s">
        <v>268</v>
      </c>
      <c r="R165" s="155">
        <v>0.13</v>
      </c>
      <c r="S165" s="106">
        <f t="shared" si="150"/>
        <v>-3.1421734347780728E-7</v>
      </c>
      <c r="T165" s="234" t="s">
        <v>382</v>
      </c>
      <c r="U165" s="203">
        <v>44945</v>
      </c>
      <c r="V165" s="94" t="s">
        <v>252</v>
      </c>
      <c r="W165" s="94"/>
      <c r="X165" s="94"/>
      <c r="Y165" s="94"/>
      <c r="Z165" s="76"/>
      <c r="AA165" s="42" t="s">
        <v>408</v>
      </c>
      <c r="AB165" s="42">
        <v>1</v>
      </c>
      <c r="AC165" s="42">
        <v>42120</v>
      </c>
    </row>
    <row r="166" spans="1:29" s="42" customFormat="1" ht="15" customHeight="1" x14ac:dyDescent="0.25">
      <c r="A166" s="91" t="s">
        <v>26</v>
      </c>
      <c r="B166" s="91" t="s">
        <v>164</v>
      </c>
      <c r="C166" s="91" t="s">
        <v>165</v>
      </c>
      <c r="D166" s="91" t="s">
        <v>148</v>
      </c>
      <c r="E166" s="104" t="s">
        <v>12</v>
      </c>
      <c r="F166" s="95" t="s">
        <v>431</v>
      </c>
      <c r="G166" s="111">
        <v>45017</v>
      </c>
      <c r="H166" s="111">
        <v>45046</v>
      </c>
      <c r="I166" s="94" t="s">
        <v>248</v>
      </c>
      <c r="J166" s="92">
        <v>567000</v>
      </c>
      <c r="K166" s="92">
        <f t="shared" si="148"/>
        <v>73710</v>
      </c>
      <c r="L166" s="91">
        <v>174</v>
      </c>
      <c r="M166" s="91">
        <v>55</v>
      </c>
      <c r="N166" s="223">
        <f t="shared" si="154"/>
        <v>179224</v>
      </c>
      <c r="O166" s="215">
        <f t="shared" si="149"/>
        <v>23299</v>
      </c>
      <c r="P166" s="106">
        <f t="shared" si="156"/>
        <v>0.31609195402298851</v>
      </c>
      <c r="Q166" s="112" t="s">
        <v>268</v>
      </c>
      <c r="R166" s="155">
        <v>0.13</v>
      </c>
      <c r="S166" s="106">
        <f t="shared" si="150"/>
        <v>2.4326461106616293E-7</v>
      </c>
      <c r="T166" s="234" t="s">
        <v>382</v>
      </c>
      <c r="U166" s="203">
        <v>44945</v>
      </c>
      <c r="V166" s="94" t="s">
        <v>252</v>
      </c>
      <c r="W166" s="94"/>
      <c r="X166" s="94"/>
      <c r="Y166" s="94"/>
      <c r="Z166" s="76"/>
      <c r="AA166" s="42" t="s">
        <v>408</v>
      </c>
      <c r="AB166" s="42">
        <v>0</v>
      </c>
      <c r="AC166" s="239">
        <v>42120</v>
      </c>
    </row>
    <row r="167" spans="1:29" s="42" customFormat="1" ht="15" customHeight="1" x14ac:dyDescent="0.25">
      <c r="A167" s="91" t="s">
        <v>26</v>
      </c>
      <c r="B167" s="91" t="s">
        <v>164</v>
      </c>
      <c r="C167" s="91" t="s">
        <v>165</v>
      </c>
      <c r="D167" s="91" t="s">
        <v>148</v>
      </c>
      <c r="E167" s="104" t="s">
        <v>12</v>
      </c>
      <c r="F167" s="95" t="s">
        <v>431</v>
      </c>
      <c r="G167" s="111">
        <v>45047</v>
      </c>
      <c r="H167" s="111">
        <v>45077</v>
      </c>
      <c r="I167" s="94" t="s">
        <v>267</v>
      </c>
      <c r="J167" s="92">
        <v>567000</v>
      </c>
      <c r="K167" s="92">
        <f t="shared" si="148"/>
        <v>73710</v>
      </c>
      <c r="L167" s="91">
        <v>174</v>
      </c>
      <c r="M167" s="91">
        <v>55</v>
      </c>
      <c r="N167" s="223">
        <f t="shared" si="154"/>
        <v>179224</v>
      </c>
      <c r="O167" s="215">
        <f t="shared" si="149"/>
        <v>23299</v>
      </c>
      <c r="P167" s="106">
        <f t="shared" si="156"/>
        <v>0.31609195402298851</v>
      </c>
      <c r="Q167" s="112" t="s">
        <v>268</v>
      </c>
      <c r="R167" s="155">
        <v>0.13</v>
      </c>
      <c r="S167" s="106">
        <f t="shared" si="150"/>
        <v>2.4326461106616293E-7</v>
      </c>
      <c r="T167" s="234" t="s">
        <v>382</v>
      </c>
      <c r="U167" s="203">
        <v>44945</v>
      </c>
      <c r="V167" s="94" t="s">
        <v>252</v>
      </c>
      <c r="W167" s="94"/>
      <c r="X167" s="94"/>
      <c r="Y167" s="94"/>
      <c r="Z167" s="76"/>
    </row>
    <row r="168" spans="1:29" s="42" customFormat="1" ht="15" customHeight="1" x14ac:dyDescent="0.25">
      <c r="A168" s="91" t="s">
        <v>26</v>
      </c>
      <c r="B168" s="91" t="s">
        <v>164</v>
      </c>
      <c r="C168" s="91" t="s">
        <v>165</v>
      </c>
      <c r="D168" s="91" t="s">
        <v>148</v>
      </c>
      <c r="E168" s="104" t="s">
        <v>12</v>
      </c>
      <c r="F168" s="95" t="s">
        <v>431</v>
      </c>
      <c r="G168" s="111">
        <v>45078</v>
      </c>
      <c r="H168" s="111">
        <v>45107</v>
      </c>
      <c r="I168" s="94" t="s">
        <v>267</v>
      </c>
      <c r="J168" s="92">
        <v>567000</v>
      </c>
      <c r="K168" s="92">
        <f t="shared" si="148"/>
        <v>73710</v>
      </c>
      <c r="L168" s="91">
        <v>174</v>
      </c>
      <c r="M168" s="91">
        <v>55</v>
      </c>
      <c r="N168" s="223">
        <f t="shared" si="154"/>
        <v>179224</v>
      </c>
      <c r="O168" s="215">
        <f t="shared" si="149"/>
        <v>23299</v>
      </c>
      <c r="P168" s="106">
        <f t="shared" si="156"/>
        <v>0.31609195402298851</v>
      </c>
      <c r="Q168" s="112" t="s">
        <v>268</v>
      </c>
      <c r="R168" s="155">
        <v>0.13</v>
      </c>
      <c r="S168" s="106">
        <f t="shared" si="150"/>
        <v>2.4326461106616293E-7</v>
      </c>
      <c r="T168" s="234" t="s">
        <v>382</v>
      </c>
      <c r="U168" s="203">
        <v>44945</v>
      </c>
      <c r="V168" s="94" t="s">
        <v>252</v>
      </c>
      <c r="W168" s="94"/>
      <c r="X168" s="94"/>
      <c r="Y168" s="94"/>
      <c r="Z168" s="76"/>
    </row>
    <row r="169" spans="1:29" s="42" customFormat="1" ht="15" customHeight="1" x14ac:dyDescent="0.25">
      <c r="A169" s="91" t="s">
        <v>484</v>
      </c>
      <c r="B169" s="91" t="s">
        <v>62</v>
      </c>
      <c r="C169" s="91" t="s">
        <v>98</v>
      </c>
      <c r="D169" s="91" t="s">
        <v>150</v>
      </c>
      <c r="E169" s="104" t="s">
        <v>139</v>
      </c>
      <c r="F169" s="95" t="s">
        <v>308</v>
      </c>
      <c r="G169" s="111">
        <v>45078</v>
      </c>
      <c r="H169" s="111">
        <v>45107</v>
      </c>
      <c r="I169" s="94" t="s">
        <v>267</v>
      </c>
      <c r="J169" s="92">
        <v>450000</v>
      </c>
      <c r="K169" s="92">
        <f t="shared" si="148"/>
        <v>58500</v>
      </c>
      <c r="L169" s="91">
        <v>174</v>
      </c>
      <c r="M169" s="91">
        <v>124</v>
      </c>
      <c r="N169" s="223">
        <v>318584</v>
      </c>
      <c r="O169" s="215">
        <f t="shared" si="149"/>
        <v>41416</v>
      </c>
      <c r="P169" s="106">
        <f t="shared" si="156"/>
        <v>0.71264367816091956</v>
      </c>
      <c r="Q169" s="112" t="s">
        <v>268</v>
      </c>
      <c r="R169" s="155">
        <v>0.13</v>
      </c>
      <c r="S169" s="106">
        <f t="shared" si="150"/>
        <v>4.6792337164751618E-3</v>
      </c>
      <c r="T169" s="234" t="s">
        <v>485</v>
      </c>
      <c r="U169" s="203">
        <v>45077</v>
      </c>
      <c r="V169" s="94"/>
      <c r="W169" s="94"/>
      <c r="X169" s="94"/>
      <c r="Y169" s="94"/>
      <c r="Z169" s="76"/>
    </row>
    <row r="170" spans="1:29" s="42" customFormat="1" ht="15" customHeight="1" x14ac:dyDescent="0.25">
      <c r="A170" s="91" t="s">
        <v>484</v>
      </c>
      <c r="B170" s="91" t="s">
        <v>62</v>
      </c>
      <c r="C170" s="91" t="s">
        <v>98</v>
      </c>
      <c r="D170" s="91" t="s">
        <v>150</v>
      </c>
      <c r="E170" s="104" t="s">
        <v>139</v>
      </c>
      <c r="F170" s="95" t="s">
        <v>308</v>
      </c>
      <c r="G170" s="111">
        <v>45108</v>
      </c>
      <c r="H170" s="111">
        <v>45138</v>
      </c>
      <c r="I170" s="94" t="s">
        <v>267</v>
      </c>
      <c r="J170" s="92">
        <v>450000</v>
      </c>
      <c r="K170" s="92">
        <f t="shared" ref="K170:K173" si="157">ROUND(J170*R170,0)</f>
        <v>58500</v>
      </c>
      <c r="L170" s="91">
        <v>174</v>
      </c>
      <c r="M170" s="91">
        <v>124</v>
      </c>
      <c r="N170" s="223">
        <v>318584</v>
      </c>
      <c r="O170" s="215">
        <f t="shared" ref="O170:O173" si="158">ROUND(N170*R170,0)</f>
        <v>41416</v>
      </c>
      <c r="P170" s="106">
        <f t="shared" ref="P170:P173" si="159">M170/L170</f>
        <v>0.71264367816091956</v>
      </c>
      <c r="Q170" s="112" t="s">
        <v>268</v>
      </c>
      <c r="R170" s="155">
        <v>0.13</v>
      </c>
      <c r="S170" s="106">
        <f t="shared" ref="S170:S173" si="160">P170-(N170/J170)</f>
        <v>4.6792337164751618E-3</v>
      </c>
      <c r="T170" s="234" t="s">
        <v>485</v>
      </c>
      <c r="U170" s="203">
        <v>45077</v>
      </c>
      <c r="V170" s="94"/>
      <c r="W170" s="94"/>
      <c r="X170" s="94"/>
      <c r="Y170" s="94"/>
      <c r="Z170" s="76"/>
    </row>
    <row r="171" spans="1:29" s="42" customFormat="1" ht="15" customHeight="1" x14ac:dyDescent="0.25">
      <c r="A171" s="91" t="s">
        <v>484</v>
      </c>
      <c r="B171" s="91" t="s">
        <v>62</v>
      </c>
      <c r="C171" s="91" t="s">
        <v>98</v>
      </c>
      <c r="D171" s="91" t="s">
        <v>150</v>
      </c>
      <c r="E171" s="104" t="s">
        <v>139</v>
      </c>
      <c r="F171" s="95" t="s">
        <v>308</v>
      </c>
      <c r="G171" s="111">
        <v>45139</v>
      </c>
      <c r="H171" s="111">
        <v>45169</v>
      </c>
      <c r="I171" s="94" t="s">
        <v>267</v>
      </c>
      <c r="J171" s="92">
        <v>450000</v>
      </c>
      <c r="K171" s="92">
        <f t="shared" si="157"/>
        <v>58500</v>
      </c>
      <c r="L171" s="91">
        <v>174</v>
      </c>
      <c r="M171" s="91">
        <v>124</v>
      </c>
      <c r="N171" s="223">
        <v>318584</v>
      </c>
      <c r="O171" s="215">
        <f t="shared" si="158"/>
        <v>41416</v>
      </c>
      <c r="P171" s="106">
        <f t="shared" si="159"/>
        <v>0.71264367816091956</v>
      </c>
      <c r="Q171" s="112" t="s">
        <v>268</v>
      </c>
      <c r="R171" s="155">
        <v>0.13</v>
      </c>
      <c r="S171" s="106">
        <f t="shared" si="160"/>
        <v>4.6792337164751618E-3</v>
      </c>
      <c r="T171" s="234" t="s">
        <v>485</v>
      </c>
      <c r="U171" s="203">
        <v>45077</v>
      </c>
      <c r="V171" s="94"/>
      <c r="W171" s="94"/>
      <c r="X171" s="94"/>
      <c r="Y171" s="94"/>
      <c r="Z171" s="76"/>
    </row>
    <row r="172" spans="1:29" s="42" customFormat="1" ht="15" customHeight="1" x14ac:dyDescent="0.25">
      <c r="A172" s="91" t="s">
        <v>484</v>
      </c>
      <c r="B172" s="91" t="s">
        <v>62</v>
      </c>
      <c r="C172" s="91" t="s">
        <v>98</v>
      </c>
      <c r="D172" s="91" t="s">
        <v>150</v>
      </c>
      <c r="E172" s="104" t="s">
        <v>139</v>
      </c>
      <c r="F172" s="95" t="s">
        <v>308</v>
      </c>
      <c r="G172" s="111">
        <v>45170</v>
      </c>
      <c r="H172" s="111">
        <v>45199</v>
      </c>
      <c r="I172" s="94" t="s">
        <v>267</v>
      </c>
      <c r="J172" s="92">
        <v>450000</v>
      </c>
      <c r="K172" s="92">
        <f t="shared" si="157"/>
        <v>58500</v>
      </c>
      <c r="L172" s="91">
        <v>174</v>
      </c>
      <c r="M172" s="91">
        <v>124</v>
      </c>
      <c r="N172" s="223">
        <v>318584</v>
      </c>
      <c r="O172" s="215">
        <f t="shared" si="158"/>
        <v>41416</v>
      </c>
      <c r="P172" s="106">
        <f t="shared" si="159"/>
        <v>0.71264367816091956</v>
      </c>
      <c r="Q172" s="112" t="s">
        <v>268</v>
      </c>
      <c r="R172" s="155">
        <v>0.13</v>
      </c>
      <c r="S172" s="106">
        <f t="shared" si="160"/>
        <v>4.6792337164751618E-3</v>
      </c>
      <c r="T172" s="234" t="s">
        <v>485</v>
      </c>
      <c r="U172" s="203">
        <v>45077</v>
      </c>
      <c r="V172" s="94"/>
      <c r="W172" s="94"/>
      <c r="X172" s="94"/>
      <c r="Y172" s="94"/>
      <c r="Z172" s="76"/>
    </row>
    <row r="173" spans="1:29" s="42" customFormat="1" ht="15" customHeight="1" x14ac:dyDescent="0.25">
      <c r="A173" s="91" t="s">
        <v>484</v>
      </c>
      <c r="B173" s="91" t="s">
        <v>62</v>
      </c>
      <c r="C173" s="91" t="s">
        <v>98</v>
      </c>
      <c r="D173" s="91" t="s">
        <v>150</v>
      </c>
      <c r="E173" s="104" t="s">
        <v>139</v>
      </c>
      <c r="F173" s="95" t="s">
        <v>308</v>
      </c>
      <c r="G173" s="111">
        <v>45200</v>
      </c>
      <c r="H173" s="111">
        <v>45230</v>
      </c>
      <c r="I173" s="94" t="s">
        <v>267</v>
      </c>
      <c r="J173" s="92">
        <v>450000</v>
      </c>
      <c r="K173" s="92">
        <f t="shared" si="157"/>
        <v>58500</v>
      </c>
      <c r="L173" s="91">
        <v>174</v>
      </c>
      <c r="M173" s="91">
        <v>124</v>
      </c>
      <c r="N173" s="223">
        <v>318584</v>
      </c>
      <c r="O173" s="215">
        <f t="shared" si="158"/>
        <v>41416</v>
      </c>
      <c r="P173" s="106">
        <f t="shared" si="159"/>
        <v>0.71264367816091956</v>
      </c>
      <c r="Q173" s="112" t="s">
        <v>268</v>
      </c>
      <c r="R173" s="155">
        <v>0.13</v>
      </c>
      <c r="S173" s="106">
        <f t="shared" si="160"/>
        <v>4.6792337164751618E-3</v>
      </c>
      <c r="T173" s="234" t="s">
        <v>485</v>
      </c>
      <c r="U173" s="203">
        <v>45077</v>
      </c>
      <c r="V173" s="94"/>
      <c r="W173" s="94"/>
      <c r="X173" s="94"/>
      <c r="Y173" s="94"/>
      <c r="Z173" s="76"/>
    </row>
    <row r="174" spans="1:29" s="42" customFormat="1" ht="15" customHeight="1" x14ac:dyDescent="0.25">
      <c r="A174" s="91" t="s">
        <v>245</v>
      </c>
      <c r="B174" s="91" t="s">
        <v>166</v>
      </c>
      <c r="C174" s="91" t="s">
        <v>167</v>
      </c>
      <c r="D174" s="91" t="s">
        <v>151</v>
      </c>
      <c r="E174" s="104" t="s">
        <v>139</v>
      </c>
      <c r="F174" s="95" t="s">
        <v>135</v>
      </c>
      <c r="G174" s="111">
        <v>44713</v>
      </c>
      <c r="H174" s="111">
        <v>44742</v>
      </c>
      <c r="I174" s="94" t="s">
        <v>248</v>
      </c>
      <c r="J174" s="92">
        <v>450000</v>
      </c>
      <c r="K174" s="92">
        <f t="shared" si="148"/>
        <v>58500</v>
      </c>
      <c r="L174" s="91">
        <v>174</v>
      </c>
      <c r="M174" s="91">
        <v>174</v>
      </c>
      <c r="N174" s="223">
        <v>450000</v>
      </c>
      <c r="O174" s="215">
        <f t="shared" si="149"/>
        <v>58500</v>
      </c>
      <c r="P174" s="106">
        <f t="shared" ref="P174:P215" si="161">M174/L174</f>
        <v>1</v>
      </c>
      <c r="Q174" s="112" t="s">
        <v>268</v>
      </c>
      <c r="R174" s="155">
        <v>0.13</v>
      </c>
      <c r="S174" s="106">
        <f t="shared" si="150"/>
        <v>0</v>
      </c>
      <c r="T174" s="234"/>
      <c r="U174" s="203"/>
      <c r="V174" s="94" t="s">
        <v>252</v>
      </c>
      <c r="W174" s="94"/>
      <c r="X174" s="94"/>
      <c r="Y174" s="94">
        <v>3</v>
      </c>
      <c r="Z174" s="76"/>
    </row>
    <row r="175" spans="1:29" s="42" customFormat="1" ht="15" customHeight="1" x14ac:dyDescent="0.25">
      <c r="A175" s="91" t="s">
        <v>245</v>
      </c>
      <c r="B175" s="91" t="s">
        <v>166</v>
      </c>
      <c r="C175" s="91" t="s">
        <v>167</v>
      </c>
      <c r="D175" s="91" t="s">
        <v>151</v>
      </c>
      <c r="E175" s="104" t="s">
        <v>139</v>
      </c>
      <c r="F175" s="95" t="s">
        <v>135</v>
      </c>
      <c r="G175" s="111">
        <v>44743</v>
      </c>
      <c r="H175" s="111">
        <v>44773</v>
      </c>
      <c r="I175" s="94" t="s">
        <v>248</v>
      </c>
      <c r="J175" s="92">
        <v>450000</v>
      </c>
      <c r="K175" s="92">
        <f t="shared" si="148"/>
        <v>58500</v>
      </c>
      <c r="L175" s="91">
        <v>174</v>
      </c>
      <c r="M175" s="91">
        <v>174</v>
      </c>
      <c r="N175" s="223">
        <v>450000</v>
      </c>
      <c r="O175" s="215">
        <f t="shared" si="149"/>
        <v>58500</v>
      </c>
      <c r="P175" s="106">
        <f t="shared" si="161"/>
        <v>1</v>
      </c>
      <c r="Q175" s="112" t="s">
        <v>268</v>
      </c>
      <c r="R175" s="155">
        <v>0.13</v>
      </c>
      <c r="S175" s="106">
        <f t="shared" si="150"/>
        <v>0</v>
      </c>
      <c r="T175" s="234"/>
      <c r="U175" s="203"/>
      <c r="V175" s="94" t="s">
        <v>252</v>
      </c>
      <c r="W175" s="94"/>
      <c r="X175" s="94"/>
      <c r="Y175" s="94">
        <v>3</v>
      </c>
      <c r="Z175" s="76"/>
    </row>
    <row r="176" spans="1:29" s="42" customFormat="1" ht="15" customHeight="1" x14ac:dyDescent="0.25">
      <c r="A176" s="91" t="s">
        <v>245</v>
      </c>
      <c r="B176" s="91" t="s">
        <v>166</v>
      </c>
      <c r="C176" s="91" t="s">
        <v>167</v>
      </c>
      <c r="D176" s="91" t="s">
        <v>151</v>
      </c>
      <c r="E176" s="104" t="s">
        <v>139</v>
      </c>
      <c r="F176" s="95" t="s">
        <v>135</v>
      </c>
      <c r="G176" s="111">
        <v>44774</v>
      </c>
      <c r="H176" s="111">
        <v>44804</v>
      </c>
      <c r="I176" s="94" t="s">
        <v>248</v>
      </c>
      <c r="J176" s="92">
        <v>371738</v>
      </c>
      <c r="K176" s="92">
        <f t="shared" si="148"/>
        <v>48326</v>
      </c>
      <c r="L176" s="91">
        <v>174</v>
      </c>
      <c r="M176" s="91">
        <v>174</v>
      </c>
      <c r="N176" s="223">
        <f>ROUND(J176*P176,0)</f>
        <v>371738</v>
      </c>
      <c r="O176" s="215">
        <f t="shared" si="149"/>
        <v>48326</v>
      </c>
      <c r="P176" s="106">
        <f t="shared" si="161"/>
        <v>1</v>
      </c>
      <c r="Q176" s="112" t="s">
        <v>268</v>
      </c>
      <c r="R176" s="155">
        <v>0.13</v>
      </c>
      <c r="S176" s="106">
        <f t="shared" si="150"/>
        <v>0</v>
      </c>
      <c r="T176" s="234"/>
      <c r="U176" s="203"/>
      <c r="V176" s="94" t="s">
        <v>252</v>
      </c>
      <c r="W176" s="94"/>
      <c r="X176" s="94"/>
      <c r="Y176" s="94">
        <v>3</v>
      </c>
      <c r="Z176" s="76"/>
    </row>
    <row r="177" spans="1:29" s="42" customFormat="1" ht="15" customHeight="1" x14ac:dyDescent="0.25">
      <c r="A177" s="91" t="s">
        <v>245</v>
      </c>
      <c r="B177" s="91" t="s">
        <v>166</v>
      </c>
      <c r="C177" s="91" t="s">
        <v>167</v>
      </c>
      <c r="D177" s="91" t="s">
        <v>151</v>
      </c>
      <c r="E177" s="104" t="s">
        <v>139</v>
      </c>
      <c r="F177" s="95" t="s">
        <v>135</v>
      </c>
      <c r="G177" s="111">
        <v>44805</v>
      </c>
      <c r="H177" s="111">
        <v>44834</v>
      </c>
      <c r="I177" s="94" t="s">
        <v>248</v>
      </c>
      <c r="J177" s="92">
        <v>450000</v>
      </c>
      <c r="K177" s="92">
        <f t="shared" si="148"/>
        <v>58500</v>
      </c>
      <c r="L177" s="91">
        <v>174</v>
      </c>
      <c r="M177" s="91">
        <v>174</v>
      </c>
      <c r="N177" s="223">
        <v>450000</v>
      </c>
      <c r="O177" s="215">
        <f t="shared" si="149"/>
        <v>58500</v>
      </c>
      <c r="P177" s="106">
        <f t="shared" si="161"/>
        <v>1</v>
      </c>
      <c r="Q177" s="112" t="s">
        <v>268</v>
      </c>
      <c r="R177" s="155">
        <v>0.13</v>
      </c>
      <c r="S177" s="106">
        <f t="shared" si="150"/>
        <v>0</v>
      </c>
      <c r="T177" s="234"/>
      <c r="U177" s="203"/>
      <c r="V177" s="94" t="s">
        <v>252</v>
      </c>
      <c r="W177" s="94"/>
      <c r="X177" s="94"/>
      <c r="Y177" s="94">
        <v>3</v>
      </c>
      <c r="Z177" s="76"/>
    </row>
    <row r="178" spans="1:29" s="42" customFormat="1" ht="15" customHeight="1" x14ac:dyDescent="0.25">
      <c r="A178" s="91" t="s">
        <v>245</v>
      </c>
      <c r="B178" s="91" t="s">
        <v>166</v>
      </c>
      <c r="C178" s="91" t="s">
        <v>167</v>
      </c>
      <c r="D178" s="91" t="s">
        <v>151</v>
      </c>
      <c r="E178" s="104" t="s">
        <v>139</v>
      </c>
      <c r="F178" s="95" t="s">
        <v>135</v>
      </c>
      <c r="G178" s="111">
        <v>44835</v>
      </c>
      <c r="H178" s="111">
        <v>44865</v>
      </c>
      <c r="I178" s="94" t="s">
        <v>248</v>
      </c>
      <c r="J178" s="92">
        <v>417857</v>
      </c>
      <c r="K178" s="92">
        <f t="shared" si="148"/>
        <v>54321</v>
      </c>
      <c r="L178" s="91">
        <v>174</v>
      </c>
      <c r="M178" s="91">
        <v>174</v>
      </c>
      <c r="N178" s="223">
        <f>ROUND(J178*P178,0)</f>
        <v>417857</v>
      </c>
      <c r="O178" s="215">
        <f t="shared" si="149"/>
        <v>54321</v>
      </c>
      <c r="P178" s="106">
        <f t="shared" si="161"/>
        <v>1</v>
      </c>
      <c r="Q178" s="112" t="s">
        <v>268</v>
      </c>
      <c r="R178" s="155">
        <v>0.13</v>
      </c>
      <c r="S178" s="106">
        <f t="shared" si="150"/>
        <v>0</v>
      </c>
      <c r="T178" s="234"/>
      <c r="U178" s="203"/>
      <c r="V178" s="94" t="s">
        <v>252</v>
      </c>
      <c r="W178" s="94"/>
      <c r="X178" s="94"/>
      <c r="Y178" s="94">
        <v>3</v>
      </c>
      <c r="Z178" s="76"/>
    </row>
    <row r="179" spans="1:29" s="42" customFormat="1" ht="15" customHeight="1" x14ac:dyDescent="0.25">
      <c r="A179" s="91" t="s">
        <v>245</v>
      </c>
      <c r="B179" s="91" t="s">
        <v>166</v>
      </c>
      <c r="C179" s="91" t="s">
        <v>167</v>
      </c>
      <c r="D179" s="91" t="s">
        <v>151</v>
      </c>
      <c r="E179" s="104" t="s">
        <v>139</v>
      </c>
      <c r="F179" s="95" t="s">
        <v>135</v>
      </c>
      <c r="G179" s="111">
        <v>44866</v>
      </c>
      <c r="H179" s="111">
        <v>44895</v>
      </c>
      <c r="I179" s="94" t="s">
        <v>248</v>
      </c>
      <c r="J179" s="92">
        <v>450000</v>
      </c>
      <c r="K179" s="92">
        <f t="shared" si="148"/>
        <v>58500</v>
      </c>
      <c r="L179" s="91">
        <v>174</v>
      </c>
      <c r="M179" s="91">
        <v>174</v>
      </c>
      <c r="N179" s="223">
        <v>450000</v>
      </c>
      <c r="O179" s="215">
        <f t="shared" si="149"/>
        <v>58500</v>
      </c>
      <c r="P179" s="106">
        <f t="shared" si="161"/>
        <v>1</v>
      </c>
      <c r="Q179" s="112" t="s">
        <v>268</v>
      </c>
      <c r="R179" s="155">
        <v>0.13</v>
      </c>
      <c r="S179" s="106">
        <f t="shared" si="150"/>
        <v>0</v>
      </c>
      <c r="T179" s="234" t="s">
        <v>383</v>
      </c>
      <c r="U179" s="203"/>
      <c r="V179" s="94" t="s">
        <v>252</v>
      </c>
      <c r="W179" s="94"/>
      <c r="X179" s="94"/>
      <c r="Y179" s="94"/>
      <c r="Z179" s="76"/>
      <c r="AA179" s="42" t="s">
        <v>408</v>
      </c>
      <c r="AB179" s="42" t="s">
        <v>408</v>
      </c>
      <c r="AC179" s="42" t="s">
        <v>408</v>
      </c>
    </row>
    <row r="180" spans="1:29" s="42" customFormat="1" ht="15" customHeight="1" x14ac:dyDescent="0.25">
      <c r="A180" s="91" t="s">
        <v>245</v>
      </c>
      <c r="B180" s="91" t="s">
        <v>166</v>
      </c>
      <c r="C180" s="91" t="s">
        <v>167</v>
      </c>
      <c r="D180" s="91" t="s">
        <v>151</v>
      </c>
      <c r="E180" s="104" t="s">
        <v>139</v>
      </c>
      <c r="F180" s="95" t="s">
        <v>135</v>
      </c>
      <c r="G180" s="111">
        <v>44896</v>
      </c>
      <c r="H180" s="111">
        <v>44926</v>
      </c>
      <c r="I180" s="94" t="s">
        <v>248</v>
      </c>
      <c r="J180" s="92">
        <v>450000</v>
      </c>
      <c r="K180" s="92">
        <f t="shared" si="148"/>
        <v>58500</v>
      </c>
      <c r="L180" s="91">
        <v>174</v>
      </c>
      <c r="M180" s="91">
        <v>174</v>
      </c>
      <c r="N180" s="223">
        <v>450000</v>
      </c>
      <c r="O180" s="215">
        <f t="shared" si="149"/>
        <v>58500</v>
      </c>
      <c r="P180" s="106">
        <f t="shared" si="161"/>
        <v>1</v>
      </c>
      <c r="Q180" s="112" t="s">
        <v>268</v>
      </c>
      <c r="R180" s="155">
        <v>0.13</v>
      </c>
      <c r="S180" s="106">
        <f t="shared" si="150"/>
        <v>0</v>
      </c>
      <c r="T180" s="234" t="s">
        <v>383</v>
      </c>
      <c r="U180" s="203"/>
      <c r="V180" s="94" t="s">
        <v>252</v>
      </c>
      <c r="W180" s="94"/>
      <c r="X180" s="94"/>
      <c r="Y180" s="94"/>
      <c r="Z180" s="76"/>
      <c r="AA180" s="42" t="s">
        <v>408</v>
      </c>
      <c r="AB180" s="42" t="s">
        <v>408</v>
      </c>
      <c r="AC180" s="42" t="s">
        <v>408</v>
      </c>
    </row>
    <row r="181" spans="1:29" s="42" customFormat="1" ht="15" customHeight="1" x14ac:dyDescent="0.25">
      <c r="A181" s="91" t="s">
        <v>245</v>
      </c>
      <c r="B181" s="91" t="s">
        <v>166</v>
      </c>
      <c r="C181" s="91" t="s">
        <v>167</v>
      </c>
      <c r="D181" s="91" t="s">
        <v>151</v>
      </c>
      <c r="E181" s="104" t="s">
        <v>139</v>
      </c>
      <c r="F181" s="95" t="s">
        <v>135</v>
      </c>
      <c r="G181" s="111">
        <v>44927</v>
      </c>
      <c r="H181" s="111">
        <v>44957</v>
      </c>
      <c r="I181" s="94" t="s">
        <v>248</v>
      </c>
      <c r="J181" s="92">
        <v>508000</v>
      </c>
      <c r="K181" s="92">
        <f t="shared" si="148"/>
        <v>66040</v>
      </c>
      <c r="L181" s="91">
        <v>174</v>
      </c>
      <c r="M181" s="91">
        <v>174</v>
      </c>
      <c r="N181" s="223">
        <v>450000</v>
      </c>
      <c r="O181" s="215">
        <f t="shared" si="149"/>
        <v>58500</v>
      </c>
      <c r="P181" s="106">
        <f t="shared" si="161"/>
        <v>1</v>
      </c>
      <c r="Q181" s="112" t="s">
        <v>268</v>
      </c>
      <c r="R181" s="155">
        <v>0.13</v>
      </c>
      <c r="S181" s="106">
        <f t="shared" si="150"/>
        <v>0.11417322834645671</v>
      </c>
      <c r="T181" s="234" t="s">
        <v>383</v>
      </c>
      <c r="U181" s="203"/>
      <c r="V181" s="94" t="s">
        <v>252</v>
      </c>
      <c r="W181" s="94"/>
      <c r="X181" s="94"/>
      <c r="Y181" s="94"/>
      <c r="Z181" s="76"/>
      <c r="AA181" s="42" t="s">
        <v>408</v>
      </c>
      <c r="AB181" s="42">
        <v>0</v>
      </c>
      <c r="AC181" s="42">
        <v>0</v>
      </c>
    </row>
    <row r="182" spans="1:29" s="42" customFormat="1" ht="15" customHeight="1" x14ac:dyDescent="0.25">
      <c r="A182" s="91" t="s">
        <v>245</v>
      </c>
      <c r="B182" s="91" t="s">
        <v>166</v>
      </c>
      <c r="C182" s="91" t="s">
        <v>167</v>
      </c>
      <c r="D182" s="91" t="s">
        <v>151</v>
      </c>
      <c r="E182" s="104" t="s">
        <v>139</v>
      </c>
      <c r="F182" s="95" t="s">
        <v>430</v>
      </c>
      <c r="G182" s="111">
        <v>44958</v>
      </c>
      <c r="H182" s="111">
        <v>44985</v>
      </c>
      <c r="I182" s="94" t="s">
        <v>248</v>
      </c>
      <c r="J182" s="92">
        <v>508000</v>
      </c>
      <c r="K182" s="92">
        <f t="shared" si="148"/>
        <v>66040</v>
      </c>
      <c r="L182" s="91">
        <v>174</v>
      </c>
      <c r="M182" s="91">
        <v>174</v>
      </c>
      <c r="N182" s="223">
        <v>450000</v>
      </c>
      <c r="O182" s="215">
        <f t="shared" si="149"/>
        <v>58500</v>
      </c>
      <c r="P182" s="106">
        <f t="shared" si="161"/>
        <v>1</v>
      </c>
      <c r="Q182" s="112" t="s">
        <v>268</v>
      </c>
      <c r="R182" s="155">
        <v>0.13</v>
      </c>
      <c r="S182" s="106">
        <f t="shared" si="150"/>
        <v>0.11417322834645671</v>
      </c>
      <c r="T182" s="234" t="s">
        <v>383</v>
      </c>
      <c r="U182" s="203"/>
      <c r="V182" s="94" t="s">
        <v>252</v>
      </c>
      <c r="W182" s="94"/>
      <c r="X182" s="94"/>
      <c r="Y182" s="94"/>
      <c r="Z182" s="76"/>
      <c r="AA182" s="42" t="s">
        <v>408</v>
      </c>
      <c r="AB182" s="42">
        <v>0</v>
      </c>
      <c r="AC182" s="42">
        <v>11700</v>
      </c>
    </row>
    <row r="183" spans="1:29" s="42" customFormat="1" ht="15" customHeight="1" x14ac:dyDescent="0.25">
      <c r="A183" s="91" t="s">
        <v>245</v>
      </c>
      <c r="B183" s="91" t="s">
        <v>166</v>
      </c>
      <c r="C183" s="91" t="s">
        <v>167</v>
      </c>
      <c r="D183" s="91" t="s">
        <v>151</v>
      </c>
      <c r="E183" s="104" t="s">
        <v>139</v>
      </c>
      <c r="F183" s="95" t="s">
        <v>430</v>
      </c>
      <c r="G183" s="111">
        <v>44986</v>
      </c>
      <c r="H183" s="111">
        <v>45016</v>
      </c>
      <c r="I183" s="94" t="s">
        <v>248</v>
      </c>
      <c r="J183" s="92">
        <v>508000</v>
      </c>
      <c r="K183" s="92">
        <f t="shared" si="148"/>
        <v>66040</v>
      </c>
      <c r="L183" s="91">
        <v>174</v>
      </c>
      <c r="M183" s="91">
        <v>174</v>
      </c>
      <c r="N183" s="223">
        <v>450000</v>
      </c>
      <c r="O183" s="215">
        <f t="shared" si="149"/>
        <v>58500</v>
      </c>
      <c r="P183" s="106">
        <f t="shared" si="161"/>
        <v>1</v>
      </c>
      <c r="Q183" s="112" t="s">
        <v>268</v>
      </c>
      <c r="R183" s="155">
        <v>0.13</v>
      </c>
      <c r="S183" s="106">
        <f t="shared" si="150"/>
        <v>0.11417322834645671</v>
      </c>
      <c r="T183" s="234" t="s">
        <v>383</v>
      </c>
      <c r="U183" s="203"/>
      <c r="V183" s="94" t="s">
        <v>252</v>
      </c>
      <c r="W183" s="94"/>
      <c r="X183" s="94"/>
      <c r="Y183" s="94"/>
      <c r="Z183" s="76"/>
      <c r="AA183" s="42" t="s">
        <v>408</v>
      </c>
      <c r="AB183" s="42">
        <v>0</v>
      </c>
      <c r="AC183" s="42">
        <v>11700</v>
      </c>
    </row>
    <row r="184" spans="1:29" s="42" customFormat="1" ht="15" customHeight="1" x14ac:dyDescent="0.25">
      <c r="A184" s="91" t="s">
        <v>245</v>
      </c>
      <c r="B184" s="91" t="s">
        <v>166</v>
      </c>
      <c r="C184" s="91" t="s">
        <v>167</v>
      </c>
      <c r="D184" s="91" t="s">
        <v>151</v>
      </c>
      <c r="E184" s="104" t="s">
        <v>139</v>
      </c>
      <c r="F184" s="95" t="s">
        <v>430</v>
      </c>
      <c r="G184" s="111">
        <v>45017</v>
      </c>
      <c r="H184" s="111">
        <v>45046</v>
      </c>
      <c r="I184" s="94" t="s">
        <v>248</v>
      </c>
      <c r="J184" s="92">
        <v>508000</v>
      </c>
      <c r="K184" s="92">
        <f t="shared" si="148"/>
        <v>66040</v>
      </c>
      <c r="L184" s="91">
        <v>174</v>
      </c>
      <c r="M184" s="91">
        <v>174</v>
      </c>
      <c r="N184" s="223">
        <v>450000</v>
      </c>
      <c r="O184" s="215">
        <f t="shared" si="149"/>
        <v>58500</v>
      </c>
      <c r="P184" s="106">
        <f t="shared" si="161"/>
        <v>1</v>
      </c>
      <c r="Q184" s="112" t="s">
        <v>268</v>
      </c>
      <c r="R184" s="155">
        <v>0.13</v>
      </c>
      <c r="S184" s="106">
        <f t="shared" si="150"/>
        <v>0.11417322834645671</v>
      </c>
      <c r="T184" s="234" t="s">
        <v>383</v>
      </c>
      <c r="U184" s="203"/>
      <c r="V184" s="94" t="s">
        <v>252</v>
      </c>
      <c r="W184" s="94"/>
      <c r="X184" s="94"/>
      <c r="Y184" s="94"/>
      <c r="Z184" s="76"/>
      <c r="AA184" s="42" t="s">
        <v>408</v>
      </c>
      <c r="AB184" s="42">
        <v>0</v>
      </c>
      <c r="AC184" s="239">
        <v>11700</v>
      </c>
    </row>
    <row r="185" spans="1:29" s="42" customFormat="1" ht="15" customHeight="1" x14ac:dyDescent="0.25">
      <c r="A185" s="91" t="s">
        <v>245</v>
      </c>
      <c r="B185" s="91" t="s">
        <v>166</v>
      </c>
      <c r="C185" s="91" t="s">
        <v>167</v>
      </c>
      <c r="D185" s="91" t="s">
        <v>151</v>
      </c>
      <c r="E185" s="104" t="s">
        <v>139</v>
      </c>
      <c r="F185" s="95" t="s">
        <v>430</v>
      </c>
      <c r="G185" s="111">
        <v>45047</v>
      </c>
      <c r="H185" s="111">
        <v>45077</v>
      </c>
      <c r="I185" s="94" t="s">
        <v>267</v>
      </c>
      <c r="J185" s="92">
        <v>508000</v>
      </c>
      <c r="K185" s="92">
        <f t="shared" si="148"/>
        <v>66040</v>
      </c>
      <c r="L185" s="91">
        <v>174</v>
      </c>
      <c r="M185" s="91">
        <v>174</v>
      </c>
      <c r="N185" s="223">
        <v>450000</v>
      </c>
      <c r="O185" s="215">
        <f t="shared" si="149"/>
        <v>58500</v>
      </c>
      <c r="P185" s="106">
        <f t="shared" si="161"/>
        <v>1</v>
      </c>
      <c r="Q185" s="112" t="s">
        <v>268</v>
      </c>
      <c r="R185" s="155">
        <v>0.13</v>
      </c>
      <c r="S185" s="106">
        <f t="shared" si="150"/>
        <v>0.11417322834645671</v>
      </c>
      <c r="T185" s="234" t="s">
        <v>383</v>
      </c>
      <c r="U185" s="203"/>
      <c r="V185" s="94" t="s">
        <v>252</v>
      </c>
      <c r="W185" s="94"/>
      <c r="X185" s="94"/>
      <c r="Y185" s="94"/>
      <c r="Z185" s="76"/>
    </row>
    <row r="186" spans="1:29" s="42" customFormat="1" ht="15" customHeight="1" x14ac:dyDescent="0.25">
      <c r="A186" s="91" t="s">
        <v>245</v>
      </c>
      <c r="B186" s="91" t="s">
        <v>166</v>
      </c>
      <c r="C186" s="91" t="s">
        <v>167</v>
      </c>
      <c r="D186" s="91" t="s">
        <v>151</v>
      </c>
      <c r="E186" s="104" t="s">
        <v>139</v>
      </c>
      <c r="F186" s="95" t="s">
        <v>430</v>
      </c>
      <c r="G186" s="111">
        <v>45078</v>
      </c>
      <c r="H186" s="111">
        <v>45107</v>
      </c>
      <c r="I186" s="94" t="s">
        <v>267</v>
      </c>
      <c r="J186" s="92">
        <v>508000</v>
      </c>
      <c r="K186" s="92">
        <f t="shared" si="148"/>
        <v>66040</v>
      </c>
      <c r="L186" s="91">
        <v>174</v>
      </c>
      <c r="M186" s="91">
        <v>174</v>
      </c>
      <c r="N186" s="223">
        <v>450000</v>
      </c>
      <c r="O186" s="215">
        <f t="shared" si="149"/>
        <v>58500</v>
      </c>
      <c r="P186" s="106">
        <f t="shared" si="161"/>
        <v>1</v>
      </c>
      <c r="Q186" s="112" t="s">
        <v>268</v>
      </c>
      <c r="R186" s="155">
        <v>0.13</v>
      </c>
      <c r="S186" s="106">
        <f t="shared" si="150"/>
        <v>0.11417322834645671</v>
      </c>
      <c r="T186" s="234" t="s">
        <v>383</v>
      </c>
      <c r="U186" s="203"/>
      <c r="V186" s="94" t="s">
        <v>252</v>
      </c>
      <c r="W186" s="94"/>
      <c r="X186" s="94"/>
      <c r="Y186" s="94"/>
      <c r="Z186" s="76"/>
    </row>
    <row r="187" spans="1:29" s="42" customFormat="1" ht="15" customHeight="1" x14ac:dyDescent="0.25">
      <c r="A187" s="91" t="s">
        <v>245</v>
      </c>
      <c r="B187" s="91" t="s">
        <v>166</v>
      </c>
      <c r="C187" s="91" t="s">
        <v>167</v>
      </c>
      <c r="D187" s="91" t="s">
        <v>151</v>
      </c>
      <c r="E187" s="104" t="s">
        <v>139</v>
      </c>
      <c r="F187" s="95" t="s">
        <v>430</v>
      </c>
      <c r="G187" s="111">
        <v>45108</v>
      </c>
      <c r="H187" s="111">
        <v>45138</v>
      </c>
      <c r="I187" s="94" t="s">
        <v>267</v>
      </c>
      <c r="J187" s="92">
        <v>508000</v>
      </c>
      <c r="K187" s="92">
        <f t="shared" si="148"/>
        <v>66040</v>
      </c>
      <c r="L187" s="91">
        <v>174</v>
      </c>
      <c r="M187" s="91">
        <v>174</v>
      </c>
      <c r="N187" s="223">
        <v>450000</v>
      </c>
      <c r="O187" s="215">
        <f t="shared" si="149"/>
        <v>58500</v>
      </c>
      <c r="P187" s="106">
        <f t="shared" si="161"/>
        <v>1</v>
      </c>
      <c r="Q187" s="112" t="s">
        <v>268</v>
      </c>
      <c r="R187" s="155">
        <v>0.13</v>
      </c>
      <c r="S187" s="106">
        <f t="shared" si="150"/>
        <v>0.11417322834645671</v>
      </c>
      <c r="T187" s="234" t="s">
        <v>383</v>
      </c>
      <c r="U187" s="203"/>
      <c r="V187" s="94" t="s">
        <v>252</v>
      </c>
      <c r="W187" s="94"/>
      <c r="X187" s="94"/>
      <c r="Y187" s="94"/>
      <c r="Z187" s="76"/>
    </row>
    <row r="188" spans="1:29" s="42" customFormat="1" ht="15" customHeight="1" x14ac:dyDescent="0.25">
      <c r="A188" s="91" t="s">
        <v>245</v>
      </c>
      <c r="B188" s="91" t="s">
        <v>166</v>
      </c>
      <c r="C188" s="91" t="s">
        <v>167</v>
      </c>
      <c r="D188" s="91" t="s">
        <v>151</v>
      </c>
      <c r="E188" s="104" t="s">
        <v>139</v>
      </c>
      <c r="F188" s="95" t="s">
        <v>430</v>
      </c>
      <c r="G188" s="111">
        <v>45139</v>
      </c>
      <c r="H188" s="111">
        <v>45169</v>
      </c>
      <c r="I188" s="94" t="s">
        <v>267</v>
      </c>
      <c r="J188" s="92">
        <v>508000</v>
      </c>
      <c r="K188" s="92">
        <f t="shared" si="148"/>
        <v>66040</v>
      </c>
      <c r="L188" s="91">
        <v>174</v>
      </c>
      <c r="M188" s="91">
        <v>174</v>
      </c>
      <c r="N188" s="223">
        <v>450000</v>
      </c>
      <c r="O188" s="215">
        <f t="shared" si="149"/>
        <v>58500</v>
      </c>
      <c r="P188" s="106">
        <f t="shared" si="161"/>
        <v>1</v>
      </c>
      <c r="Q188" s="112" t="s">
        <v>268</v>
      </c>
      <c r="R188" s="155">
        <v>0.13</v>
      </c>
      <c r="S188" s="106">
        <f t="shared" si="150"/>
        <v>0.11417322834645671</v>
      </c>
      <c r="T188" s="234" t="s">
        <v>383</v>
      </c>
      <c r="U188" s="203"/>
      <c r="V188" s="94" t="s">
        <v>252</v>
      </c>
      <c r="W188" s="94"/>
      <c r="X188" s="94"/>
      <c r="Y188" s="94"/>
      <c r="Z188" s="76"/>
    </row>
    <row r="189" spans="1:29" s="42" customFormat="1" ht="15" customHeight="1" x14ac:dyDescent="0.25">
      <c r="A189" s="91" t="s">
        <v>245</v>
      </c>
      <c r="B189" s="91" t="s">
        <v>166</v>
      </c>
      <c r="C189" s="91" t="s">
        <v>167</v>
      </c>
      <c r="D189" s="91" t="s">
        <v>151</v>
      </c>
      <c r="E189" s="104" t="s">
        <v>139</v>
      </c>
      <c r="F189" s="95" t="s">
        <v>430</v>
      </c>
      <c r="G189" s="111">
        <v>45170</v>
      </c>
      <c r="H189" s="111">
        <v>45199</v>
      </c>
      <c r="I189" s="94" t="s">
        <v>267</v>
      </c>
      <c r="J189" s="92">
        <v>508000</v>
      </c>
      <c r="K189" s="92">
        <f t="shared" si="148"/>
        <v>66040</v>
      </c>
      <c r="L189" s="91">
        <v>174</v>
      </c>
      <c r="M189" s="91">
        <v>174</v>
      </c>
      <c r="N189" s="223">
        <v>450000</v>
      </c>
      <c r="O189" s="215">
        <f t="shared" si="149"/>
        <v>58500</v>
      </c>
      <c r="P189" s="106">
        <f t="shared" si="161"/>
        <v>1</v>
      </c>
      <c r="Q189" s="112" t="s">
        <v>268</v>
      </c>
      <c r="R189" s="155">
        <v>0.13</v>
      </c>
      <c r="S189" s="106">
        <f t="shared" si="150"/>
        <v>0.11417322834645671</v>
      </c>
      <c r="T189" s="234" t="s">
        <v>383</v>
      </c>
      <c r="U189" s="203"/>
      <c r="V189" s="94" t="s">
        <v>252</v>
      </c>
      <c r="W189" s="94"/>
      <c r="X189" s="94"/>
      <c r="Y189" s="94"/>
      <c r="Z189" s="76"/>
    </row>
    <row r="190" spans="1:29" s="42" customFormat="1" ht="15" customHeight="1" x14ac:dyDescent="0.25">
      <c r="A190" s="91" t="s">
        <v>245</v>
      </c>
      <c r="B190" s="91" t="s">
        <v>166</v>
      </c>
      <c r="C190" s="91" t="s">
        <v>167</v>
      </c>
      <c r="D190" s="91" t="s">
        <v>151</v>
      </c>
      <c r="E190" s="104" t="s">
        <v>139</v>
      </c>
      <c r="F190" s="95" t="s">
        <v>430</v>
      </c>
      <c r="G190" s="111">
        <v>45200</v>
      </c>
      <c r="H190" s="111">
        <v>45230</v>
      </c>
      <c r="I190" s="94" t="s">
        <v>267</v>
      </c>
      <c r="J190" s="92">
        <v>508000</v>
      </c>
      <c r="K190" s="92">
        <f t="shared" si="148"/>
        <v>66040</v>
      </c>
      <c r="L190" s="91">
        <v>174</v>
      </c>
      <c r="M190" s="91">
        <v>174</v>
      </c>
      <c r="N190" s="223">
        <v>450000</v>
      </c>
      <c r="O190" s="215">
        <f t="shared" si="149"/>
        <v>58500</v>
      </c>
      <c r="P190" s="106">
        <f t="shared" si="161"/>
        <v>1</v>
      </c>
      <c r="Q190" s="112" t="s">
        <v>268</v>
      </c>
      <c r="R190" s="155">
        <v>0.13</v>
      </c>
      <c r="S190" s="106">
        <f t="shared" si="150"/>
        <v>0.11417322834645671</v>
      </c>
      <c r="T190" s="234" t="s">
        <v>383</v>
      </c>
      <c r="U190" s="203"/>
      <c r="V190" s="94" t="s">
        <v>252</v>
      </c>
      <c r="W190" s="94"/>
      <c r="X190" s="94"/>
      <c r="Y190" s="94"/>
      <c r="Z190" s="76"/>
    </row>
    <row r="191" spans="1:29" s="42" customFormat="1" ht="15" customHeight="1" x14ac:dyDescent="0.25">
      <c r="A191" s="91" t="s">
        <v>235</v>
      </c>
      <c r="B191" s="91" t="s">
        <v>164</v>
      </c>
      <c r="C191" s="91" t="s">
        <v>165</v>
      </c>
      <c r="D191" s="91" t="s">
        <v>148</v>
      </c>
      <c r="E191" s="104" t="s">
        <v>12</v>
      </c>
      <c r="F191" s="95" t="s">
        <v>17</v>
      </c>
      <c r="G191" s="111">
        <v>44593</v>
      </c>
      <c r="H191" s="111">
        <v>44620</v>
      </c>
      <c r="I191" s="94" t="s">
        <v>248</v>
      </c>
      <c r="J191" s="92">
        <v>660000</v>
      </c>
      <c r="K191" s="92">
        <f t="shared" si="148"/>
        <v>85800</v>
      </c>
      <c r="L191" s="91">
        <v>174</v>
      </c>
      <c r="M191" s="91">
        <v>36</v>
      </c>
      <c r="N191" s="223">
        <v>136552</v>
      </c>
      <c r="O191" s="215">
        <f t="shared" si="149"/>
        <v>17752</v>
      </c>
      <c r="P191" s="106">
        <f t="shared" si="161"/>
        <v>0.20689655172413793</v>
      </c>
      <c r="Q191" s="112" t="s">
        <v>268</v>
      </c>
      <c r="R191" s="155">
        <v>0.13</v>
      </c>
      <c r="S191" s="106">
        <f t="shared" si="150"/>
        <v>-4.1797283176214783E-7</v>
      </c>
      <c r="T191" s="234"/>
      <c r="U191" s="203"/>
      <c r="V191" s="205"/>
      <c r="W191" s="94" t="s">
        <v>252</v>
      </c>
      <c r="X191" s="94" t="s">
        <v>252</v>
      </c>
      <c r="Y191" s="94">
        <v>3</v>
      </c>
      <c r="Z191" s="76"/>
    </row>
    <row r="192" spans="1:29" s="42" customFormat="1" ht="15" customHeight="1" x14ac:dyDescent="0.25">
      <c r="A192" s="91" t="s">
        <v>137</v>
      </c>
      <c r="B192" s="91" t="s">
        <v>174</v>
      </c>
      <c r="C192" s="91" t="s">
        <v>178</v>
      </c>
      <c r="D192" s="91" t="s">
        <v>154</v>
      </c>
      <c r="E192" s="104" t="s">
        <v>139</v>
      </c>
      <c r="F192" s="95" t="s">
        <v>135</v>
      </c>
      <c r="G192" s="111">
        <v>44501</v>
      </c>
      <c r="H192" s="111">
        <v>44530</v>
      </c>
      <c r="I192" s="94" t="s">
        <v>248</v>
      </c>
      <c r="J192" s="92">
        <v>920000</v>
      </c>
      <c r="K192" s="92">
        <f t="shared" ref="K192:K195" si="162">ROUND(J192*0.155,0)</f>
        <v>142600</v>
      </c>
      <c r="L192" s="91">
        <v>174</v>
      </c>
      <c r="M192" s="91">
        <v>53</v>
      </c>
      <c r="N192" s="223">
        <v>280230</v>
      </c>
      <c r="O192" s="215">
        <f t="shared" ref="O192:O195" si="163">ROUND(N192*0.155,0)</f>
        <v>43436</v>
      </c>
      <c r="P192" s="106">
        <f t="shared" si="161"/>
        <v>0.3045977011494253</v>
      </c>
      <c r="Q192" s="112" t="s">
        <v>268</v>
      </c>
      <c r="R192" s="94"/>
      <c r="S192" s="106">
        <f t="shared" si="150"/>
        <v>-1.2493753120956796E-7</v>
      </c>
      <c r="T192" s="234"/>
      <c r="U192" s="203"/>
      <c r="V192" s="205"/>
      <c r="W192" s="94" t="s">
        <v>252</v>
      </c>
      <c r="X192" s="94"/>
      <c r="Y192" s="94">
        <v>3</v>
      </c>
      <c r="Z192" s="76"/>
    </row>
    <row r="193" spans="1:26" s="42" customFormat="1" ht="15" customHeight="1" x14ac:dyDescent="0.25">
      <c r="A193" s="91" t="s">
        <v>137</v>
      </c>
      <c r="B193" s="91" t="s">
        <v>183</v>
      </c>
      <c r="C193" s="91" t="s">
        <v>186</v>
      </c>
      <c r="D193" s="91" t="s">
        <v>158</v>
      </c>
      <c r="E193" s="104" t="s">
        <v>139</v>
      </c>
      <c r="F193" s="95" t="s">
        <v>135</v>
      </c>
      <c r="G193" s="111">
        <v>44501</v>
      </c>
      <c r="H193" s="111">
        <v>44530</v>
      </c>
      <c r="I193" s="94" t="s">
        <v>248</v>
      </c>
      <c r="J193" s="92">
        <v>920000</v>
      </c>
      <c r="K193" s="92">
        <f t="shared" si="162"/>
        <v>142600</v>
      </c>
      <c r="L193" s="91">
        <v>174</v>
      </c>
      <c r="M193" s="91">
        <v>121</v>
      </c>
      <c r="N193" s="223">
        <v>639770</v>
      </c>
      <c r="O193" s="215">
        <f t="shared" si="163"/>
        <v>99164</v>
      </c>
      <c r="P193" s="106">
        <f t="shared" si="161"/>
        <v>0.6954022988505747</v>
      </c>
      <c r="Q193" s="112" t="s">
        <v>268</v>
      </c>
      <c r="R193" s="94"/>
      <c r="S193" s="106">
        <f t="shared" si="150"/>
        <v>1.2493753120956796E-7</v>
      </c>
      <c r="T193" s="234"/>
      <c r="U193" s="203"/>
      <c r="V193" s="205"/>
      <c r="W193" s="94" t="s">
        <v>252</v>
      </c>
      <c r="X193" s="94"/>
      <c r="Y193" s="94">
        <v>3</v>
      </c>
      <c r="Z193" s="76"/>
    </row>
    <row r="194" spans="1:26" s="42" customFormat="1" ht="15" customHeight="1" x14ac:dyDescent="0.25">
      <c r="A194" s="91" t="s">
        <v>137</v>
      </c>
      <c r="B194" s="91" t="s">
        <v>174</v>
      </c>
      <c r="C194" s="91" t="s">
        <v>178</v>
      </c>
      <c r="D194" s="91" t="s">
        <v>154</v>
      </c>
      <c r="E194" s="104" t="s">
        <v>139</v>
      </c>
      <c r="F194" s="95" t="s">
        <v>135</v>
      </c>
      <c r="G194" s="111">
        <v>44531</v>
      </c>
      <c r="H194" s="111">
        <v>44561</v>
      </c>
      <c r="I194" s="94" t="s">
        <v>248</v>
      </c>
      <c r="J194" s="92">
        <v>920000</v>
      </c>
      <c r="K194" s="92">
        <f t="shared" si="162"/>
        <v>142600</v>
      </c>
      <c r="L194" s="91">
        <v>174</v>
      </c>
      <c r="M194" s="91">
        <v>53</v>
      </c>
      <c r="N194" s="223">
        <v>280230</v>
      </c>
      <c r="O194" s="215">
        <f t="shared" si="163"/>
        <v>43436</v>
      </c>
      <c r="P194" s="106">
        <f t="shared" si="161"/>
        <v>0.3045977011494253</v>
      </c>
      <c r="Q194" s="112" t="s">
        <v>268</v>
      </c>
      <c r="R194" s="94"/>
      <c r="S194" s="106">
        <f t="shared" ref="S194:S227" si="164">P194-(N194/J194)</f>
        <v>-1.2493753120956796E-7</v>
      </c>
      <c r="T194" s="234"/>
      <c r="U194" s="203"/>
      <c r="V194" s="205"/>
      <c r="W194" s="94" t="s">
        <v>252</v>
      </c>
      <c r="X194" s="94"/>
      <c r="Y194" s="94">
        <v>3</v>
      </c>
      <c r="Z194" s="76"/>
    </row>
    <row r="195" spans="1:26" s="42" customFormat="1" ht="15" customHeight="1" x14ac:dyDescent="0.25">
      <c r="A195" s="91" t="s">
        <v>137</v>
      </c>
      <c r="B195" s="91" t="s">
        <v>183</v>
      </c>
      <c r="C195" s="91" t="s">
        <v>186</v>
      </c>
      <c r="D195" s="91" t="s">
        <v>158</v>
      </c>
      <c r="E195" s="104" t="s">
        <v>139</v>
      </c>
      <c r="F195" s="95" t="s">
        <v>135</v>
      </c>
      <c r="G195" s="111">
        <v>44531</v>
      </c>
      <c r="H195" s="111">
        <v>44561</v>
      </c>
      <c r="I195" s="94" t="s">
        <v>248</v>
      </c>
      <c r="J195" s="92">
        <v>920000</v>
      </c>
      <c r="K195" s="92">
        <f t="shared" si="162"/>
        <v>142600</v>
      </c>
      <c r="L195" s="91">
        <v>174</v>
      </c>
      <c r="M195" s="91">
        <v>121</v>
      </c>
      <c r="N195" s="223">
        <v>639770</v>
      </c>
      <c r="O195" s="215">
        <f t="shared" si="163"/>
        <v>99164</v>
      </c>
      <c r="P195" s="106">
        <f t="shared" si="161"/>
        <v>0.6954022988505747</v>
      </c>
      <c r="Q195" s="112" t="s">
        <v>268</v>
      </c>
      <c r="R195" s="94"/>
      <c r="S195" s="106">
        <f t="shared" si="164"/>
        <v>1.2493753120956796E-7</v>
      </c>
      <c r="T195" s="234"/>
      <c r="U195" s="203"/>
      <c r="V195" s="205"/>
      <c r="W195" s="94" t="s">
        <v>252</v>
      </c>
      <c r="X195" s="94"/>
      <c r="Y195" s="94">
        <v>3</v>
      </c>
      <c r="Z195" s="76"/>
    </row>
    <row r="196" spans="1:26" s="42" customFormat="1" ht="15" customHeight="1" x14ac:dyDescent="0.25">
      <c r="A196" s="91" t="s">
        <v>137</v>
      </c>
      <c r="B196" s="91" t="s">
        <v>174</v>
      </c>
      <c r="C196" s="91" t="s">
        <v>178</v>
      </c>
      <c r="D196" s="91" t="s">
        <v>154</v>
      </c>
      <c r="E196" s="104" t="s">
        <v>139</v>
      </c>
      <c r="F196" s="95" t="s">
        <v>135</v>
      </c>
      <c r="G196" s="111">
        <v>44562</v>
      </c>
      <c r="H196" s="111">
        <v>44592</v>
      </c>
      <c r="I196" s="94" t="s">
        <v>248</v>
      </c>
      <c r="J196" s="92">
        <v>1000000</v>
      </c>
      <c r="K196" s="92">
        <f t="shared" ref="K196:K227" si="165">ROUND(J196*R196,0)</f>
        <v>130000</v>
      </c>
      <c r="L196" s="91">
        <v>174</v>
      </c>
      <c r="M196" s="91">
        <v>53</v>
      </c>
      <c r="N196" s="223">
        <v>304598</v>
      </c>
      <c r="O196" s="215">
        <f t="shared" ref="O196:O227" si="166">ROUND(N196*R196,0)</f>
        <v>39598</v>
      </c>
      <c r="P196" s="106">
        <f t="shared" si="161"/>
        <v>0.3045977011494253</v>
      </c>
      <c r="Q196" s="112" t="s">
        <v>268</v>
      </c>
      <c r="R196" s="155">
        <v>0.13</v>
      </c>
      <c r="S196" s="106">
        <f t="shared" si="164"/>
        <v>-2.9885057467593512E-7</v>
      </c>
      <c r="T196" s="234"/>
      <c r="U196" s="203"/>
      <c r="V196" s="205"/>
      <c r="W196" s="94" t="s">
        <v>252</v>
      </c>
      <c r="X196" s="94"/>
      <c r="Y196" s="94">
        <v>3</v>
      </c>
      <c r="Z196" s="76"/>
    </row>
    <row r="197" spans="1:26" s="42" customFormat="1" ht="15" customHeight="1" x14ac:dyDescent="0.25">
      <c r="A197" s="91" t="s">
        <v>137</v>
      </c>
      <c r="B197" s="91" t="s">
        <v>183</v>
      </c>
      <c r="C197" s="91" t="s">
        <v>186</v>
      </c>
      <c r="D197" s="91" t="s">
        <v>158</v>
      </c>
      <c r="E197" s="104" t="s">
        <v>139</v>
      </c>
      <c r="F197" s="95" t="s">
        <v>135</v>
      </c>
      <c r="G197" s="111">
        <v>44562</v>
      </c>
      <c r="H197" s="111">
        <v>44592</v>
      </c>
      <c r="I197" s="94" t="s">
        <v>248</v>
      </c>
      <c r="J197" s="92">
        <v>1000000</v>
      </c>
      <c r="K197" s="92">
        <f t="shared" si="165"/>
        <v>130000</v>
      </c>
      <c r="L197" s="91">
        <v>174</v>
      </c>
      <c r="M197" s="91">
        <v>121</v>
      </c>
      <c r="N197" s="223">
        <v>695402</v>
      </c>
      <c r="O197" s="215">
        <f t="shared" si="166"/>
        <v>90402</v>
      </c>
      <c r="P197" s="106">
        <f t="shared" si="161"/>
        <v>0.6954022988505747</v>
      </c>
      <c r="Q197" s="112" t="s">
        <v>268</v>
      </c>
      <c r="R197" s="155">
        <v>0.13</v>
      </c>
      <c r="S197" s="106">
        <f t="shared" si="164"/>
        <v>2.9885057473144627E-7</v>
      </c>
      <c r="T197" s="234"/>
      <c r="U197" s="203"/>
      <c r="V197" s="205"/>
      <c r="W197" s="94" t="s">
        <v>252</v>
      </c>
      <c r="X197" s="94"/>
      <c r="Y197" s="94">
        <v>3</v>
      </c>
      <c r="Z197" s="76"/>
    </row>
    <row r="198" spans="1:26" s="42" customFormat="1" ht="15" customHeight="1" x14ac:dyDescent="0.25">
      <c r="A198" s="91" t="s">
        <v>137</v>
      </c>
      <c r="B198" s="91" t="s">
        <v>174</v>
      </c>
      <c r="C198" s="91" t="s">
        <v>178</v>
      </c>
      <c r="D198" s="91" t="s">
        <v>154</v>
      </c>
      <c r="E198" s="104" t="s">
        <v>139</v>
      </c>
      <c r="F198" s="95" t="s">
        <v>135</v>
      </c>
      <c r="G198" s="111">
        <v>44593</v>
      </c>
      <c r="H198" s="111">
        <v>44620</v>
      </c>
      <c r="I198" s="94" t="s">
        <v>248</v>
      </c>
      <c r="J198" s="92">
        <v>1000000</v>
      </c>
      <c r="K198" s="92">
        <f t="shared" si="165"/>
        <v>130000</v>
      </c>
      <c r="L198" s="91">
        <v>174</v>
      </c>
      <c r="M198" s="91">
        <v>53</v>
      </c>
      <c r="N198" s="223">
        <v>304598</v>
      </c>
      <c r="O198" s="215">
        <f t="shared" si="166"/>
        <v>39598</v>
      </c>
      <c r="P198" s="106">
        <f t="shared" si="161"/>
        <v>0.3045977011494253</v>
      </c>
      <c r="Q198" s="112" t="s">
        <v>268</v>
      </c>
      <c r="R198" s="155">
        <v>0.13</v>
      </c>
      <c r="S198" s="106">
        <f t="shared" si="164"/>
        <v>-2.9885057467593512E-7</v>
      </c>
      <c r="T198" s="234"/>
      <c r="U198" s="203"/>
      <c r="V198" s="205"/>
      <c r="W198" s="94" t="s">
        <v>252</v>
      </c>
      <c r="X198" s="94"/>
      <c r="Y198" s="94">
        <v>3</v>
      </c>
      <c r="Z198" s="76"/>
    </row>
    <row r="199" spans="1:26" s="42" customFormat="1" ht="15" customHeight="1" x14ac:dyDescent="0.25">
      <c r="A199" s="91" t="s">
        <v>137</v>
      </c>
      <c r="B199" s="91" t="s">
        <v>183</v>
      </c>
      <c r="C199" s="91" t="s">
        <v>186</v>
      </c>
      <c r="D199" s="91" t="s">
        <v>158</v>
      </c>
      <c r="E199" s="104" t="s">
        <v>139</v>
      </c>
      <c r="F199" s="95" t="s">
        <v>135</v>
      </c>
      <c r="G199" s="111">
        <v>44593</v>
      </c>
      <c r="H199" s="111">
        <v>44620</v>
      </c>
      <c r="I199" s="94" t="s">
        <v>248</v>
      </c>
      <c r="J199" s="92">
        <v>1000000</v>
      </c>
      <c r="K199" s="92">
        <f t="shared" si="165"/>
        <v>130000</v>
      </c>
      <c r="L199" s="91">
        <v>174</v>
      </c>
      <c r="M199" s="91">
        <v>121</v>
      </c>
      <c r="N199" s="223">
        <v>695402</v>
      </c>
      <c r="O199" s="215">
        <f t="shared" si="166"/>
        <v>90402</v>
      </c>
      <c r="P199" s="106">
        <f t="shared" si="161"/>
        <v>0.6954022988505747</v>
      </c>
      <c r="Q199" s="112" t="s">
        <v>268</v>
      </c>
      <c r="R199" s="155">
        <v>0.13</v>
      </c>
      <c r="S199" s="106">
        <f t="shared" si="164"/>
        <v>2.9885057473144627E-7</v>
      </c>
      <c r="T199" s="234"/>
      <c r="U199" s="203"/>
      <c r="V199" s="205"/>
      <c r="W199" s="94" t="s">
        <v>252</v>
      </c>
      <c r="X199" s="94"/>
      <c r="Y199" s="94">
        <v>3</v>
      </c>
      <c r="Z199" s="76"/>
    </row>
    <row r="200" spans="1:26" s="42" customFormat="1" ht="15" customHeight="1" x14ac:dyDescent="0.25">
      <c r="A200" s="91" t="s">
        <v>137</v>
      </c>
      <c r="B200" s="91" t="s">
        <v>174</v>
      </c>
      <c r="C200" s="91" t="s">
        <v>178</v>
      </c>
      <c r="D200" s="91" t="s">
        <v>154</v>
      </c>
      <c r="E200" s="104" t="s">
        <v>139</v>
      </c>
      <c r="F200" s="95" t="s">
        <v>135</v>
      </c>
      <c r="G200" s="111">
        <v>44621</v>
      </c>
      <c r="H200" s="111">
        <v>44651</v>
      </c>
      <c r="I200" s="94" t="s">
        <v>248</v>
      </c>
      <c r="J200" s="92">
        <v>1000000</v>
      </c>
      <c r="K200" s="92">
        <f t="shared" si="165"/>
        <v>130000</v>
      </c>
      <c r="L200" s="91">
        <v>174</v>
      </c>
      <c r="M200" s="91">
        <v>53</v>
      </c>
      <c r="N200" s="223">
        <v>304598</v>
      </c>
      <c r="O200" s="215">
        <f t="shared" si="166"/>
        <v>39598</v>
      </c>
      <c r="P200" s="106">
        <f t="shared" si="161"/>
        <v>0.3045977011494253</v>
      </c>
      <c r="Q200" s="112" t="s">
        <v>268</v>
      </c>
      <c r="R200" s="155">
        <v>0.13</v>
      </c>
      <c r="S200" s="106">
        <f t="shared" si="164"/>
        <v>-2.9885057467593512E-7</v>
      </c>
      <c r="T200" s="234"/>
      <c r="U200" s="203"/>
      <c r="V200" s="205"/>
      <c r="W200" s="94" t="s">
        <v>252</v>
      </c>
      <c r="X200" s="94"/>
      <c r="Y200" s="94">
        <v>3</v>
      </c>
      <c r="Z200" s="76"/>
    </row>
    <row r="201" spans="1:26" s="42" customFormat="1" ht="15" customHeight="1" x14ac:dyDescent="0.25">
      <c r="A201" s="91" t="s">
        <v>137</v>
      </c>
      <c r="B201" s="91" t="s">
        <v>183</v>
      </c>
      <c r="C201" s="91" t="s">
        <v>186</v>
      </c>
      <c r="D201" s="91" t="s">
        <v>158</v>
      </c>
      <c r="E201" s="104" t="s">
        <v>139</v>
      </c>
      <c r="F201" s="95" t="s">
        <v>135</v>
      </c>
      <c r="G201" s="111">
        <v>44621</v>
      </c>
      <c r="H201" s="111">
        <v>44651</v>
      </c>
      <c r="I201" s="94" t="s">
        <v>248</v>
      </c>
      <c r="J201" s="92">
        <v>1000000</v>
      </c>
      <c r="K201" s="92">
        <f t="shared" si="165"/>
        <v>130000</v>
      </c>
      <c r="L201" s="91">
        <v>174</v>
      </c>
      <c r="M201" s="91">
        <v>121</v>
      </c>
      <c r="N201" s="223">
        <v>695402</v>
      </c>
      <c r="O201" s="215">
        <f t="shared" si="166"/>
        <v>90402</v>
      </c>
      <c r="P201" s="106">
        <f t="shared" si="161"/>
        <v>0.6954022988505747</v>
      </c>
      <c r="Q201" s="112" t="s">
        <v>268</v>
      </c>
      <c r="R201" s="155">
        <v>0.13</v>
      </c>
      <c r="S201" s="106">
        <f t="shared" si="164"/>
        <v>2.9885057473144627E-7</v>
      </c>
      <c r="T201" s="234"/>
      <c r="U201" s="203"/>
      <c r="V201" s="205"/>
      <c r="W201" s="94" t="s">
        <v>252</v>
      </c>
      <c r="X201" s="94"/>
      <c r="Y201" s="94">
        <v>3</v>
      </c>
      <c r="Z201" s="76"/>
    </row>
    <row r="202" spans="1:26" s="42" customFormat="1" ht="15" customHeight="1" x14ac:dyDescent="0.25">
      <c r="A202" s="91" t="s">
        <v>137</v>
      </c>
      <c r="B202" s="91" t="s">
        <v>174</v>
      </c>
      <c r="C202" s="91" t="s">
        <v>178</v>
      </c>
      <c r="D202" s="91" t="s">
        <v>154</v>
      </c>
      <c r="E202" s="104" t="s">
        <v>139</v>
      </c>
      <c r="F202" s="95" t="s">
        <v>135</v>
      </c>
      <c r="G202" s="111">
        <v>44652</v>
      </c>
      <c r="H202" s="111">
        <v>44681</v>
      </c>
      <c r="I202" s="94" t="s">
        <v>248</v>
      </c>
      <c r="J202" s="92">
        <v>1000000</v>
      </c>
      <c r="K202" s="92">
        <f t="shared" si="165"/>
        <v>130000</v>
      </c>
      <c r="L202" s="91">
        <v>174</v>
      </c>
      <c r="M202" s="91">
        <v>53</v>
      </c>
      <c r="N202" s="223">
        <v>304598</v>
      </c>
      <c r="O202" s="215">
        <f t="shared" si="166"/>
        <v>39598</v>
      </c>
      <c r="P202" s="106">
        <f t="shared" si="161"/>
        <v>0.3045977011494253</v>
      </c>
      <c r="Q202" s="112" t="s">
        <v>268</v>
      </c>
      <c r="R202" s="155">
        <v>0.13</v>
      </c>
      <c r="S202" s="106">
        <f t="shared" si="164"/>
        <v>-2.9885057467593512E-7</v>
      </c>
      <c r="T202" s="234"/>
      <c r="U202" s="203"/>
      <c r="V202" s="205"/>
      <c r="W202" s="94" t="s">
        <v>252</v>
      </c>
      <c r="X202" s="94"/>
      <c r="Y202" s="94">
        <v>3</v>
      </c>
      <c r="Z202" s="76"/>
    </row>
    <row r="203" spans="1:26" s="42" customFormat="1" ht="15" customHeight="1" x14ac:dyDescent="0.25">
      <c r="A203" s="91" t="s">
        <v>137</v>
      </c>
      <c r="B203" s="91" t="s">
        <v>183</v>
      </c>
      <c r="C203" s="91" t="s">
        <v>186</v>
      </c>
      <c r="D203" s="91" t="s">
        <v>158</v>
      </c>
      <c r="E203" s="104" t="s">
        <v>139</v>
      </c>
      <c r="F203" s="95" t="s">
        <v>135</v>
      </c>
      <c r="G203" s="111">
        <v>44652</v>
      </c>
      <c r="H203" s="111">
        <v>44681</v>
      </c>
      <c r="I203" s="94" t="s">
        <v>248</v>
      </c>
      <c r="J203" s="92">
        <v>1000000</v>
      </c>
      <c r="K203" s="92">
        <f t="shared" si="165"/>
        <v>130000</v>
      </c>
      <c r="L203" s="91">
        <v>174</v>
      </c>
      <c r="M203" s="91">
        <v>121</v>
      </c>
      <c r="N203" s="223">
        <v>695402</v>
      </c>
      <c r="O203" s="215">
        <f t="shared" si="166"/>
        <v>90402</v>
      </c>
      <c r="P203" s="106">
        <f t="shared" si="161"/>
        <v>0.6954022988505747</v>
      </c>
      <c r="Q203" s="112" t="s">
        <v>268</v>
      </c>
      <c r="R203" s="155">
        <v>0.13</v>
      </c>
      <c r="S203" s="106">
        <f t="shared" si="164"/>
        <v>2.9885057473144627E-7</v>
      </c>
      <c r="T203" s="234"/>
      <c r="U203" s="203"/>
      <c r="V203" s="205"/>
      <c r="W203" s="94" t="s">
        <v>252</v>
      </c>
      <c r="X203" s="94"/>
      <c r="Y203" s="94">
        <v>3</v>
      </c>
      <c r="Z203" s="76"/>
    </row>
    <row r="204" spans="1:26" s="42" customFormat="1" ht="15" customHeight="1" x14ac:dyDescent="0.25">
      <c r="A204" s="91" t="s">
        <v>137</v>
      </c>
      <c r="B204" s="91" t="s">
        <v>174</v>
      </c>
      <c r="C204" s="91" t="s">
        <v>178</v>
      </c>
      <c r="D204" s="91" t="s">
        <v>154</v>
      </c>
      <c r="E204" s="104" t="s">
        <v>139</v>
      </c>
      <c r="F204" s="95" t="s">
        <v>135</v>
      </c>
      <c r="G204" s="111">
        <v>44682</v>
      </c>
      <c r="H204" s="111">
        <v>44712</v>
      </c>
      <c r="I204" s="94" t="s">
        <v>248</v>
      </c>
      <c r="J204" s="92">
        <v>1000000</v>
      </c>
      <c r="K204" s="92">
        <f t="shared" si="165"/>
        <v>130000</v>
      </c>
      <c r="L204" s="91">
        <v>174</v>
      </c>
      <c r="M204" s="91">
        <v>53</v>
      </c>
      <c r="N204" s="223">
        <v>304598</v>
      </c>
      <c r="O204" s="215">
        <f t="shared" si="166"/>
        <v>39598</v>
      </c>
      <c r="P204" s="106">
        <f t="shared" si="161"/>
        <v>0.3045977011494253</v>
      </c>
      <c r="Q204" s="112" t="s">
        <v>268</v>
      </c>
      <c r="R204" s="155">
        <v>0.13</v>
      </c>
      <c r="S204" s="106">
        <f t="shared" si="164"/>
        <v>-2.9885057467593512E-7</v>
      </c>
      <c r="T204" s="234"/>
      <c r="U204" s="203"/>
      <c r="V204" s="94" t="s">
        <v>252</v>
      </c>
      <c r="W204" s="94"/>
      <c r="X204" s="94"/>
      <c r="Y204" s="94">
        <v>3</v>
      </c>
      <c r="Z204" s="76"/>
    </row>
    <row r="205" spans="1:26" s="42" customFormat="1" ht="15" customHeight="1" x14ac:dyDescent="0.25">
      <c r="A205" s="91" t="s">
        <v>137</v>
      </c>
      <c r="B205" s="91" t="s">
        <v>183</v>
      </c>
      <c r="C205" s="91" t="s">
        <v>186</v>
      </c>
      <c r="D205" s="91" t="s">
        <v>158</v>
      </c>
      <c r="E205" s="104" t="s">
        <v>139</v>
      </c>
      <c r="F205" s="95" t="s">
        <v>135</v>
      </c>
      <c r="G205" s="111">
        <v>44682</v>
      </c>
      <c r="H205" s="111">
        <v>44712</v>
      </c>
      <c r="I205" s="94" t="s">
        <v>248</v>
      </c>
      <c r="J205" s="92">
        <v>1000000</v>
      </c>
      <c r="K205" s="92">
        <f t="shared" si="165"/>
        <v>130000</v>
      </c>
      <c r="L205" s="91">
        <v>174</v>
      </c>
      <c r="M205" s="91">
        <v>121</v>
      </c>
      <c r="N205" s="223">
        <v>695402</v>
      </c>
      <c r="O205" s="215">
        <f t="shared" si="166"/>
        <v>90402</v>
      </c>
      <c r="P205" s="106">
        <f t="shared" si="161"/>
        <v>0.6954022988505747</v>
      </c>
      <c r="Q205" s="112" t="s">
        <v>268</v>
      </c>
      <c r="R205" s="155">
        <v>0.13</v>
      </c>
      <c r="S205" s="106">
        <f t="shared" si="164"/>
        <v>2.9885057473144627E-7</v>
      </c>
      <c r="T205" s="234"/>
      <c r="U205" s="203"/>
      <c r="V205" s="94" t="s">
        <v>252</v>
      </c>
      <c r="W205" s="94"/>
      <c r="X205" s="94"/>
      <c r="Y205" s="94">
        <v>3</v>
      </c>
      <c r="Z205" s="76"/>
    </row>
    <row r="206" spans="1:26" s="42" customFormat="1" ht="15" customHeight="1" x14ac:dyDescent="0.25">
      <c r="A206" s="91" t="s">
        <v>137</v>
      </c>
      <c r="B206" s="91" t="s">
        <v>174</v>
      </c>
      <c r="C206" s="91" t="s">
        <v>178</v>
      </c>
      <c r="D206" s="91" t="s">
        <v>154</v>
      </c>
      <c r="E206" s="104" t="s">
        <v>139</v>
      </c>
      <c r="F206" s="95" t="s">
        <v>135</v>
      </c>
      <c r="G206" s="111">
        <v>44713</v>
      </c>
      <c r="H206" s="111">
        <v>44742</v>
      </c>
      <c r="I206" s="94" t="s">
        <v>248</v>
      </c>
      <c r="J206" s="92">
        <v>1000000</v>
      </c>
      <c r="K206" s="92">
        <f t="shared" si="165"/>
        <v>130000</v>
      </c>
      <c r="L206" s="91">
        <v>174</v>
      </c>
      <c r="M206" s="91">
        <v>53</v>
      </c>
      <c r="N206" s="223">
        <v>304598</v>
      </c>
      <c r="O206" s="215">
        <f t="shared" si="166"/>
        <v>39598</v>
      </c>
      <c r="P206" s="106">
        <f t="shared" si="161"/>
        <v>0.3045977011494253</v>
      </c>
      <c r="Q206" s="112" t="s">
        <v>268</v>
      </c>
      <c r="R206" s="155">
        <v>0.13</v>
      </c>
      <c r="S206" s="106">
        <f t="shared" si="164"/>
        <v>-2.9885057467593512E-7</v>
      </c>
      <c r="T206" s="234"/>
      <c r="U206" s="203"/>
      <c r="V206" s="94" t="s">
        <v>252</v>
      </c>
      <c r="W206" s="94"/>
      <c r="X206" s="94"/>
      <c r="Y206" s="94">
        <v>3</v>
      </c>
      <c r="Z206" s="76"/>
    </row>
    <row r="207" spans="1:26" s="42" customFormat="1" ht="15" customHeight="1" x14ac:dyDescent="0.25">
      <c r="A207" s="91" t="s">
        <v>137</v>
      </c>
      <c r="B207" s="91" t="s">
        <v>183</v>
      </c>
      <c r="C207" s="91" t="s">
        <v>186</v>
      </c>
      <c r="D207" s="91" t="s">
        <v>158</v>
      </c>
      <c r="E207" s="104" t="s">
        <v>139</v>
      </c>
      <c r="F207" s="95" t="s">
        <v>135</v>
      </c>
      <c r="G207" s="111">
        <v>44713</v>
      </c>
      <c r="H207" s="111">
        <v>44742</v>
      </c>
      <c r="I207" s="94" t="s">
        <v>248</v>
      </c>
      <c r="J207" s="92">
        <v>1000000</v>
      </c>
      <c r="K207" s="92">
        <f t="shared" si="165"/>
        <v>130000</v>
      </c>
      <c r="L207" s="91">
        <v>174</v>
      </c>
      <c r="M207" s="91">
        <v>121</v>
      </c>
      <c r="N207" s="223">
        <v>695402</v>
      </c>
      <c r="O207" s="215">
        <f t="shared" si="166"/>
        <v>90402</v>
      </c>
      <c r="P207" s="106">
        <f t="shared" si="161"/>
        <v>0.6954022988505747</v>
      </c>
      <c r="Q207" s="112" t="s">
        <v>268</v>
      </c>
      <c r="R207" s="155">
        <v>0.13</v>
      </c>
      <c r="S207" s="106">
        <f t="shared" si="164"/>
        <v>2.9885057473144627E-7</v>
      </c>
      <c r="T207" s="234"/>
      <c r="U207" s="203"/>
      <c r="V207" s="94" t="s">
        <v>252</v>
      </c>
      <c r="W207" s="94"/>
      <c r="X207" s="94"/>
      <c r="Y207" s="94">
        <v>3</v>
      </c>
      <c r="Z207" s="76"/>
    </row>
    <row r="208" spans="1:26" s="42" customFormat="1" ht="15" customHeight="1" x14ac:dyDescent="0.25">
      <c r="A208" s="91" t="s">
        <v>137</v>
      </c>
      <c r="B208" s="91" t="s">
        <v>174</v>
      </c>
      <c r="C208" s="91" t="s">
        <v>178</v>
      </c>
      <c r="D208" s="91" t="s">
        <v>154</v>
      </c>
      <c r="E208" s="104" t="s">
        <v>139</v>
      </c>
      <c r="F208" s="95" t="s">
        <v>135</v>
      </c>
      <c r="G208" s="111">
        <v>44743</v>
      </c>
      <c r="H208" s="111">
        <v>44773</v>
      </c>
      <c r="I208" s="94" t="s">
        <v>248</v>
      </c>
      <c r="J208" s="92">
        <v>1000000</v>
      </c>
      <c r="K208" s="92">
        <f t="shared" si="165"/>
        <v>130000</v>
      </c>
      <c r="L208" s="91">
        <v>174</v>
      </c>
      <c r="M208" s="91">
        <v>53</v>
      </c>
      <c r="N208" s="223">
        <v>304598</v>
      </c>
      <c r="O208" s="215">
        <f t="shared" si="166"/>
        <v>39598</v>
      </c>
      <c r="P208" s="106">
        <f t="shared" si="161"/>
        <v>0.3045977011494253</v>
      </c>
      <c r="Q208" s="112" t="s">
        <v>268</v>
      </c>
      <c r="R208" s="155">
        <v>0.13</v>
      </c>
      <c r="S208" s="106">
        <f t="shared" si="164"/>
        <v>-2.9885057467593512E-7</v>
      </c>
      <c r="T208" s="234"/>
      <c r="U208" s="203"/>
      <c r="V208" s="94" t="s">
        <v>252</v>
      </c>
      <c r="W208" s="94"/>
      <c r="X208" s="94"/>
      <c r="Y208" s="94">
        <v>3</v>
      </c>
      <c r="Z208" s="76"/>
    </row>
    <row r="209" spans="1:29" s="42" customFormat="1" ht="15" customHeight="1" x14ac:dyDescent="0.25">
      <c r="A209" s="91" t="s">
        <v>137</v>
      </c>
      <c r="B209" s="91" t="s">
        <v>183</v>
      </c>
      <c r="C209" s="91" t="s">
        <v>186</v>
      </c>
      <c r="D209" s="91" t="s">
        <v>158</v>
      </c>
      <c r="E209" s="104" t="s">
        <v>139</v>
      </c>
      <c r="F209" s="95" t="s">
        <v>135</v>
      </c>
      <c r="G209" s="111">
        <v>44743</v>
      </c>
      <c r="H209" s="111">
        <v>44773</v>
      </c>
      <c r="I209" s="94" t="s">
        <v>248</v>
      </c>
      <c r="J209" s="92">
        <v>1000000</v>
      </c>
      <c r="K209" s="92">
        <f t="shared" si="165"/>
        <v>130000</v>
      </c>
      <c r="L209" s="91">
        <v>174</v>
      </c>
      <c r="M209" s="91">
        <v>121</v>
      </c>
      <c r="N209" s="223">
        <v>695402</v>
      </c>
      <c r="O209" s="215">
        <f t="shared" si="166"/>
        <v>90402</v>
      </c>
      <c r="P209" s="106">
        <f t="shared" si="161"/>
        <v>0.6954022988505747</v>
      </c>
      <c r="Q209" s="112" t="s">
        <v>268</v>
      </c>
      <c r="R209" s="155">
        <v>0.13</v>
      </c>
      <c r="S209" s="106">
        <f t="shared" si="164"/>
        <v>2.9885057473144627E-7</v>
      </c>
      <c r="T209" s="234"/>
      <c r="U209" s="203"/>
      <c r="V209" s="94" t="s">
        <v>252</v>
      </c>
      <c r="W209" s="94"/>
      <c r="X209" s="94"/>
      <c r="Y209" s="94">
        <v>3</v>
      </c>
      <c r="Z209" s="76"/>
    </row>
    <row r="210" spans="1:29" s="42" customFormat="1" ht="15" customHeight="1" x14ac:dyDescent="0.25">
      <c r="A210" s="91" t="s">
        <v>137</v>
      </c>
      <c r="B210" s="91" t="s">
        <v>174</v>
      </c>
      <c r="C210" s="91" t="s">
        <v>178</v>
      </c>
      <c r="D210" s="91" t="s">
        <v>154</v>
      </c>
      <c r="E210" s="104" t="s">
        <v>139</v>
      </c>
      <c r="F210" s="95" t="s">
        <v>135</v>
      </c>
      <c r="G210" s="111">
        <v>44774</v>
      </c>
      <c r="H210" s="111">
        <v>44804</v>
      </c>
      <c r="I210" s="94" t="s">
        <v>248</v>
      </c>
      <c r="J210" s="92">
        <v>1000000</v>
      </c>
      <c r="K210" s="92">
        <f t="shared" si="165"/>
        <v>130000</v>
      </c>
      <c r="L210" s="91">
        <v>174</v>
      </c>
      <c r="M210" s="91">
        <v>53</v>
      </c>
      <c r="N210" s="223">
        <v>304598</v>
      </c>
      <c r="O210" s="215">
        <f t="shared" si="166"/>
        <v>39598</v>
      </c>
      <c r="P210" s="106">
        <f t="shared" si="161"/>
        <v>0.3045977011494253</v>
      </c>
      <c r="Q210" s="112" t="s">
        <v>268</v>
      </c>
      <c r="R210" s="155">
        <v>0.13</v>
      </c>
      <c r="S210" s="106">
        <f t="shared" si="164"/>
        <v>-2.9885057467593512E-7</v>
      </c>
      <c r="T210" s="234"/>
      <c r="U210" s="203"/>
      <c r="V210" s="94" t="s">
        <v>252</v>
      </c>
      <c r="W210" s="94"/>
      <c r="X210" s="94"/>
      <c r="Y210" s="94">
        <v>3</v>
      </c>
      <c r="Z210" s="76"/>
    </row>
    <row r="211" spans="1:29" s="42" customFormat="1" ht="15" customHeight="1" x14ac:dyDescent="0.25">
      <c r="A211" s="91" t="s">
        <v>137</v>
      </c>
      <c r="B211" s="91" t="s">
        <v>183</v>
      </c>
      <c r="C211" s="91" t="s">
        <v>186</v>
      </c>
      <c r="D211" s="91" t="s">
        <v>158</v>
      </c>
      <c r="E211" s="104" t="s">
        <v>139</v>
      </c>
      <c r="F211" s="95" t="s">
        <v>135</v>
      </c>
      <c r="G211" s="111">
        <v>44774</v>
      </c>
      <c r="H211" s="111">
        <v>44804</v>
      </c>
      <c r="I211" s="94" t="s">
        <v>248</v>
      </c>
      <c r="J211" s="92">
        <v>1000000</v>
      </c>
      <c r="K211" s="92">
        <f t="shared" si="165"/>
        <v>130000</v>
      </c>
      <c r="L211" s="91">
        <v>174</v>
      </c>
      <c r="M211" s="91">
        <v>121</v>
      </c>
      <c r="N211" s="223">
        <v>695402</v>
      </c>
      <c r="O211" s="215">
        <f t="shared" si="166"/>
        <v>90402</v>
      </c>
      <c r="P211" s="106">
        <f t="shared" si="161"/>
        <v>0.6954022988505747</v>
      </c>
      <c r="Q211" s="112" t="s">
        <v>268</v>
      </c>
      <c r="R211" s="155">
        <v>0.13</v>
      </c>
      <c r="S211" s="106">
        <f t="shared" si="164"/>
        <v>2.9885057473144627E-7</v>
      </c>
      <c r="T211" s="234"/>
      <c r="U211" s="203"/>
      <c r="V211" s="94" t="s">
        <v>252</v>
      </c>
      <c r="W211" s="94"/>
      <c r="X211" s="94"/>
      <c r="Y211" s="94">
        <v>3</v>
      </c>
      <c r="Z211" s="76"/>
    </row>
    <row r="212" spans="1:29" s="42" customFormat="1" ht="15" customHeight="1" x14ac:dyDescent="0.25">
      <c r="A212" s="91" t="s">
        <v>137</v>
      </c>
      <c r="B212" s="91" t="s">
        <v>174</v>
      </c>
      <c r="C212" s="91" t="s">
        <v>178</v>
      </c>
      <c r="D212" s="91" t="s">
        <v>154</v>
      </c>
      <c r="E212" s="104" t="s">
        <v>139</v>
      </c>
      <c r="F212" s="95" t="s">
        <v>135</v>
      </c>
      <c r="G212" s="111">
        <v>44805</v>
      </c>
      <c r="H212" s="111">
        <v>44834</v>
      </c>
      <c r="I212" s="94" t="s">
        <v>248</v>
      </c>
      <c r="J212" s="92">
        <v>1000000</v>
      </c>
      <c r="K212" s="92">
        <f t="shared" si="165"/>
        <v>130000</v>
      </c>
      <c r="L212" s="91">
        <v>174</v>
      </c>
      <c r="M212" s="91">
        <v>53</v>
      </c>
      <c r="N212" s="223">
        <v>304598</v>
      </c>
      <c r="O212" s="215">
        <f t="shared" si="166"/>
        <v>39598</v>
      </c>
      <c r="P212" s="106">
        <f t="shared" si="161"/>
        <v>0.3045977011494253</v>
      </c>
      <c r="Q212" s="112" t="s">
        <v>268</v>
      </c>
      <c r="R212" s="155">
        <v>0.13</v>
      </c>
      <c r="S212" s="106">
        <f t="shared" si="164"/>
        <v>-2.9885057467593512E-7</v>
      </c>
      <c r="T212" s="234"/>
      <c r="U212" s="203"/>
      <c r="V212" s="94" t="s">
        <v>252</v>
      </c>
      <c r="W212" s="94"/>
      <c r="X212" s="94"/>
      <c r="Y212" s="94">
        <v>3</v>
      </c>
      <c r="Z212" s="76"/>
    </row>
    <row r="213" spans="1:29" s="42" customFormat="1" ht="15" customHeight="1" x14ac:dyDescent="0.25">
      <c r="A213" s="91" t="s">
        <v>137</v>
      </c>
      <c r="B213" s="91" t="s">
        <v>183</v>
      </c>
      <c r="C213" s="91" t="s">
        <v>186</v>
      </c>
      <c r="D213" s="91" t="s">
        <v>158</v>
      </c>
      <c r="E213" s="104" t="s">
        <v>139</v>
      </c>
      <c r="F213" s="95" t="s">
        <v>135</v>
      </c>
      <c r="G213" s="111">
        <v>44805</v>
      </c>
      <c r="H213" s="111">
        <v>44834</v>
      </c>
      <c r="I213" s="94" t="s">
        <v>248</v>
      </c>
      <c r="J213" s="92">
        <v>1000000</v>
      </c>
      <c r="K213" s="92">
        <f t="shared" si="165"/>
        <v>130000</v>
      </c>
      <c r="L213" s="91">
        <v>174</v>
      </c>
      <c r="M213" s="91">
        <v>121</v>
      </c>
      <c r="N213" s="223">
        <v>695402</v>
      </c>
      <c r="O213" s="215">
        <f t="shared" si="166"/>
        <v>90402</v>
      </c>
      <c r="P213" s="106">
        <f t="shared" si="161"/>
        <v>0.6954022988505747</v>
      </c>
      <c r="Q213" s="112" t="s">
        <v>268</v>
      </c>
      <c r="R213" s="155">
        <v>0.13</v>
      </c>
      <c r="S213" s="106">
        <f t="shared" si="164"/>
        <v>2.9885057473144627E-7</v>
      </c>
      <c r="T213" s="234"/>
      <c r="U213" s="203"/>
      <c r="V213" s="94" t="s">
        <v>252</v>
      </c>
      <c r="W213" s="94"/>
      <c r="X213" s="94"/>
      <c r="Y213" s="94">
        <v>3</v>
      </c>
      <c r="Z213" s="76"/>
    </row>
    <row r="214" spans="1:29" s="42" customFormat="1" ht="15" customHeight="1" x14ac:dyDescent="0.25">
      <c r="A214" s="91" t="s">
        <v>137</v>
      </c>
      <c r="B214" s="91" t="s">
        <v>174</v>
      </c>
      <c r="C214" s="91" t="s">
        <v>178</v>
      </c>
      <c r="D214" s="91" t="s">
        <v>154</v>
      </c>
      <c r="E214" s="104" t="s">
        <v>139</v>
      </c>
      <c r="F214" s="95" t="s">
        <v>135</v>
      </c>
      <c r="G214" s="111">
        <v>44835</v>
      </c>
      <c r="H214" s="111">
        <v>44865</v>
      </c>
      <c r="I214" s="94" t="s">
        <v>248</v>
      </c>
      <c r="J214" s="92">
        <v>1000000</v>
      </c>
      <c r="K214" s="92">
        <f t="shared" si="165"/>
        <v>130000</v>
      </c>
      <c r="L214" s="91">
        <v>174</v>
      </c>
      <c r="M214" s="91">
        <v>53</v>
      </c>
      <c r="N214" s="223">
        <v>304598</v>
      </c>
      <c r="O214" s="215">
        <f t="shared" si="166"/>
        <v>39598</v>
      </c>
      <c r="P214" s="106">
        <f t="shared" si="161"/>
        <v>0.3045977011494253</v>
      </c>
      <c r="Q214" s="112" t="s">
        <v>268</v>
      </c>
      <c r="R214" s="155">
        <v>0.13</v>
      </c>
      <c r="S214" s="106">
        <f t="shared" si="164"/>
        <v>-2.9885057467593512E-7</v>
      </c>
      <c r="T214" s="234"/>
      <c r="U214" s="203"/>
      <c r="V214" s="94" t="s">
        <v>252</v>
      </c>
      <c r="W214" s="94"/>
      <c r="X214" s="94"/>
      <c r="Y214" s="94">
        <v>3</v>
      </c>
      <c r="Z214" s="76"/>
    </row>
    <row r="215" spans="1:29" s="42" customFormat="1" ht="15" customHeight="1" x14ac:dyDescent="0.25">
      <c r="A215" s="91" t="s">
        <v>137</v>
      </c>
      <c r="B215" s="91" t="s">
        <v>183</v>
      </c>
      <c r="C215" s="91" t="s">
        <v>186</v>
      </c>
      <c r="D215" s="91" t="s">
        <v>158</v>
      </c>
      <c r="E215" s="104" t="s">
        <v>139</v>
      </c>
      <c r="F215" s="95" t="s">
        <v>135</v>
      </c>
      <c r="G215" s="111">
        <v>44835</v>
      </c>
      <c r="H215" s="111">
        <v>44865</v>
      </c>
      <c r="I215" s="94" t="s">
        <v>248</v>
      </c>
      <c r="J215" s="92">
        <v>1000000</v>
      </c>
      <c r="K215" s="92">
        <f t="shared" si="165"/>
        <v>130000</v>
      </c>
      <c r="L215" s="91">
        <v>174</v>
      </c>
      <c r="M215" s="91">
        <v>121</v>
      </c>
      <c r="N215" s="223">
        <v>695402</v>
      </c>
      <c r="O215" s="215">
        <f t="shared" si="166"/>
        <v>90402</v>
      </c>
      <c r="P215" s="106">
        <f t="shared" si="161"/>
        <v>0.6954022988505747</v>
      </c>
      <c r="Q215" s="112" t="s">
        <v>268</v>
      </c>
      <c r="R215" s="155">
        <v>0.13</v>
      </c>
      <c r="S215" s="106">
        <f t="shared" si="164"/>
        <v>2.9885057473144627E-7</v>
      </c>
      <c r="T215" s="234"/>
      <c r="U215" s="203"/>
      <c r="V215" s="94" t="s">
        <v>252</v>
      </c>
      <c r="W215" s="94"/>
      <c r="X215" s="94"/>
      <c r="Y215" s="94">
        <v>3</v>
      </c>
      <c r="Z215" s="76"/>
    </row>
    <row r="216" spans="1:29" s="42" customFormat="1" ht="15" customHeight="1" x14ac:dyDescent="0.25">
      <c r="A216" s="91" t="s">
        <v>137</v>
      </c>
      <c r="B216" s="91" t="s">
        <v>174</v>
      </c>
      <c r="C216" s="91" t="s">
        <v>178</v>
      </c>
      <c r="D216" s="91" t="s">
        <v>154</v>
      </c>
      <c r="E216" s="104" t="s">
        <v>139</v>
      </c>
      <c r="F216" s="95" t="s">
        <v>135</v>
      </c>
      <c r="G216" s="111">
        <v>44866</v>
      </c>
      <c r="H216" s="111">
        <v>44895</v>
      </c>
      <c r="I216" s="94" t="s">
        <v>248</v>
      </c>
      <c r="J216" s="92">
        <v>1000000</v>
      </c>
      <c r="K216" s="92">
        <f t="shared" si="165"/>
        <v>130000</v>
      </c>
      <c r="L216" s="91">
        <v>174</v>
      </c>
      <c r="M216" s="91">
        <v>53</v>
      </c>
      <c r="N216" s="223">
        <v>304598</v>
      </c>
      <c r="O216" s="215">
        <f t="shared" si="166"/>
        <v>39598</v>
      </c>
      <c r="P216" s="106">
        <f t="shared" ref="P216:P221" si="167">M216/L216</f>
        <v>0.3045977011494253</v>
      </c>
      <c r="Q216" s="112" t="s">
        <v>268</v>
      </c>
      <c r="R216" s="155">
        <v>0.13</v>
      </c>
      <c r="S216" s="106">
        <f t="shared" si="164"/>
        <v>-2.9885057467593512E-7</v>
      </c>
      <c r="T216" s="234" t="s">
        <v>376</v>
      </c>
      <c r="U216" s="203">
        <v>44838</v>
      </c>
      <c r="V216" s="94" t="s">
        <v>252</v>
      </c>
      <c r="W216" s="94"/>
      <c r="X216" s="94"/>
      <c r="Y216" s="94"/>
      <c r="Z216" s="76"/>
      <c r="AA216" s="42" t="s">
        <v>408</v>
      </c>
      <c r="AB216" s="42" t="s">
        <v>408</v>
      </c>
      <c r="AC216" s="42" t="s">
        <v>408</v>
      </c>
    </row>
    <row r="217" spans="1:29" s="42" customFormat="1" ht="15" customHeight="1" x14ac:dyDescent="0.25">
      <c r="A217" s="91" t="s">
        <v>137</v>
      </c>
      <c r="B217" s="91" t="s">
        <v>183</v>
      </c>
      <c r="C217" s="91" t="s">
        <v>186</v>
      </c>
      <c r="D217" s="91" t="s">
        <v>158</v>
      </c>
      <c r="E217" s="104" t="s">
        <v>139</v>
      </c>
      <c r="F217" s="95" t="s">
        <v>135</v>
      </c>
      <c r="G217" s="111">
        <v>44866</v>
      </c>
      <c r="H217" s="111">
        <v>44895</v>
      </c>
      <c r="I217" s="94" t="s">
        <v>248</v>
      </c>
      <c r="J217" s="92">
        <v>1000000</v>
      </c>
      <c r="K217" s="92">
        <f t="shared" si="165"/>
        <v>130000</v>
      </c>
      <c r="L217" s="91">
        <v>174</v>
      </c>
      <c r="M217" s="91">
        <v>121</v>
      </c>
      <c r="N217" s="223">
        <v>695402</v>
      </c>
      <c r="O217" s="215">
        <f t="shared" si="166"/>
        <v>90402</v>
      </c>
      <c r="P217" s="106">
        <f t="shared" si="167"/>
        <v>0.6954022988505747</v>
      </c>
      <c r="Q217" s="112" t="s">
        <v>268</v>
      </c>
      <c r="R217" s="155">
        <v>0.13</v>
      </c>
      <c r="S217" s="106">
        <f t="shared" si="164"/>
        <v>2.9885057473144627E-7</v>
      </c>
      <c r="T217" s="234" t="s">
        <v>376</v>
      </c>
      <c r="U217" s="203">
        <v>44838</v>
      </c>
      <c r="V217" s="94" t="s">
        <v>252</v>
      </c>
      <c r="W217" s="94"/>
      <c r="X217" s="94"/>
      <c r="Y217" s="94"/>
      <c r="Z217" s="76"/>
      <c r="AA217" s="42" t="s">
        <v>408</v>
      </c>
      <c r="AB217" s="42" t="s">
        <v>408</v>
      </c>
      <c r="AC217" s="42" t="s">
        <v>408</v>
      </c>
    </row>
    <row r="218" spans="1:29" s="42" customFormat="1" ht="15" customHeight="1" x14ac:dyDescent="0.25">
      <c r="A218" s="91" t="s">
        <v>137</v>
      </c>
      <c r="B218" s="91" t="s">
        <v>174</v>
      </c>
      <c r="C218" s="91" t="s">
        <v>178</v>
      </c>
      <c r="D218" s="91" t="s">
        <v>154</v>
      </c>
      <c r="E218" s="104" t="s">
        <v>139</v>
      </c>
      <c r="F218" s="95" t="s">
        <v>135</v>
      </c>
      <c r="G218" s="111">
        <v>44896</v>
      </c>
      <c r="H218" s="111">
        <v>44926</v>
      </c>
      <c r="I218" s="94" t="s">
        <v>248</v>
      </c>
      <c r="J218" s="92">
        <v>1000000</v>
      </c>
      <c r="K218" s="92">
        <f t="shared" si="165"/>
        <v>130000</v>
      </c>
      <c r="L218" s="91">
        <v>174</v>
      </c>
      <c r="M218" s="91">
        <v>53</v>
      </c>
      <c r="N218" s="223">
        <v>304598</v>
      </c>
      <c r="O218" s="215">
        <f t="shared" si="166"/>
        <v>39598</v>
      </c>
      <c r="P218" s="106">
        <f t="shared" si="167"/>
        <v>0.3045977011494253</v>
      </c>
      <c r="Q218" s="112" t="s">
        <v>268</v>
      </c>
      <c r="R218" s="155">
        <v>0.13</v>
      </c>
      <c r="S218" s="106">
        <f t="shared" si="164"/>
        <v>-2.9885057467593512E-7</v>
      </c>
      <c r="T218" s="234" t="s">
        <v>376</v>
      </c>
      <c r="U218" s="203">
        <v>44838</v>
      </c>
      <c r="V218" s="94" t="s">
        <v>252</v>
      </c>
      <c r="W218" s="94"/>
      <c r="X218" s="94"/>
      <c r="Y218" s="94"/>
      <c r="Z218" s="76"/>
      <c r="AA218" s="42" t="s">
        <v>408</v>
      </c>
      <c r="AB218" s="42" t="s">
        <v>408</v>
      </c>
      <c r="AC218" s="42" t="s">
        <v>408</v>
      </c>
    </row>
    <row r="219" spans="1:29" s="42" customFormat="1" ht="15" customHeight="1" x14ac:dyDescent="0.25">
      <c r="A219" s="91" t="s">
        <v>137</v>
      </c>
      <c r="B219" s="91" t="s">
        <v>183</v>
      </c>
      <c r="C219" s="91" t="s">
        <v>186</v>
      </c>
      <c r="D219" s="91" t="s">
        <v>158</v>
      </c>
      <c r="E219" s="104" t="s">
        <v>139</v>
      </c>
      <c r="F219" s="95" t="s">
        <v>135</v>
      </c>
      <c r="G219" s="111">
        <v>44896</v>
      </c>
      <c r="H219" s="111">
        <v>44926</v>
      </c>
      <c r="I219" s="94" t="s">
        <v>248</v>
      </c>
      <c r="J219" s="92">
        <v>1000000</v>
      </c>
      <c r="K219" s="92">
        <f t="shared" si="165"/>
        <v>130000</v>
      </c>
      <c r="L219" s="91">
        <v>174</v>
      </c>
      <c r="M219" s="91">
        <v>121</v>
      </c>
      <c r="N219" s="223">
        <v>695402</v>
      </c>
      <c r="O219" s="215">
        <f t="shared" si="166"/>
        <v>90402</v>
      </c>
      <c r="P219" s="106">
        <f t="shared" si="167"/>
        <v>0.6954022988505747</v>
      </c>
      <c r="Q219" s="112" t="s">
        <v>268</v>
      </c>
      <c r="R219" s="155">
        <v>0.13</v>
      </c>
      <c r="S219" s="106">
        <f t="shared" si="164"/>
        <v>2.9885057473144627E-7</v>
      </c>
      <c r="T219" s="234" t="s">
        <v>376</v>
      </c>
      <c r="U219" s="203">
        <v>44838</v>
      </c>
      <c r="V219" s="94" t="s">
        <v>252</v>
      </c>
      <c r="W219" s="94"/>
      <c r="X219" s="94"/>
      <c r="Y219" s="94"/>
      <c r="Z219" s="76"/>
      <c r="AA219" s="42" t="s">
        <v>408</v>
      </c>
      <c r="AB219" s="42" t="s">
        <v>408</v>
      </c>
      <c r="AC219" s="42" t="s">
        <v>408</v>
      </c>
    </row>
    <row r="220" spans="1:29" s="42" customFormat="1" ht="15" customHeight="1" x14ac:dyDescent="0.25">
      <c r="A220" s="91" t="s">
        <v>137</v>
      </c>
      <c r="B220" s="91" t="s">
        <v>174</v>
      </c>
      <c r="C220" s="91" t="s">
        <v>178</v>
      </c>
      <c r="D220" s="91" t="s">
        <v>154</v>
      </c>
      <c r="E220" s="104" t="s">
        <v>139</v>
      </c>
      <c r="F220" s="95" t="s">
        <v>135</v>
      </c>
      <c r="G220" s="111">
        <v>44927</v>
      </c>
      <c r="H220" s="111">
        <v>44957</v>
      </c>
      <c r="I220" s="94" t="s">
        <v>248</v>
      </c>
      <c r="J220" s="92">
        <v>1030000</v>
      </c>
      <c r="K220" s="92">
        <f t="shared" si="165"/>
        <v>133900</v>
      </c>
      <c r="L220" s="91">
        <v>174</v>
      </c>
      <c r="M220" s="91">
        <v>53</v>
      </c>
      <c r="N220" s="223">
        <v>313736</v>
      </c>
      <c r="O220" s="215">
        <f t="shared" si="166"/>
        <v>40786</v>
      </c>
      <c r="P220" s="106">
        <f t="shared" si="167"/>
        <v>0.3045977011494253</v>
      </c>
      <c r="Q220" s="112" t="s">
        <v>268</v>
      </c>
      <c r="R220" s="155">
        <v>0.13</v>
      </c>
      <c r="S220" s="106">
        <f t="shared" si="164"/>
        <v>-3.5710300189117916E-7</v>
      </c>
      <c r="T220" s="234" t="s">
        <v>376</v>
      </c>
      <c r="U220" s="203">
        <v>44949</v>
      </c>
      <c r="V220" s="94" t="s">
        <v>252</v>
      </c>
      <c r="W220" s="94"/>
      <c r="X220" s="94"/>
      <c r="Y220" s="94"/>
      <c r="Z220" s="76"/>
      <c r="AA220" s="42" t="s">
        <v>408</v>
      </c>
      <c r="AB220" s="42">
        <v>0</v>
      </c>
      <c r="AC220" s="42">
        <v>0</v>
      </c>
    </row>
    <row r="221" spans="1:29" s="42" customFormat="1" ht="15" customHeight="1" x14ac:dyDescent="0.25">
      <c r="A221" s="91" t="s">
        <v>137</v>
      </c>
      <c r="B221" s="91" t="s">
        <v>183</v>
      </c>
      <c r="C221" s="91" t="s">
        <v>186</v>
      </c>
      <c r="D221" s="91" t="s">
        <v>158</v>
      </c>
      <c r="E221" s="104" t="s">
        <v>139</v>
      </c>
      <c r="F221" s="95" t="s">
        <v>135</v>
      </c>
      <c r="G221" s="111">
        <v>44927</v>
      </c>
      <c r="H221" s="111">
        <v>44957</v>
      </c>
      <c r="I221" s="94" t="s">
        <v>248</v>
      </c>
      <c r="J221" s="92">
        <v>1030000</v>
      </c>
      <c r="K221" s="92">
        <f t="shared" si="165"/>
        <v>133900</v>
      </c>
      <c r="L221" s="91">
        <v>174</v>
      </c>
      <c r="M221" s="91">
        <v>121</v>
      </c>
      <c r="N221" s="223">
        <v>716264</v>
      </c>
      <c r="O221" s="215">
        <f t="shared" si="166"/>
        <v>93114</v>
      </c>
      <c r="P221" s="106">
        <f t="shared" si="167"/>
        <v>0.6954022988505747</v>
      </c>
      <c r="Q221" s="112" t="s">
        <v>268</v>
      </c>
      <c r="R221" s="155">
        <v>0.13</v>
      </c>
      <c r="S221" s="106">
        <f t="shared" si="164"/>
        <v>3.5710300183566801E-7</v>
      </c>
      <c r="T221" s="234" t="s">
        <v>376</v>
      </c>
      <c r="U221" s="203">
        <v>44949</v>
      </c>
      <c r="V221" s="94" t="s">
        <v>252</v>
      </c>
      <c r="W221" s="94"/>
      <c r="X221" s="94"/>
      <c r="Y221" s="94"/>
      <c r="Z221" s="76"/>
      <c r="AA221" s="42" t="s">
        <v>408</v>
      </c>
      <c r="AB221" s="42">
        <v>0</v>
      </c>
      <c r="AC221" s="42">
        <v>0</v>
      </c>
    </row>
    <row r="222" spans="1:29" s="42" customFormat="1" ht="15" customHeight="1" x14ac:dyDescent="0.25">
      <c r="A222" s="91" t="s">
        <v>137</v>
      </c>
      <c r="B222" s="91" t="s">
        <v>174</v>
      </c>
      <c r="C222" s="91" t="s">
        <v>178</v>
      </c>
      <c r="D222" s="91" t="s">
        <v>154</v>
      </c>
      <c r="E222" s="104" t="s">
        <v>139</v>
      </c>
      <c r="F222" s="95" t="s">
        <v>430</v>
      </c>
      <c r="G222" s="111">
        <v>44958</v>
      </c>
      <c r="H222" s="111">
        <v>44985</v>
      </c>
      <c r="I222" s="94" t="s">
        <v>248</v>
      </c>
      <c r="J222" s="92">
        <v>1030000</v>
      </c>
      <c r="K222" s="92">
        <f t="shared" si="165"/>
        <v>133900</v>
      </c>
      <c r="L222" s="91">
        <v>174</v>
      </c>
      <c r="M222" s="91">
        <v>53</v>
      </c>
      <c r="N222" s="223">
        <f t="shared" ref="N222:N223" si="168">ROUND(J222*P222,0)</f>
        <v>313736</v>
      </c>
      <c r="O222" s="215">
        <f t="shared" si="166"/>
        <v>40786</v>
      </c>
      <c r="P222" s="106">
        <f t="shared" ref="P222:P227" si="169">M222/L222</f>
        <v>0.3045977011494253</v>
      </c>
      <c r="Q222" s="112" t="s">
        <v>268</v>
      </c>
      <c r="R222" s="155">
        <v>0.13</v>
      </c>
      <c r="S222" s="106">
        <f t="shared" si="164"/>
        <v>-3.5710300189117916E-7</v>
      </c>
      <c r="T222" s="234" t="s">
        <v>376</v>
      </c>
      <c r="U222" s="203">
        <v>44949</v>
      </c>
      <c r="V222" s="94" t="s">
        <v>252</v>
      </c>
      <c r="W222" s="94"/>
      <c r="X222" s="94"/>
      <c r="Y222" s="94"/>
      <c r="Z222" s="76"/>
      <c r="AA222" s="42" t="s">
        <v>408</v>
      </c>
      <c r="AB222" s="42">
        <v>0</v>
      </c>
      <c r="AC222" s="42">
        <v>0</v>
      </c>
    </row>
    <row r="223" spans="1:29" s="42" customFormat="1" ht="15" customHeight="1" x14ac:dyDescent="0.25">
      <c r="A223" s="91" t="s">
        <v>137</v>
      </c>
      <c r="B223" s="91" t="s">
        <v>183</v>
      </c>
      <c r="C223" s="91" t="s">
        <v>186</v>
      </c>
      <c r="D223" s="91" t="s">
        <v>158</v>
      </c>
      <c r="E223" s="104" t="s">
        <v>139</v>
      </c>
      <c r="F223" s="95" t="s">
        <v>430</v>
      </c>
      <c r="G223" s="111">
        <v>44958</v>
      </c>
      <c r="H223" s="111">
        <v>44985</v>
      </c>
      <c r="I223" s="94" t="s">
        <v>248</v>
      </c>
      <c r="J223" s="92">
        <v>1030000</v>
      </c>
      <c r="K223" s="92">
        <f t="shared" si="165"/>
        <v>133900</v>
      </c>
      <c r="L223" s="91">
        <v>174</v>
      </c>
      <c r="M223" s="91">
        <v>121</v>
      </c>
      <c r="N223" s="223">
        <f t="shared" si="168"/>
        <v>716264</v>
      </c>
      <c r="O223" s="215">
        <f t="shared" si="166"/>
        <v>93114</v>
      </c>
      <c r="P223" s="106">
        <f t="shared" si="169"/>
        <v>0.6954022988505747</v>
      </c>
      <c r="Q223" s="112" t="s">
        <v>268</v>
      </c>
      <c r="R223" s="155">
        <v>0.13</v>
      </c>
      <c r="S223" s="106">
        <f t="shared" si="164"/>
        <v>3.5710300183566801E-7</v>
      </c>
      <c r="T223" s="234" t="s">
        <v>376</v>
      </c>
      <c r="U223" s="203">
        <v>44949</v>
      </c>
      <c r="V223" s="94" t="s">
        <v>252</v>
      </c>
      <c r="W223" s="94"/>
      <c r="X223" s="94"/>
      <c r="Y223" s="94"/>
      <c r="Z223" s="76"/>
      <c r="AA223" s="42" t="s">
        <v>408</v>
      </c>
      <c r="AB223" s="42">
        <v>0</v>
      </c>
      <c r="AC223" s="42">
        <v>0</v>
      </c>
    </row>
    <row r="224" spans="1:29" s="42" customFormat="1" ht="15" customHeight="1" x14ac:dyDescent="0.25">
      <c r="A224" s="91" t="s">
        <v>137</v>
      </c>
      <c r="B224" s="91" t="s">
        <v>174</v>
      </c>
      <c r="C224" s="91" t="s">
        <v>178</v>
      </c>
      <c r="D224" s="91" t="s">
        <v>154</v>
      </c>
      <c r="E224" s="104" t="s">
        <v>139</v>
      </c>
      <c r="F224" s="95" t="s">
        <v>430</v>
      </c>
      <c r="G224" s="111">
        <v>44986</v>
      </c>
      <c r="H224" s="111">
        <v>45016</v>
      </c>
      <c r="I224" s="94" t="s">
        <v>248</v>
      </c>
      <c r="J224" s="92">
        <v>1030000</v>
      </c>
      <c r="K224" s="92">
        <f t="shared" si="165"/>
        <v>133900</v>
      </c>
      <c r="L224" s="91">
        <v>174</v>
      </c>
      <c r="M224" s="91">
        <v>53</v>
      </c>
      <c r="N224" s="223">
        <v>313736</v>
      </c>
      <c r="O224" s="215">
        <f t="shared" si="166"/>
        <v>40786</v>
      </c>
      <c r="P224" s="106">
        <f t="shared" si="169"/>
        <v>0.3045977011494253</v>
      </c>
      <c r="Q224" s="112" t="s">
        <v>268</v>
      </c>
      <c r="R224" s="155">
        <v>0.13</v>
      </c>
      <c r="S224" s="106">
        <f t="shared" si="164"/>
        <v>-3.5710300189117916E-7</v>
      </c>
      <c r="T224" s="234" t="s">
        <v>376</v>
      </c>
      <c r="U224" s="203">
        <v>44949</v>
      </c>
      <c r="V224" s="94" t="s">
        <v>252</v>
      </c>
      <c r="W224" s="94"/>
      <c r="X224" s="94"/>
      <c r="Y224" s="94"/>
      <c r="Z224" s="76"/>
      <c r="AA224" s="42" t="s">
        <v>408</v>
      </c>
      <c r="AB224" s="42">
        <v>0</v>
      </c>
      <c r="AC224" s="42">
        <v>0</v>
      </c>
    </row>
    <row r="225" spans="1:29" s="42" customFormat="1" ht="15" customHeight="1" x14ac:dyDescent="0.25">
      <c r="A225" s="91" t="s">
        <v>137</v>
      </c>
      <c r="B225" s="91" t="s">
        <v>183</v>
      </c>
      <c r="C225" s="91" t="s">
        <v>186</v>
      </c>
      <c r="D225" s="91" t="s">
        <v>158</v>
      </c>
      <c r="E225" s="104" t="s">
        <v>139</v>
      </c>
      <c r="F225" s="95" t="s">
        <v>430</v>
      </c>
      <c r="G225" s="111">
        <v>44986</v>
      </c>
      <c r="H225" s="111">
        <v>45016</v>
      </c>
      <c r="I225" s="94" t="s">
        <v>248</v>
      </c>
      <c r="J225" s="92">
        <v>1030000</v>
      </c>
      <c r="K225" s="92">
        <f t="shared" si="165"/>
        <v>133900</v>
      </c>
      <c r="L225" s="91">
        <v>174</v>
      </c>
      <c r="M225" s="91">
        <v>121</v>
      </c>
      <c r="N225" s="223">
        <v>716264</v>
      </c>
      <c r="O225" s="215">
        <f t="shared" si="166"/>
        <v>93114</v>
      </c>
      <c r="P225" s="106">
        <f t="shared" si="169"/>
        <v>0.6954022988505747</v>
      </c>
      <c r="Q225" s="112" t="s">
        <v>268</v>
      </c>
      <c r="R225" s="155">
        <v>0.13</v>
      </c>
      <c r="S225" s="106">
        <f t="shared" si="164"/>
        <v>3.5710300183566801E-7</v>
      </c>
      <c r="T225" s="234" t="s">
        <v>376</v>
      </c>
      <c r="U225" s="203">
        <v>44949</v>
      </c>
      <c r="V225" s="94" t="s">
        <v>252</v>
      </c>
      <c r="W225" s="94"/>
      <c r="X225" s="94"/>
      <c r="Y225" s="94"/>
      <c r="Z225" s="76"/>
      <c r="AA225" s="42" t="s">
        <v>408</v>
      </c>
      <c r="AB225" s="42">
        <v>0</v>
      </c>
      <c r="AC225" s="42">
        <v>0</v>
      </c>
    </row>
    <row r="226" spans="1:29" s="42" customFormat="1" ht="15" customHeight="1" x14ac:dyDescent="0.25">
      <c r="A226" s="91" t="s">
        <v>137</v>
      </c>
      <c r="B226" s="91" t="s">
        <v>174</v>
      </c>
      <c r="C226" s="91" t="s">
        <v>178</v>
      </c>
      <c r="D226" s="91" t="s">
        <v>154</v>
      </c>
      <c r="E226" s="104" t="s">
        <v>139</v>
      </c>
      <c r="F226" s="95" t="s">
        <v>430</v>
      </c>
      <c r="G226" s="111">
        <v>45017</v>
      </c>
      <c r="H226" s="111">
        <v>45046</v>
      </c>
      <c r="I226" s="94" t="s">
        <v>248</v>
      </c>
      <c r="J226" s="92">
        <v>1030000</v>
      </c>
      <c r="K226" s="92">
        <f t="shared" si="165"/>
        <v>133900</v>
      </c>
      <c r="L226" s="91">
        <v>174</v>
      </c>
      <c r="M226" s="91">
        <v>53</v>
      </c>
      <c r="N226" s="223">
        <v>313736</v>
      </c>
      <c r="O226" s="215">
        <f t="shared" si="166"/>
        <v>40786</v>
      </c>
      <c r="P226" s="106">
        <f t="shared" si="169"/>
        <v>0.3045977011494253</v>
      </c>
      <c r="Q226" s="112" t="s">
        <v>268</v>
      </c>
      <c r="R226" s="155">
        <v>0.13</v>
      </c>
      <c r="S226" s="106">
        <f t="shared" si="164"/>
        <v>-3.5710300189117916E-7</v>
      </c>
      <c r="T226" s="234" t="s">
        <v>376</v>
      </c>
      <c r="U226" s="203">
        <v>44949</v>
      </c>
      <c r="V226" s="94" t="s">
        <v>252</v>
      </c>
      <c r="W226" s="94"/>
      <c r="X226" s="94"/>
      <c r="Y226" s="94"/>
      <c r="Z226" s="76"/>
      <c r="AA226" s="42" t="s">
        <v>408</v>
      </c>
      <c r="AB226" s="42">
        <v>0</v>
      </c>
      <c r="AC226" s="42">
        <v>0</v>
      </c>
    </row>
    <row r="227" spans="1:29" s="42" customFormat="1" ht="15" customHeight="1" x14ac:dyDescent="0.25">
      <c r="A227" s="91" t="s">
        <v>137</v>
      </c>
      <c r="B227" s="91" t="s">
        <v>183</v>
      </c>
      <c r="C227" s="91" t="s">
        <v>186</v>
      </c>
      <c r="D227" s="91" t="s">
        <v>158</v>
      </c>
      <c r="E227" s="104" t="s">
        <v>139</v>
      </c>
      <c r="F227" s="95" t="s">
        <v>430</v>
      </c>
      <c r="G227" s="111">
        <v>45017</v>
      </c>
      <c r="H227" s="111">
        <v>45046</v>
      </c>
      <c r="I227" s="94" t="s">
        <v>248</v>
      </c>
      <c r="J227" s="92">
        <v>1030000</v>
      </c>
      <c r="K227" s="92">
        <f t="shared" si="165"/>
        <v>133900</v>
      </c>
      <c r="L227" s="91">
        <v>174</v>
      </c>
      <c r="M227" s="91">
        <v>121</v>
      </c>
      <c r="N227" s="223">
        <v>716264</v>
      </c>
      <c r="O227" s="215">
        <f t="shared" si="166"/>
        <v>93114</v>
      </c>
      <c r="P227" s="106">
        <f t="shared" si="169"/>
        <v>0.6954022988505747</v>
      </c>
      <c r="Q227" s="112" t="s">
        <v>268</v>
      </c>
      <c r="R227" s="155">
        <v>0.13</v>
      </c>
      <c r="S227" s="106">
        <f t="shared" si="164"/>
        <v>3.5710300183566801E-7</v>
      </c>
      <c r="T227" s="234" t="s">
        <v>376</v>
      </c>
      <c r="U227" s="203">
        <v>44949</v>
      </c>
      <c r="V227" s="94" t="s">
        <v>252</v>
      </c>
      <c r="W227" s="94"/>
      <c r="X227" s="94"/>
      <c r="Y227" s="94"/>
      <c r="Z227" s="76"/>
      <c r="AA227" s="42" t="s">
        <v>408</v>
      </c>
      <c r="AB227" s="42">
        <v>0</v>
      </c>
      <c r="AC227" s="42">
        <v>0</v>
      </c>
    </row>
    <row r="228" spans="1:29" s="42" customFormat="1" ht="15" customHeight="1" x14ac:dyDescent="0.25">
      <c r="A228" s="91" t="s">
        <v>137</v>
      </c>
      <c r="B228" s="91" t="s">
        <v>174</v>
      </c>
      <c r="C228" s="91" t="s">
        <v>178</v>
      </c>
      <c r="D228" s="91" t="s">
        <v>154</v>
      </c>
      <c r="E228" s="104" t="s">
        <v>139</v>
      </c>
      <c r="F228" s="95" t="s">
        <v>430</v>
      </c>
      <c r="G228" s="111">
        <v>45047</v>
      </c>
      <c r="H228" s="111">
        <v>45077</v>
      </c>
      <c r="I228" s="94" t="s">
        <v>267</v>
      </c>
      <c r="J228" s="92">
        <v>1030000</v>
      </c>
      <c r="K228" s="92">
        <f t="shared" ref="K228" si="170">ROUND(J228*R228,0)</f>
        <v>133900</v>
      </c>
      <c r="L228" s="91">
        <v>174</v>
      </c>
      <c r="M228" s="91">
        <v>53</v>
      </c>
      <c r="N228" s="223">
        <v>313736</v>
      </c>
      <c r="O228" s="215">
        <f t="shared" ref="O228" si="171">ROUND(N228*R228,0)</f>
        <v>40786</v>
      </c>
      <c r="P228" s="106">
        <f t="shared" ref="P228" si="172">M228/L228</f>
        <v>0.3045977011494253</v>
      </c>
      <c r="Q228" s="112" t="s">
        <v>268</v>
      </c>
      <c r="R228" s="155">
        <v>0.13</v>
      </c>
      <c r="S228" s="106">
        <f t="shared" ref="S228" si="173">P228-(N228/J228)</f>
        <v>-3.5710300189117916E-7</v>
      </c>
      <c r="T228" s="234" t="s">
        <v>376</v>
      </c>
      <c r="U228" s="203">
        <v>45030</v>
      </c>
      <c r="V228" s="94" t="s">
        <v>252</v>
      </c>
      <c r="W228" s="94"/>
      <c r="X228" s="94"/>
      <c r="Y228" s="94"/>
      <c r="Z228" s="76"/>
    </row>
    <row r="229" spans="1:29" s="42" customFormat="1" ht="15" customHeight="1" x14ac:dyDescent="0.25">
      <c r="A229" s="91" t="s">
        <v>137</v>
      </c>
      <c r="B229" s="91" t="s">
        <v>183</v>
      </c>
      <c r="C229" s="91" t="s">
        <v>186</v>
      </c>
      <c r="D229" s="91" t="s">
        <v>158</v>
      </c>
      <c r="E229" s="104" t="s">
        <v>139</v>
      </c>
      <c r="F229" s="95" t="s">
        <v>430</v>
      </c>
      <c r="G229" s="111">
        <v>45047</v>
      </c>
      <c r="H229" s="111">
        <v>45077</v>
      </c>
      <c r="I229" s="94" t="s">
        <v>267</v>
      </c>
      <c r="J229" s="92">
        <v>1030000</v>
      </c>
      <c r="K229" s="92">
        <f>ROUND(J229*R229,0)</f>
        <v>133900</v>
      </c>
      <c r="L229" s="91">
        <v>174</v>
      </c>
      <c r="M229" s="91">
        <v>121</v>
      </c>
      <c r="N229" s="223">
        <v>716264</v>
      </c>
      <c r="O229" s="215">
        <f>ROUND(N229*R229,0)</f>
        <v>93114</v>
      </c>
      <c r="P229" s="106">
        <f>M229/L229</f>
        <v>0.6954022988505747</v>
      </c>
      <c r="Q229" s="112" t="s">
        <v>268</v>
      </c>
      <c r="R229" s="155">
        <v>0.13</v>
      </c>
      <c r="S229" s="106">
        <f>P229-(N229/J229)</f>
        <v>3.5710300183566801E-7</v>
      </c>
      <c r="T229" s="234" t="s">
        <v>376</v>
      </c>
      <c r="U229" s="203">
        <v>45030</v>
      </c>
      <c r="V229" s="94" t="s">
        <v>252</v>
      </c>
      <c r="W229" s="94"/>
      <c r="X229" s="94"/>
      <c r="Y229" s="94"/>
      <c r="Z229" s="76"/>
    </row>
    <row r="230" spans="1:29" s="42" customFormat="1" ht="15" customHeight="1" x14ac:dyDescent="0.25">
      <c r="A230" s="91" t="s">
        <v>137</v>
      </c>
      <c r="B230" s="91" t="s">
        <v>174</v>
      </c>
      <c r="C230" s="91" t="s">
        <v>178</v>
      </c>
      <c r="D230" s="91" t="s">
        <v>154</v>
      </c>
      <c r="E230" s="104" t="s">
        <v>139</v>
      </c>
      <c r="F230" s="95" t="s">
        <v>430</v>
      </c>
      <c r="G230" s="111">
        <v>45078</v>
      </c>
      <c r="H230" s="111">
        <v>45107</v>
      </c>
      <c r="I230" s="94" t="s">
        <v>267</v>
      </c>
      <c r="J230" s="92">
        <v>1030000</v>
      </c>
      <c r="K230" s="92">
        <f t="shared" ref="K230:K238" si="174">ROUND(J230*R230,0)</f>
        <v>133900</v>
      </c>
      <c r="L230" s="91">
        <v>174</v>
      </c>
      <c r="M230" s="91">
        <v>53</v>
      </c>
      <c r="N230" s="223">
        <v>313736</v>
      </c>
      <c r="O230" s="215">
        <f t="shared" ref="O230:O238" si="175">ROUND(N230*R230,0)</f>
        <v>40786</v>
      </c>
      <c r="P230" s="106">
        <f t="shared" ref="P230:P238" si="176">M230/L230</f>
        <v>0.3045977011494253</v>
      </c>
      <c r="Q230" s="112" t="s">
        <v>268</v>
      </c>
      <c r="R230" s="155">
        <v>0.13</v>
      </c>
      <c r="S230" s="106">
        <f t="shared" ref="S230:S238" si="177">P230-(N230/J230)</f>
        <v>-3.5710300189117916E-7</v>
      </c>
      <c r="T230" s="234" t="s">
        <v>376</v>
      </c>
      <c r="U230" s="203">
        <v>45030</v>
      </c>
      <c r="V230" s="94" t="s">
        <v>252</v>
      </c>
      <c r="W230" s="94"/>
      <c r="X230" s="94"/>
      <c r="Y230" s="94"/>
      <c r="Z230" s="76"/>
    </row>
    <row r="231" spans="1:29" s="42" customFormat="1" ht="15" customHeight="1" x14ac:dyDescent="0.25">
      <c r="A231" s="91" t="s">
        <v>137</v>
      </c>
      <c r="B231" s="91" t="s">
        <v>183</v>
      </c>
      <c r="C231" s="91" t="s">
        <v>186</v>
      </c>
      <c r="D231" s="91" t="s">
        <v>158</v>
      </c>
      <c r="E231" s="104" t="s">
        <v>139</v>
      </c>
      <c r="F231" s="95" t="s">
        <v>430</v>
      </c>
      <c r="G231" s="111">
        <v>45078</v>
      </c>
      <c r="H231" s="111">
        <v>45107</v>
      </c>
      <c r="I231" s="94" t="s">
        <v>267</v>
      </c>
      <c r="J231" s="92">
        <v>1030000</v>
      </c>
      <c r="K231" s="92">
        <f>ROUND(J231*R231,0)</f>
        <v>133900</v>
      </c>
      <c r="L231" s="91">
        <v>174</v>
      </c>
      <c r="M231" s="91">
        <v>121</v>
      </c>
      <c r="N231" s="223">
        <v>716264</v>
      </c>
      <c r="O231" s="215">
        <f>ROUND(N231*R231,0)</f>
        <v>93114</v>
      </c>
      <c r="P231" s="106">
        <f>M231/L231</f>
        <v>0.6954022988505747</v>
      </c>
      <c r="Q231" s="112" t="s">
        <v>268</v>
      </c>
      <c r="R231" s="155">
        <v>0.13</v>
      </c>
      <c r="S231" s="106">
        <f>P231-(N231/J231)</f>
        <v>3.5710300183566801E-7</v>
      </c>
      <c r="T231" s="234" t="s">
        <v>376</v>
      </c>
      <c r="U231" s="203">
        <v>45030</v>
      </c>
      <c r="V231" s="94" t="s">
        <v>252</v>
      </c>
      <c r="W231" s="94"/>
      <c r="X231" s="94"/>
      <c r="Y231" s="94"/>
      <c r="Z231" s="76"/>
    </row>
    <row r="232" spans="1:29" s="42" customFormat="1" ht="15" customHeight="1" x14ac:dyDescent="0.25">
      <c r="A232" s="91" t="s">
        <v>137</v>
      </c>
      <c r="B232" s="91" t="s">
        <v>174</v>
      </c>
      <c r="C232" s="91" t="s">
        <v>178</v>
      </c>
      <c r="D232" s="91" t="s">
        <v>154</v>
      </c>
      <c r="E232" s="104" t="s">
        <v>139</v>
      </c>
      <c r="F232" s="95" t="s">
        <v>430</v>
      </c>
      <c r="G232" s="111">
        <v>45108</v>
      </c>
      <c r="H232" s="111">
        <v>45138</v>
      </c>
      <c r="I232" s="94" t="s">
        <v>267</v>
      </c>
      <c r="J232" s="92">
        <v>1030000</v>
      </c>
      <c r="K232" s="92">
        <f t="shared" si="174"/>
        <v>133900</v>
      </c>
      <c r="L232" s="91">
        <v>174</v>
      </c>
      <c r="M232" s="91">
        <v>53</v>
      </c>
      <c r="N232" s="223">
        <v>313736</v>
      </c>
      <c r="O232" s="215">
        <f t="shared" si="175"/>
        <v>40786</v>
      </c>
      <c r="P232" s="106">
        <f t="shared" si="176"/>
        <v>0.3045977011494253</v>
      </c>
      <c r="Q232" s="112" t="s">
        <v>268</v>
      </c>
      <c r="R232" s="155">
        <v>0.13</v>
      </c>
      <c r="S232" s="106">
        <f t="shared" si="177"/>
        <v>-3.5710300189117916E-7</v>
      </c>
      <c r="T232" s="234" t="s">
        <v>376</v>
      </c>
      <c r="U232" s="203">
        <v>45030</v>
      </c>
      <c r="V232" s="94" t="s">
        <v>252</v>
      </c>
      <c r="W232" s="94"/>
      <c r="X232" s="94"/>
      <c r="Y232" s="94"/>
      <c r="Z232" s="76"/>
    </row>
    <row r="233" spans="1:29" s="42" customFormat="1" ht="15" customHeight="1" x14ac:dyDescent="0.25">
      <c r="A233" s="91" t="s">
        <v>137</v>
      </c>
      <c r="B233" s="91" t="s">
        <v>183</v>
      </c>
      <c r="C233" s="91" t="s">
        <v>186</v>
      </c>
      <c r="D233" s="91" t="s">
        <v>158</v>
      </c>
      <c r="E233" s="104" t="s">
        <v>139</v>
      </c>
      <c r="F233" s="95" t="s">
        <v>430</v>
      </c>
      <c r="G233" s="111">
        <v>45108</v>
      </c>
      <c r="H233" s="111">
        <v>45138</v>
      </c>
      <c r="I233" s="94" t="s">
        <v>267</v>
      </c>
      <c r="J233" s="92">
        <v>1030000</v>
      </c>
      <c r="K233" s="92">
        <f>ROUND(J233*R233,0)</f>
        <v>133900</v>
      </c>
      <c r="L233" s="91">
        <v>174</v>
      </c>
      <c r="M233" s="91">
        <v>121</v>
      </c>
      <c r="N233" s="223">
        <v>716264</v>
      </c>
      <c r="O233" s="215">
        <f>ROUND(N233*R233,0)</f>
        <v>93114</v>
      </c>
      <c r="P233" s="106">
        <f>M233/L233</f>
        <v>0.6954022988505747</v>
      </c>
      <c r="Q233" s="112" t="s">
        <v>268</v>
      </c>
      <c r="R233" s="155">
        <v>0.13</v>
      </c>
      <c r="S233" s="106">
        <f>P233-(N233/J233)</f>
        <v>3.5710300183566801E-7</v>
      </c>
      <c r="T233" s="234" t="s">
        <v>376</v>
      </c>
      <c r="U233" s="203">
        <v>45030</v>
      </c>
      <c r="V233" s="94" t="s">
        <v>252</v>
      </c>
      <c r="W233" s="94"/>
      <c r="X233" s="94"/>
      <c r="Y233" s="94"/>
      <c r="Z233" s="76"/>
    </row>
    <row r="234" spans="1:29" s="42" customFormat="1" ht="15" customHeight="1" x14ac:dyDescent="0.25">
      <c r="A234" s="91" t="s">
        <v>137</v>
      </c>
      <c r="B234" s="91" t="s">
        <v>174</v>
      </c>
      <c r="C234" s="91" t="s">
        <v>178</v>
      </c>
      <c r="D234" s="91" t="s">
        <v>154</v>
      </c>
      <c r="E234" s="104" t="s">
        <v>139</v>
      </c>
      <c r="F234" s="95" t="s">
        <v>430</v>
      </c>
      <c r="G234" s="111">
        <v>45139</v>
      </c>
      <c r="H234" s="111">
        <v>45169</v>
      </c>
      <c r="I234" s="94" t="s">
        <v>267</v>
      </c>
      <c r="J234" s="92">
        <v>1030000</v>
      </c>
      <c r="K234" s="92">
        <f t="shared" si="174"/>
        <v>133900</v>
      </c>
      <c r="L234" s="91">
        <v>174</v>
      </c>
      <c r="M234" s="91">
        <v>53</v>
      </c>
      <c r="N234" s="223">
        <v>313736</v>
      </c>
      <c r="O234" s="215">
        <f t="shared" si="175"/>
        <v>40786</v>
      </c>
      <c r="P234" s="106">
        <f t="shared" si="176"/>
        <v>0.3045977011494253</v>
      </c>
      <c r="Q234" s="112" t="s">
        <v>268</v>
      </c>
      <c r="R234" s="155">
        <v>0.13</v>
      </c>
      <c r="S234" s="106">
        <f t="shared" si="177"/>
        <v>-3.5710300189117916E-7</v>
      </c>
      <c r="T234" s="234" t="s">
        <v>376</v>
      </c>
      <c r="U234" s="203">
        <v>45030</v>
      </c>
      <c r="V234" s="94" t="s">
        <v>252</v>
      </c>
      <c r="W234" s="94"/>
      <c r="X234" s="94"/>
      <c r="Y234" s="94"/>
      <c r="Z234" s="76"/>
    </row>
    <row r="235" spans="1:29" s="42" customFormat="1" ht="15" customHeight="1" x14ac:dyDescent="0.25">
      <c r="A235" s="91" t="s">
        <v>137</v>
      </c>
      <c r="B235" s="91" t="s">
        <v>183</v>
      </c>
      <c r="C235" s="91" t="s">
        <v>186</v>
      </c>
      <c r="D235" s="91" t="s">
        <v>158</v>
      </c>
      <c r="E235" s="104" t="s">
        <v>139</v>
      </c>
      <c r="F235" s="95" t="s">
        <v>430</v>
      </c>
      <c r="G235" s="111">
        <v>45139</v>
      </c>
      <c r="H235" s="111">
        <v>45169</v>
      </c>
      <c r="I235" s="94" t="s">
        <v>267</v>
      </c>
      <c r="J235" s="92">
        <v>1030000</v>
      </c>
      <c r="K235" s="92">
        <f>ROUND(J235*R235,0)</f>
        <v>133900</v>
      </c>
      <c r="L235" s="91">
        <v>174</v>
      </c>
      <c r="M235" s="91">
        <v>121</v>
      </c>
      <c r="N235" s="223">
        <v>716264</v>
      </c>
      <c r="O235" s="215">
        <f>ROUND(N235*R235,0)</f>
        <v>93114</v>
      </c>
      <c r="P235" s="106">
        <f>M235/L235</f>
        <v>0.6954022988505747</v>
      </c>
      <c r="Q235" s="112" t="s">
        <v>268</v>
      </c>
      <c r="R235" s="155">
        <v>0.13</v>
      </c>
      <c r="S235" s="106">
        <f>P235-(N235/J235)</f>
        <v>3.5710300183566801E-7</v>
      </c>
      <c r="T235" s="234" t="s">
        <v>376</v>
      </c>
      <c r="U235" s="203">
        <v>45030</v>
      </c>
      <c r="V235" s="94" t="s">
        <v>252</v>
      </c>
      <c r="W235" s="94"/>
      <c r="X235" s="94"/>
      <c r="Y235" s="94"/>
      <c r="Z235" s="76"/>
    </row>
    <row r="236" spans="1:29" s="42" customFormat="1" ht="15" customHeight="1" x14ac:dyDescent="0.25">
      <c r="A236" s="91" t="s">
        <v>137</v>
      </c>
      <c r="B236" s="91" t="s">
        <v>174</v>
      </c>
      <c r="C236" s="91" t="s">
        <v>178</v>
      </c>
      <c r="D236" s="91" t="s">
        <v>154</v>
      </c>
      <c r="E236" s="104" t="s">
        <v>139</v>
      </c>
      <c r="F236" s="95" t="s">
        <v>430</v>
      </c>
      <c r="G236" s="111">
        <v>45170</v>
      </c>
      <c r="H236" s="111">
        <v>45199</v>
      </c>
      <c r="I236" s="94" t="s">
        <v>267</v>
      </c>
      <c r="J236" s="92">
        <v>1030000</v>
      </c>
      <c r="K236" s="92">
        <f t="shared" si="174"/>
        <v>133900</v>
      </c>
      <c r="L236" s="91">
        <v>174</v>
      </c>
      <c r="M236" s="91">
        <v>53</v>
      </c>
      <c r="N236" s="223">
        <v>313736</v>
      </c>
      <c r="O236" s="215">
        <f t="shared" si="175"/>
        <v>40786</v>
      </c>
      <c r="P236" s="106">
        <f t="shared" si="176"/>
        <v>0.3045977011494253</v>
      </c>
      <c r="Q236" s="112" t="s">
        <v>268</v>
      </c>
      <c r="R236" s="155">
        <v>0.13</v>
      </c>
      <c r="S236" s="106">
        <f t="shared" si="177"/>
        <v>-3.5710300189117916E-7</v>
      </c>
      <c r="T236" s="234" t="s">
        <v>376</v>
      </c>
      <c r="U236" s="203">
        <v>45030</v>
      </c>
      <c r="V236" s="94" t="s">
        <v>252</v>
      </c>
      <c r="W236" s="94"/>
      <c r="X236" s="94"/>
      <c r="Y236" s="94"/>
      <c r="Z236" s="76"/>
    </row>
    <row r="237" spans="1:29" s="42" customFormat="1" ht="15" customHeight="1" x14ac:dyDescent="0.25">
      <c r="A237" s="91" t="s">
        <v>137</v>
      </c>
      <c r="B237" s="91" t="s">
        <v>183</v>
      </c>
      <c r="C237" s="91" t="s">
        <v>186</v>
      </c>
      <c r="D237" s="91" t="s">
        <v>158</v>
      </c>
      <c r="E237" s="104" t="s">
        <v>139</v>
      </c>
      <c r="F237" s="95" t="s">
        <v>430</v>
      </c>
      <c r="G237" s="111">
        <v>45170</v>
      </c>
      <c r="H237" s="111">
        <v>45199</v>
      </c>
      <c r="I237" s="94" t="s">
        <v>267</v>
      </c>
      <c r="J237" s="92">
        <v>1030000</v>
      </c>
      <c r="K237" s="92">
        <f>ROUND(J237*R237,0)</f>
        <v>133900</v>
      </c>
      <c r="L237" s="91">
        <v>174</v>
      </c>
      <c r="M237" s="91">
        <v>121</v>
      </c>
      <c r="N237" s="223">
        <v>716264</v>
      </c>
      <c r="O237" s="215">
        <f>ROUND(N237*R237,0)</f>
        <v>93114</v>
      </c>
      <c r="P237" s="106">
        <f>M237/L237</f>
        <v>0.6954022988505747</v>
      </c>
      <c r="Q237" s="112" t="s">
        <v>268</v>
      </c>
      <c r="R237" s="155">
        <v>0.13</v>
      </c>
      <c r="S237" s="106">
        <f>P237-(N237/J237)</f>
        <v>3.5710300183566801E-7</v>
      </c>
      <c r="T237" s="234" t="s">
        <v>376</v>
      </c>
      <c r="U237" s="203">
        <v>45030</v>
      </c>
      <c r="V237" s="94" t="s">
        <v>252</v>
      </c>
      <c r="W237" s="94"/>
      <c r="X237" s="94"/>
      <c r="Y237" s="94"/>
      <c r="Z237" s="76"/>
    </row>
    <row r="238" spans="1:29" s="42" customFormat="1" ht="15" customHeight="1" x14ac:dyDescent="0.25">
      <c r="A238" s="91" t="s">
        <v>137</v>
      </c>
      <c r="B238" s="91" t="s">
        <v>174</v>
      </c>
      <c r="C238" s="91" t="s">
        <v>178</v>
      </c>
      <c r="D238" s="91" t="s">
        <v>154</v>
      </c>
      <c r="E238" s="104" t="s">
        <v>139</v>
      </c>
      <c r="F238" s="95" t="s">
        <v>430</v>
      </c>
      <c r="G238" s="111">
        <v>45200</v>
      </c>
      <c r="H238" s="111">
        <v>45230</v>
      </c>
      <c r="I238" s="94" t="s">
        <v>267</v>
      </c>
      <c r="J238" s="92">
        <v>1030000</v>
      </c>
      <c r="K238" s="92">
        <f t="shared" si="174"/>
        <v>133900</v>
      </c>
      <c r="L238" s="91">
        <v>174</v>
      </c>
      <c r="M238" s="91">
        <v>53</v>
      </c>
      <c r="N238" s="223">
        <v>313736</v>
      </c>
      <c r="O238" s="215">
        <f t="shared" si="175"/>
        <v>40786</v>
      </c>
      <c r="P238" s="106">
        <f t="shared" si="176"/>
        <v>0.3045977011494253</v>
      </c>
      <c r="Q238" s="112" t="s">
        <v>268</v>
      </c>
      <c r="R238" s="155">
        <v>0.13</v>
      </c>
      <c r="S238" s="106">
        <f t="shared" si="177"/>
        <v>-3.5710300189117916E-7</v>
      </c>
      <c r="T238" s="234" t="s">
        <v>376</v>
      </c>
      <c r="U238" s="203">
        <v>45030</v>
      </c>
      <c r="V238" s="94" t="s">
        <v>252</v>
      </c>
      <c r="W238" s="94"/>
      <c r="X238" s="94"/>
      <c r="Y238" s="94"/>
      <c r="Z238" s="76"/>
    </row>
    <row r="239" spans="1:29" s="42" customFormat="1" ht="15" customHeight="1" x14ac:dyDescent="0.25">
      <c r="A239" s="91" t="s">
        <v>137</v>
      </c>
      <c r="B239" s="91" t="s">
        <v>183</v>
      </c>
      <c r="C239" s="91" t="s">
        <v>186</v>
      </c>
      <c r="D239" s="91" t="s">
        <v>158</v>
      </c>
      <c r="E239" s="104" t="s">
        <v>139</v>
      </c>
      <c r="F239" s="95" t="s">
        <v>430</v>
      </c>
      <c r="G239" s="111">
        <v>45200</v>
      </c>
      <c r="H239" s="111">
        <v>45230</v>
      </c>
      <c r="I239" s="94" t="s">
        <v>267</v>
      </c>
      <c r="J239" s="92">
        <v>1030000</v>
      </c>
      <c r="K239" s="92">
        <f t="shared" ref="K239:K240" si="178">ROUND(J239*R239,0)</f>
        <v>133900</v>
      </c>
      <c r="L239" s="91">
        <v>174</v>
      </c>
      <c r="M239" s="91">
        <v>121</v>
      </c>
      <c r="N239" s="223">
        <v>716264</v>
      </c>
      <c r="O239" s="215">
        <f t="shared" ref="O239:O240" si="179">ROUND(N239*R239,0)</f>
        <v>93114</v>
      </c>
      <c r="P239" s="106">
        <f t="shared" ref="P239:P240" si="180">M239/L239</f>
        <v>0.6954022988505747</v>
      </c>
      <c r="Q239" s="112" t="s">
        <v>268</v>
      </c>
      <c r="R239" s="155">
        <v>0.13</v>
      </c>
      <c r="S239" s="106">
        <f t="shared" ref="S239:S240" si="181">P239-(N239/J239)</f>
        <v>3.5710300183566801E-7</v>
      </c>
      <c r="T239" s="234" t="s">
        <v>376</v>
      </c>
      <c r="U239" s="203">
        <v>45030</v>
      </c>
      <c r="V239" s="94" t="s">
        <v>252</v>
      </c>
      <c r="W239" s="94"/>
      <c r="X239" s="94"/>
      <c r="Y239" s="94"/>
      <c r="Z239" s="76"/>
    </row>
    <row r="240" spans="1:29" s="42" customFormat="1" ht="15" customHeight="1" x14ac:dyDescent="0.25">
      <c r="A240" s="91" t="s">
        <v>486</v>
      </c>
      <c r="B240" s="91" t="s">
        <v>62</v>
      </c>
      <c r="C240" s="91" t="s">
        <v>98</v>
      </c>
      <c r="D240" s="91" t="s">
        <v>150</v>
      </c>
      <c r="E240" s="104" t="s">
        <v>139</v>
      </c>
      <c r="F240" s="95" t="s">
        <v>308</v>
      </c>
      <c r="G240" s="111">
        <v>45078</v>
      </c>
      <c r="H240" s="111">
        <v>45107</v>
      </c>
      <c r="I240" s="94" t="s">
        <v>267</v>
      </c>
      <c r="J240" s="92">
        <v>536000</v>
      </c>
      <c r="K240" s="92">
        <f t="shared" si="178"/>
        <v>69680</v>
      </c>
      <c r="L240" s="91">
        <v>174</v>
      </c>
      <c r="M240" s="91">
        <v>104</v>
      </c>
      <c r="N240" s="223">
        <v>318584</v>
      </c>
      <c r="O240" s="215">
        <f t="shared" si="179"/>
        <v>41416</v>
      </c>
      <c r="P240" s="106">
        <f t="shared" si="180"/>
        <v>0.5977011494252874</v>
      </c>
      <c r="Q240" s="112" t="s">
        <v>268</v>
      </c>
      <c r="R240" s="155">
        <v>0.13</v>
      </c>
      <c r="S240" s="106">
        <f t="shared" si="181"/>
        <v>3.3280150969291489E-3</v>
      </c>
      <c r="T240" s="234" t="s">
        <v>487</v>
      </c>
      <c r="U240" s="203">
        <v>45077</v>
      </c>
      <c r="V240" s="94"/>
      <c r="W240" s="94"/>
      <c r="X240" s="94"/>
      <c r="Y240" s="94"/>
      <c r="Z240" s="76"/>
    </row>
    <row r="241" spans="1:26" s="42" customFormat="1" ht="15" customHeight="1" x14ac:dyDescent="0.25">
      <c r="A241" s="91" t="s">
        <v>486</v>
      </c>
      <c r="B241" s="91" t="s">
        <v>62</v>
      </c>
      <c r="C241" s="91" t="s">
        <v>98</v>
      </c>
      <c r="D241" s="91" t="s">
        <v>150</v>
      </c>
      <c r="E241" s="104" t="s">
        <v>139</v>
      </c>
      <c r="F241" s="95" t="s">
        <v>308</v>
      </c>
      <c r="G241" s="111">
        <v>45108</v>
      </c>
      <c r="H241" s="111">
        <v>45138</v>
      </c>
      <c r="I241" s="94" t="s">
        <v>267</v>
      </c>
      <c r="J241" s="92">
        <v>536000</v>
      </c>
      <c r="K241" s="92">
        <f t="shared" ref="K241:K244" si="182">ROUND(J241*R241,0)</f>
        <v>69680</v>
      </c>
      <c r="L241" s="91">
        <v>174</v>
      </c>
      <c r="M241" s="91">
        <v>104</v>
      </c>
      <c r="N241" s="223">
        <v>318584</v>
      </c>
      <c r="O241" s="215">
        <f t="shared" ref="O241:O244" si="183">ROUND(N241*R241,0)</f>
        <v>41416</v>
      </c>
      <c r="P241" s="106">
        <f t="shared" ref="P241:P244" si="184">M241/L241</f>
        <v>0.5977011494252874</v>
      </c>
      <c r="Q241" s="112" t="s">
        <v>268</v>
      </c>
      <c r="R241" s="155">
        <v>0.13</v>
      </c>
      <c r="S241" s="106">
        <f t="shared" ref="S241:S244" si="185">P241-(N241/J241)</f>
        <v>3.3280150969291489E-3</v>
      </c>
      <c r="T241" s="234" t="s">
        <v>487</v>
      </c>
      <c r="U241" s="203">
        <v>45077</v>
      </c>
      <c r="V241" s="94"/>
      <c r="W241" s="94"/>
      <c r="X241" s="94"/>
      <c r="Y241" s="94"/>
      <c r="Z241" s="76"/>
    </row>
    <row r="242" spans="1:26" s="42" customFormat="1" ht="15" customHeight="1" x14ac:dyDescent="0.25">
      <c r="A242" s="91" t="s">
        <v>486</v>
      </c>
      <c r="B242" s="91" t="s">
        <v>62</v>
      </c>
      <c r="C242" s="91" t="s">
        <v>98</v>
      </c>
      <c r="D242" s="91" t="s">
        <v>150</v>
      </c>
      <c r="E242" s="104" t="s">
        <v>139</v>
      </c>
      <c r="F242" s="95" t="s">
        <v>308</v>
      </c>
      <c r="G242" s="111">
        <v>45139</v>
      </c>
      <c r="H242" s="111">
        <v>45169</v>
      </c>
      <c r="I242" s="94" t="s">
        <v>267</v>
      </c>
      <c r="J242" s="92">
        <v>536000</v>
      </c>
      <c r="K242" s="92">
        <f t="shared" si="182"/>
        <v>69680</v>
      </c>
      <c r="L242" s="91">
        <v>174</v>
      </c>
      <c r="M242" s="91">
        <v>104</v>
      </c>
      <c r="N242" s="223">
        <v>318584</v>
      </c>
      <c r="O242" s="215">
        <f t="shared" si="183"/>
        <v>41416</v>
      </c>
      <c r="P242" s="106">
        <f t="shared" si="184"/>
        <v>0.5977011494252874</v>
      </c>
      <c r="Q242" s="112" t="s">
        <v>268</v>
      </c>
      <c r="R242" s="155">
        <v>0.13</v>
      </c>
      <c r="S242" s="106">
        <f t="shared" si="185"/>
        <v>3.3280150969291489E-3</v>
      </c>
      <c r="T242" s="234" t="s">
        <v>487</v>
      </c>
      <c r="U242" s="203">
        <v>45077</v>
      </c>
      <c r="V242" s="94"/>
      <c r="W242" s="94"/>
      <c r="X242" s="94"/>
      <c r="Y242" s="94"/>
      <c r="Z242" s="76"/>
    </row>
    <row r="243" spans="1:26" s="42" customFormat="1" ht="15" customHeight="1" x14ac:dyDescent="0.25">
      <c r="A243" s="91" t="s">
        <v>486</v>
      </c>
      <c r="B243" s="91" t="s">
        <v>62</v>
      </c>
      <c r="C243" s="91" t="s">
        <v>98</v>
      </c>
      <c r="D243" s="91" t="s">
        <v>150</v>
      </c>
      <c r="E243" s="104" t="s">
        <v>139</v>
      </c>
      <c r="F243" s="95" t="s">
        <v>308</v>
      </c>
      <c r="G243" s="111">
        <v>45170</v>
      </c>
      <c r="H243" s="111">
        <v>45199</v>
      </c>
      <c r="I243" s="94" t="s">
        <v>267</v>
      </c>
      <c r="J243" s="92">
        <v>536000</v>
      </c>
      <c r="K243" s="92">
        <f t="shared" si="182"/>
        <v>69680</v>
      </c>
      <c r="L243" s="91">
        <v>174</v>
      </c>
      <c r="M243" s="91">
        <v>104</v>
      </c>
      <c r="N243" s="223">
        <v>318584</v>
      </c>
      <c r="O243" s="215">
        <f t="shared" si="183"/>
        <v>41416</v>
      </c>
      <c r="P243" s="106">
        <f t="shared" si="184"/>
        <v>0.5977011494252874</v>
      </c>
      <c r="Q243" s="112" t="s">
        <v>268</v>
      </c>
      <c r="R243" s="155">
        <v>0.13</v>
      </c>
      <c r="S243" s="106">
        <f t="shared" si="185"/>
        <v>3.3280150969291489E-3</v>
      </c>
      <c r="T243" s="234" t="s">
        <v>487</v>
      </c>
      <c r="U243" s="203">
        <v>45077</v>
      </c>
      <c r="V243" s="94"/>
      <c r="W243" s="94"/>
      <c r="X243" s="94"/>
      <c r="Y243" s="94"/>
      <c r="Z243" s="76"/>
    </row>
    <row r="244" spans="1:26" s="42" customFormat="1" ht="15" customHeight="1" x14ac:dyDescent="0.25">
      <c r="A244" s="91" t="s">
        <v>486</v>
      </c>
      <c r="B244" s="91" t="s">
        <v>62</v>
      </c>
      <c r="C244" s="91" t="s">
        <v>98</v>
      </c>
      <c r="D244" s="91" t="s">
        <v>150</v>
      </c>
      <c r="E244" s="104" t="s">
        <v>139</v>
      </c>
      <c r="F244" s="95" t="s">
        <v>308</v>
      </c>
      <c r="G244" s="111">
        <v>45200</v>
      </c>
      <c r="H244" s="111">
        <v>45230</v>
      </c>
      <c r="I244" s="94" t="s">
        <v>267</v>
      </c>
      <c r="J244" s="92">
        <v>536000</v>
      </c>
      <c r="K244" s="92">
        <f t="shared" si="182"/>
        <v>69680</v>
      </c>
      <c r="L244" s="91">
        <v>174</v>
      </c>
      <c r="M244" s="91">
        <v>104</v>
      </c>
      <c r="N244" s="223">
        <v>318584</v>
      </c>
      <c r="O244" s="215">
        <f t="shared" si="183"/>
        <v>41416</v>
      </c>
      <c r="P244" s="106">
        <f t="shared" si="184"/>
        <v>0.5977011494252874</v>
      </c>
      <c r="Q244" s="112" t="s">
        <v>268</v>
      </c>
      <c r="R244" s="155">
        <v>0.13</v>
      </c>
      <c r="S244" s="106">
        <f t="shared" si="185"/>
        <v>3.3280150969291489E-3</v>
      </c>
      <c r="T244" s="234" t="s">
        <v>487</v>
      </c>
      <c r="U244" s="203">
        <v>45077</v>
      </c>
      <c r="V244" s="94"/>
      <c r="W244" s="94"/>
      <c r="X244" s="94"/>
      <c r="Y244" s="94"/>
      <c r="Z244" s="76"/>
    </row>
    <row r="245" spans="1:26" s="42" customFormat="1" ht="15" customHeight="1" x14ac:dyDescent="0.25">
      <c r="A245" s="91"/>
      <c r="B245" s="91"/>
      <c r="C245" s="91"/>
      <c r="D245" s="91"/>
      <c r="E245" s="104"/>
      <c r="F245" s="95"/>
      <c r="G245" s="111"/>
      <c r="H245" s="111"/>
      <c r="I245" s="94"/>
      <c r="J245" s="92"/>
      <c r="K245" s="92"/>
      <c r="L245" s="91"/>
      <c r="M245" s="91"/>
      <c r="N245" s="223"/>
      <c r="O245" s="215"/>
      <c r="P245" s="106"/>
      <c r="Q245" s="112"/>
      <c r="R245" s="155"/>
      <c r="S245" s="106"/>
      <c r="T245" s="234"/>
      <c r="U245" s="203"/>
      <c r="V245" s="94"/>
      <c r="W245" s="94"/>
      <c r="X245" s="94"/>
      <c r="Y245" s="94"/>
      <c r="Z245" s="76"/>
    </row>
    <row r="246" spans="1:26" s="42" customFormat="1" ht="15" customHeight="1" x14ac:dyDescent="0.25">
      <c r="A246" s="91"/>
      <c r="B246" s="91"/>
      <c r="C246" s="91"/>
      <c r="D246" s="91"/>
      <c r="E246" s="104"/>
      <c r="F246" s="95"/>
      <c r="G246" s="111"/>
      <c r="H246" s="111"/>
      <c r="I246" s="94"/>
      <c r="J246" s="92"/>
      <c r="K246" s="92"/>
      <c r="L246" s="91"/>
      <c r="M246" s="91"/>
      <c r="N246" s="223"/>
      <c r="O246" s="215"/>
      <c r="P246" s="106"/>
      <c r="Q246" s="112"/>
      <c r="R246" s="155"/>
      <c r="S246" s="106"/>
      <c r="T246" s="234"/>
      <c r="U246" s="203"/>
      <c r="V246" s="94"/>
      <c r="W246" s="94"/>
      <c r="X246" s="94"/>
      <c r="Y246" s="94"/>
      <c r="Z246" s="76"/>
    </row>
    <row r="247" spans="1:26" s="42" customFormat="1" ht="15" customHeight="1" x14ac:dyDescent="0.25">
      <c r="A247" s="91"/>
      <c r="B247" s="91"/>
      <c r="C247" s="91"/>
      <c r="D247" s="91"/>
      <c r="E247" s="104"/>
      <c r="F247" s="95"/>
      <c r="G247" s="111"/>
      <c r="H247" s="111"/>
      <c r="I247" s="94"/>
      <c r="J247" s="92"/>
      <c r="K247" s="92"/>
      <c r="L247" s="91"/>
      <c r="M247" s="91"/>
      <c r="N247" s="223"/>
      <c r="O247" s="215"/>
      <c r="P247" s="106"/>
      <c r="Q247" s="112"/>
      <c r="R247" s="155"/>
      <c r="S247" s="106"/>
      <c r="T247" s="234"/>
      <c r="U247" s="203"/>
      <c r="V247" s="94"/>
      <c r="W247" s="94"/>
      <c r="X247" s="94"/>
      <c r="Y247" s="94"/>
      <c r="Z247" s="76"/>
    </row>
    <row r="248" spans="1:26" s="42" customFormat="1" ht="15" customHeight="1" x14ac:dyDescent="0.25">
      <c r="A248" s="91"/>
      <c r="B248" s="91"/>
      <c r="C248" s="91"/>
      <c r="D248" s="91"/>
      <c r="E248" s="104"/>
      <c r="F248" s="95"/>
      <c r="G248" s="111"/>
      <c r="H248" s="111"/>
      <c r="I248" s="94"/>
      <c r="J248" s="92"/>
      <c r="K248" s="92"/>
      <c r="L248" s="91"/>
      <c r="M248" s="91"/>
      <c r="N248" s="223"/>
      <c r="O248" s="215"/>
      <c r="P248" s="106"/>
      <c r="Q248" s="112"/>
      <c r="R248" s="155"/>
      <c r="S248" s="106"/>
      <c r="T248" s="234"/>
      <c r="U248" s="203"/>
      <c r="V248" s="94"/>
      <c r="W248" s="94"/>
      <c r="X248" s="94"/>
      <c r="Y248" s="94"/>
      <c r="Z248" s="76"/>
    </row>
    <row r="249" spans="1:26" s="42" customFormat="1" ht="15" customHeight="1" x14ac:dyDescent="0.25">
      <c r="A249" s="91"/>
      <c r="B249" s="91"/>
      <c r="C249" s="91"/>
      <c r="D249" s="91"/>
      <c r="E249" s="104"/>
      <c r="F249" s="95"/>
      <c r="G249" s="111"/>
      <c r="H249" s="111"/>
      <c r="I249" s="94"/>
      <c r="J249" s="92"/>
      <c r="K249" s="92"/>
      <c r="L249" s="91"/>
      <c r="M249" s="91"/>
      <c r="N249" s="223"/>
      <c r="O249" s="215"/>
      <c r="P249" s="106"/>
      <c r="Q249" s="112"/>
      <c r="R249" s="155"/>
      <c r="S249" s="106"/>
      <c r="T249" s="234"/>
      <c r="U249" s="203"/>
      <c r="V249" s="94"/>
      <c r="W249" s="94"/>
      <c r="X249" s="94"/>
      <c r="Y249" s="94"/>
      <c r="Z249" s="76"/>
    </row>
    <row r="250" spans="1:26" s="42" customFormat="1" ht="15" customHeight="1" x14ac:dyDescent="0.25">
      <c r="A250" s="91"/>
      <c r="B250" s="91"/>
      <c r="C250" s="91"/>
      <c r="D250" s="91"/>
      <c r="E250" s="104"/>
      <c r="F250" s="95"/>
      <c r="G250" s="111"/>
      <c r="H250" s="111"/>
      <c r="I250" s="94"/>
      <c r="J250" s="92"/>
      <c r="K250" s="92"/>
      <c r="L250" s="91"/>
      <c r="M250" s="91"/>
      <c r="N250" s="223"/>
      <c r="O250" s="215"/>
      <c r="P250" s="106"/>
      <c r="Q250" s="112"/>
      <c r="R250" s="155"/>
      <c r="S250" s="106"/>
      <c r="T250" s="234"/>
      <c r="U250" s="203"/>
      <c r="V250" s="94"/>
      <c r="W250" s="94"/>
      <c r="X250" s="94"/>
      <c r="Y250" s="94"/>
      <c r="Z250" s="76"/>
    </row>
    <row r="251" spans="1:26" s="42" customFormat="1" ht="15" customHeight="1" x14ac:dyDescent="0.25">
      <c r="A251" s="91"/>
      <c r="B251" s="91"/>
      <c r="C251" s="91"/>
      <c r="D251" s="91"/>
      <c r="E251" s="104"/>
      <c r="F251" s="95"/>
      <c r="G251" s="111"/>
      <c r="H251" s="111"/>
      <c r="I251" s="94"/>
      <c r="J251" s="92"/>
      <c r="K251" s="92"/>
      <c r="L251" s="91"/>
      <c r="M251" s="91"/>
      <c r="N251" s="223"/>
      <c r="O251" s="215"/>
      <c r="P251" s="106"/>
      <c r="Q251" s="112"/>
      <c r="R251" s="155"/>
      <c r="S251" s="106"/>
      <c r="T251" s="234"/>
      <c r="U251" s="203"/>
      <c r="V251" s="94"/>
      <c r="W251" s="94"/>
      <c r="X251" s="94"/>
      <c r="Y251" s="94"/>
      <c r="Z251" s="76"/>
    </row>
    <row r="252" spans="1:26" s="42" customFormat="1" ht="15" customHeight="1" x14ac:dyDescent="0.25">
      <c r="A252" s="91"/>
      <c r="B252" s="91"/>
      <c r="C252" s="91"/>
      <c r="D252" s="91"/>
      <c r="E252" s="104"/>
      <c r="F252" s="95"/>
      <c r="G252" s="111"/>
      <c r="H252" s="111"/>
      <c r="I252" s="94"/>
      <c r="J252" s="92"/>
      <c r="K252" s="92"/>
      <c r="L252" s="91"/>
      <c r="M252" s="91"/>
      <c r="N252" s="223"/>
      <c r="O252" s="215"/>
      <c r="P252" s="106"/>
      <c r="Q252" s="112"/>
      <c r="R252" s="155"/>
      <c r="S252" s="106"/>
      <c r="T252" s="234"/>
      <c r="U252" s="203"/>
      <c r="V252" s="94"/>
      <c r="W252" s="94"/>
      <c r="X252" s="94"/>
      <c r="Y252" s="94"/>
      <c r="Z252" s="76"/>
    </row>
    <row r="253" spans="1:26" s="42" customFormat="1" ht="15" customHeight="1" x14ac:dyDescent="0.25">
      <c r="A253" s="91"/>
      <c r="B253" s="91"/>
      <c r="C253" s="91"/>
      <c r="D253" s="91"/>
      <c r="E253" s="104"/>
      <c r="F253" s="95"/>
      <c r="G253" s="111"/>
      <c r="H253" s="111"/>
      <c r="I253" s="94"/>
      <c r="J253" s="92"/>
      <c r="K253" s="92"/>
      <c r="L253" s="91"/>
      <c r="M253" s="91"/>
      <c r="N253" s="223"/>
      <c r="O253" s="215"/>
      <c r="P253" s="106"/>
      <c r="Q253" s="112"/>
      <c r="R253" s="155"/>
      <c r="S253" s="106"/>
      <c r="T253" s="234"/>
      <c r="U253" s="203"/>
      <c r="V253" s="94"/>
      <c r="W253" s="94"/>
      <c r="X253" s="94"/>
      <c r="Y253" s="94"/>
      <c r="Z253" s="76"/>
    </row>
    <row r="254" spans="1:26" s="42" customFormat="1" ht="15" customHeight="1" x14ac:dyDescent="0.25">
      <c r="A254" s="252"/>
      <c r="B254" s="252"/>
      <c r="C254" s="252"/>
      <c r="D254" s="252"/>
      <c r="E254" s="253"/>
      <c r="F254" s="254"/>
      <c r="G254" s="255"/>
      <c r="H254" s="255"/>
      <c r="I254" s="256"/>
      <c r="J254" s="257"/>
      <c r="K254" s="257"/>
      <c r="L254" s="252"/>
      <c r="M254" s="252"/>
      <c r="N254" s="258"/>
      <c r="O254" s="259"/>
      <c r="P254" s="216"/>
      <c r="Q254" s="260"/>
      <c r="R254" s="256"/>
      <c r="S254" s="216"/>
      <c r="T254" s="246"/>
      <c r="U254" s="261"/>
      <c r="V254" s="262"/>
      <c r="W254" s="256"/>
      <c r="X254" s="256"/>
      <c r="Y254" s="256"/>
      <c r="Z254" s="76"/>
    </row>
    <row r="255" spans="1:26" s="42" customFormat="1" ht="15" customHeight="1" x14ac:dyDescent="0.25">
      <c r="A255" s="153" t="s">
        <v>271</v>
      </c>
      <c r="B255" s="145"/>
      <c r="C255" s="145"/>
      <c r="D255" s="145"/>
      <c r="E255" s="146"/>
      <c r="F255" s="147"/>
      <c r="G255" s="148"/>
      <c r="H255" s="148"/>
      <c r="I255" s="149"/>
      <c r="J255" s="150"/>
      <c r="K255" s="150"/>
      <c r="L255" s="145"/>
      <c r="M255" s="145"/>
      <c r="N255" s="224"/>
      <c r="O255" s="225"/>
      <c r="P255" s="152"/>
      <c r="Q255" s="151"/>
      <c r="R255" s="149"/>
      <c r="S255" s="152"/>
      <c r="T255" s="245"/>
      <c r="U255" s="152"/>
      <c r="V255" s="206"/>
      <c r="W255" s="149"/>
      <c r="X255" s="149"/>
      <c r="Y255" s="149"/>
      <c r="Z255" s="76"/>
    </row>
    <row r="256" spans="1:26" s="2" customFormat="1" ht="15" customHeight="1" x14ac:dyDescent="0.25">
      <c r="A256" s="97"/>
      <c r="B256" s="97"/>
      <c r="C256" s="97"/>
      <c r="D256" s="97"/>
      <c r="E256" s="105"/>
      <c r="F256" s="101"/>
      <c r="G256" s="111"/>
      <c r="H256" s="111"/>
      <c r="I256" s="94"/>
      <c r="J256" s="98"/>
      <c r="K256" s="98"/>
      <c r="L256" s="97"/>
      <c r="M256" s="97"/>
      <c r="N256" s="208"/>
      <c r="O256" s="209"/>
      <c r="P256" s="93"/>
      <c r="Q256" s="99"/>
      <c r="R256" s="100"/>
      <c r="S256" s="106"/>
      <c r="T256" s="234"/>
      <c r="U256" s="106"/>
      <c r="V256" s="207"/>
      <c r="W256" s="100"/>
      <c r="X256" s="100"/>
      <c r="Y256" s="100"/>
      <c r="Z256" s="78"/>
    </row>
    <row r="257" spans="1:28" s="2" customFormat="1" ht="15" customHeight="1" x14ac:dyDescent="0.25">
      <c r="A257" s="97" t="s">
        <v>338</v>
      </c>
      <c r="B257" s="97" t="s">
        <v>173</v>
      </c>
      <c r="C257" s="97" t="s">
        <v>177</v>
      </c>
      <c r="D257" s="97" t="s">
        <v>154</v>
      </c>
      <c r="E257" s="105" t="s">
        <v>139</v>
      </c>
      <c r="F257" s="105" t="s">
        <v>139</v>
      </c>
      <c r="G257" s="111">
        <v>44835</v>
      </c>
      <c r="H257" s="111">
        <v>44865</v>
      </c>
      <c r="I257" s="94" t="s">
        <v>248</v>
      </c>
      <c r="J257" s="98">
        <v>320000</v>
      </c>
      <c r="K257" s="92">
        <f>ROUND(J257*0.9*R257,0)</f>
        <v>37440</v>
      </c>
      <c r="L257" s="97" t="s">
        <v>305</v>
      </c>
      <c r="M257" s="97" t="s">
        <v>305</v>
      </c>
      <c r="N257" s="214">
        <v>320000</v>
      </c>
      <c r="O257" s="215">
        <f>ROUND(N257*0.9*R257,0)</f>
        <v>37440</v>
      </c>
      <c r="P257" s="93"/>
      <c r="Q257" s="99" t="s">
        <v>306</v>
      </c>
      <c r="R257" s="155">
        <v>0.13</v>
      </c>
      <c r="S257" s="106"/>
      <c r="T257" s="234"/>
      <c r="U257" s="203">
        <v>44851</v>
      </c>
      <c r="V257" s="207" t="s">
        <v>252</v>
      </c>
      <c r="W257" s="100"/>
      <c r="X257" s="100"/>
      <c r="Y257" s="100"/>
      <c r="Z257" s="2" t="s">
        <v>475</v>
      </c>
    </row>
    <row r="258" spans="1:28" s="2" customFormat="1" ht="15" customHeight="1" x14ac:dyDescent="0.25">
      <c r="A258" s="97" t="s">
        <v>304</v>
      </c>
      <c r="B258" s="97" t="s">
        <v>173</v>
      </c>
      <c r="C258" s="97" t="s">
        <v>177</v>
      </c>
      <c r="D258" s="97" t="s">
        <v>154</v>
      </c>
      <c r="E258" s="105" t="s">
        <v>139</v>
      </c>
      <c r="F258" s="105" t="s">
        <v>139</v>
      </c>
      <c r="G258" s="111">
        <v>44753</v>
      </c>
      <c r="H258" s="111">
        <v>44834</v>
      </c>
      <c r="I258" s="94" t="s">
        <v>248</v>
      </c>
      <c r="J258" s="98">
        <v>250000</v>
      </c>
      <c r="K258" s="92">
        <f>ROUND(J258*0.9*R258,0)</f>
        <v>29250</v>
      </c>
      <c r="L258" s="97" t="s">
        <v>305</v>
      </c>
      <c r="M258" s="97" t="s">
        <v>305</v>
      </c>
      <c r="N258" s="214">
        <v>250000</v>
      </c>
      <c r="O258" s="215">
        <f>ROUND(N258*0.9*R258,0)</f>
        <v>29250</v>
      </c>
      <c r="P258" s="93"/>
      <c r="Q258" s="99" t="s">
        <v>306</v>
      </c>
      <c r="R258" s="155">
        <v>0.13</v>
      </c>
      <c r="S258" s="106"/>
      <c r="T258" s="234"/>
      <c r="U258" s="203">
        <v>44729</v>
      </c>
      <c r="V258" s="207"/>
      <c r="W258" s="100"/>
      <c r="X258" s="100"/>
      <c r="Y258" s="94">
        <v>3</v>
      </c>
      <c r="Z258" s="2" t="s">
        <v>475</v>
      </c>
    </row>
    <row r="259" spans="1:28" s="2" customFormat="1" ht="15" customHeight="1" x14ac:dyDescent="0.25">
      <c r="A259" s="97" t="s">
        <v>304</v>
      </c>
      <c r="B259" s="97" t="s">
        <v>173</v>
      </c>
      <c r="C259" s="97" t="s">
        <v>177</v>
      </c>
      <c r="D259" s="97" t="s">
        <v>154</v>
      </c>
      <c r="E259" s="105" t="s">
        <v>139</v>
      </c>
      <c r="F259" s="105" t="s">
        <v>139</v>
      </c>
      <c r="G259" s="111"/>
      <c r="H259" s="111"/>
      <c r="I259" s="94" t="s">
        <v>267</v>
      </c>
      <c r="J259" s="98">
        <v>90000</v>
      </c>
      <c r="K259" s="92">
        <f>ROUND(J259*0.9*R259,0)</f>
        <v>10530</v>
      </c>
      <c r="L259" s="97" t="s">
        <v>305</v>
      </c>
      <c r="M259" s="97" t="s">
        <v>305</v>
      </c>
      <c r="N259" s="214">
        <v>90000</v>
      </c>
      <c r="O259" s="215">
        <f t="shared" ref="O259" si="186">ROUND(N259*0.9*R259,0)</f>
        <v>10530</v>
      </c>
      <c r="P259" s="93"/>
      <c r="Q259" s="99" t="s">
        <v>306</v>
      </c>
      <c r="R259" s="155">
        <v>0.13</v>
      </c>
      <c r="S259" s="106"/>
      <c r="T259" s="234"/>
      <c r="U259" s="203">
        <v>45029</v>
      </c>
      <c r="V259" s="207"/>
      <c r="W259" s="100"/>
      <c r="X259" s="100"/>
      <c r="Y259" s="94"/>
      <c r="Z259" s="2" t="s">
        <v>475</v>
      </c>
      <c r="AB259"/>
    </row>
    <row r="260" spans="1:28" s="2" customFormat="1" ht="15" customHeight="1" x14ac:dyDescent="0.25">
      <c r="A260" s="97" t="s">
        <v>427</v>
      </c>
      <c r="B260" s="97" t="s">
        <v>162</v>
      </c>
      <c r="C260" s="97" t="s">
        <v>163</v>
      </c>
      <c r="D260" s="97" t="s">
        <v>146</v>
      </c>
      <c r="E260" s="105" t="s">
        <v>139</v>
      </c>
      <c r="F260" s="105" t="s">
        <v>139</v>
      </c>
      <c r="G260" s="111">
        <v>44972</v>
      </c>
      <c r="H260" s="111">
        <v>45060</v>
      </c>
      <c r="I260" s="94" t="s">
        <v>267</v>
      </c>
      <c r="J260" s="98">
        <v>450000</v>
      </c>
      <c r="K260" s="92">
        <f t="shared" ref="K260" si="187">ROUND(J260*0.9*R260,0)</f>
        <v>52650</v>
      </c>
      <c r="L260" s="97" t="s">
        <v>305</v>
      </c>
      <c r="M260" s="97" t="s">
        <v>305</v>
      </c>
      <c r="N260" s="214">
        <v>450000</v>
      </c>
      <c r="O260" s="215">
        <f t="shared" ref="O260" si="188">ROUND(N260*0.9*R260,0)</f>
        <v>52650</v>
      </c>
      <c r="P260" s="93"/>
      <c r="Q260" s="99" t="s">
        <v>306</v>
      </c>
      <c r="R260" s="155">
        <v>0.13</v>
      </c>
      <c r="S260" s="106"/>
      <c r="T260" s="234">
        <v>8477530106</v>
      </c>
      <c r="U260" s="203">
        <v>44986</v>
      </c>
      <c r="V260" s="207"/>
      <c r="W260" s="100"/>
      <c r="X260" s="100"/>
      <c r="Y260" s="94"/>
      <c r="Z260" s="2" t="s">
        <v>475</v>
      </c>
    </row>
    <row r="261" spans="1:28" s="2" customFormat="1" ht="15" customHeight="1" x14ac:dyDescent="0.25">
      <c r="A261" s="97" t="s">
        <v>358</v>
      </c>
      <c r="B261" s="97" t="s">
        <v>173</v>
      </c>
      <c r="C261" s="97" t="s">
        <v>177</v>
      </c>
      <c r="D261" s="97" t="s">
        <v>154</v>
      </c>
      <c r="E261" s="105" t="s">
        <v>139</v>
      </c>
      <c r="F261" s="105" t="s">
        <v>139</v>
      </c>
      <c r="G261" s="111">
        <v>44683</v>
      </c>
      <c r="H261" s="111">
        <v>44742</v>
      </c>
      <c r="I261" s="94" t="s">
        <v>248</v>
      </c>
      <c r="J261" s="98">
        <v>200000</v>
      </c>
      <c r="K261" s="92">
        <f>ROUND(J261*0.9*R261,0)</f>
        <v>23400</v>
      </c>
      <c r="L261" s="97" t="s">
        <v>305</v>
      </c>
      <c r="M261" s="97" t="s">
        <v>305</v>
      </c>
      <c r="N261" s="214">
        <v>200000</v>
      </c>
      <c r="O261" s="215">
        <f>ROUND(N261*0.9*R261,0)</f>
        <v>23400</v>
      </c>
      <c r="P261" s="93"/>
      <c r="Q261" s="99" t="s">
        <v>306</v>
      </c>
      <c r="R261" s="155">
        <v>0.13</v>
      </c>
      <c r="S261" s="106"/>
      <c r="T261" s="234"/>
      <c r="U261" s="203"/>
      <c r="V261" s="207"/>
      <c r="W261" s="100"/>
      <c r="X261" s="100"/>
      <c r="Y261" s="94">
        <v>3</v>
      </c>
      <c r="Z261" s="2" t="s">
        <v>475</v>
      </c>
    </row>
    <row r="262" spans="1:28" s="2" customFormat="1" ht="15" customHeight="1" x14ac:dyDescent="0.25">
      <c r="A262" s="97"/>
      <c r="B262" s="97"/>
      <c r="C262" s="97"/>
      <c r="D262" s="97"/>
      <c r="E262" s="105"/>
      <c r="F262" s="101"/>
      <c r="G262" s="111"/>
      <c r="H262" s="111"/>
      <c r="I262" s="94"/>
      <c r="J262" s="98"/>
      <c r="K262" s="98"/>
      <c r="L262" s="97"/>
      <c r="M262" s="97"/>
      <c r="N262" s="208"/>
      <c r="O262" s="209"/>
      <c r="P262" s="93"/>
      <c r="Q262" s="99"/>
      <c r="R262" s="155"/>
      <c r="S262" s="106"/>
      <c r="T262" s="234"/>
      <c r="U262" s="203"/>
      <c r="V262" s="207"/>
      <c r="W262" s="100"/>
      <c r="X262" s="100"/>
      <c r="Y262" s="100"/>
      <c r="Z262" s="78"/>
    </row>
    <row r="263" spans="1:28" s="2" customFormat="1" ht="15" customHeight="1" x14ac:dyDescent="0.25">
      <c r="A263" s="97"/>
      <c r="B263" s="97"/>
      <c r="C263" s="97"/>
      <c r="D263" s="97"/>
      <c r="E263" s="105"/>
      <c r="F263" s="101"/>
      <c r="G263" s="111"/>
      <c r="H263" s="111"/>
      <c r="I263" s="94"/>
      <c r="J263" s="98"/>
      <c r="K263" s="98"/>
      <c r="L263" s="97"/>
      <c r="M263" s="97"/>
      <c r="N263" s="208"/>
      <c r="O263" s="209"/>
      <c r="P263" s="93"/>
      <c r="Q263" s="99"/>
      <c r="R263" s="155"/>
      <c r="S263" s="106"/>
      <c r="T263" s="234"/>
      <c r="U263" s="203"/>
      <c r="V263" s="207"/>
      <c r="W263" s="100"/>
      <c r="X263" s="100"/>
      <c r="Y263" s="100"/>
      <c r="Z263" s="78"/>
    </row>
    <row r="264" spans="1:28" s="2" customFormat="1" ht="15" customHeight="1" x14ac:dyDescent="0.25">
      <c r="A264" s="97"/>
      <c r="B264" s="97"/>
      <c r="C264" s="97"/>
      <c r="D264" s="97"/>
      <c r="E264" s="105"/>
      <c r="F264" s="101"/>
      <c r="G264" s="111"/>
      <c r="H264" s="111"/>
      <c r="I264" s="94"/>
      <c r="J264" s="98"/>
      <c r="K264" s="98"/>
      <c r="L264" s="97"/>
      <c r="M264" s="97"/>
      <c r="N264" s="208"/>
      <c r="O264" s="209"/>
      <c r="P264" s="93"/>
      <c r="Q264" s="99"/>
      <c r="R264" s="155"/>
      <c r="S264" s="106"/>
      <c r="T264" s="234"/>
      <c r="U264" s="203"/>
      <c r="V264" s="207"/>
      <c r="W264" s="100"/>
      <c r="X264" s="100"/>
      <c r="Y264" s="100"/>
      <c r="Z264" s="78"/>
    </row>
    <row r="265" spans="1:28" s="2" customFormat="1" ht="15" customHeight="1" x14ac:dyDescent="0.25">
      <c r="A265" s="97"/>
      <c r="B265" s="97"/>
      <c r="C265" s="97"/>
      <c r="D265" s="97"/>
      <c r="E265" s="105"/>
      <c r="F265" s="101"/>
      <c r="G265" s="111"/>
      <c r="H265" s="111"/>
      <c r="I265" s="94"/>
      <c r="J265" s="98"/>
      <c r="K265" s="98"/>
      <c r="L265" s="97"/>
      <c r="M265" s="97"/>
      <c r="N265" s="208"/>
      <c r="O265" s="209"/>
      <c r="P265" s="93"/>
      <c r="Q265" s="99"/>
      <c r="R265" s="155"/>
      <c r="S265" s="106"/>
      <c r="T265" s="234"/>
      <c r="U265" s="203"/>
      <c r="V265" s="207"/>
      <c r="W265" s="100"/>
      <c r="X265" s="100"/>
      <c r="Y265" s="100"/>
      <c r="Z265" s="78"/>
    </row>
    <row r="266" spans="1:28" s="2" customFormat="1" ht="15" customHeight="1" x14ac:dyDescent="0.25">
      <c r="A266" s="97"/>
      <c r="B266" s="97"/>
      <c r="C266" s="97"/>
      <c r="D266" s="97"/>
      <c r="E266" s="105"/>
      <c r="F266" s="101"/>
      <c r="G266" s="111"/>
      <c r="H266" s="111"/>
      <c r="I266" s="94"/>
      <c r="J266" s="98"/>
      <c r="K266" s="98"/>
      <c r="L266" s="97"/>
      <c r="M266" s="97"/>
      <c r="N266" s="208"/>
      <c r="O266" s="209"/>
      <c r="P266" s="93"/>
      <c r="Q266" s="99"/>
      <c r="R266" s="155"/>
      <c r="S266" s="106"/>
      <c r="T266" s="234"/>
      <c r="U266" s="203"/>
      <c r="V266" s="207"/>
      <c r="W266" s="100"/>
      <c r="X266" s="100"/>
      <c r="Y266" s="100"/>
      <c r="Z266" s="78"/>
    </row>
    <row r="267" spans="1:28" x14ac:dyDescent="0.25">
      <c r="A267" s="97"/>
      <c r="B267" s="97"/>
      <c r="C267" s="97"/>
      <c r="D267" s="13"/>
      <c r="E267" s="113"/>
      <c r="F267" s="114"/>
      <c r="G267" s="115"/>
      <c r="H267" s="115"/>
      <c r="I267" s="94"/>
      <c r="J267" s="116"/>
      <c r="K267" s="116"/>
      <c r="L267" s="13"/>
      <c r="M267" s="13"/>
      <c r="N267" s="210"/>
      <c r="O267" s="211"/>
      <c r="P267" s="97"/>
      <c r="Q267" s="18"/>
      <c r="R267" s="155"/>
      <c r="S267" s="106"/>
      <c r="T267" s="234"/>
      <c r="U267" s="203"/>
      <c r="V267" s="100"/>
      <c r="W267" s="102"/>
      <c r="X267" s="102"/>
      <c r="Y267" s="100"/>
    </row>
    <row r="268" spans="1:28" x14ac:dyDescent="0.25">
      <c r="A268" s="107"/>
      <c r="B268" s="107"/>
      <c r="C268" s="107"/>
      <c r="D268" s="118"/>
      <c r="E268" s="119"/>
      <c r="F268" s="120"/>
      <c r="G268" s="121"/>
      <c r="H268" s="121"/>
      <c r="I268" s="122"/>
      <c r="J268" s="123"/>
      <c r="K268" s="123"/>
      <c r="L268" s="118"/>
      <c r="M268" s="118"/>
      <c r="N268" s="212"/>
      <c r="O268" s="213"/>
      <c r="P268" s="107"/>
      <c r="Q268" s="108"/>
      <c r="R268" s="154"/>
      <c r="S268" s="216"/>
      <c r="T268" s="246"/>
      <c r="U268" s="216"/>
      <c r="V268" s="154"/>
      <c r="W268" s="109"/>
      <c r="X268" s="109"/>
      <c r="Y268" s="154"/>
    </row>
    <row r="269" spans="1:28" x14ac:dyDescent="0.25">
      <c r="A269" s="128" t="s">
        <v>266</v>
      </c>
      <c r="B269" s="97"/>
      <c r="C269" s="97"/>
      <c r="D269" s="13"/>
      <c r="E269" s="113"/>
      <c r="F269" s="114"/>
      <c r="G269" s="115"/>
      <c r="H269" s="115"/>
      <c r="I269" s="15"/>
      <c r="J269" s="116"/>
      <c r="K269" s="116"/>
      <c r="L269" s="13"/>
      <c r="M269" s="13"/>
      <c r="N269" s="226">
        <f>SUBTOTAL(9,N4:N268)</f>
        <v>73329241</v>
      </c>
      <c r="O269" s="226">
        <f>SUBTOTAL(9,O4:O268)</f>
        <v>9546237</v>
      </c>
      <c r="P269" s="97"/>
      <c r="Q269" s="18"/>
      <c r="R269" s="100"/>
      <c r="S269" s="97"/>
      <c r="T269" s="247"/>
      <c r="U269" s="97"/>
      <c r="V269" s="100"/>
      <c r="W269" s="102"/>
      <c r="X269" s="102"/>
      <c r="Y269" s="100"/>
    </row>
    <row r="270" spans="1:28" x14ac:dyDescent="0.25">
      <c r="N270" s="227"/>
      <c r="O270" s="228"/>
    </row>
    <row r="271" spans="1:28" x14ac:dyDescent="0.25">
      <c r="M271" s="110" t="s">
        <v>270</v>
      </c>
      <c r="N271" s="229">
        <f>SUM(N269:O269)</f>
        <v>82875478</v>
      </c>
      <c r="O271" s="228"/>
    </row>
    <row r="273" spans="14:24" x14ac:dyDescent="0.25">
      <c r="N273" s="143">
        <f>SUM(Költségvetés!F20:G53)</f>
        <v>82875478</v>
      </c>
      <c r="O273" s="144" t="s">
        <v>295</v>
      </c>
      <c r="P273" s="204"/>
      <c r="Q273" s="187"/>
    </row>
    <row r="277" spans="14:24" x14ac:dyDescent="0.25">
      <c r="X277" s="230"/>
    </row>
  </sheetData>
  <autoFilter ref="A3:AC255" xr:uid="{00000000-0001-0000-0000-000000000000}"/>
  <customSheetViews>
    <customSheetView guid="{A894C457-AC24-41C3-B3B3-F885000CA59F}" scale="79" showAutoFilter="1">
      <selection sqref="A1:XFD1"/>
      <pageMargins left="0.7" right="0.7" top="0.75" bottom="0.75" header="0.3" footer="0.3"/>
      <pageSetup paperSize="9" orientation="portrait" verticalDpi="0" r:id="rId1"/>
      <autoFilter ref="A1:AN46" xr:uid="{05A3DE87-D383-4A2B-BBD2-7CE79960C466}"/>
    </customSheetView>
    <customSheetView guid="{512FD11E-1805-40CF-9281-A97D99C73B97}" scale="79" topLeftCell="B1">
      <pane ySplit="1" topLeftCell="A42" activePane="bottomLeft" state="frozen"/>
      <selection pane="bottomLeft" activeCell="K21" sqref="K21"/>
      <pageMargins left="0.7" right="0.7" top="0.75" bottom="0.75" header="0.3" footer="0.3"/>
    </customSheetView>
    <customSheetView guid="{5B7A7034-1D27-4339-9163-15908448B119}" scale="79" filter="1" showAutoFilter="1" hiddenColumns="1" topLeftCell="D1">
      <pane ySplit="1" topLeftCell="A2" activePane="bottomLeft" state="frozen"/>
      <selection pane="bottomLeft" activeCell="G1" sqref="G1:K1048576"/>
      <pageMargins left="0.7" right="0.7" top="0.75" bottom="0.75" header="0.3" footer="0.3"/>
      <pageSetup paperSize="9" orientation="portrait" verticalDpi="0" r:id="rId2"/>
      <autoFilter ref="A1:AN46" xr:uid="{0AC98EC7-A060-4516-AC09-6DC4B293D834}">
        <filterColumn colId="11">
          <filters>
            <dateGroupItem year="2020" month="3" dateTimeGrouping="month"/>
          </filters>
        </filterColumn>
      </autoFilter>
    </customSheetView>
  </customSheetViews>
  <conditionalFormatting sqref="N2">
    <cfRule type="cellIs" dxfId="6" priority="1" operator="equal">
      <formula>"HIBA"</formula>
    </cfRule>
  </conditionalFormatting>
  <dataValidations count="3">
    <dataValidation type="list" allowBlank="1" showInputMessage="1" showErrorMessage="1" sqref="I262:I268 I4 I255:I256" xr:uid="{50086E86-688C-4208-A4DE-4299FAF3E13D}">
      <formula1>"Tény,Kötváll"</formula1>
    </dataValidation>
    <dataValidation type="list" allowBlank="1" showInputMessage="1" showErrorMessage="1" sqref="I257:I261 I5:I254" xr:uid="{3B6416DD-C24D-4B64-A384-B4049F00FD74}">
      <formula1>"Tény,Kötváll,Terv"</formula1>
    </dataValidation>
    <dataValidation type="list" allowBlank="1" showInputMessage="1" showErrorMessage="1" sqref="Q4:Q268" xr:uid="{B55383C8-759D-4CFC-84F4-569B4B67242D}">
      <formula1>"bér,megbízási díj,többletfeladat"</formula1>
    </dataValidation>
  </dataValidations>
  <pageMargins left="0.7" right="0.7" top="0.75" bottom="0.75" header="0.3" footer="0.3"/>
  <pageSetup paperSize="9" orientation="portrait" r:id="rId3"/>
  <legacyDrawing r:id="rId4"/>
  <extLst>
    <ext xmlns:x14="http://schemas.microsoft.com/office/spreadsheetml/2009/9/main" uri="{CCE6A557-97BC-4b89-ADB6-D9C93CAAB3DF}">
      <x14:dataValidations xmlns:xm="http://schemas.microsoft.com/office/excel/2006/main" count="53">
        <x14:dataValidation type="list" allowBlank="1" showInputMessage="1" showErrorMessage="1" xr:uid="{5186867E-6363-42C9-9854-64367782C348}">
          <x14:formula1>
            <xm:f>admin!#REF!</xm:f>
          </x14:formula1>
          <xm:sqref>M269:M270 M272:M273 J274:M1048576 J269:L273 B269:D1048576 I269:I1048576</xm:sqref>
        </x14:dataValidation>
        <x14:dataValidation type="list" allowBlank="1" showInputMessage="1" showErrorMessage="1" xr:uid="{DBBF6B4B-4C89-40AF-8DD6-6C02FBC7069C}">
          <x14:formula1>
            <xm:f>admin!$B$2:$B$40</xm:f>
          </x14:formula1>
          <xm:sqref>C4:D4</xm:sqref>
        </x14:dataValidation>
        <x14:dataValidation type="date" allowBlank="1" showInputMessage="1" showErrorMessage="1" xr:uid="{8F5BD278-7157-480A-9A3A-92354AE496CA}">
          <x14:formula1>
            <xm:f>'dátumok, korlátok'!#REF!</xm:f>
          </x14:formula1>
          <x14:formula2>
            <xm:f>'dátumok, korlátok'!#REF!</xm:f>
          </x14:formula2>
          <xm:sqref>G267:G268</xm:sqref>
        </x14:dataValidation>
        <x14:dataValidation type="list" allowBlank="1" showInputMessage="1" showErrorMessage="1" xr:uid="{DA4DB0CF-AE6A-4584-9F30-6D11C2514276}">
          <x14:formula1>
            <xm:f>admin!$A$2:$A$40</xm:f>
          </x14:formula1>
          <xm:sqref>B4:B268</xm:sqref>
        </x14:dataValidation>
        <x14:dataValidation type="list" allowBlank="1" showInputMessage="1" showErrorMessage="1" xr:uid="{9325EF0A-524B-402F-BCB2-EB60FD92754E}">
          <x14:formula1>
            <xm:f>admin!$C$2:$C$40</xm:f>
          </x14:formula1>
          <xm:sqref>D5:D268</xm:sqref>
        </x14:dataValidation>
        <x14:dataValidation type="date" allowBlank="1" showInputMessage="1" showErrorMessage="1" xr:uid="{74CB87E6-1A16-4D53-89EF-632CBE44816D}">
          <x14:formula1>
            <xm:f>'dátumok, korlátok'!K1047775</xm:f>
          </x14:formula1>
          <x14:formula2>
            <xm:f>'dátumok, korlátok'!K1047780</xm:f>
          </x14:formula2>
          <xm:sqref>G1048301:G1048576</xm:sqref>
        </x14:dataValidation>
        <x14:dataValidation type="date" allowBlank="1" showInputMessage="1" showErrorMessage="1" xr:uid="{5EBD5E5B-C97A-414D-98A0-10A6C0E6A2CE}">
          <x14:formula1>
            <xm:f>'dátumok, korlátok'!K169</xm:f>
          </x14:formula1>
          <x14:formula2>
            <xm:f>'dátumok, korlátok'!K174</xm:f>
          </x14:formula2>
          <xm:sqref>G269:G273</xm:sqref>
        </x14:dataValidation>
        <x14:dataValidation type="date" allowBlank="1" showInputMessage="1" showErrorMessage="1" xr:uid="{5A365A68-059C-4428-A7F2-EAADF2694C52}">
          <x14:formula1>
            <xm:f>'dátumok, korlátok'!K154</xm:f>
          </x14:formula1>
          <x14:formula2>
            <xm:f>'dátumok, korlátok'!K159</xm:f>
          </x14:formula2>
          <xm:sqref>G274:G1048300 G248</xm:sqref>
        </x14:dataValidation>
        <x14:dataValidation type="date" allowBlank="1" showInputMessage="1" showErrorMessage="1" xr:uid="{09834B2C-63B9-4270-9E7A-0E49B2DDE1D7}">
          <x14:formula1>
            <xm:f>'dátumok, korlátok'!K115</xm:f>
          </x14:formula1>
          <x14:formula2>
            <xm:f>'dátumok, korlátok'!K120</xm:f>
          </x14:formula2>
          <xm:sqref>G266</xm:sqref>
        </x14:dataValidation>
        <x14:dataValidation type="date" allowBlank="1" showInputMessage="1" showErrorMessage="1" xr:uid="{2A7D5F13-8056-4D42-99CD-4E60C55F42F3}">
          <x14:formula1>
            <xm:f>'dátumok, korlátok'!K115</xm:f>
          </x14:formula1>
          <x14:formula2>
            <xm:f>'dátumok, korlátok'!K120</xm:f>
          </x14:formula2>
          <xm:sqref>G265</xm:sqref>
        </x14:dataValidation>
        <x14:dataValidation type="date" allowBlank="1" showInputMessage="1" showErrorMessage="1" xr:uid="{C5804308-645A-45DB-A1FD-51FE83074008}">
          <x14:formula1>
            <xm:f>'dátumok, korlátok'!K115</xm:f>
          </x14:formula1>
          <x14:formula2>
            <xm:f>'dátumok, korlátok'!K120</xm:f>
          </x14:formula2>
          <xm:sqref>G264</xm:sqref>
        </x14:dataValidation>
        <x14:dataValidation type="date" allowBlank="1" showInputMessage="1" showErrorMessage="1" xr:uid="{8DA19FB8-84C0-46A7-A873-B9FF93DAC426}">
          <x14:formula1>
            <xm:f>'dátumok, korlátok'!K115</xm:f>
          </x14:formula1>
          <x14:formula2>
            <xm:f>'dátumok, korlátok'!K120</xm:f>
          </x14:formula2>
          <xm:sqref>G263</xm:sqref>
        </x14:dataValidation>
        <x14:dataValidation type="date" allowBlank="1" showInputMessage="1" showErrorMessage="1" xr:uid="{E3680400-EB42-4FC1-BD1F-48EE093A78EE}">
          <x14:formula1>
            <xm:f>'dátumok, korlátok'!K115</xm:f>
          </x14:formula1>
          <x14:formula2>
            <xm:f>'dátumok, korlátok'!K120</xm:f>
          </x14:formula2>
          <xm:sqref>G262</xm:sqref>
        </x14:dataValidation>
        <x14:dataValidation type="date" allowBlank="1" showInputMessage="1" showErrorMessage="1" xr:uid="{480D8450-8D07-49F8-A366-EE81F97BFC63}">
          <x14:formula1>
            <xm:f>'dátumok, korlátok'!K115</xm:f>
          </x14:formula1>
          <x14:formula2>
            <xm:f>'dátumok, korlátok'!K120</xm:f>
          </x14:formula2>
          <xm:sqref>G261</xm:sqref>
        </x14:dataValidation>
        <x14:dataValidation type="date" allowBlank="1" showInputMessage="1" showErrorMessage="1" xr:uid="{BB60DB6E-EF98-4208-A839-EA9BC90B80FB}">
          <x14:formula1>
            <xm:f>'dátumok, korlátok'!K114</xm:f>
          </x14:formula1>
          <x14:formula2>
            <xm:f>'dátumok, korlátok'!K119</xm:f>
          </x14:formula2>
          <xm:sqref>G256:G257</xm:sqref>
        </x14:dataValidation>
        <x14:dataValidation type="date" allowBlank="1" showInputMessage="1" showErrorMessage="1" xr:uid="{20591587-48A6-41EB-9C8B-45FFECC05852}">
          <x14:formula1>
            <xm:f>'dátumok, korlátok'!K115</xm:f>
          </x14:formula1>
          <x14:formula2>
            <xm:f>'dátumok, korlátok'!K120</xm:f>
          </x14:formula2>
          <xm:sqref>G258:G259</xm:sqref>
        </x14:dataValidation>
        <x14:dataValidation type="date" allowBlank="1" showInputMessage="1" showErrorMessage="1" xr:uid="{CDB857E0-3368-4CF5-9BF2-427A7CBC3A84}">
          <x14:formula1>
            <xm:f>'dátumok, korlátok'!K116</xm:f>
          </x14:formula1>
          <x14:formula2>
            <xm:f>'dátumok, korlátok'!K121</xm:f>
          </x14:formula2>
          <xm:sqref>G260</xm:sqref>
        </x14:dataValidation>
        <x14:dataValidation type="date" allowBlank="1" showInputMessage="1" showErrorMessage="1" xr:uid="{F8E5B7D3-26D3-481B-BC4D-E2BC747A37EF}">
          <x14:formula1>
            <xm:f>'dátumok, korlátok'!K99</xm:f>
          </x14:formula1>
          <x14:formula2>
            <xm:f>'dátumok, korlátok'!K104</xm:f>
          </x14:formula2>
          <xm:sqref>G255</xm:sqref>
        </x14:dataValidation>
        <x14:dataValidation type="date" allowBlank="1" showInputMessage="1" showErrorMessage="1" xr:uid="{DF5DB548-E111-46A3-9E9C-4396C4461D25}">
          <x14:formula1>
            <xm:f>'dátumok, korlátok'!K99</xm:f>
          </x14:formula1>
          <x14:formula2>
            <xm:f>'dátumok, korlátok'!K104</xm:f>
          </x14:formula2>
          <xm:sqref>G254</xm:sqref>
        </x14:dataValidation>
        <x14:dataValidation type="date" allowBlank="1" showInputMessage="1" showErrorMessage="1" xr:uid="{108ED60F-DC2E-43B2-B34A-7670A3DE39CD}">
          <x14:formula1>
            <xm:f>'dátumok, korlátok'!K154</xm:f>
          </x14:formula1>
          <x14:formula2>
            <xm:f>'dátumok, korlátok'!K159</xm:f>
          </x14:formula2>
          <xm:sqref>G253</xm:sqref>
        </x14:dataValidation>
        <x14:dataValidation type="date" allowBlank="1" showInputMessage="1" showErrorMessage="1" xr:uid="{08FB534D-DA66-481E-9847-0309A5980543}">
          <x14:formula1>
            <xm:f>'dátumok, korlátok'!K154</xm:f>
          </x14:formula1>
          <x14:formula2>
            <xm:f>'dátumok, korlátok'!K159</xm:f>
          </x14:formula2>
          <xm:sqref>G252</xm:sqref>
        </x14:dataValidation>
        <x14:dataValidation type="date" allowBlank="1" showInputMessage="1" showErrorMessage="1" xr:uid="{7DB5541D-CEF0-4CD2-A41B-F7EE0DF31E7E}">
          <x14:formula1>
            <xm:f>'dátumok, korlátok'!K154</xm:f>
          </x14:formula1>
          <x14:formula2>
            <xm:f>'dátumok, korlátok'!K159</xm:f>
          </x14:formula2>
          <xm:sqref>G251</xm:sqref>
        </x14:dataValidation>
        <x14:dataValidation type="date" allowBlank="1" showInputMessage="1" showErrorMessage="1" xr:uid="{C3E0A8C0-1F61-4027-8785-D8253AB3FA82}">
          <x14:formula1>
            <xm:f>'dátumok, korlátok'!K154</xm:f>
          </x14:formula1>
          <x14:formula2>
            <xm:f>'dátumok, korlátok'!K159</xm:f>
          </x14:formula2>
          <xm:sqref>G250</xm:sqref>
        </x14:dataValidation>
        <x14:dataValidation type="date" allowBlank="1" showInputMessage="1" showErrorMessage="1" xr:uid="{18B92B8C-5D7C-444F-88FF-1939CBB0641A}">
          <x14:formula1>
            <xm:f>'dátumok, korlátok'!K154</xm:f>
          </x14:formula1>
          <x14:formula2>
            <xm:f>'dátumok, korlátok'!K159</xm:f>
          </x14:formula2>
          <xm:sqref>G249</xm:sqref>
        </x14:dataValidation>
        <x14:dataValidation type="date" allowBlank="1" showInputMessage="1" showErrorMessage="1" xr:uid="{33AC4ADC-9B79-4652-B160-CE93C34410A0}">
          <x14:formula1>
            <xm:f>'dátumok, korlátok'!K154</xm:f>
          </x14:formula1>
          <x14:formula2>
            <xm:f>'dátumok, korlátok'!K159</xm:f>
          </x14:formula2>
          <xm:sqref>G247</xm:sqref>
        </x14:dataValidation>
        <x14:dataValidation type="date" allowBlank="1" showInputMessage="1" showErrorMessage="1" xr:uid="{2E95A6AB-B5C2-4739-90E1-91C72FA68249}">
          <x14:formula1>
            <xm:f>'dátumok, korlátok'!K154</xm:f>
          </x14:formula1>
          <x14:formula2>
            <xm:f>'dátumok, korlátok'!K159</xm:f>
          </x14:formula2>
          <xm:sqref>G246</xm:sqref>
        </x14:dataValidation>
        <x14:dataValidation type="date" allowBlank="1" showInputMessage="1" showErrorMessage="1" xr:uid="{EAEC6875-F3C9-46D0-8858-F3C6C5185108}">
          <x14:formula1>
            <xm:f>'dátumok, korlátok'!K145</xm:f>
          </x14:formula1>
          <x14:formula2>
            <xm:f>'dátumok, korlátok'!K150</xm:f>
          </x14:formula2>
          <xm:sqref>G234</xm:sqref>
        </x14:dataValidation>
        <x14:dataValidation type="date" allowBlank="1" showInputMessage="1" showErrorMessage="1" xr:uid="{A31A8E0C-8A94-45B1-8629-0E8F45942A48}">
          <x14:formula1>
            <xm:f>'dátumok, korlátok'!K147</xm:f>
          </x14:formula1>
          <x14:formula2>
            <xm:f>'dátumok, korlátok'!K152</xm:f>
          </x14:formula2>
          <xm:sqref>G238 G245</xm:sqref>
        </x14:dataValidation>
        <x14:dataValidation type="date" allowBlank="1" showInputMessage="1" showErrorMessage="1" xr:uid="{B51B4B04-0764-4ED5-BAEE-406A9D6FD9C3}">
          <x14:formula1>
            <xm:f>'dátumok, korlátok'!K146</xm:f>
          </x14:formula1>
          <x14:formula2>
            <xm:f>'dátumok, korlátok'!K151</xm:f>
          </x14:formula2>
          <xm:sqref>G236</xm:sqref>
        </x14:dataValidation>
        <x14:dataValidation type="date" allowBlank="1" showInputMessage="1" showErrorMessage="1" xr:uid="{C4601267-3F35-4334-804B-0F1C9E60CBAB}">
          <x14:formula1>
            <xm:f>'dátumok, korlátok'!K144</xm:f>
          </x14:formula1>
          <x14:formula2>
            <xm:f>'dátumok, korlátok'!K149</xm:f>
          </x14:formula2>
          <xm:sqref>G232</xm:sqref>
        </x14:dataValidation>
        <x14:dataValidation type="date" allowBlank="1" showInputMessage="1" showErrorMessage="1" xr:uid="{88FB1497-1D2D-4834-9E14-150758DCA8ED}">
          <x14:formula1>
            <xm:f>'dátumok, korlátok'!K143</xm:f>
          </x14:formula1>
          <x14:formula2>
            <xm:f>'dátumok, korlátok'!K148</xm:f>
          </x14:formula2>
          <xm:sqref>G230</xm:sqref>
        </x14:dataValidation>
        <x14:dataValidation type="date" allowBlank="1" showInputMessage="1" showErrorMessage="1" xr:uid="{3794ABD0-D294-4146-ADF0-EE685802B0A2}">
          <x14:formula1>
            <xm:f>'dátumok, korlátok'!K44</xm:f>
          </x14:formula1>
          <x14:formula2>
            <xm:f>'dátumok, korlátok'!K49</xm:f>
          </x14:formula2>
          <xm:sqref>G202:G228 G130:G149 G239</xm:sqref>
        </x14:dataValidation>
        <x14:dataValidation type="date" allowBlank="1" showInputMessage="1" showErrorMessage="1" xr:uid="{F2D63852-3570-49B6-B35F-4143EA689F62}">
          <x14:formula1>
            <xm:f>'dátumok, korlátok'!K115</xm:f>
          </x14:formula1>
          <x14:formula2>
            <xm:f>'dátumok, korlátok'!K120</xm:f>
          </x14:formula2>
          <xm:sqref>G200:G201 G237</xm:sqref>
        </x14:dataValidation>
        <x14:dataValidation type="date" allowBlank="1" showInputMessage="1" showErrorMessage="1" xr:uid="{4A50D895-54A9-4109-9D84-B1E61D2D6FC5}">
          <x14:formula1>
            <xm:f>'dátumok, korlátok'!K1048501</xm:f>
          </x14:formula1>
          <x14:formula2>
            <xm:f>'dátumok, korlátok'!K1048506</xm:f>
          </x14:formula2>
          <xm:sqref>G198:G199 G9:G28 G150:G162 G235</xm:sqref>
        </x14:dataValidation>
        <x14:dataValidation type="date" allowBlank="1" showInputMessage="1" showErrorMessage="1" xr:uid="{E29AD69D-2619-4D2F-88EC-B2FDD6722D21}">
          <x14:formula1>
            <xm:f>'dátumok, korlátok'!K80</xm:f>
          </x14:formula1>
          <x14:formula2>
            <xm:f>'dátumok, korlátok'!K85</xm:f>
          </x14:formula2>
          <xm:sqref>G196:G197 G173 G171 G163:G169 G233 G244 G242 G240</xm:sqref>
        </x14:dataValidation>
        <x14:dataValidation type="date" allowBlank="1" showInputMessage="1" showErrorMessage="1" xr:uid="{4FF01AEA-5D39-46A5-8DE9-8F6F8E7C33DD}">
          <x14:formula1>
            <xm:f>'dátumok, korlátok'!K110</xm:f>
          </x14:formula1>
          <x14:formula2>
            <xm:f>'dátumok, korlátok'!K115</xm:f>
          </x14:formula2>
          <xm:sqref>G192:G195 G231</xm:sqref>
        </x14:dataValidation>
        <x14:dataValidation type="date" allowBlank="1" showInputMessage="1" showErrorMessage="1" xr:uid="{30F17C09-61F0-417B-AC84-5862129A3BD7}">
          <x14:formula1>
            <xm:f>'dátumok, korlátok'!K148</xm:f>
          </x14:formula1>
          <x14:formula2>
            <xm:f>'dátumok, korlátok'!K153</xm:f>
          </x14:formula2>
          <xm:sqref>G229</xm:sqref>
        </x14:dataValidation>
        <x14:dataValidation type="date" allowBlank="1" showInputMessage="1" showErrorMessage="1" xr:uid="{8C9DF8E4-0068-403C-AF83-04109BADB8CA}">
          <x14:formula1>
            <xm:f>'dátumok, korlátok'!K64</xm:f>
          </x14:formula1>
          <x14:formula2>
            <xm:f>'dátumok, korlátok'!K69</xm:f>
          </x14:formula2>
          <xm:sqref>G191</xm:sqref>
        </x14:dataValidation>
        <x14:dataValidation type="date" allowBlank="1" showInputMessage="1" showErrorMessage="1" xr:uid="{1E2BD36C-7275-4FC2-A166-C72F6D0B3D66}">
          <x14:formula1>
            <xm:f>'dátumok, korlátok'!K60</xm:f>
          </x14:formula1>
          <x14:formula2>
            <xm:f>'dátumok, korlátok'!K65</xm:f>
          </x14:formula2>
          <xm:sqref>G174:G190 G172 G170 G243 G241</xm:sqref>
        </x14:dataValidation>
        <x14:dataValidation type="date" allowBlank="1" showInputMessage="1" showErrorMessage="1" xr:uid="{6783564A-19D3-48E6-9DAD-561499AEE751}">
          <x14:formula1>
            <xm:f>'dátumok, korlátok'!K39</xm:f>
          </x14:formula1>
          <x14:formula2>
            <xm:f>'dátumok, korlátok'!K44</xm:f>
          </x14:formula2>
          <xm:sqref>G114:G129</xm:sqref>
        </x14:dataValidation>
        <x14:dataValidation type="date" allowBlank="1" showInputMessage="1" showErrorMessage="1" xr:uid="{D1CF3DCC-94D7-4EC2-9F05-2DD900A06CD1}">
          <x14:formula1>
            <xm:f>'dátumok, korlátok'!K55</xm:f>
          </x14:formula1>
          <x14:formula2>
            <xm:f>'dátumok, korlátok'!K60</xm:f>
          </x14:formula2>
          <xm:sqref>G84 G82 G80 G78 G76 G74 G88 G86</xm:sqref>
        </x14:dataValidation>
        <x14:dataValidation type="date" allowBlank="1" showInputMessage="1" showErrorMessage="1" xr:uid="{F2BE383A-9F77-4742-9C3E-58D965A276A1}">
          <x14:formula1>
            <xm:f>'dátumok, korlátok'!K57</xm:f>
          </x14:formula1>
          <x14:formula2>
            <xm:f>'dátumok, korlátok'!K62</xm:f>
          </x14:formula2>
          <xm:sqref>G75 G89 G87 G85 G83 G81 G79 G77</xm:sqref>
        </x14:dataValidation>
        <x14:dataValidation type="date" allowBlank="1" showInputMessage="1" showErrorMessage="1" xr:uid="{3CFBE143-9999-47E3-88B4-C26555D565C0}">
          <x14:formula1>
            <xm:f>'dátumok, korlátok'!K2</xm:f>
          </x14:formula1>
          <x14:formula2>
            <xm:f>'dátumok, korlátok'!#REF!</xm:f>
          </x14:formula2>
          <xm:sqref>G92 G104 G98 G96 G94 G100 G102 G108 G110 G112</xm:sqref>
        </x14:dataValidation>
        <x14:dataValidation type="date" allowBlank="1" showInputMessage="1" showErrorMessage="1" xr:uid="{8F7D11BE-8A94-48E6-8229-6E93DC381D41}">
          <x14:formula1>
            <xm:f>'dátumok, korlátok'!K1048566</xm:f>
          </x14:formula1>
          <x14:formula2>
            <xm:f>'dátumok, korlátok'!#REF!</xm:f>
          </x14:formula2>
          <xm:sqref>G90</xm:sqref>
        </x14:dataValidation>
        <x14:dataValidation type="date" allowBlank="1" showInputMessage="1" showErrorMessage="1" xr:uid="{E232DDFB-8CA0-4CD3-AD94-160CE943E44B}">
          <x14:formula1>
            <xm:f>'dátumok, korlátok'!K47</xm:f>
          </x14:formula1>
          <x14:formula2>
            <xm:f>'dátumok, korlátok'!K52</xm:f>
          </x14:formula2>
          <xm:sqref>G66 G60 G64 G62 G68 G70 G72</xm:sqref>
        </x14:dataValidation>
        <x14:dataValidation type="date" allowBlank="1" showInputMessage="1" showErrorMessage="1" xr:uid="{FFB6AD04-9F24-4E40-AE5C-7176DCF063AB}">
          <x14:formula1>
            <xm:f>'dátumok, korlátok'!K42</xm:f>
          </x14:formula1>
          <x14:formula2>
            <xm:f>'dátumok, korlátok'!K47</xm:f>
          </x14:formula2>
          <xm:sqref>G63 G54:G59 G61 G65 G67 G69 G71 G73</xm:sqref>
        </x14:dataValidation>
        <x14:dataValidation type="date" allowBlank="1" showInputMessage="1" showErrorMessage="1" xr:uid="{513B78C1-F786-4459-845B-F3804D8A3672}">
          <x14:formula1>
            <xm:f>'dátumok, korlátok'!K101</xm:f>
          </x14:formula1>
          <x14:formula2>
            <xm:f>'dátumok, korlátok'!K106</xm:f>
          </x14:formula2>
          <xm:sqref>G106</xm:sqref>
        </x14:dataValidation>
        <x14:dataValidation type="date" allowBlank="1" showInputMessage="1" showErrorMessage="1" xr:uid="{FC0F913C-C5DF-41F0-9E46-F61BA476B57F}">
          <x14:formula1>
            <xm:f>'dátumok, korlátok'!K47</xm:f>
          </x14:formula1>
          <x14:formula2>
            <xm:f>'dátumok, korlátok'!K52</xm:f>
          </x14:formula2>
          <xm:sqref>G49 G51 G53</xm:sqref>
        </x14:dataValidation>
        <x14:dataValidation type="date" allowBlank="1" showInputMessage="1" showErrorMessage="1" xr:uid="{83EEEA01-2DCF-4653-9812-C5C408983444}">
          <x14:formula1>
            <xm:f>'dátumok, korlátok'!K47</xm:f>
          </x14:formula1>
          <x14:formula2>
            <xm:f>'dátumok, korlátok'!K52</xm:f>
          </x14:formula2>
          <xm:sqref>G52 G48 G50</xm:sqref>
        </x14:dataValidation>
        <x14:dataValidation type="date" allowBlank="1" showInputMessage="1" showErrorMessage="1" xr:uid="{F98E3C82-3643-462C-932E-4C5EAEFC2C7E}">
          <x14:formula1>
            <xm:f>'dátumok, korlátok'!K32</xm:f>
          </x14:formula1>
          <x14:formula2>
            <xm:f>'dátumok, korlátok'!K37</xm:f>
          </x14:formula2>
          <xm:sqref>G34 G47 G44:G45 G42 G40 G38 G32 G30 G36</xm:sqref>
        </x14:dataValidation>
        <x14:dataValidation type="date" allowBlank="1" showInputMessage="1" showErrorMessage="1" xr:uid="{DA5FF957-CFD5-4542-AC84-634B20AA4ABE}">
          <x14:formula1>
            <xm:f>'dátumok, korlátok'!K32</xm:f>
          </x14:formula1>
          <x14:formula2>
            <xm:f>'dátumok, korlátok'!K37</xm:f>
          </x14:formula2>
          <xm:sqref>G31 G46 G33 G41 G39 G37 G29 G35 G43</xm:sqref>
        </x14:dataValidation>
        <x14:dataValidation type="date" allowBlank="1" showInputMessage="1" showErrorMessage="1" xr:uid="{BF0EF25E-824F-446D-8F3A-DA445AB2CAC4}">
          <x14:formula1>
            <xm:f>'dátumok, korlátok'!K18</xm:f>
          </x14:formula1>
          <x14:formula2>
            <xm:f>'dátumok, korlátok'!K23</xm:f>
          </x14:formula2>
          <xm:sqref>G8 G6</xm:sqref>
        </x14:dataValidation>
        <x14:dataValidation type="date" allowBlank="1" showInputMessage="1" showErrorMessage="1" xr:uid="{D6E2BA36-7ACF-430A-8F1F-27A9F3F437AF}">
          <x14:formula1>
            <xm:f>'dátumok, korlátok'!K18</xm:f>
          </x14:formula1>
          <x14:formula2>
            <xm:f>'dátumok, korlátok'!K23</xm:f>
          </x14:formula2>
          <xm:sqref>G5 G7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E8824-7641-4FCE-91C7-7484ABDBCFA8}">
  <dimension ref="A1:J147"/>
  <sheetViews>
    <sheetView tabSelected="1" zoomScaleNormal="100" workbookViewId="0">
      <pane ySplit="2" topLeftCell="A97" activePane="bottomLeft" state="frozen"/>
      <selection activeCell="D60" sqref="D60"/>
      <selection pane="bottomLeft" activeCell="H112" sqref="H112"/>
    </sheetView>
  </sheetViews>
  <sheetFormatPr defaultRowHeight="15" x14ac:dyDescent="0.25"/>
  <cols>
    <col min="1" max="1" width="9" style="6" customWidth="1"/>
    <col min="2" max="2" width="28.28515625" style="2" customWidth="1"/>
    <col min="3" max="3" width="21.42578125" customWidth="1"/>
    <col min="4" max="4" width="22.5703125" style="11" customWidth="1"/>
    <col min="5" max="5" width="33.42578125" style="8" customWidth="1"/>
    <col min="6" max="6" width="55.7109375" style="2" customWidth="1"/>
    <col min="7" max="7" width="15.5703125" style="7" customWidth="1"/>
    <col min="8" max="8" width="13.5703125" style="11" customWidth="1"/>
    <col min="9" max="9" width="18.28515625" style="10" customWidth="1"/>
    <col min="10" max="10" width="54.140625" customWidth="1"/>
  </cols>
  <sheetData>
    <row r="1" spans="1:10" x14ac:dyDescent="0.25">
      <c r="G1" s="188" t="str">
        <f>IF(G135-G137&lt;&gt; 0,"HIBA","HELYES")</f>
        <v>HELYES</v>
      </c>
    </row>
    <row r="2" spans="1:10" s="160" customFormat="1" ht="78" customHeight="1" x14ac:dyDescent="0.25">
      <c r="A2" s="159" t="s">
        <v>4</v>
      </c>
      <c r="B2" s="159" t="s">
        <v>3</v>
      </c>
      <c r="C2" s="164" t="s">
        <v>0</v>
      </c>
      <c r="D2" s="168" t="s">
        <v>234</v>
      </c>
      <c r="E2" s="159" t="s">
        <v>279</v>
      </c>
      <c r="F2" s="159" t="s">
        <v>277</v>
      </c>
      <c r="G2" s="161" t="s">
        <v>278</v>
      </c>
      <c r="H2" s="159" t="s">
        <v>257</v>
      </c>
      <c r="I2" s="169" t="s">
        <v>232</v>
      </c>
      <c r="J2" s="168" t="s">
        <v>7</v>
      </c>
    </row>
    <row r="3" spans="1:10" s="42" customFormat="1" ht="15" customHeight="1" x14ac:dyDescent="0.25">
      <c r="A3" s="162">
        <v>3</v>
      </c>
      <c r="B3" s="42" t="s">
        <v>39</v>
      </c>
      <c r="C3" s="42" t="s">
        <v>157</v>
      </c>
      <c r="D3" s="165">
        <v>5100002670</v>
      </c>
      <c r="E3" s="4" t="s">
        <v>126</v>
      </c>
      <c r="F3" s="42" t="s">
        <v>230</v>
      </c>
      <c r="G3" s="198">
        <v>889000</v>
      </c>
      <c r="H3" s="165" t="s">
        <v>248</v>
      </c>
      <c r="I3" s="181" t="s">
        <v>139</v>
      </c>
      <c r="J3" s="170">
        <v>202105192516</v>
      </c>
    </row>
    <row r="4" spans="1:10" s="42" customFormat="1" ht="15" customHeight="1" x14ac:dyDescent="0.25">
      <c r="A4" s="162">
        <v>3</v>
      </c>
      <c r="B4" s="42" t="s">
        <v>39</v>
      </c>
      <c r="C4" s="42" t="s">
        <v>157</v>
      </c>
      <c r="D4" s="165">
        <v>5100002672</v>
      </c>
      <c r="E4" s="4" t="s">
        <v>126</v>
      </c>
      <c r="F4" s="42" t="s">
        <v>231</v>
      </c>
      <c r="G4" s="198">
        <v>37400</v>
      </c>
      <c r="H4" s="165" t="s">
        <v>248</v>
      </c>
      <c r="I4" s="181" t="s">
        <v>139</v>
      </c>
      <c r="J4" s="170">
        <v>202105192516</v>
      </c>
    </row>
    <row r="5" spans="1:10" s="42" customFormat="1" ht="15" customHeight="1" x14ac:dyDescent="0.25">
      <c r="A5" s="162">
        <v>3</v>
      </c>
      <c r="B5" s="42" t="s">
        <v>39</v>
      </c>
      <c r="C5" s="42" t="s">
        <v>157</v>
      </c>
      <c r="D5" s="165" t="s">
        <v>291</v>
      </c>
      <c r="E5" s="4" t="s">
        <v>126</v>
      </c>
      <c r="F5" s="42" t="s">
        <v>140</v>
      </c>
      <c r="G5" s="198">
        <v>37400</v>
      </c>
      <c r="H5" s="165" t="s">
        <v>248</v>
      </c>
      <c r="I5" s="181" t="s">
        <v>139</v>
      </c>
      <c r="J5" s="170">
        <v>202105192516</v>
      </c>
    </row>
    <row r="6" spans="1:10" s="42" customFormat="1" ht="15" customHeight="1" x14ac:dyDescent="0.25">
      <c r="A6" s="162">
        <v>3</v>
      </c>
      <c r="B6" s="42" t="s">
        <v>39</v>
      </c>
      <c r="C6" s="42" t="s">
        <v>157</v>
      </c>
      <c r="D6" s="165" t="s">
        <v>285</v>
      </c>
      <c r="E6" s="4" t="s">
        <v>126</v>
      </c>
      <c r="F6" s="42" t="s">
        <v>425</v>
      </c>
      <c r="G6" s="198">
        <v>889000</v>
      </c>
      <c r="H6" s="165" t="s">
        <v>248</v>
      </c>
      <c r="I6" s="181" t="s">
        <v>139</v>
      </c>
      <c r="J6" s="170">
        <v>202105192516</v>
      </c>
    </row>
    <row r="7" spans="1:10" s="42" customFormat="1" ht="15" customHeight="1" x14ac:dyDescent="0.25">
      <c r="A7" s="162">
        <v>3</v>
      </c>
      <c r="B7" s="42" t="s">
        <v>39</v>
      </c>
      <c r="C7" s="42" t="s">
        <v>157</v>
      </c>
      <c r="D7" s="165" t="s">
        <v>286</v>
      </c>
      <c r="E7" s="4" t="s">
        <v>126</v>
      </c>
      <c r="F7" s="42" t="s">
        <v>138</v>
      </c>
      <c r="G7" s="198">
        <v>1186100</v>
      </c>
      <c r="H7" s="165" t="s">
        <v>248</v>
      </c>
      <c r="I7" s="181" t="s">
        <v>139</v>
      </c>
      <c r="J7" s="170" t="s">
        <v>281</v>
      </c>
    </row>
    <row r="8" spans="1:10" s="42" customFormat="1" ht="15" customHeight="1" x14ac:dyDescent="0.25">
      <c r="A8" s="162">
        <v>3</v>
      </c>
      <c r="B8" s="42" t="s">
        <v>39</v>
      </c>
      <c r="C8" s="42" t="s">
        <v>157</v>
      </c>
      <c r="D8" s="165">
        <v>5100001582</v>
      </c>
      <c r="E8" s="4" t="s">
        <v>129</v>
      </c>
      <c r="F8" s="42" t="s">
        <v>141</v>
      </c>
      <c r="G8" s="198">
        <v>154000</v>
      </c>
      <c r="H8" s="165" t="s">
        <v>248</v>
      </c>
      <c r="I8" s="181" t="s">
        <v>139</v>
      </c>
      <c r="J8" s="170"/>
    </row>
    <row r="9" spans="1:10" s="42" customFormat="1" ht="15" customHeight="1" x14ac:dyDescent="0.25">
      <c r="A9" s="162">
        <v>3</v>
      </c>
      <c r="B9" s="42" t="s">
        <v>45</v>
      </c>
      <c r="C9" s="42" t="s">
        <v>156</v>
      </c>
      <c r="D9" s="165" t="s">
        <v>283</v>
      </c>
      <c r="E9" s="4" t="s">
        <v>282</v>
      </c>
      <c r="F9" s="42" t="s">
        <v>136</v>
      </c>
      <c r="G9" s="198">
        <v>1270000</v>
      </c>
      <c r="H9" s="165" t="s">
        <v>248</v>
      </c>
      <c r="I9" s="181" t="s">
        <v>12</v>
      </c>
      <c r="J9" s="170">
        <v>20210804257</v>
      </c>
    </row>
    <row r="10" spans="1:10" s="42" customFormat="1" ht="15" customHeight="1" x14ac:dyDescent="0.25">
      <c r="A10" s="162">
        <v>3</v>
      </c>
      <c r="B10" s="42" t="s">
        <v>29</v>
      </c>
      <c r="C10" s="42" t="s">
        <v>159</v>
      </c>
      <c r="D10" s="165" t="s">
        <v>287</v>
      </c>
      <c r="E10" s="4" t="s">
        <v>133</v>
      </c>
      <c r="F10" s="4" t="s">
        <v>142</v>
      </c>
      <c r="G10" s="198">
        <v>13430</v>
      </c>
      <c r="H10" s="165" t="s">
        <v>248</v>
      </c>
      <c r="I10" s="181" t="s">
        <v>139</v>
      </c>
      <c r="J10" s="170"/>
    </row>
    <row r="11" spans="1:10" s="42" customFormat="1" ht="15" customHeight="1" x14ac:dyDescent="0.25">
      <c r="A11" s="162">
        <v>3</v>
      </c>
      <c r="B11" s="42" t="s">
        <v>29</v>
      </c>
      <c r="C11" s="42" t="s">
        <v>159</v>
      </c>
      <c r="D11" s="165" t="s">
        <v>289</v>
      </c>
      <c r="E11" s="4" t="s">
        <v>133</v>
      </c>
      <c r="F11" s="4" t="s">
        <v>143</v>
      </c>
      <c r="G11" s="198">
        <v>11416</v>
      </c>
      <c r="H11" s="165" t="s">
        <v>248</v>
      </c>
      <c r="I11" s="181" t="s">
        <v>139</v>
      </c>
      <c r="J11" s="170"/>
    </row>
    <row r="12" spans="1:10" s="42" customFormat="1" ht="15" customHeight="1" x14ac:dyDescent="0.25">
      <c r="A12" s="162">
        <v>3</v>
      </c>
      <c r="B12" s="42" t="s">
        <v>29</v>
      </c>
      <c r="C12" s="42" t="s">
        <v>159</v>
      </c>
      <c r="D12" s="165" t="s">
        <v>288</v>
      </c>
      <c r="E12" s="4" t="s">
        <v>133</v>
      </c>
      <c r="F12" s="4" t="s">
        <v>144</v>
      </c>
      <c r="G12" s="198">
        <v>12950</v>
      </c>
      <c r="H12" s="165" t="s">
        <v>248</v>
      </c>
      <c r="I12" s="181" t="s">
        <v>139</v>
      </c>
      <c r="J12" s="170"/>
    </row>
    <row r="13" spans="1:10" s="42" customFormat="1" ht="15" customHeight="1" x14ac:dyDescent="0.25">
      <c r="A13" s="162">
        <v>3</v>
      </c>
      <c r="B13" s="42" t="s">
        <v>29</v>
      </c>
      <c r="C13" s="42" t="s">
        <v>159</v>
      </c>
      <c r="D13" s="165" t="s">
        <v>290</v>
      </c>
      <c r="E13" s="4" t="s">
        <v>133</v>
      </c>
      <c r="F13" s="4" t="s">
        <v>244</v>
      </c>
      <c r="G13" s="198">
        <v>34470</v>
      </c>
      <c r="H13" s="165" t="s">
        <v>248</v>
      </c>
      <c r="I13" s="181" t="s">
        <v>139</v>
      </c>
      <c r="J13" s="170"/>
    </row>
    <row r="14" spans="1:10" s="2" customFormat="1" ht="15" customHeight="1" x14ac:dyDescent="0.25">
      <c r="A14" s="162">
        <v>3</v>
      </c>
      <c r="B14" s="42" t="s">
        <v>39</v>
      </c>
      <c r="C14" s="42" t="s">
        <v>157</v>
      </c>
      <c r="D14" s="6" t="s">
        <v>284</v>
      </c>
      <c r="E14" s="4" t="s">
        <v>126</v>
      </c>
      <c r="F14" s="42" t="s">
        <v>233</v>
      </c>
      <c r="G14" s="198">
        <v>37400</v>
      </c>
      <c r="H14" s="165" t="s">
        <v>248</v>
      </c>
      <c r="I14" s="181" t="s">
        <v>12</v>
      </c>
      <c r="J14" s="170" t="s">
        <v>280</v>
      </c>
    </row>
    <row r="15" spans="1:10" s="42" customFormat="1" ht="15" customHeight="1" x14ac:dyDescent="0.25">
      <c r="A15" s="162">
        <v>3</v>
      </c>
      <c r="B15" s="42" t="s">
        <v>132</v>
      </c>
      <c r="C15" s="42" t="s">
        <v>158</v>
      </c>
      <c r="D15" s="165">
        <v>5100003935</v>
      </c>
      <c r="E15" s="4" t="s">
        <v>238</v>
      </c>
      <c r="F15" s="4" t="s">
        <v>237</v>
      </c>
      <c r="G15" s="198">
        <v>76675</v>
      </c>
      <c r="H15" s="165" t="s">
        <v>248</v>
      </c>
      <c r="I15" s="181" t="s">
        <v>139</v>
      </c>
      <c r="J15" s="170"/>
    </row>
    <row r="16" spans="1:10" s="42" customFormat="1" ht="15" customHeight="1" x14ac:dyDescent="0.25">
      <c r="A16" s="162">
        <v>3</v>
      </c>
      <c r="B16" s="42" t="s">
        <v>33</v>
      </c>
      <c r="C16" s="42" t="s">
        <v>158</v>
      </c>
      <c r="D16" s="165">
        <v>5100005387</v>
      </c>
      <c r="E16" s="42" t="s">
        <v>247</v>
      </c>
      <c r="F16" s="42" t="s">
        <v>246</v>
      </c>
      <c r="G16" s="198">
        <v>123433</v>
      </c>
      <c r="H16" s="165" t="s">
        <v>248</v>
      </c>
      <c r="I16" s="181" t="s">
        <v>139</v>
      </c>
      <c r="J16" s="170"/>
    </row>
    <row r="17" spans="1:10" s="42" customFormat="1" ht="15" customHeight="1" x14ac:dyDescent="0.25">
      <c r="A17" s="163"/>
      <c r="B17" s="42" t="s">
        <v>296</v>
      </c>
      <c r="C17" s="42" t="s">
        <v>159</v>
      </c>
      <c r="D17" s="165" t="s">
        <v>297</v>
      </c>
      <c r="E17" s="42" t="s">
        <v>298</v>
      </c>
      <c r="F17" s="42" t="s">
        <v>299</v>
      </c>
      <c r="G17" s="198">
        <v>444500</v>
      </c>
      <c r="H17" s="165" t="s">
        <v>267</v>
      </c>
      <c r="I17" s="181" t="s">
        <v>139</v>
      </c>
      <c r="J17" s="170"/>
    </row>
    <row r="18" spans="1:10" s="42" customFormat="1" ht="15" customHeight="1" x14ac:dyDescent="0.25">
      <c r="A18" s="162">
        <v>3</v>
      </c>
      <c r="B18" s="42" t="s">
        <v>29</v>
      </c>
      <c r="C18" s="42" t="s">
        <v>159</v>
      </c>
      <c r="D18" s="165">
        <v>5100006146</v>
      </c>
      <c r="E18" s="4" t="s">
        <v>133</v>
      </c>
      <c r="F18" s="4" t="s">
        <v>301</v>
      </c>
      <c r="G18" s="198">
        <v>41370</v>
      </c>
      <c r="H18" s="165" t="s">
        <v>248</v>
      </c>
      <c r="I18" s="181" t="s">
        <v>139</v>
      </c>
      <c r="J18" s="170"/>
    </row>
    <row r="19" spans="1:10" s="42" customFormat="1" ht="15" customHeight="1" x14ac:dyDescent="0.25">
      <c r="A19" s="162">
        <v>3</v>
      </c>
      <c r="B19" s="42" t="s">
        <v>29</v>
      </c>
      <c r="C19" s="42" t="s">
        <v>159</v>
      </c>
      <c r="D19" s="165">
        <v>5100006147</v>
      </c>
      <c r="E19" s="4" t="s">
        <v>133</v>
      </c>
      <c r="F19" s="4" t="s">
        <v>300</v>
      </c>
      <c r="G19" s="198">
        <v>67062</v>
      </c>
      <c r="H19" s="165" t="s">
        <v>248</v>
      </c>
      <c r="I19" s="181" t="s">
        <v>139</v>
      </c>
      <c r="J19" s="170"/>
    </row>
    <row r="20" spans="1:10" s="42" customFormat="1" ht="15" customHeight="1" x14ac:dyDescent="0.25">
      <c r="A20" s="162">
        <v>3</v>
      </c>
      <c r="B20" s="42" t="s">
        <v>29</v>
      </c>
      <c r="C20" s="42" t="s">
        <v>159</v>
      </c>
      <c r="D20" s="165">
        <v>5100006776</v>
      </c>
      <c r="E20" s="4" t="s">
        <v>133</v>
      </c>
      <c r="F20" s="4" t="s">
        <v>309</v>
      </c>
      <c r="G20" s="198">
        <v>18890</v>
      </c>
      <c r="H20" s="165" t="s">
        <v>248</v>
      </c>
      <c r="I20" s="181" t="s">
        <v>139</v>
      </c>
      <c r="J20" s="170"/>
    </row>
    <row r="21" spans="1:10" s="42" customFormat="1" ht="15" customHeight="1" x14ac:dyDescent="0.25">
      <c r="A21" s="162">
        <v>3</v>
      </c>
      <c r="B21" s="42" t="s">
        <v>29</v>
      </c>
      <c r="C21" s="42" t="s">
        <v>159</v>
      </c>
      <c r="D21" s="165">
        <v>5100007144</v>
      </c>
      <c r="E21" s="42" t="s">
        <v>310</v>
      </c>
      <c r="F21" s="42" t="s">
        <v>311</v>
      </c>
      <c r="G21" s="198">
        <v>101600</v>
      </c>
      <c r="H21" s="165" t="s">
        <v>248</v>
      </c>
      <c r="I21" s="181" t="s">
        <v>139</v>
      </c>
      <c r="J21" s="170"/>
    </row>
    <row r="22" spans="1:10" s="42" customFormat="1" ht="15" customHeight="1" x14ac:dyDescent="0.25">
      <c r="A22" s="162">
        <v>3</v>
      </c>
      <c r="B22" s="42" t="s">
        <v>31</v>
      </c>
      <c r="C22" s="42" t="s">
        <v>158</v>
      </c>
      <c r="D22" s="165">
        <v>5100007834</v>
      </c>
      <c r="E22" s="42" t="s">
        <v>312</v>
      </c>
      <c r="F22" s="42" t="s">
        <v>315</v>
      </c>
      <c r="G22" s="198">
        <v>708609</v>
      </c>
      <c r="H22" s="165" t="s">
        <v>248</v>
      </c>
      <c r="I22" s="181" t="s">
        <v>139</v>
      </c>
      <c r="J22" s="170"/>
    </row>
    <row r="23" spans="1:10" s="42" customFormat="1" ht="15" customHeight="1" x14ac:dyDescent="0.25">
      <c r="A23" s="162">
        <v>3</v>
      </c>
      <c r="B23" s="42" t="s">
        <v>33</v>
      </c>
      <c r="C23" s="42" t="s">
        <v>158</v>
      </c>
      <c r="D23" s="165">
        <v>5100007834</v>
      </c>
      <c r="E23" s="42" t="s">
        <v>312</v>
      </c>
      <c r="F23" s="42" t="s">
        <v>361</v>
      </c>
      <c r="G23" s="198">
        <v>60796</v>
      </c>
      <c r="H23" s="165" t="s">
        <v>248</v>
      </c>
      <c r="I23" s="181" t="s">
        <v>139</v>
      </c>
      <c r="J23" s="170"/>
    </row>
    <row r="24" spans="1:10" s="42" customFormat="1" ht="15" customHeight="1" x14ac:dyDescent="0.25">
      <c r="A24" s="162">
        <v>3</v>
      </c>
      <c r="B24" s="42" t="s">
        <v>31</v>
      </c>
      <c r="C24" s="42" t="s">
        <v>158</v>
      </c>
      <c r="D24" s="165">
        <v>5100007968</v>
      </c>
      <c r="E24" s="42" t="s">
        <v>313</v>
      </c>
      <c r="F24" s="42" t="s">
        <v>314</v>
      </c>
      <c r="G24" s="198">
        <v>35827</v>
      </c>
      <c r="H24" s="165" t="s">
        <v>248</v>
      </c>
      <c r="I24" s="181" t="s">
        <v>139</v>
      </c>
      <c r="J24" s="170"/>
    </row>
    <row r="25" spans="1:10" s="42" customFormat="1" ht="15" customHeight="1" x14ac:dyDescent="0.25">
      <c r="A25" s="163"/>
      <c r="B25" s="42" t="s">
        <v>52</v>
      </c>
      <c r="C25" s="42" t="s">
        <v>147</v>
      </c>
      <c r="D25" s="165"/>
      <c r="E25" s="42" t="s">
        <v>316</v>
      </c>
      <c r="F25" s="42" t="s">
        <v>317</v>
      </c>
      <c r="G25" s="199">
        <f>1010508-126312-126312</f>
        <v>757884</v>
      </c>
      <c r="H25" s="165" t="s">
        <v>267</v>
      </c>
      <c r="I25" s="181" t="s">
        <v>139</v>
      </c>
      <c r="J25" s="170"/>
    </row>
    <row r="26" spans="1:10" s="42" customFormat="1" ht="15" customHeight="1" x14ac:dyDescent="0.25">
      <c r="A26" s="163"/>
      <c r="B26" s="42" t="s">
        <v>170</v>
      </c>
      <c r="C26" s="42" t="s">
        <v>154</v>
      </c>
      <c r="D26" s="165"/>
      <c r="E26" s="42" t="s">
        <v>316</v>
      </c>
      <c r="F26" s="42" t="s">
        <v>318</v>
      </c>
      <c r="G26" s="199">
        <f>666672-83333-83333</f>
        <v>500006</v>
      </c>
      <c r="H26" s="165" t="s">
        <v>267</v>
      </c>
      <c r="I26" s="181" t="s">
        <v>139</v>
      </c>
      <c r="J26" s="170"/>
    </row>
    <row r="27" spans="1:10" s="42" customFormat="1" ht="15" customHeight="1" x14ac:dyDescent="0.25">
      <c r="A27" s="163">
        <v>3</v>
      </c>
      <c r="B27" s="42" t="s">
        <v>52</v>
      </c>
      <c r="C27" s="42" t="s">
        <v>147</v>
      </c>
      <c r="D27" s="165">
        <v>5100006586</v>
      </c>
      <c r="E27" s="42" t="s">
        <v>316</v>
      </c>
      <c r="F27" s="42" t="s">
        <v>319</v>
      </c>
      <c r="G27" s="199">
        <v>136416</v>
      </c>
      <c r="H27" s="165" t="s">
        <v>248</v>
      </c>
      <c r="I27" s="181" t="s">
        <v>139</v>
      </c>
      <c r="J27" s="170"/>
    </row>
    <row r="28" spans="1:10" s="42" customFormat="1" ht="15" customHeight="1" x14ac:dyDescent="0.25">
      <c r="A28" s="163">
        <v>3</v>
      </c>
      <c r="B28" s="42" t="s">
        <v>52</v>
      </c>
      <c r="C28" s="42" t="s">
        <v>147</v>
      </c>
      <c r="D28" s="165">
        <v>5100007670</v>
      </c>
      <c r="E28" s="42" t="s">
        <v>316</v>
      </c>
      <c r="F28" s="42" t="s">
        <v>320</v>
      </c>
      <c r="G28" s="199">
        <v>95998</v>
      </c>
      <c r="H28" s="165" t="s">
        <v>248</v>
      </c>
      <c r="I28" s="181" t="s">
        <v>139</v>
      </c>
      <c r="J28" s="170"/>
    </row>
    <row r="29" spans="1:10" s="42" customFormat="1" ht="15" customHeight="1" x14ac:dyDescent="0.25">
      <c r="A29" s="163">
        <v>3</v>
      </c>
      <c r="B29" s="42" t="s">
        <v>52</v>
      </c>
      <c r="C29" s="42" t="s">
        <v>147</v>
      </c>
      <c r="D29" s="165">
        <v>5100005908</v>
      </c>
      <c r="E29" s="42" t="s">
        <v>316</v>
      </c>
      <c r="F29" s="42" t="s">
        <v>321</v>
      </c>
      <c r="G29" s="199">
        <v>20210</v>
      </c>
      <c r="H29" s="165" t="s">
        <v>248</v>
      </c>
      <c r="I29" s="181" t="s">
        <v>139</v>
      </c>
      <c r="J29" s="170"/>
    </row>
    <row r="30" spans="1:10" s="42" customFormat="1" ht="15" customHeight="1" x14ac:dyDescent="0.25">
      <c r="A30" s="163">
        <v>3</v>
      </c>
      <c r="B30" s="42" t="s">
        <v>170</v>
      </c>
      <c r="C30" s="42" t="s">
        <v>154</v>
      </c>
      <c r="D30" s="165">
        <v>5100006586</v>
      </c>
      <c r="E30" s="42" t="s">
        <v>316</v>
      </c>
      <c r="F30" s="42" t="s">
        <v>322</v>
      </c>
      <c r="G30" s="199">
        <v>89998</v>
      </c>
      <c r="H30" s="165" t="s">
        <v>248</v>
      </c>
      <c r="I30" s="181" t="s">
        <v>139</v>
      </c>
      <c r="J30" s="170"/>
    </row>
    <row r="31" spans="1:10" s="42" customFormat="1" ht="15" customHeight="1" x14ac:dyDescent="0.25">
      <c r="A31" s="163">
        <v>3</v>
      </c>
      <c r="B31" s="42" t="s">
        <v>170</v>
      </c>
      <c r="C31" s="42" t="s">
        <v>154</v>
      </c>
      <c r="D31" s="165">
        <v>5100007670</v>
      </c>
      <c r="E31" s="42" t="s">
        <v>316</v>
      </c>
      <c r="F31" s="42" t="s">
        <v>323</v>
      </c>
      <c r="G31" s="199">
        <v>63334</v>
      </c>
      <c r="H31" s="165" t="s">
        <v>248</v>
      </c>
      <c r="I31" s="181" t="s">
        <v>139</v>
      </c>
      <c r="J31" s="170"/>
    </row>
    <row r="32" spans="1:10" s="42" customFormat="1" ht="15" customHeight="1" x14ac:dyDescent="0.25">
      <c r="A32" s="163">
        <v>3</v>
      </c>
      <c r="B32" s="42" t="s">
        <v>170</v>
      </c>
      <c r="C32" s="42" t="s">
        <v>154</v>
      </c>
      <c r="D32" s="165">
        <v>5100005908</v>
      </c>
      <c r="E32" s="42" t="s">
        <v>316</v>
      </c>
      <c r="F32" s="42" t="s">
        <v>324</v>
      </c>
      <c r="G32" s="199">
        <v>13334</v>
      </c>
      <c r="H32" s="165" t="s">
        <v>248</v>
      </c>
      <c r="I32" s="181" t="s">
        <v>139</v>
      </c>
      <c r="J32" s="170"/>
    </row>
    <row r="33" spans="1:10" s="42" customFormat="1" ht="15" customHeight="1" x14ac:dyDescent="0.25">
      <c r="A33" s="163">
        <v>3</v>
      </c>
      <c r="B33" s="42" t="s">
        <v>52</v>
      </c>
      <c r="C33" s="42" t="s">
        <v>147</v>
      </c>
      <c r="D33" s="165">
        <v>5100006586</v>
      </c>
      <c r="E33" s="42" t="s">
        <v>316</v>
      </c>
      <c r="F33" s="42" t="s">
        <v>325</v>
      </c>
      <c r="G33" s="199">
        <v>545664</v>
      </c>
      <c r="H33" s="165" t="s">
        <v>248</v>
      </c>
      <c r="I33" s="181" t="s">
        <v>139</v>
      </c>
      <c r="J33" s="218"/>
    </row>
    <row r="34" spans="1:10" s="42" customFormat="1" ht="15" customHeight="1" x14ac:dyDescent="0.25">
      <c r="A34" s="163">
        <v>3</v>
      </c>
      <c r="B34" s="42" t="s">
        <v>52</v>
      </c>
      <c r="C34" s="42" t="s">
        <v>147</v>
      </c>
      <c r="D34" s="165">
        <v>5100007670</v>
      </c>
      <c r="E34" s="42" t="s">
        <v>316</v>
      </c>
      <c r="F34" s="42" t="s">
        <v>326</v>
      </c>
      <c r="G34" s="199">
        <v>383992</v>
      </c>
      <c r="H34" s="165" t="s">
        <v>248</v>
      </c>
      <c r="I34" s="181" t="s">
        <v>139</v>
      </c>
      <c r="J34" s="218"/>
    </row>
    <row r="35" spans="1:10" s="42" customFormat="1" ht="15" customHeight="1" x14ac:dyDescent="0.25">
      <c r="A35" s="163">
        <v>3</v>
      </c>
      <c r="B35" s="42" t="s">
        <v>52</v>
      </c>
      <c r="C35" s="42" t="s">
        <v>147</v>
      </c>
      <c r="D35" s="165">
        <v>5100005908</v>
      </c>
      <c r="E35" s="42" t="s">
        <v>316</v>
      </c>
      <c r="F35" s="42" t="s">
        <v>327</v>
      </c>
      <c r="G35" s="199">
        <v>80840</v>
      </c>
      <c r="H35" s="165" t="s">
        <v>248</v>
      </c>
      <c r="I35" s="181" t="s">
        <v>139</v>
      </c>
      <c r="J35" s="218"/>
    </row>
    <row r="36" spans="1:10" s="42" customFormat="1" ht="15" customHeight="1" x14ac:dyDescent="0.25">
      <c r="A36" s="163">
        <v>3</v>
      </c>
      <c r="B36" s="42" t="s">
        <v>170</v>
      </c>
      <c r="C36" s="42" t="s">
        <v>154</v>
      </c>
      <c r="D36" s="165">
        <v>5100006586</v>
      </c>
      <c r="E36" s="42" t="s">
        <v>316</v>
      </c>
      <c r="F36" s="42" t="s">
        <v>328</v>
      </c>
      <c r="G36" s="199">
        <v>359992</v>
      </c>
      <c r="H36" s="165" t="s">
        <v>248</v>
      </c>
      <c r="I36" s="181" t="s">
        <v>139</v>
      </c>
      <c r="J36" s="218"/>
    </row>
    <row r="37" spans="1:10" s="42" customFormat="1" ht="15" customHeight="1" x14ac:dyDescent="0.25">
      <c r="A37" s="163">
        <v>3</v>
      </c>
      <c r="B37" s="42" t="s">
        <v>170</v>
      </c>
      <c r="C37" s="42" t="s">
        <v>154</v>
      </c>
      <c r="D37" s="165">
        <v>5100007670</v>
      </c>
      <c r="E37" s="42" t="s">
        <v>316</v>
      </c>
      <c r="F37" s="42" t="s">
        <v>329</v>
      </c>
      <c r="G37" s="199">
        <v>253336</v>
      </c>
      <c r="H37" s="165" t="s">
        <v>248</v>
      </c>
      <c r="I37" s="181" t="s">
        <v>139</v>
      </c>
      <c r="J37" s="218"/>
    </row>
    <row r="38" spans="1:10" s="42" customFormat="1" ht="15" customHeight="1" x14ac:dyDescent="0.25">
      <c r="A38" s="163">
        <v>3</v>
      </c>
      <c r="B38" s="42" t="s">
        <v>170</v>
      </c>
      <c r="C38" s="42" t="s">
        <v>154</v>
      </c>
      <c r="D38" s="165">
        <v>5100005908</v>
      </c>
      <c r="E38" s="42" t="s">
        <v>316</v>
      </c>
      <c r="F38" s="42" t="s">
        <v>330</v>
      </c>
      <c r="G38" s="199">
        <v>53336</v>
      </c>
      <c r="H38" s="165" t="s">
        <v>248</v>
      </c>
      <c r="I38" s="181" t="s">
        <v>139</v>
      </c>
      <c r="J38" s="218"/>
    </row>
    <row r="39" spans="1:10" s="42" customFormat="1" ht="15" customHeight="1" x14ac:dyDescent="0.25">
      <c r="A39" s="163">
        <v>3</v>
      </c>
      <c r="B39" s="42" t="s">
        <v>52</v>
      </c>
      <c r="C39" s="42" t="s">
        <v>147</v>
      </c>
      <c r="D39" s="165">
        <v>5100006586</v>
      </c>
      <c r="E39" s="42" t="s">
        <v>316</v>
      </c>
      <c r="F39" s="42" t="s">
        <v>352</v>
      </c>
      <c r="G39" s="199">
        <v>136416</v>
      </c>
      <c r="H39" s="165" t="s">
        <v>248</v>
      </c>
      <c r="I39" s="181" t="s">
        <v>139</v>
      </c>
      <c r="J39" s="218"/>
    </row>
    <row r="40" spans="1:10" s="42" customFormat="1" ht="15" customHeight="1" x14ac:dyDescent="0.25">
      <c r="A40" s="163">
        <v>3</v>
      </c>
      <c r="B40" s="42" t="s">
        <v>52</v>
      </c>
      <c r="C40" s="42" t="s">
        <v>147</v>
      </c>
      <c r="D40" s="165">
        <v>5100007670</v>
      </c>
      <c r="E40" s="42" t="s">
        <v>316</v>
      </c>
      <c r="F40" s="42" t="s">
        <v>353</v>
      </c>
      <c r="G40" s="199">
        <v>95998</v>
      </c>
      <c r="H40" s="165" t="s">
        <v>248</v>
      </c>
      <c r="I40" s="181" t="s">
        <v>139</v>
      </c>
      <c r="J40" s="218"/>
    </row>
    <row r="41" spans="1:10" s="42" customFormat="1" ht="15" customHeight="1" x14ac:dyDescent="0.25">
      <c r="A41" s="163">
        <v>3</v>
      </c>
      <c r="B41" s="42" t="s">
        <v>52</v>
      </c>
      <c r="C41" s="42" t="s">
        <v>147</v>
      </c>
      <c r="D41" s="165">
        <v>5100005908</v>
      </c>
      <c r="E41" s="42" t="s">
        <v>316</v>
      </c>
      <c r="F41" s="42" t="s">
        <v>354</v>
      </c>
      <c r="G41" s="199">
        <v>20210</v>
      </c>
      <c r="H41" s="165" t="s">
        <v>248</v>
      </c>
      <c r="I41" s="181" t="s">
        <v>139</v>
      </c>
      <c r="J41" s="218"/>
    </row>
    <row r="42" spans="1:10" s="42" customFormat="1" ht="15" customHeight="1" x14ac:dyDescent="0.25">
      <c r="A42" s="163">
        <v>3</v>
      </c>
      <c r="B42" s="42" t="s">
        <v>170</v>
      </c>
      <c r="C42" s="42" t="s">
        <v>154</v>
      </c>
      <c r="D42" s="165">
        <v>5100006586</v>
      </c>
      <c r="E42" s="42" t="s">
        <v>316</v>
      </c>
      <c r="F42" s="42" t="s">
        <v>355</v>
      </c>
      <c r="G42" s="199">
        <v>89998</v>
      </c>
      <c r="H42" s="165" t="s">
        <v>248</v>
      </c>
      <c r="I42" s="181" t="s">
        <v>139</v>
      </c>
      <c r="J42" s="218"/>
    </row>
    <row r="43" spans="1:10" s="42" customFormat="1" ht="15" customHeight="1" x14ac:dyDescent="0.25">
      <c r="A43" s="163">
        <v>3</v>
      </c>
      <c r="B43" s="42" t="s">
        <v>170</v>
      </c>
      <c r="C43" s="42" t="s">
        <v>154</v>
      </c>
      <c r="D43" s="165">
        <v>5100007670</v>
      </c>
      <c r="E43" s="42" t="s">
        <v>316</v>
      </c>
      <c r="F43" s="42" t="s">
        <v>356</v>
      </c>
      <c r="G43" s="199">
        <v>63334</v>
      </c>
      <c r="H43" s="165" t="s">
        <v>248</v>
      </c>
      <c r="I43" s="181" t="s">
        <v>139</v>
      </c>
      <c r="J43" s="218"/>
    </row>
    <row r="44" spans="1:10" s="42" customFormat="1" ht="15" customHeight="1" x14ac:dyDescent="0.25">
      <c r="A44" s="163">
        <v>3</v>
      </c>
      <c r="B44" s="42" t="s">
        <v>170</v>
      </c>
      <c r="C44" s="42" t="s">
        <v>154</v>
      </c>
      <c r="D44" s="165">
        <v>5100005908</v>
      </c>
      <c r="E44" s="42" t="s">
        <v>316</v>
      </c>
      <c r="F44" s="42" t="s">
        <v>357</v>
      </c>
      <c r="G44" s="199">
        <v>13334</v>
      </c>
      <c r="H44" s="165" t="s">
        <v>248</v>
      </c>
      <c r="I44" s="181" t="s">
        <v>139</v>
      </c>
      <c r="J44" s="218"/>
    </row>
    <row r="45" spans="1:10" s="42" customFormat="1" ht="15" customHeight="1" x14ac:dyDescent="0.25">
      <c r="A45" s="163"/>
      <c r="B45" s="42" t="s">
        <v>52</v>
      </c>
      <c r="C45" s="42" t="s">
        <v>147</v>
      </c>
      <c r="D45" s="165"/>
      <c r="E45" s="42" t="s">
        <v>316</v>
      </c>
      <c r="F45" s="42" t="s">
        <v>388</v>
      </c>
      <c r="G45" s="199">
        <v>68208</v>
      </c>
      <c r="H45" s="165" t="s">
        <v>248</v>
      </c>
      <c r="I45" s="181" t="s">
        <v>139</v>
      </c>
      <c r="J45" s="232"/>
    </row>
    <row r="46" spans="1:10" s="42" customFormat="1" ht="15" customHeight="1" x14ac:dyDescent="0.25">
      <c r="A46" s="163"/>
      <c r="B46" s="42" t="s">
        <v>52</v>
      </c>
      <c r="C46" s="42" t="s">
        <v>147</v>
      </c>
      <c r="D46" s="165"/>
      <c r="E46" s="42" t="s">
        <v>316</v>
      </c>
      <c r="F46" s="42" t="s">
        <v>389</v>
      </c>
      <c r="G46" s="199">
        <v>47999</v>
      </c>
      <c r="H46" s="165" t="s">
        <v>248</v>
      </c>
      <c r="I46" s="181" t="s">
        <v>139</v>
      </c>
      <c r="J46" s="232"/>
    </row>
    <row r="47" spans="1:10" s="42" customFormat="1" ht="15" customHeight="1" x14ac:dyDescent="0.25">
      <c r="A47" s="163"/>
      <c r="B47" s="42" t="s">
        <v>52</v>
      </c>
      <c r="C47" s="42" t="s">
        <v>147</v>
      </c>
      <c r="D47" s="165"/>
      <c r="E47" s="42" t="s">
        <v>316</v>
      </c>
      <c r="F47" s="42" t="s">
        <v>390</v>
      </c>
      <c r="G47" s="199">
        <v>10105</v>
      </c>
      <c r="H47" s="165" t="s">
        <v>248</v>
      </c>
      <c r="I47" s="181" t="s">
        <v>139</v>
      </c>
      <c r="J47" s="232"/>
    </row>
    <row r="48" spans="1:10" s="42" customFormat="1" ht="15" customHeight="1" x14ac:dyDescent="0.25">
      <c r="A48" s="163"/>
      <c r="B48" s="42" t="s">
        <v>170</v>
      </c>
      <c r="C48" s="42" t="s">
        <v>154</v>
      </c>
      <c r="D48" s="165"/>
      <c r="E48" s="42" t="s">
        <v>316</v>
      </c>
      <c r="F48" s="42" t="s">
        <v>391</v>
      </c>
      <c r="G48" s="199">
        <v>44999</v>
      </c>
      <c r="H48" s="165" t="s">
        <v>248</v>
      </c>
      <c r="I48" s="181" t="s">
        <v>139</v>
      </c>
      <c r="J48" s="232"/>
    </row>
    <row r="49" spans="1:10" s="42" customFormat="1" ht="15" customHeight="1" x14ac:dyDescent="0.25">
      <c r="A49" s="163"/>
      <c r="B49" s="42" t="s">
        <v>170</v>
      </c>
      <c r="C49" s="42" t="s">
        <v>154</v>
      </c>
      <c r="D49" s="165"/>
      <c r="E49" s="42" t="s">
        <v>316</v>
      </c>
      <c r="F49" s="42" t="s">
        <v>392</v>
      </c>
      <c r="G49" s="199">
        <v>31667</v>
      </c>
      <c r="H49" s="165" t="s">
        <v>248</v>
      </c>
      <c r="I49" s="181" t="s">
        <v>139</v>
      </c>
      <c r="J49" s="232"/>
    </row>
    <row r="50" spans="1:10" s="42" customFormat="1" ht="15" customHeight="1" x14ac:dyDescent="0.25">
      <c r="A50" s="163"/>
      <c r="B50" s="42" t="s">
        <v>170</v>
      </c>
      <c r="C50" s="42" t="s">
        <v>154</v>
      </c>
      <c r="D50" s="165"/>
      <c r="E50" s="42" t="s">
        <v>316</v>
      </c>
      <c r="F50" s="42" t="s">
        <v>393</v>
      </c>
      <c r="G50" s="199">
        <v>6667</v>
      </c>
      <c r="H50" s="165" t="s">
        <v>248</v>
      </c>
      <c r="I50" s="181" t="s">
        <v>139</v>
      </c>
      <c r="J50" s="232"/>
    </row>
    <row r="51" spans="1:10" s="42" customFormat="1" ht="15" customHeight="1" x14ac:dyDescent="0.25">
      <c r="A51" s="163"/>
      <c r="B51" s="42" t="s">
        <v>52</v>
      </c>
      <c r="C51" s="42" t="s">
        <v>147</v>
      </c>
      <c r="D51" s="165"/>
      <c r="E51" s="42" t="s">
        <v>316</v>
      </c>
      <c r="F51" s="42" t="s">
        <v>402</v>
      </c>
      <c r="G51" s="199">
        <v>68208</v>
      </c>
      <c r="H51" s="165" t="s">
        <v>248</v>
      </c>
      <c r="I51" s="181" t="s">
        <v>139</v>
      </c>
      <c r="J51" s="232"/>
    </row>
    <row r="52" spans="1:10" s="42" customFormat="1" ht="15" customHeight="1" x14ac:dyDescent="0.25">
      <c r="A52" s="163"/>
      <c r="B52" s="42" t="s">
        <v>52</v>
      </c>
      <c r="C52" s="42" t="s">
        <v>147</v>
      </c>
      <c r="D52" s="165"/>
      <c r="E52" s="42" t="s">
        <v>316</v>
      </c>
      <c r="F52" s="42" t="s">
        <v>403</v>
      </c>
      <c r="G52" s="199">
        <v>47999</v>
      </c>
      <c r="H52" s="165" t="s">
        <v>248</v>
      </c>
      <c r="I52" s="181" t="s">
        <v>139</v>
      </c>
      <c r="J52" s="232"/>
    </row>
    <row r="53" spans="1:10" s="42" customFormat="1" ht="15" customHeight="1" x14ac:dyDescent="0.25">
      <c r="A53" s="163"/>
      <c r="B53" s="42" t="s">
        <v>52</v>
      </c>
      <c r="C53" s="42" t="s">
        <v>147</v>
      </c>
      <c r="D53" s="165"/>
      <c r="E53" s="42" t="s">
        <v>316</v>
      </c>
      <c r="F53" s="42" t="s">
        <v>404</v>
      </c>
      <c r="G53" s="199">
        <v>10105</v>
      </c>
      <c r="H53" s="165" t="s">
        <v>248</v>
      </c>
      <c r="I53" s="181" t="s">
        <v>139</v>
      </c>
      <c r="J53" s="232"/>
    </row>
    <row r="54" spans="1:10" s="42" customFormat="1" ht="15" customHeight="1" x14ac:dyDescent="0.25">
      <c r="A54" s="163"/>
      <c r="B54" s="42" t="s">
        <v>170</v>
      </c>
      <c r="C54" s="42" t="s">
        <v>154</v>
      </c>
      <c r="D54" s="165"/>
      <c r="E54" s="42" t="s">
        <v>316</v>
      </c>
      <c r="F54" s="42" t="s">
        <v>405</v>
      </c>
      <c r="G54" s="199">
        <v>44999</v>
      </c>
      <c r="H54" s="165" t="s">
        <v>248</v>
      </c>
      <c r="I54" s="181" t="s">
        <v>139</v>
      </c>
      <c r="J54" s="232"/>
    </row>
    <row r="55" spans="1:10" s="42" customFormat="1" ht="15" customHeight="1" x14ac:dyDescent="0.25">
      <c r="A55" s="163"/>
      <c r="B55" s="42" t="s">
        <v>170</v>
      </c>
      <c r="C55" s="42" t="s">
        <v>154</v>
      </c>
      <c r="D55" s="165"/>
      <c r="E55" s="42" t="s">
        <v>316</v>
      </c>
      <c r="F55" s="42" t="s">
        <v>406</v>
      </c>
      <c r="G55" s="199">
        <v>31667</v>
      </c>
      <c r="H55" s="165" t="s">
        <v>248</v>
      </c>
      <c r="I55" s="181" t="s">
        <v>139</v>
      </c>
      <c r="J55" s="232"/>
    </row>
    <row r="56" spans="1:10" s="42" customFormat="1" ht="15" customHeight="1" x14ac:dyDescent="0.25">
      <c r="A56" s="163"/>
      <c r="B56" s="42" t="s">
        <v>170</v>
      </c>
      <c r="C56" s="42" t="s">
        <v>154</v>
      </c>
      <c r="D56" s="165"/>
      <c r="E56" s="42" t="s">
        <v>316</v>
      </c>
      <c r="F56" s="42" t="s">
        <v>407</v>
      </c>
      <c r="G56" s="199">
        <v>6667</v>
      </c>
      <c r="H56" s="165" t="s">
        <v>248</v>
      </c>
      <c r="I56" s="181" t="s">
        <v>139</v>
      </c>
      <c r="J56" s="232"/>
    </row>
    <row r="57" spans="1:10" s="42" customFormat="1" ht="15" customHeight="1" x14ac:dyDescent="0.25">
      <c r="A57" s="163"/>
      <c r="B57" s="42" t="s">
        <v>52</v>
      </c>
      <c r="C57" s="42" t="s">
        <v>147</v>
      </c>
      <c r="D57" s="165"/>
      <c r="E57" s="42" t="s">
        <v>316</v>
      </c>
      <c r="F57" s="42" t="s">
        <v>418</v>
      </c>
      <c r="G57" s="199">
        <v>68208</v>
      </c>
      <c r="H57" s="165" t="s">
        <v>248</v>
      </c>
      <c r="I57" s="181" t="s">
        <v>139</v>
      </c>
      <c r="J57" s="232"/>
    </row>
    <row r="58" spans="1:10" s="42" customFormat="1" ht="15" customHeight="1" x14ac:dyDescent="0.25">
      <c r="A58" s="163"/>
      <c r="B58" s="42" t="s">
        <v>52</v>
      </c>
      <c r="C58" s="42" t="s">
        <v>147</v>
      </c>
      <c r="D58" s="165"/>
      <c r="E58" s="42" t="s">
        <v>316</v>
      </c>
      <c r="F58" s="42" t="s">
        <v>419</v>
      </c>
      <c r="G58" s="199">
        <v>47999</v>
      </c>
      <c r="H58" s="165" t="s">
        <v>248</v>
      </c>
      <c r="I58" s="181" t="s">
        <v>139</v>
      </c>
      <c r="J58" s="232"/>
    </row>
    <row r="59" spans="1:10" s="42" customFormat="1" ht="15" customHeight="1" x14ac:dyDescent="0.25">
      <c r="A59" s="163"/>
      <c r="B59" s="42" t="s">
        <v>52</v>
      </c>
      <c r="C59" s="42" t="s">
        <v>147</v>
      </c>
      <c r="D59" s="165"/>
      <c r="E59" s="42" t="s">
        <v>316</v>
      </c>
      <c r="F59" s="42" t="s">
        <v>420</v>
      </c>
      <c r="G59" s="199">
        <v>10105</v>
      </c>
      <c r="H59" s="165" t="s">
        <v>248</v>
      </c>
      <c r="I59" s="181" t="s">
        <v>139</v>
      </c>
      <c r="J59" s="232"/>
    </row>
    <row r="60" spans="1:10" s="42" customFormat="1" ht="15" customHeight="1" x14ac:dyDescent="0.25">
      <c r="A60" s="163"/>
      <c r="B60" s="42" t="s">
        <v>170</v>
      </c>
      <c r="C60" s="42" t="s">
        <v>154</v>
      </c>
      <c r="D60" s="165"/>
      <c r="E60" s="42" t="s">
        <v>316</v>
      </c>
      <c r="F60" s="42" t="s">
        <v>421</v>
      </c>
      <c r="G60" s="199">
        <v>44999</v>
      </c>
      <c r="H60" s="165" t="s">
        <v>248</v>
      </c>
      <c r="I60" s="181" t="s">
        <v>139</v>
      </c>
      <c r="J60" s="232"/>
    </row>
    <row r="61" spans="1:10" s="42" customFormat="1" ht="15" customHeight="1" x14ac:dyDescent="0.25">
      <c r="A61" s="163"/>
      <c r="B61" s="42" t="s">
        <v>170</v>
      </c>
      <c r="C61" s="42" t="s">
        <v>154</v>
      </c>
      <c r="D61" s="165"/>
      <c r="E61" s="42" t="s">
        <v>316</v>
      </c>
      <c r="F61" s="42" t="s">
        <v>422</v>
      </c>
      <c r="G61" s="199">
        <v>31667</v>
      </c>
      <c r="H61" s="165" t="s">
        <v>248</v>
      </c>
      <c r="I61" s="181" t="s">
        <v>139</v>
      </c>
      <c r="J61" s="232"/>
    </row>
    <row r="62" spans="1:10" s="42" customFormat="1" ht="15" customHeight="1" x14ac:dyDescent="0.25">
      <c r="A62" s="163"/>
      <c r="B62" s="42" t="s">
        <v>170</v>
      </c>
      <c r="C62" s="42" t="s">
        <v>154</v>
      </c>
      <c r="D62" s="165"/>
      <c r="E62" s="42" t="s">
        <v>316</v>
      </c>
      <c r="F62" s="42" t="s">
        <v>423</v>
      </c>
      <c r="G62" s="199">
        <v>6667</v>
      </c>
      <c r="H62" s="165" t="s">
        <v>248</v>
      </c>
      <c r="I62" s="181" t="s">
        <v>139</v>
      </c>
      <c r="J62" s="232"/>
    </row>
    <row r="63" spans="1:10" s="42" customFormat="1" ht="15" customHeight="1" x14ac:dyDescent="0.25">
      <c r="A63" s="163"/>
      <c r="B63" s="42" t="s">
        <v>52</v>
      </c>
      <c r="C63" s="42" t="s">
        <v>147</v>
      </c>
      <c r="D63" s="165"/>
      <c r="E63" s="42" t="s">
        <v>316</v>
      </c>
      <c r="F63" s="42" t="s">
        <v>434</v>
      </c>
      <c r="G63" s="199">
        <v>68208</v>
      </c>
      <c r="H63" s="165" t="s">
        <v>248</v>
      </c>
      <c r="I63" s="181" t="s">
        <v>139</v>
      </c>
      <c r="J63" s="232"/>
    </row>
    <row r="64" spans="1:10" s="42" customFormat="1" ht="15" customHeight="1" x14ac:dyDescent="0.25">
      <c r="A64" s="163"/>
      <c r="B64" s="42" t="s">
        <v>52</v>
      </c>
      <c r="C64" s="42" t="s">
        <v>147</v>
      </c>
      <c r="D64" s="165"/>
      <c r="E64" s="42" t="s">
        <v>316</v>
      </c>
      <c r="F64" s="42" t="s">
        <v>435</v>
      </c>
      <c r="G64" s="199">
        <v>47999</v>
      </c>
      <c r="H64" s="165" t="s">
        <v>248</v>
      </c>
      <c r="I64" s="181" t="s">
        <v>139</v>
      </c>
      <c r="J64" s="232"/>
    </row>
    <row r="65" spans="1:10" s="42" customFormat="1" ht="15" customHeight="1" x14ac:dyDescent="0.25">
      <c r="A65" s="163"/>
      <c r="B65" s="42" t="s">
        <v>52</v>
      </c>
      <c r="C65" s="42" t="s">
        <v>147</v>
      </c>
      <c r="D65" s="165"/>
      <c r="E65" s="42" t="s">
        <v>316</v>
      </c>
      <c r="F65" s="42" t="s">
        <v>436</v>
      </c>
      <c r="G65" s="199">
        <v>10105</v>
      </c>
      <c r="H65" s="165" t="s">
        <v>248</v>
      </c>
      <c r="I65" s="181" t="s">
        <v>139</v>
      </c>
      <c r="J65" s="232"/>
    </row>
    <row r="66" spans="1:10" s="42" customFormat="1" ht="15" customHeight="1" x14ac:dyDescent="0.25">
      <c r="A66" s="163"/>
      <c r="B66" s="42" t="s">
        <v>52</v>
      </c>
      <c r="C66" s="42" t="s">
        <v>147</v>
      </c>
      <c r="D66" s="165"/>
      <c r="E66" s="42" t="s">
        <v>316</v>
      </c>
      <c r="F66" s="42" t="s">
        <v>461</v>
      </c>
      <c r="G66" s="199">
        <v>68208</v>
      </c>
      <c r="H66" s="165" t="s">
        <v>248</v>
      </c>
      <c r="I66" s="181" t="s">
        <v>139</v>
      </c>
      <c r="J66" s="232"/>
    </row>
    <row r="67" spans="1:10" s="42" customFormat="1" ht="15" customHeight="1" x14ac:dyDescent="0.25">
      <c r="A67" s="163"/>
      <c r="B67" s="42" t="s">
        <v>52</v>
      </c>
      <c r="C67" s="42" t="s">
        <v>147</v>
      </c>
      <c r="D67" s="165"/>
      <c r="E67" s="42" t="s">
        <v>316</v>
      </c>
      <c r="F67" s="42" t="s">
        <v>462</v>
      </c>
      <c r="G67" s="199">
        <v>47999</v>
      </c>
      <c r="H67" s="165" t="s">
        <v>248</v>
      </c>
      <c r="I67" s="181" t="s">
        <v>139</v>
      </c>
      <c r="J67" s="232"/>
    </row>
    <row r="68" spans="1:10" s="42" customFormat="1" ht="15" customHeight="1" x14ac:dyDescent="0.25">
      <c r="A68" s="163"/>
      <c r="B68" s="42" t="s">
        <v>52</v>
      </c>
      <c r="C68" s="42" t="s">
        <v>147</v>
      </c>
      <c r="D68" s="165"/>
      <c r="E68" s="42" t="s">
        <v>316</v>
      </c>
      <c r="F68" s="42" t="s">
        <v>463</v>
      </c>
      <c r="G68" s="199">
        <v>10105</v>
      </c>
      <c r="H68" s="165" t="s">
        <v>248</v>
      </c>
      <c r="I68" s="181" t="s">
        <v>139</v>
      </c>
      <c r="J68" s="232"/>
    </row>
    <row r="69" spans="1:10" s="42" customFormat="1" ht="15" customHeight="1" x14ac:dyDescent="0.25">
      <c r="A69" s="163"/>
      <c r="B69" s="42" t="s">
        <v>52</v>
      </c>
      <c r="C69" s="42" t="s">
        <v>147</v>
      </c>
      <c r="D69" s="165"/>
      <c r="E69" s="42" t="s">
        <v>316</v>
      </c>
      <c r="F69" s="42" t="s">
        <v>480</v>
      </c>
      <c r="G69" s="199">
        <v>68208</v>
      </c>
      <c r="H69" s="165" t="s">
        <v>248</v>
      </c>
      <c r="I69" s="181" t="s">
        <v>139</v>
      </c>
      <c r="J69" s="232"/>
    </row>
    <row r="70" spans="1:10" s="42" customFormat="1" ht="15" customHeight="1" x14ac:dyDescent="0.25">
      <c r="A70" s="163"/>
      <c r="B70" s="42" t="s">
        <v>52</v>
      </c>
      <c r="C70" s="42" t="s">
        <v>147</v>
      </c>
      <c r="D70" s="165"/>
      <c r="E70" s="42" t="s">
        <v>316</v>
      </c>
      <c r="F70" s="42" t="s">
        <v>481</v>
      </c>
      <c r="G70" s="199">
        <v>47999</v>
      </c>
      <c r="H70" s="165" t="s">
        <v>248</v>
      </c>
      <c r="I70" s="181" t="s">
        <v>139</v>
      </c>
      <c r="J70" s="232"/>
    </row>
    <row r="71" spans="1:10" s="42" customFormat="1" ht="15" customHeight="1" x14ac:dyDescent="0.25">
      <c r="A71" s="163"/>
      <c r="B71" s="42" t="s">
        <v>52</v>
      </c>
      <c r="C71" s="42" t="s">
        <v>147</v>
      </c>
      <c r="D71" s="165"/>
      <c r="E71" s="42" t="s">
        <v>316</v>
      </c>
      <c r="F71" s="42" t="s">
        <v>482</v>
      </c>
      <c r="G71" s="199">
        <v>10105</v>
      </c>
      <c r="H71" s="165" t="s">
        <v>248</v>
      </c>
      <c r="I71" s="181" t="s">
        <v>139</v>
      </c>
      <c r="J71" s="232"/>
    </row>
    <row r="72" spans="1:10" s="42" customFormat="1" ht="15" customHeight="1" x14ac:dyDescent="0.25">
      <c r="A72" s="163"/>
      <c r="B72" s="42" t="s">
        <v>170</v>
      </c>
      <c r="C72" s="42" t="s">
        <v>154</v>
      </c>
      <c r="D72" s="165"/>
      <c r="E72" s="42" t="s">
        <v>316</v>
      </c>
      <c r="F72" s="42" t="s">
        <v>437</v>
      </c>
      <c r="G72" s="199">
        <v>44999</v>
      </c>
      <c r="H72" s="165" t="s">
        <v>248</v>
      </c>
      <c r="I72" s="181" t="s">
        <v>139</v>
      </c>
      <c r="J72" s="232"/>
    </row>
    <row r="73" spans="1:10" s="42" customFormat="1" ht="15" customHeight="1" x14ac:dyDescent="0.25">
      <c r="A73" s="163"/>
      <c r="B73" s="42" t="s">
        <v>170</v>
      </c>
      <c r="C73" s="42" t="s">
        <v>154</v>
      </c>
      <c r="D73" s="165"/>
      <c r="E73" s="42" t="s">
        <v>316</v>
      </c>
      <c r="F73" s="42" t="s">
        <v>438</v>
      </c>
      <c r="G73" s="199">
        <v>31667</v>
      </c>
      <c r="H73" s="165" t="s">
        <v>248</v>
      </c>
      <c r="I73" s="181" t="s">
        <v>139</v>
      </c>
      <c r="J73" s="232"/>
    </row>
    <row r="74" spans="1:10" s="42" customFormat="1" ht="15" customHeight="1" x14ac:dyDescent="0.25">
      <c r="A74" s="163"/>
      <c r="B74" s="42" t="s">
        <v>170</v>
      </c>
      <c r="C74" s="42" t="s">
        <v>154</v>
      </c>
      <c r="D74" s="165"/>
      <c r="E74" s="42" t="s">
        <v>316</v>
      </c>
      <c r="F74" s="42" t="s">
        <v>439</v>
      </c>
      <c r="G74" s="199">
        <v>6667</v>
      </c>
      <c r="H74" s="165" t="s">
        <v>248</v>
      </c>
      <c r="I74" s="181" t="s">
        <v>139</v>
      </c>
      <c r="J74" s="232"/>
    </row>
    <row r="75" spans="1:10" s="42" customFormat="1" ht="15" customHeight="1" x14ac:dyDescent="0.25">
      <c r="A75" s="163"/>
      <c r="B75" s="42" t="s">
        <v>170</v>
      </c>
      <c r="C75" s="42" t="s">
        <v>154</v>
      </c>
      <c r="D75" s="165"/>
      <c r="E75" s="42" t="s">
        <v>316</v>
      </c>
      <c r="F75" s="42" t="s">
        <v>458</v>
      </c>
      <c r="G75" s="199">
        <v>44999</v>
      </c>
      <c r="H75" s="165" t="s">
        <v>248</v>
      </c>
      <c r="I75" s="181" t="s">
        <v>139</v>
      </c>
      <c r="J75" s="232"/>
    </row>
    <row r="76" spans="1:10" s="42" customFormat="1" ht="15" customHeight="1" x14ac:dyDescent="0.25">
      <c r="A76" s="163"/>
      <c r="B76" s="42" t="s">
        <v>170</v>
      </c>
      <c r="C76" s="42" t="s">
        <v>154</v>
      </c>
      <c r="D76" s="165"/>
      <c r="E76" s="42" t="s">
        <v>316</v>
      </c>
      <c r="F76" s="42" t="s">
        <v>459</v>
      </c>
      <c r="G76" s="199">
        <v>31667</v>
      </c>
      <c r="H76" s="165" t="s">
        <v>248</v>
      </c>
      <c r="I76" s="181" t="s">
        <v>139</v>
      </c>
      <c r="J76" s="232"/>
    </row>
    <row r="77" spans="1:10" s="42" customFormat="1" ht="15" customHeight="1" x14ac:dyDescent="0.25">
      <c r="A77" s="163"/>
      <c r="B77" s="42" t="s">
        <v>170</v>
      </c>
      <c r="C77" s="42" t="s">
        <v>154</v>
      </c>
      <c r="D77" s="165"/>
      <c r="E77" s="42" t="s">
        <v>316</v>
      </c>
      <c r="F77" s="42" t="s">
        <v>460</v>
      </c>
      <c r="G77" s="199">
        <v>6667</v>
      </c>
      <c r="H77" s="165" t="s">
        <v>248</v>
      </c>
      <c r="I77" s="181" t="s">
        <v>139</v>
      </c>
      <c r="J77" s="232"/>
    </row>
    <row r="78" spans="1:10" s="42" customFormat="1" ht="15" customHeight="1" x14ac:dyDescent="0.25">
      <c r="A78" s="163"/>
      <c r="B78" s="42" t="s">
        <v>170</v>
      </c>
      <c r="C78" s="42" t="s">
        <v>154</v>
      </c>
      <c r="D78" s="165"/>
      <c r="E78" s="42" t="s">
        <v>316</v>
      </c>
      <c r="F78" s="42" t="s">
        <v>477</v>
      </c>
      <c r="G78" s="199">
        <v>44999</v>
      </c>
      <c r="H78" s="165" t="s">
        <v>248</v>
      </c>
      <c r="I78" s="181" t="s">
        <v>139</v>
      </c>
      <c r="J78" s="232"/>
    </row>
    <row r="79" spans="1:10" s="42" customFormat="1" ht="15" customHeight="1" x14ac:dyDescent="0.25">
      <c r="A79" s="163"/>
      <c r="B79" s="42" t="s">
        <v>170</v>
      </c>
      <c r="C79" s="42" t="s">
        <v>154</v>
      </c>
      <c r="D79" s="165"/>
      <c r="E79" s="42" t="s">
        <v>316</v>
      </c>
      <c r="F79" s="42" t="s">
        <v>478</v>
      </c>
      <c r="G79" s="199">
        <v>31667</v>
      </c>
      <c r="H79" s="165" t="s">
        <v>248</v>
      </c>
      <c r="I79" s="181" t="s">
        <v>139</v>
      </c>
      <c r="J79" s="232"/>
    </row>
    <row r="80" spans="1:10" s="42" customFormat="1" ht="15" customHeight="1" x14ac:dyDescent="0.25">
      <c r="A80" s="163"/>
      <c r="B80" s="42" t="s">
        <v>170</v>
      </c>
      <c r="C80" s="42" t="s">
        <v>154</v>
      </c>
      <c r="D80" s="165"/>
      <c r="E80" s="42" t="s">
        <v>316</v>
      </c>
      <c r="F80" s="42" t="s">
        <v>479</v>
      </c>
      <c r="G80" s="199">
        <v>6667</v>
      </c>
      <c r="H80" s="165" t="s">
        <v>248</v>
      </c>
      <c r="I80" s="181" t="s">
        <v>139</v>
      </c>
      <c r="J80" s="232"/>
    </row>
    <row r="81" spans="1:10" s="42" customFormat="1" ht="15" customHeight="1" x14ac:dyDescent="0.25">
      <c r="A81" s="162">
        <v>3</v>
      </c>
      <c r="B81" s="42" t="s">
        <v>39</v>
      </c>
      <c r="C81" s="42" t="s">
        <v>157</v>
      </c>
      <c r="D81" s="165">
        <v>5100008189</v>
      </c>
      <c r="E81" s="4" t="s">
        <v>331</v>
      </c>
      <c r="F81" s="42" t="s">
        <v>332</v>
      </c>
      <c r="G81" s="198">
        <v>526472</v>
      </c>
      <c r="H81" s="165" t="s">
        <v>248</v>
      </c>
      <c r="I81" s="181" t="s">
        <v>139</v>
      </c>
      <c r="J81" s="170"/>
    </row>
    <row r="82" spans="1:10" s="42" customFormat="1" ht="15" customHeight="1" x14ac:dyDescent="0.25">
      <c r="A82" s="163"/>
      <c r="B82" s="42" t="s">
        <v>45</v>
      </c>
      <c r="C82" s="42" t="s">
        <v>156</v>
      </c>
      <c r="D82" s="165" t="s">
        <v>297</v>
      </c>
      <c r="F82" s="42" t="s">
        <v>333</v>
      </c>
      <c r="G82" s="199">
        <f>4927639-549173-135407-685800</f>
        <v>3557259</v>
      </c>
      <c r="H82" s="165" t="s">
        <v>267</v>
      </c>
      <c r="I82" s="181" t="s">
        <v>139</v>
      </c>
      <c r="J82" s="170" t="s">
        <v>334</v>
      </c>
    </row>
    <row r="83" spans="1:10" s="42" customFormat="1" ht="15" customHeight="1" x14ac:dyDescent="0.25">
      <c r="A83" s="162">
        <v>3</v>
      </c>
      <c r="B83" s="42" t="s">
        <v>39</v>
      </c>
      <c r="C83" s="42" t="s">
        <v>157</v>
      </c>
      <c r="D83" s="165">
        <v>5100008508</v>
      </c>
      <c r="E83" s="4" t="s">
        <v>126</v>
      </c>
      <c r="F83" s="42" t="s">
        <v>335</v>
      </c>
      <c r="G83" s="198">
        <v>596265</v>
      </c>
      <c r="H83" s="165" t="s">
        <v>248</v>
      </c>
      <c r="I83" s="181" t="s">
        <v>139</v>
      </c>
      <c r="J83" s="170"/>
    </row>
    <row r="84" spans="1:10" s="42" customFormat="1" ht="15" customHeight="1" x14ac:dyDescent="0.25">
      <c r="A84" s="163"/>
      <c r="B84" s="42" t="s">
        <v>45</v>
      </c>
      <c r="C84" s="42" t="s">
        <v>156</v>
      </c>
      <c r="D84" s="219">
        <v>5100012629</v>
      </c>
      <c r="E84" s="42" t="s">
        <v>336</v>
      </c>
      <c r="F84" s="42" t="s">
        <v>337</v>
      </c>
      <c r="G84" s="222">
        <v>114300</v>
      </c>
      <c r="H84" s="165" t="s">
        <v>248</v>
      </c>
      <c r="I84" s="181" t="s">
        <v>139</v>
      </c>
      <c r="J84" s="170"/>
    </row>
    <row r="85" spans="1:10" s="42" customFormat="1" ht="15" customHeight="1" x14ac:dyDescent="0.25">
      <c r="A85" s="163"/>
      <c r="B85" s="42" t="s">
        <v>45</v>
      </c>
      <c r="C85" s="42" t="s">
        <v>156</v>
      </c>
      <c r="D85" s="219">
        <v>5100010363</v>
      </c>
      <c r="E85" s="4" t="s">
        <v>341</v>
      </c>
      <c r="F85" s="2" t="s">
        <v>339</v>
      </c>
      <c r="G85" s="222">
        <v>133449</v>
      </c>
      <c r="H85" s="165" t="s">
        <v>248</v>
      </c>
      <c r="I85" s="181" t="s">
        <v>139</v>
      </c>
      <c r="J85" s="170"/>
    </row>
    <row r="86" spans="1:10" s="42" customFormat="1" ht="15" customHeight="1" x14ac:dyDescent="0.25">
      <c r="A86" s="163"/>
      <c r="B86" s="42" t="s">
        <v>45</v>
      </c>
      <c r="C86" s="42" t="s">
        <v>156</v>
      </c>
      <c r="D86" s="219">
        <v>5100010588</v>
      </c>
      <c r="E86" s="4" t="s">
        <v>342</v>
      </c>
      <c r="F86" s="2" t="s">
        <v>340</v>
      </c>
      <c r="G86" s="222">
        <v>59374</v>
      </c>
      <c r="H86" s="165" t="s">
        <v>248</v>
      </c>
      <c r="I86" s="181" t="s">
        <v>139</v>
      </c>
      <c r="J86" s="170"/>
    </row>
    <row r="87" spans="1:10" s="42" customFormat="1" ht="15" customHeight="1" x14ac:dyDescent="0.25">
      <c r="A87" s="163"/>
      <c r="B87" s="42" t="s">
        <v>45</v>
      </c>
      <c r="C87" s="42" t="s">
        <v>156</v>
      </c>
      <c r="D87" s="165">
        <v>5100010340</v>
      </c>
      <c r="E87" s="42" t="s">
        <v>313</v>
      </c>
      <c r="F87" s="42" t="s">
        <v>343</v>
      </c>
      <c r="G87" s="222">
        <v>549173</v>
      </c>
      <c r="H87" s="165" t="s">
        <v>248</v>
      </c>
      <c r="I87" s="181" t="s">
        <v>139</v>
      </c>
      <c r="J87" s="170"/>
    </row>
    <row r="88" spans="1:10" s="42" customFormat="1" ht="15" customHeight="1" x14ac:dyDescent="0.25">
      <c r="A88" s="163"/>
      <c r="B88" s="42" t="s">
        <v>45</v>
      </c>
      <c r="C88" s="42" t="s">
        <v>156</v>
      </c>
      <c r="D88" s="165">
        <v>5100010563</v>
      </c>
      <c r="E88" s="4" t="s">
        <v>344</v>
      </c>
      <c r="F88" s="2" t="s">
        <v>345</v>
      </c>
      <c r="G88" s="222">
        <v>1000000</v>
      </c>
      <c r="H88" s="165" t="s">
        <v>248</v>
      </c>
      <c r="I88" s="181" t="s">
        <v>139</v>
      </c>
      <c r="J88" s="170"/>
    </row>
    <row r="89" spans="1:10" s="42" customFormat="1" ht="15" customHeight="1" x14ac:dyDescent="0.25">
      <c r="A89" s="162">
        <v>3</v>
      </c>
      <c r="B89" s="42" t="s">
        <v>39</v>
      </c>
      <c r="C89" s="42" t="s">
        <v>157</v>
      </c>
      <c r="D89" s="165">
        <v>5100009157</v>
      </c>
      <c r="E89" s="4" t="s">
        <v>126</v>
      </c>
      <c r="F89" s="42" t="s">
        <v>346</v>
      </c>
      <c r="G89" s="198">
        <v>167550</v>
      </c>
      <c r="H89" s="165" t="s">
        <v>248</v>
      </c>
      <c r="I89" s="181" t="s">
        <v>139</v>
      </c>
      <c r="J89" s="170"/>
    </row>
    <row r="90" spans="1:10" s="42" customFormat="1" ht="15" customHeight="1" x14ac:dyDescent="0.25">
      <c r="A90" s="162">
        <v>3</v>
      </c>
      <c r="B90" s="42" t="s">
        <v>39</v>
      </c>
      <c r="C90" s="42" t="s">
        <v>157</v>
      </c>
      <c r="D90" s="165">
        <v>5100009158</v>
      </c>
      <c r="E90" s="4" t="s">
        <v>126</v>
      </c>
      <c r="F90" s="42" t="s">
        <v>346</v>
      </c>
      <c r="G90" s="198">
        <v>158805</v>
      </c>
      <c r="H90" s="165" t="s">
        <v>248</v>
      </c>
      <c r="I90" s="181" t="s">
        <v>139</v>
      </c>
      <c r="J90" s="170"/>
    </row>
    <row r="91" spans="1:10" s="2" customFormat="1" ht="15" customHeight="1" x14ac:dyDescent="0.25">
      <c r="A91" s="163"/>
      <c r="B91" s="42" t="s">
        <v>45</v>
      </c>
      <c r="C91" s="42" t="s">
        <v>156</v>
      </c>
      <c r="D91" s="219">
        <v>5100013406</v>
      </c>
      <c r="E91" s="4" t="s">
        <v>347</v>
      </c>
      <c r="F91" s="2" t="s">
        <v>348</v>
      </c>
      <c r="G91" s="222">
        <v>2750000</v>
      </c>
      <c r="H91" s="165" t="s">
        <v>248</v>
      </c>
      <c r="I91" s="181" t="s">
        <v>139</v>
      </c>
      <c r="J91" s="170"/>
    </row>
    <row r="92" spans="1:10" s="42" customFormat="1" ht="15" customHeight="1" x14ac:dyDescent="0.25">
      <c r="A92" s="163"/>
      <c r="B92" s="42" t="s">
        <v>132</v>
      </c>
      <c r="C92" s="42" t="s">
        <v>158</v>
      </c>
      <c r="D92" s="165">
        <v>5100009739</v>
      </c>
      <c r="E92" s="4" t="s">
        <v>349</v>
      </c>
      <c r="F92" s="4" t="s">
        <v>350</v>
      </c>
      <c r="G92" s="222">
        <v>54229</v>
      </c>
      <c r="H92" s="165" t="s">
        <v>248</v>
      </c>
      <c r="I92" s="181" t="s">
        <v>139</v>
      </c>
      <c r="J92" s="170"/>
    </row>
    <row r="93" spans="1:10" s="2" customFormat="1" ht="15" customHeight="1" x14ac:dyDescent="0.25">
      <c r="A93" s="162">
        <v>3</v>
      </c>
      <c r="B93" s="42" t="s">
        <v>169</v>
      </c>
      <c r="C93" s="42" t="s">
        <v>154</v>
      </c>
      <c r="D93" s="165">
        <v>5100009447</v>
      </c>
      <c r="E93" s="4" t="s">
        <v>359</v>
      </c>
      <c r="F93" s="2" t="s">
        <v>360</v>
      </c>
      <c r="G93" s="198">
        <v>200000</v>
      </c>
      <c r="H93" s="165" t="s">
        <v>248</v>
      </c>
      <c r="I93" s="181" t="s">
        <v>139</v>
      </c>
      <c r="J93" s="170"/>
    </row>
    <row r="94" spans="1:10" s="42" customFormat="1" ht="15" customHeight="1" x14ac:dyDescent="0.25">
      <c r="A94" s="163"/>
      <c r="B94" s="42" t="s">
        <v>363</v>
      </c>
      <c r="C94" s="42" t="s">
        <v>158</v>
      </c>
      <c r="D94" s="165">
        <v>5100010749</v>
      </c>
      <c r="E94" s="42" t="s">
        <v>364</v>
      </c>
      <c r="F94" s="42" t="s">
        <v>365</v>
      </c>
      <c r="G94" s="222">
        <v>214020</v>
      </c>
      <c r="H94" s="165" t="s">
        <v>248</v>
      </c>
      <c r="I94" s="181" t="s">
        <v>139</v>
      </c>
      <c r="J94" s="170"/>
    </row>
    <row r="95" spans="1:10" s="42" customFormat="1" ht="15" customHeight="1" x14ac:dyDescent="0.25">
      <c r="A95" s="163"/>
      <c r="B95" s="42" t="s">
        <v>363</v>
      </c>
      <c r="C95" s="42" t="s">
        <v>158</v>
      </c>
      <c r="D95" s="165" t="s">
        <v>366</v>
      </c>
      <c r="E95" s="42" t="s">
        <v>367</v>
      </c>
      <c r="F95" s="42" t="s">
        <v>368</v>
      </c>
      <c r="G95" s="199">
        <v>57785</v>
      </c>
      <c r="H95" s="165" t="s">
        <v>248</v>
      </c>
      <c r="I95" s="181" t="s">
        <v>139</v>
      </c>
      <c r="J95" s="170"/>
    </row>
    <row r="96" spans="1:10" s="42" customFormat="1" ht="15" customHeight="1" x14ac:dyDescent="0.25">
      <c r="A96" s="162"/>
      <c r="B96" s="42" t="s">
        <v>39</v>
      </c>
      <c r="C96" s="42" t="s">
        <v>157</v>
      </c>
      <c r="D96" s="165">
        <v>5100010326</v>
      </c>
      <c r="E96" s="4" t="s">
        <v>126</v>
      </c>
      <c r="F96" s="42" t="s">
        <v>426</v>
      </c>
      <c r="G96" s="222">
        <v>1636820</v>
      </c>
      <c r="H96" s="165" t="s">
        <v>248</v>
      </c>
      <c r="I96" s="181" t="s">
        <v>139</v>
      </c>
      <c r="J96" s="170"/>
    </row>
    <row r="97" spans="1:10" s="42" customFormat="1" ht="15" customHeight="1" x14ac:dyDescent="0.25">
      <c r="A97" s="163"/>
      <c r="B97" s="42" t="s">
        <v>29</v>
      </c>
      <c r="C97" s="42" t="s">
        <v>159</v>
      </c>
      <c r="D97" s="165">
        <v>5100010605</v>
      </c>
      <c r="E97" s="42" t="s">
        <v>370</v>
      </c>
      <c r="F97" s="42" t="s">
        <v>244</v>
      </c>
      <c r="G97" s="222">
        <v>22480</v>
      </c>
      <c r="H97" s="165" t="s">
        <v>248</v>
      </c>
      <c r="I97" s="181" t="s">
        <v>139</v>
      </c>
      <c r="J97" s="170"/>
    </row>
    <row r="98" spans="1:10" s="42" customFormat="1" ht="15" customHeight="1" x14ac:dyDescent="0.25">
      <c r="A98" s="162"/>
      <c r="B98" s="42" t="s">
        <v>39</v>
      </c>
      <c r="C98" s="42" t="s">
        <v>157</v>
      </c>
      <c r="D98" s="165">
        <v>5100010558</v>
      </c>
      <c r="E98" s="4" t="s">
        <v>129</v>
      </c>
      <c r="F98" s="42" t="s">
        <v>371</v>
      </c>
      <c r="G98" s="222">
        <v>154000</v>
      </c>
      <c r="H98" s="165" t="s">
        <v>248</v>
      </c>
      <c r="I98" s="181" t="s">
        <v>139</v>
      </c>
      <c r="J98" s="170"/>
    </row>
    <row r="99" spans="1:10" s="2" customFormat="1" ht="15" customHeight="1" x14ac:dyDescent="0.25">
      <c r="A99" s="163"/>
      <c r="B99" s="2" t="s">
        <v>50</v>
      </c>
      <c r="C99" s="2" t="s">
        <v>154</v>
      </c>
      <c r="D99" s="6">
        <v>5100011241</v>
      </c>
      <c r="E99" s="4" t="s">
        <v>372</v>
      </c>
      <c r="F99" s="2" t="s">
        <v>373</v>
      </c>
      <c r="G99" s="222">
        <v>63500</v>
      </c>
      <c r="H99" s="165" t="s">
        <v>248</v>
      </c>
      <c r="I99" s="181" t="s">
        <v>139</v>
      </c>
      <c r="J99" s="170"/>
    </row>
    <row r="100" spans="1:10" s="2" customFormat="1" ht="15" customHeight="1" x14ac:dyDescent="0.25">
      <c r="A100" s="163"/>
      <c r="B100" s="2" t="s">
        <v>50</v>
      </c>
      <c r="C100" s="2" t="s">
        <v>154</v>
      </c>
      <c r="D100" s="6" t="s">
        <v>366</v>
      </c>
      <c r="E100" s="4" t="s">
        <v>367</v>
      </c>
      <c r="F100" s="2" t="s">
        <v>415</v>
      </c>
      <c r="G100" s="222">
        <v>20981</v>
      </c>
      <c r="H100" s="165" t="s">
        <v>248</v>
      </c>
      <c r="I100" s="181" t="s">
        <v>139</v>
      </c>
      <c r="J100" s="170"/>
    </row>
    <row r="101" spans="1:10" s="42" customFormat="1" ht="15" customHeight="1" x14ac:dyDescent="0.25">
      <c r="A101" s="162"/>
      <c r="B101" s="42" t="s">
        <v>39</v>
      </c>
      <c r="C101" s="42" t="s">
        <v>157</v>
      </c>
      <c r="D101" s="165">
        <v>5100011490</v>
      </c>
      <c r="E101" s="4" t="s">
        <v>126</v>
      </c>
      <c r="F101" s="42" t="s">
        <v>424</v>
      </c>
      <c r="G101" s="222">
        <v>186600</v>
      </c>
      <c r="H101" s="165" t="s">
        <v>248</v>
      </c>
      <c r="I101" s="181" t="s">
        <v>139</v>
      </c>
      <c r="J101" s="170"/>
    </row>
    <row r="102" spans="1:10" s="42" customFormat="1" ht="15" customHeight="1" x14ac:dyDescent="0.25">
      <c r="A102" s="162"/>
      <c r="B102" s="42" t="s">
        <v>33</v>
      </c>
      <c r="C102" s="42" t="s">
        <v>158</v>
      </c>
      <c r="D102" s="165">
        <v>5100012009</v>
      </c>
      <c r="E102" s="42" t="s">
        <v>247</v>
      </c>
      <c r="F102" s="42" t="s">
        <v>246</v>
      </c>
      <c r="G102" s="222">
        <v>78248</v>
      </c>
      <c r="H102" s="165" t="s">
        <v>248</v>
      </c>
      <c r="I102" s="181" t="s">
        <v>139</v>
      </c>
      <c r="J102" s="170"/>
    </row>
    <row r="103" spans="1:10" s="2" customFormat="1" ht="15" customHeight="1" x14ac:dyDescent="0.25">
      <c r="A103" s="163"/>
      <c r="B103" s="2" t="s">
        <v>132</v>
      </c>
      <c r="C103" s="2" t="s">
        <v>158</v>
      </c>
      <c r="D103" s="6">
        <v>5100012550</v>
      </c>
      <c r="E103" s="4" t="s">
        <v>349</v>
      </c>
      <c r="F103" s="2" t="s">
        <v>350</v>
      </c>
      <c r="G103" s="199">
        <v>266421</v>
      </c>
      <c r="H103" s="165" t="s">
        <v>248</v>
      </c>
      <c r="I103" s="182" t="s">
        <v>139</v>
      </c>
      <c r="J103" s="170" t="s">
        <v>411</v>
      </c>
    </row>
    <row r="104" spans="1:10" s="2" customFormat="1" ht="15" customHeight="1" x14ac:dyDescent="0.25">
      <c r="A104" s="163"/>
      <c r="B104" s="2" t="s">
        <v>132</v>
      </c>
      <c r="C104" s="2" t="s">
        <v>158</v>
      </c>
      <c r="D104" s="6" t="s">
        <v>366</v>
      </c>
      <c r="E104" s="4" t="s">
        <v>367</v>
      </c>
      <c r="F104" s="2" t="s">
        <v>457</v>
      </c>
      <c r="G104" s="222">
        <v>35130</v>
      </c>
      <c r="H104" s="165" t="s">
        <v>248</v>
      </c>
      <c r="I104" s="182" t="s">
        <v>139</v>
      </c>
      <c r="J104" s="170"/>
    </row>
    <row r="105" spans="1:10" s="2" customFormat="1" ht="15" customHeight="1" x14ac:dyDescent="0.25">
      <c r="A105" s="163"/>
      <c r="B105" s="2" t="s">
        <v>31</v>
      </c>
      <c r="C105" s="2" t="s">
        <v>158</v>
      </c>
      <c r="D105" s="6">
        <v>5100012226</v>
      </c>
      <c r="E105" s="4" t="s">
        <v>412</v>
      </c>
      <c r="F105" s="2" t="s">
        <v>413</v>
      </c>
      <c r="G105" s="222">
        <v>247465</v>
      </c>
      <c r="H105" s="165" t="s">
        <v>248</v>
      </c>
      <c r="I105" s="182" t="s">
        <v>139</v>
      </c>
      <c r="J105" s="170"/>
    </row>
    <row r="106" spans="1:10" s="2" customFormat="1" ht="15" customHeight="1" x14ac:dyDescent="0.25">
      <c r="A106" s="163"/>
      <c r="B106" s="42" t="s">
        <v>33</v>
      </c>
      <c r="C106" s="42" t="s">
        <v>158</v>
      </c>
      <c r="D106" s="6">
        <v>5100012226</v>
      </c>
      <c r="E106" s="4" t="s">
        <v>412</v>
      </c>
      <c r="F106" s="2" t="s">
        <v>414</v>
      </c>
      <c r="G106" s="222">
        <v>76970</v>
      </c>
      <c r="H106" s="165" t="s">
        <v>248</v>
      </c>
      <c r="I106" s="182" t="s">
        <v>139</v>
      </c>
      <c r="J106" s="170"/>
    </row>
    <row r="107" spans="1:10" s="2" customFormat="1" ht="15" customHeight="1" x14ac:dyDescent="0.25">
      <c r="A107" s="163"/>
      <c r="B107" s="42" t="s">
        <v>33</v>
      </c>
      <c r="C107" s="42" t="s">
        <v>158</v>
      </c>
      <c r="D107" s="6" t="s">
        <v>366</v>
      </c>
      <c r="E107" s="4" t="s">
        <v>367</v>
      </c>
      <c r="F107" s="2" t="s">
        <v>448</v>
      </c>
      <c r="G107" s="222">
        <v>87598</v>
      </c>
      <c r="H107" s="165" t="s">
        <v>248</v>
      </c>
      <c r="I107" s="182" t="s">
        <v>139</v>
      </c>
      <c r="J107" s="170"/>
    </row>
    <row r="108" spans="1:10" s="2" customFormat="1" ht="15" customHeight="1" x14ac:dyDescent="0.25">
      <c r="A108" s="163"/>
      <c r="B108" s="2" t="s">
        <v>37</v>
      </c>
      <c r="C108" s="2" t="s">
        <v>149</v>
      </c>
      <c r="D108" s="6">
        <v>5100013098</v>
      </c>
      <c r="E108" s="4" t="s">
        <v>129</v>
      </c>
      <c r="F108" s="2" t="s">
        <v>428</v>
      </c>
      <c r="G108" s="199">
        <v>320000</v>
      </c>
      <c r="H108" s="165" t="s">
        <v>248</v>
      </c>
      <c r="I108" s="182" t="s">
        <v>139</v>
      </c>
      <c r="J108" s="170" t="s">
        <v>429</v>
      </c>
    </row>
    <row r="109" spans="1:10" s="42" customFormat="1" ht="15" customHeight="1" x14ac:dyDescent="0.25">
      <c r="A109" s="163"/>
      <c r="B109" s="42" t="s">
        <v>180</v>
      </c>
      <c r="C109" s="42" t="s">
        <v>156</v>
      </c>
      <c r="D109" s="165">
        <v>4500009792</v>
      </c>
      <c r="E109" s="42" t="s">
        <v>432</v>
      </c>
      <c r="F109" s="42" t="s">
        <v>469</v>
      </c>
      <c r="G109" s="199">
        <v>4065035</v>
      </c>
      <c r="H109" s="165" t="s">
        <v>267</v>
      </c>
      <c r="I109" s="181" t="s">
        <v>139</v>
      </c>
      <c r="J109" s="170" t="s">
        <v>433</v>
      </c>
    </row>
    <row r="110" spans="1:10" s="42" customFormat="1" ht="15" customHeight="1" x14ac:dyDescent="0.25">
      <c r="A110" s="163"/>
      <c r="B110" s="42" t="s">
        <v>180</v>
      </c>
      <c r="C110" s="42" t="s">
        <v>156</v>
      </c>
      <c r="D110" s="165">
        <v>5100014078</v>
      </c>
      <c r="E110" s="42" t="s">
        <v>432</v>
      </c>
      <c r="F110" s="42" t="s">
        <v>468</v>
      </c>
      <c r="G110" s="199">
        <v>2664463</v>
      </c>
      <c r="H110" s="165" t="s">
        <v>267</v>
      </c>
      <c r="I110" s="181" t="s">
        <v>139</v>
      </c>
      <c r="J110" s="170" t="s">
        <v>433</v>
      </c>
    </row>
    <row r="111" spans="1:10" s="42" customFormat="1" ht="15" customHeight="1" x14ac:dyDescent="0.25">
      <c r="A111" s="163"/>
      <c r="B111" s="42" t="s">
        <v>45</v>
      </c>
      <c r="C111" s="42" t="s">
        <v>156</v>
      </c>
      <c r="D111" s="165">
        <v>5100013384</v>
      </c>
      <c r="E111" s="42" t="s">
        <v>313</v>
      </c>
      <c r="F111" s="42" t="s">
        <v>440</v>
      </c>
      <c r="G111" s="222">
        <v>135407</v>
      </c>
      <c r="H111" s="165" t="s">
        <v>248</v>
      </c>
      <c r="I111" s="181" t="s">
        <v>139</v>
      </c>
      <c r="J111" s="170"/>
    </row>
    <row r="112" spans="1:10" s="2" customFormat="1" ht="15" customHeight="1" x14ac:dyDescent="0.25">
      <c r="A112" s="163"/>
      <c r="B112" s="2" t="s">
        <v>37</v>
      </c>
      <c r="C112" s="2" t="s">
        <v>149</v>
      </c>
      <c r="D112" s="6">
        <v>5100014916</v>
      </c>
      <c r="E112" s="4" t="s">
        <v>441</v>
      </c>
      <c r="F112" s="2" t="s">
        <v>442</v>
      </c>
      <c r="G112" s="199">
        <v>1117600</v>
      </c>
      <c r="H112" s="165" t="s">
        <v>248</v>
      </c>
      <c r="I112" s="181" t="s">
        <v>139</v>
      </c>
      <c r="J112" s="170"/>
    </row>
    <row r="113" spans="1:10" s="2" customFormat="1" ht="15" customHeight="1" x14ac:dyDescent="0.25">
      <c r="A113" s="163"/>
      <c r="B113" s="2" t="s">
        <v>132</v>
      </c>
      <c r="C113" s="2" t="s">
        <v>158</v>
      </c>
      <c r="D113" s="6">
        <v>4500009333</v>
      </c>
      <c r="E113" s="4" t="s">
        <v>238</v>
      </c>
      <c r="F113" s="2" t="s">
        <v>443</v>
      </c>
      <c r="G113" s="199">
        <v>59690</v>
      </c>
      <c r="H113" s="165" t="s">
        <v>267</v>
      </c>
      <c r="I113" s="181" t="s">
        <v>139</v>
      </c>
      <c r="J113" s="170" t="s">
        <v>444</v>
      </c>
    </row>
    <row r="114" spans="1:10" s="42" customFormat="1" ht="15" customHeight="1" x14ac:dyDescent="0.25">
      <c r="A114" s="163"/>
      <c r="B114" s="42" t="s">
        <v>45</v>
      </c>
      <c r="C114" s="42" t="s">
        <v>156</v>
      </c>
      <c r="D114" s="165">
        <v>4500009715</v>
      </c>
      <c r="E114" s="42" t="s">
        <v>446</v>
      </c>
      <c r="F114" s="42" t="s">
        <v>447</v>
      </c>
      <c r="G114" s="199">
        <v>685800</v>
      </c>
      <c r="H114" s="165" t="s">
        <v>267</v>
      </c>
      <c r="I114" s="181" t="s">
        <v>139</v>
      </c>
      <c r="J114" s="170" t="s">
        <v>452</v>
      </c>
    </row>
    <row r="115" spans="1:10" s="42" customFormat="1" ht="15" customHeight="1" x14ac:dyDescent="0.25">
      <c r="A115" s="162"/>
      <c r="B115" s="42" t="s">
        <v>39</v>
      </c>
      <c r="C115" s="42" t="s">
        <v>157</v>
      </c>
      <c r="D115" s="165">
        <v>5100013237</v>
      </c>
      <c r="E115" s="4" t="s">
        <v>126</v>
      </c>
      <c r="F115" s="42" t="s">
        <v>449</v>
      </c>
      <c r="G115" s="222">
        <v>38100</v>
      </c>
      <c r="H115" s="165" t="s">
        <v>248</v>
      </c>
      <c r="I115" s="181" t="s">
        <v>139</v>
      </c>
      <c r="J115" s="170" t="s">
        <v>450</v>
      </c>
    </row>
    <row r="116" spans="1:10" s="2" customFormat="1" ht="15" customHeight="1" x14ac:dyDescent="0.25">
      <c r="A116" s="163"/>
      <c r="B116" s="42" t="s">
        <v>39</v>
      </c>
      <c r="C116" s="42" t="s">
        <v>157</v>
      </c>
      <c r="D116" s="165">
        <v>5100013328</v>
      </c>
      <c r="E116" s="4" t="s">
        <v>126</v>
      </c>
      <c r="F116" s="42" t="s">
        <v>451</v>
      </c>
      <c r="G116" s="222">
        <v>984820</v>
      </c>
      <c r="H116" s="165" t="s">
        <v>248</v>
      </c>
      <c r="I116" s="181" t="s">
        <v>139</v>
      </c>
      <c r="J116" s="170" t="s">
        <v>450</v>
      </c>
    </row>
    <row r="117" spans="1:10" s="2" customFormat="1" ht="15" customHeight="1" x14ac:dyDescent="0.25">
      <c r="A117" s="163"/>
      <c r="B117" s="2" t="s">
        <v>29</v>
      </c>
      <c r="C117" s="2" t="s">
        <v>159</v>
      </c>
      <c r="D117" s="6">
        <v>5100013442</v>
      </c>
      <c r="E117" s="4" t="s">
        <v>370</v>
      </c>
      <c r="F117" s="2" t="s">
        <v>453</v>
      </c>
      <c r="G117" s="222">
        <v>44882</v>
      </c>
      <c r="H117" s="165" t="s">
        <v>248</v>
      </c>
      <c r="I117" s="181" t="s">
        <v>139</v>
      </c>
      <c r="J117" s="170" t="s">
        <v>454</v>
      </c>
    </row>
    <row r="118" spans="1:10" s="2" customFormat="1" ht="15" customHeight="1" x14ac:dyDescent="0.25">
      <c r="A118" s="163"/>
      <c r="B118" s="2" t="s">
        <v>29</v>
      </c>
      <c r="C118" s="2" t="s">
        <v>159</v>
      </c>
      <c r="D118" s="6">
        <v>5100013444</v>
      </c>
      <c r="E118" s="4" t="s">
        <v>370</v>
      </c>
      <c r="F118" s="2" t="s">
        <v>455</v>
      </c>
      <c r="G118" s="222">
        <v>28362</v>
      </c>
      <c r="H118" s="165" t="s">
        <v>248</v>
      </c>
      <c r="I118" s="181" t="s">
        <v>139</v>
      </c>
      <c r="J118" s="170" t="s">
        <v>456</v>
      </c>
    </row>
    <row r="119" spans="1:10" s="2" customFormat="1" ht="15" customHeight="1" x14ac:dyDescent="0.25">
      <c r="A119" s="163"/>
      <c r="B119" s="2" t="s">
        <v>29</v>
      </c>
      <c r="C119" s="2" t="s">
        <v>159</v>
      </c>
      <c r="D119" s="6">
        <v>5100013637</v>
      </c>
      <c r="E119" s="4" t="s">
        <v>370</v>
      </c>
      <c r="F119" s="2" t="s">
        <v>455</v>
      </c>
      <c r="G119" s="222">
        <v>40988</v>
      </c>
      <c r="H119" s="165" t="s">
        <v>248</v>
      </c>
      <c r="I119" s="181" t="s">
        <v>139</v>
      </c>
      <c r="J119" s="170" t="s">
        <v>464</v>
      </c>
    </row>
    <row r="120" spans="1:10" s="2" customFormat="1" ht="15" customHeight="1" x14ac:dyDescent="0.25">
      <c r="A120" s="163"/>
      <c r="B120" s="42" t="s">
        <v>39</v>
      </c>
      <c r="C120" s="42" t="s">
        <v>157</v>
      </c>
      <c r="D120" s="165">
        <v>5100013779</v>
      </c>
      <c r="E120" s="4" t="s">
        <v>126</v>
      </c>
      <c r="F120" s="42" t="s">
        <v>465</v>
      </c>
      <c r="G120" s="222">
        <v>1193800</v>
      </c>
      <c r="H120" s="165" t="s">
        <v>248</v>
      </c>
      <c r="I120" s="181" t="s">
        <v>139</v>
      </c>
      <c r="J120" s="170" t="s">
        <v>473</v>
      </c>
    </row>
    <row r="121" spans="1:10" s="2" customFormat="1" ht="15" customHeight="1" x14ac:dyDescent="0.25">
      <c r="A121" s="163"/>
      <c r="B121" s="42" t="s">
        <v>39</v>
      </c>
      <c r="C121" s="42" t="s">
        <v>157</v>
      </c>
      <c r="D121" s="165">
        <v>5100014049</v>
      </c>
      <c r="E121" s="4" t="s">
        <v>126</v>
      </c>
      <c r="F121" s="42" t="s">
        <v>472</v>
      </c>
      <c r="G121" s="222">
        <v>1385040</v>
      </c>
      <c r="H121" s="165" t="s">
        <v>248</v>
      </c>
      <c r="I121" s="181" t="s">
        <v>139</v>
      </c>
      <c r="J121" s="170" t="s">
        <v>473</v>
      </c>
    </row>
    <row r="122" spans="1:10" s="42" customFormat="1" ht="15" customHeight="1" x14ac:dyDescent="0.25">
      <c r="A122" s="162"/>
      <c r="B122" s="42" t="s">
        <v>39</v>
      </c>
      <c r="C122" s="42" t="s">
        <v>157</v>
      </c>
      <c r="D122" s="165">
        <v>5100014127</v>
      </c>
      <c r="E122" s="4" t="s">
        <v>126</v>
      </c>
      <c r="F122" s="42" t="s">
        <v>474</v>
      </c>
      <c r="G122" s="222">
        <v>186600</v>
      </c>
      <c r="H122" s="165" t="s">
        <v>248</v>
      </c>
      <c r="I122" s="181" t="s">
        <v>139</v>
      </c>
      <c r="J122" s="170" t="s">
        <v>450</v>
      </c>
    </row>
    <row r="123" spans="1:10" s="42" customFormat="1" ht="15" customHeight="1" x14ac:dyDescent="0.25">
      <c r="A123" s="162"/>
      <c r="B123" s="42" t="s">
        <v>39</v>
      </c>
      <c r="C123" s="42" t="s">
        <v>157</v>
      </c>
      <c r="D123" s="165">
        <v>5100014338</v>
      </c>
      <c r="E123" s="4" t="s">
        <v>126</v>
      </c>
      <c r="F123" s="42" t="s">
        <v>483</v>
      </c>
      <c r="G123" s="222">
        <v>101900</v>
      </c>
      <c r="H123" s="165" t="s">
        <v>248</v>
      </c>
      <c r="I123" s="181" t="s">
        <v>139</v>
      </c>
      <c r="J123" s="170" t="s">
        <v>450</v>
      </c>
    </row>
    <row r="124" spans="1:10" s="2" customFormat="1" ht="15" customHeight="1" x14ac:dyDescent="0.25">
      <c r="A124" s="162"/>
      <c r="B124" s="42" t="s">
        <v>39</v>
      </c>
      <c r="C124" s="42" t="s">
        <v>157</v>
      </c>
      <c r="D124" s="165">
        <v>5100014379</v>
      </c>
      <c r="E124" s="4" t="s">
        <v>126</v>
      </c>
      <c r="F124" s="42" t="s">
        <v>488</v>
      </c>
      <c r="G124" s="198">
        <v>101900</v>
      </c>
      <c r="H124" s="165" t="s">
        <v>248</v>
      </c>
      <c r="I124" s="181" t="s">
        <v>139</v>
      </c>
      <c r="J124" s="170" t="s">
        <v>450</v>
      </c>
    </row>
    <row r="125" spans="1:10" s="2" customFormat="1" ht="15" customHeight="1" x14ac:dyDescent="0.25">
      <c r="A125" s="162"/>
      <c r="B125" s="42"/>
      <c r="C125" s="42"/>
      <c r="D125" s="165"/>
      <c r="E125" s="4"/>
      <c r="F125" s="42"/>
      <c r="G125" s="199"/>
      <c r="H125" s="165"/>
      <c r="I125" s="181"/>
      <c r="J125" s="170"/>
    </row>
    <row r="126" spans="1:10" s="2" customFormat="1" ht="15" customHeight="1" x14ac:dyDescent="0.25">
      <c r="A126" s="162"/>
      <c r="B126" s="42"/>
      <c r="C126" s="42"/>
      <c r="D126" s="165"/>
      <c r="E126" s="4"/>
      <c r="F126" s="42"/>
      <c r="G126" s="199"/>
      <c r="H126" s="165"/>
      <c r="I126" s="181"/>
      <c r="J126" s="170"/>
    </row>
    <row r="127" spans="1:10" s="2" customFormat="1" ht="15" customHeight="1" x14ac:dyDescent="0.25">
      <c r="A127" s="162"/>
      <c r="B127" s="42"/>
      <c r="C127" s="42"/>
      <c r="D127" s="165"/>
      <c r="E127" s="4"/>
      <c r="F127" s="42"/>
      <c r="G127" s="199"/>
      <c r="H127" s="165"/>
      <c r="I127" s="181"/>
      <c r="J127" s="170"/>
    </row>
    <row r="128" spans="1:10" s="2" customFormat="1" ht="15" customHeight="1" x14ac:dyDescent="0.25">
      <c r="A128" s="162"/>
      <c r="B128" s="42"/>
      <c r="C128" s="42"/>
      <c r="D128" s="165"/>
      <c r="E128" s="4"/>
      <c r="F128" s="42"/>
      <c r="G128" s="199"/>
      <c r="H128" s="165"/>
      <c r="I128" s="181"/>
      <c r="J128" s="170"/>
    </row>
    <row r="129" spans="1:10" s="2" customFormat="1" ht="15" customHeight="1" x14ac:dyDescent="0.25">
      <c r="A129" s="162"/>
      <c r="B129" s="42"/>
      <c r="C129" s="42"/>
      <c r="D129" s="165"/>
      <c r="E129" s="4"/>
      <c r="F129" s="42"/>
      <c r="G129" s="199"/>
      <c r="H129" s="165"/>
      <c r="I129" s="181"/>
      <c r="J129" s="170"/>
    </row>
    <row r="130" spans="1:10" s="2" customFormat="1" ht="15" customHeight="1" x14ac:dyDescent="0.25">
      <c r="A130" s="162"/>
      <c r="B130" s="42"/>
      <c r="C130" s="42"/>
      <c r="D130" s="165"/>
      <c r="E130" s="4"/>
      <c r="F130" s="42"/>
      <c r="G130" s="199"/>
      <c r="H130" s="165"/>
      <c r="I130" s="181"/>
      <c r="J130" s="170"/>
    </row>
    <row r="131" spans="1:10" s="2" customFormat="1" ht="15" customHeight="1" x14ac:dyDescent="0.25">
      <c r="A131" s="162"/>
      <c r="B131" s="42"/>
      <c r="C131" s="42"/>
      <c r="D131" s="165"/>
      <c r="E131" s="4"/>
      <c r="F131" s="42"/>
      <c r="G131" s="199"/>
      <c r="H131" s="165"/>
      <c r="I131" s="181"/>
      <c r="J131" s="170"/>
    </row>
    <row r="132" spans="1:10" s="2" customFormat="1" ht="15" customHeight="1" x14ac:dyDescent="0.25">
      <c r="A132" s="163"/>
      <c r="D132" s="6"/>
      <c r="E132" s="4"/>
      <c r="G132" s="199"/>
      <c r="H132" s="165"/>
      <c r="I132" s="182"/>
      <c r="J132" s="170"/>
    </row>
    <row r="133" spans="1:10" s="2" customFormat="1" ht="15" customHeight="1" x14ac:dyDescent="0.25">
      <c r="A133" s="163"/>
      <c r="D133" s="6"/>
      <c r="E133" s="4"/>
      <c r="G133" s="199"/>
      <c r="H133" s="165"/>
      <c r="I133" s="182"/>
      <c r="J133" s="170"/>
    </row>
    <row r="134" spans="1:10" s="2" customFormat="1" ht="15" customHeight="1" x14ac:dyDescent="0.25">
      <c r="A134" s="172"/>
      <c r="B134" s="173"/>
      <c r="C134" s="173"/>
      <c r="D134" s="174"/>
      <c r="E134" s="175"/>
      <c r="F134" s="173"/>
      <c r="G134" s="200"/>
      <c r="H134" s="176"/>
      <c r="I134" s="183"/>
      <c r="J134" s="177"/>
    </row>
    <row r="135" spans="1:10" s="2" customFormat="1" ht="15" customHeight="1" x14ac:dyDescent="0.25">
      <c r="A135" s="6"/>
      <c r="D135" s="6"/>
      <c r="E135" s="4"/>
      <c r="G135" s="171">
        <f>SUBTOTAL(9,G3:G134)</f>
        <v>37452109</v>
      </c>
      <c r="H135" s="166"/>
      <c r="I135" s="5"/>
    </row>
    <row r="136" spans="1:10" s="2" customFormat="1" ht="15" customHeight="1" x14ac:dyDescent="0.25">
      <c r="A136" s="6"/>
      <c r="D136" s="6"/>
      <c r="E136" s="4"/>
      <c r="G136" s="3"/>
      <c r="H136" s="166"/>
      <c r="I136" s="5"/>
    </row>
    <row r="137" spans="1:10" s="2" customFormat="1" ht="15" customHeight="1" x14ac:dyDescent="0.25">
      <c r="A137" s="6"/>
      <c r="D137" s="6"/>
      <c r="E137" s="4"/>
      <c r="G137" s="178">
        <f>SUM(Költségvetés!F2:G18)</f>
        <v>37452109</v>
      </c>
      <c r="H137" s="179" t="s">
        <v>292</v>
      </c>
      <c r="I137" s="180"/>
    </row>
    <row r="138" spans="1:10" s="2" customFormat="1" ht="15" customHeight="1" x14ac:dyDescent="0.25">
      <c r="A138" s="6"/>
      <c r="D138" s="6"/>
      <c r="E138" s="4"/>
      <c r="G138" s="3"/>
      <c r="H138" s="166"/>
      <c r="I138"/>
    </row>
    <row r="139" spans="1:10" s="2" customFormat="1" ht="15" customHeight="1" x14ac:dyDescent="0.25">
      <c r="A139" s="6"/>
      <c r="D139" s="6"/>
      <c r="E139" s="4"/>
      <c r="G139" s="3"/>
      <c r="H139" s="166"/>
    </row>
    <row r="140" spans="1:10" s="2" customFormat="1" ht="15" customHeight="1" x14ac:dyDescent="0.25">
      <c r="A140" s="6"/>
      <c r="D140" s="6"/>
      <c r="E140" s="4"/>
      <c r="G140" s="3"/>
      <c r="H140" s="167"/>
      <c r="I140" s="6"/>
    </row>
    <row r="141" spans="1:10" s="2" customFormat="1" ht="15" customHeight="1" x14ac:dyDescent="0.25">
      <c r="A141" s="6"/>
      <c r="D141" s="6"/>
      <c r="E141" s="4"/>
      <c r="G141" s="3"/>
      <c r="H141" s="167"/>
    </row>
    <row r="142" spans="1:10" s="2" customFormat="1" ht="15" customHeight="1" x14ac:dyDescent="0.25">
      <c r="A142" s="6"/>
      <c r="D142" s="6"/>
      <c r="E142" s="4"/>
      <c r="G142" s="3"/>
      <c r="H142" s="167"/>
    </row>
    <row r="143" spans="1:10" x14ac:dyDescent="0.25">
      <c r="H143" s="167"/>
    </row>
    <row r="144" spans="1:10" x14ac:dyDescent="0.25">
      <c r="E144" s="57"/>
      <c r="G144" s="57"/>
    </row>
    <row r="145" spans="5:7" x14ac:dyDescent="0.25">
      <c r="E145" s="57"/>
      <c r="G145" s="57"/>
    </row>
    <row r="146" spans="5:7" x14ac:dyDescent="0.25">
      <c r="E146" s="57"/>
      <c r="G146" s="57"/>
    </row>
    <row r="147" spans="5:7" x14ac:dyDescent="0.25">
      <c r="E147" s="57"/>
      <c r="G147" s="57"/>
    </row>
  </sheetData>
  <autoFilter ref="A2:J134" xr:uid="{970E8824-7641-4FCE-91C7-7484ABDBCFA8}"/>
  <conditionalFormatting sqref="G1">
    <cfRule type="cellIs" dxfId="5" priority="14" operator="equal">
      <formula>"HIBA"</formula>
    </cfRule>
  </conditionalFormatting>
  <conditionalFormatting sqref="G3:G16">
    <cfRule type="expression" dxfId="4" priority="17">
      <formula>$G3&lt;2000</formula>
    </cfRule>
  </conditionalFormatting>
  <conditionalFormatting sqref="G98">
    <cfRule type="expression" dxfId="3" priority="5">
      <formula>$G98&lt;2000</formula>
    </cfRule>
  </conditionalFormatting>
  <conditionalFormatting sqref="G102">
    <cfRule type="expression" dxfId="2" priority="3">
      <formula>$G102&lt;2000</formula>
    </cfRule>
  </conditionalFormatting>
  <conditionalFormatting sqref="G115:G116">
    <cfRule type="expression" dxfId="1" priority="2">
      <formula>$G115&lt;2000</formula>
    </cfRule>
  </conditionalFormatting>
  <conditionalFormatting sqref="G120:G124">
    <cfRule type="expression" dxfId="0" priority="1">
      <formula>$G120&lt;2000</formula>
    </cfRule>
  </conditionalFormatting>
  <dataValidations count="3">
    <dataValidation type="list" allowBlank="1" showInputMessage="1" showErrorMessage="1" sqref="H102:H107 H134 H120:H121 H109:H116 H3:H83" xr:uid="{860E0FFE-3538-48D5-8A96-67AAAF77C849}">
      <formula1>"Tény,Kötváll"</formula1>
    </dataValidation>
    <dataValidation type="list" allowBlank="1" showInputMessage="1" showErrorMessage="1" sqref="H84:H101 H108 H117:H119 H122:H133" xr:uid="{2EEF45E6-344F-40E7-A3FB-91AA58212457}">
      <formula1>"Tény,Kötváll,Terv"</formula1>
    </dataValidation>
    <dataValidation type="list" allowBlank="1" showInputMessage="1" showErrorMessage="1" sqref="I3:I134" xr:uid="{F5CF0E1A-7AFC-44F0-ACC4-FA9950829625}">
      <formula1>"M217200086,M517200185"</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211B5896-4D42-49FD-AB2F-080B31B5B8CA}">
          <x14:formula1>
            <xm:f>admin!$B$43:$B$77</xm:f>
          </x14:formula1>
          <xm:sqref>C3:C134</xm:sqref>
        </x14:dataValidation>
        <x14:dataValidation type="list" allowBlank="1" showInputMessage="1" showErrorMessage="1" xr:uid="{603F622B-DEE4-4B7E-8F67-9C98E9803E0F}">
          <x14:formula1>
            <xm:f>admin!$A$43:$A$77</xm:f>
          </x14:formula1>
          <xm:sqref>B3:C134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0"/>
  <sheetViews>
    <sheetView workbookViewId="0">
      <selection activeCell="E12" sqref="E12"/>
    </sheetView>
  </sheetViews>
  <sheetFormatPr defaultRowHeight="15" x14ac:dyDescent="0.25"/>
  <cols>
    <col min="1" max="1" width="38.42578125" customWidth="1"/>
    <col min="2" max="2" width="22.140625" customWidth="1"/>
    <col min="3" max="3" width="15.7109375" customWidth="1"/>
    <col min="4" max="5" width="17.7109375" customWidth="1"/>
    <col min="6" max="6" width="12.7109375" customWidth="1"/>
    <col min="7" max="7" width="14.5703125" customWidth="1"/>
    <col min="8" max="8" width="13.7109375" customWidth="1"/>
    <col min="9" max="9" width="14.28515625" customWidth="1"/>
    <col min="10" max="10" width="13.28515625" bestFit="1" customWidth="1"/>
    <col min="11" max="12" width="16.28515625" customWidth="1"/>
    <col min="13" max="14" width="13.28515625" bestFit="1" customWidth="1"/>
  </cols>
  <sheetData>
    <row r="1" spans="1:14" x14ac:dyDescent="0.25">
      <c r="A1" s="264" t="s">
        <v>104</v>
      </c>
      <c r="B1" s="265"/>
      <c r="C1" s="266" t="s">
        <v>105</v>
      </c>
      <c r="D1" s="266"/>
      <c r="E1" s="266"/>
      <c r="F1" s="12"/>
      <c r="G1" s="13"/>
      <c r="H1" s="14" t="s">
        <v>106</v>
      </c>
      <c r="I1" s="15">
        <f>C8-C3</f>
        <v>638</v>
      </c>
      <c r="J1" s="47">
        <f>I1/30</f>
        <v>21.266666666666666</v>
      </c>
      <c r="K1" s="16" t="s">
        <v>107</v>
      </c>
      <c r="L1" s="17">
        <f ca="1">TODAY()</f>
        <v>45082</v>
      </c>
    </row>
    <row r="2" spans="1:14" x14ac:dyDescent="0.25">
      <c r="A2" s="264" t="s">
        <v>108</v>
      </c>
      <c r="B2" s="265"/>
      <c r="C2" s="18" t="s">
        <v>109</v>
      </c>
      <c r="D2" s="18"/>
      <c r="E2" s="18"/>
      <c r="F2" s="8"/>
      <c r="G2" s="13"/>
      <c r="H2" s="19" t="s">
        <v>110</v>
      </c>
      <c r="I2" s="15">
        <f ca="1">L1-C3</f>
        <v>1220</v>
      </c>
      <c r="J2" s="20">
        <f ca="1">I2/I1</f>
        <v>1.9122257053291536</v>
      </c>
    </row>
    <row r="3" spans="1:14" x14ac:dyDescent="0.25">
      <c r="A3" s="264" t="s">
        <v>111</v>
      </c>
      <c r="B3" s="265"/>
      <c r="C3" s="267">
        <v>43862</v>
      </c>
      <c r="D3" s="268"/>
      <c r="E3" s="269"/>
      <c r="F3" s="21"/>
      <c r="G3" s="13"/>
      <c r="H3" s="19" t="s">
        <v>112</v>
      </c>
      <c r="I3" s="15">
        <f ca="1">I1-I2</f>
        <v>-582</v>
      </c>
    </row>
    <row r="4" spans="1:14" x14ac:dyDescent="0.25">
      <c r="A4" s="41"/>
      <c r="B4" s="41"/>
      <c r="C4" s="39"/>
      <c r="D4" s="39"/>
      <c r="E4" s="39"/>
      <c r="F4" s="21"/>
      <c r="H4" s="40"/>
      <c r="I4" s="11"/>
    </row>
    <row r="6" spans="1:14" s="27" customFormat="1" ht="30" x14ac:dyDescent="0.25">
      <c r="A6" s="22" t="s">
        <v>113</v>
      </c>
      <c r="B6" s="22" t="s">
        <v>114</v>
      </c>
      <c r="C6" s="23" t="s">
        <v>115</v>
      </c>
      <c r="D6" s="24" t="s">
        <v>116</v>
      </c>
      <c r="E6" s="25" t="s">
        <v>117</v>
      </c>
      <c r="F6" s="25" t="s">
        <v>232</v>
      </c>
      <c r="G6" s="26" t="s">
        <v>118</v>
      </c>
      <c r="H6" s="26" t="s">
        <v>4</v>
      </c>
      <c r="I6" s="26" t="s">
        <v>119</v>
      </c>
      <c r="J6" s="26" t="s">
        <v>130</v>
      </c>
      <c r="K6" s="26" t="s">
        <v>131</v>
      </c>
      <c r="L6" s="27" t="s">
        <v>123</v>
      </c>
    </row>
    <row r="7" spans="1:14" s="33" customFormat="1" x14ac:dyDescent="0.25">
      <c r="A7" s="28">
        <v>1</v>
      </c>
      <c r="B7" s="29" t="s">
        <v>120</v>
      </c>
      <c r="C7" s="43">
        <v>44135</v>
      </c>
      <c r="D7" s="30">
        <v>30000000</v>
      </c>
      <c r="E7" s="30">
        <v>30000000</v>
      </c>
      <c r="F7" s="66" t="s">
        <v>12</v>
      </c>
      <c r="G7" s="58">
        <v>43817</v>
      </c>
      <c r="H7" s="30">
        <v>18612104</v>
      </c>
      <c r="I7" s="63">
        <v>44165</v>
      </c>
      <c r="J7" s="30">
        <v>18552422</v>
      </c>
      <c r="K7" s="59">
        <v>44214</v>
      </c>
      <c r="L7" s="46">
        <f>E9-J7</f>
        <v>50530250</v>
      </c>
      <c r="M7" s="46">
        <f>E9-16390848</f>
        <v>52691824</v>
      </c>
      <c r="N7" s="46">
        <f>M7-J7</f>
        <v>34139402</v>
      </c>
    </row>
    <row r="8" spans="1:14" s="33" customFormat="1" x14ac:dyDescent="0.25">
      <c r="A8" s="34">
        <v>2</v>
      </c>
      <c r="B8" s="35" t="s">
        <v>121</v>
      </c>
      <c r="C8" s="51">
        <v>44500</v>
      </c>
      <c r="D8" s="30">
        <v>46758525</v>
      </c>
      <c r="E8" s="30">
        <v>39082672</v>
      </c>
      <c r="F8" s="30" t="s">
        <v>12</v>
      </c>
      <c r="G8" s="31">
        <v>44193</v>
      </c>
      <c r="H8" s="49">
        <v>45412421</v>
      </c>
      <c r="I8" s="50">
        <v>44591</v>
      </c>
      <c r="J8" s="65">
        <v>45412421</v>
      </c>
      <c r="K8" s="32"/>
      <c r="L8" s="46">
        <f>E9-J8</f>
        <v>23670251</v>
      </c>
      <c r="M8" s="46">
        <f>E9-M7</f>
        <v>16390848</v>
      </c>
    </row>
    <row r="9" spans="1:14" s="33" customFormat="1" x14ac:dyDescent="0.25">
      <c r="A9" s="55"/>
      <c r="B9" s="32"/>
      <c r="C9" s="56"/>
      <c r="D9" s="36">
        <f>SUM(D7:D8)</f>
        <v>76758525</v>
      </c>
      <c r="E9" s="36">
        <f>SUM(E7:E8)</f>
        <v>69082672</v>
      </c>
      <c r="F9" s="36"/>
      <c r="G9" s="31"/>
      <c r="H9" s="60"/>
      <c r="I9" s="56"/>
      <c r="J9" s="30"/>
      <c r="K9" s="32"/>
      <c r="M9" s="33">
        <v>11273019</v>
      </c>
    </row>
    <row r="10" spans="1:14" s="33" customFormat="1" x14ac:dyDescent="0.25">
      <c r="A10" s="52">
        <v>3</v>
      </c>
      <c r="B10" s="53" t="s">
        <v>145</v>
      </c>
      <c r="C10" s="54">
        <v>45230</v>
      </c>
      <c r="D10" s="30">
        <v>130000000</v>
      </c>
      <c r="E10" s="30">
        <v>22435500</v>
      </c>
      <c r="F10" s="30" t="s">
        <v>12</v>
      </c>
      <c r="G10" s="31">
        <v>44579</v>
      </c>
      <c r="H10" s="61"/>
      <c r="I10" s="56"/>
      <c r="J10" s="30"/>
      <c r="K10" s="32"/>
      <c r="M10" s="46">
        <f>M8-M9</f>
        <v>5117829</v>
      </c>
    </row>
    <row r="11" spans="1:14" s="33" customFormat="1" x14ac:dyDescent="0.25">
      <c r="A11" s="52">
        <v>3</v>
      </c>
      <c r="B11" s="53"/>
      <c r="C11" s="54"/>
      <c r="D11" s="30"/>
      <c r="E11" s="30">
        <f>52500000+64500000-E10</f>
        <v>94564500</v>
      </c>
      <c r="F11" s="30" t="s">
        <v>139</v>
      </c>
      <c r="G11" s="31">
        <v>44579</v>
      </c>
      <c r="H11" s="61"/>
      <c r="I11" s="56"/>
      <c r="J11" s="30"/>
      <c r="K11" s="32"/>
    </row>
    <row r="12" spans="1:14" s="33" customFormat="1" x14ac:dyDescent="0.25">
      <c r="B12" s="32" t="s">
        <v>122</v>
      </c>
      <c r="C12" s="44">
        <v>45291</v>
      </c>
      <c r="D12" s="48">
        <f>SUM(D9:D11)</f>
        <v>206758525</v>
      </c>
      <c r="E12" s="46">
        <f>E7+E8+E10+E11</f>
        <v>186082672</v>
      </c>
      <c r="F12" s="46"/>
      <c r="H12" s="62">
        <f>SUM(H7:H11)</f>
        <v>64024525</v>
      </c>
      <c r="I12" s="46"/>
      <c r="J12" s="64">
        <f t="shared" ref="J12" si="0">SUM(J7:J11)</f>
        <v>63964843</v>
      </c>
    </row>
    <row r="13" spans="1:14" x14ac:dyDescent="0.25">
      <c r="E13" s="45"/>
      <c r="I13" s="46"/>
      <c r="J13" s="45">
        <f>J12-E9</f>
        <v>-5117829</v>
      </c>
    </row>
    <row r="14" spans="1:14" x14ac:dyDescent="0.25">
      <c r="G14" s="45"/>
    </row>
    <row r="15" spans="1:14" x14ac:dyDescent="0.25">
      <c r="A15" s="37"/>
      <c r="B15" s="38"/>
    </row>
    <row r="16" spans="1:14" x14ac:dyDescent="0.25">
      <c r="B16" s="38"/>
    </row>
    <row r="17" spans="2:2" x14ac:dyDescent="0.25">
      <c r="B17" s="38"/>
    </row>
    <row r="18" spans="2:2" x14ac:dyDescent="0.25">
      <c r="B18" s="38"/>
    </row>
    <row r="19" spans="2:2" x14ac:dyDescent="0.25">
      <c r="B19" s="38"/>
    </row>
    <row r="20" spans="2:2" x14ac:dyDescent="0.25">
      <c r="B20" s="38"/>
    </row>
  </sheetData>
  <customSheetViews>
    <customSheetView guid="{A894C457-AC24-41C3-B3B3-F885000CA59F}">
      <selection activeCell="A16" sqref="A16"/>
      <pageMargins left="0.7" right="0.7" top="0.75" bottom="0.75" header="0.3" footer="0.3"/>
    </customSheetView>
    <customSheetView guid="{512FD11E-1805-40CF-9281-A97D99C73B97}">
      <selection activeCell="F22" sqref="F22"/>
      <pageMargins left="0.7" right="0.7" top="0.75" bottom="0.75" header="0.3" footer="0.3"/>
    </customSheetView>
    <customSheetView guid="{5B7A7034-1D27-4339-9163-15908448B119}">
      <selection activeCell="A16" sqref="A16"/>
      <pageMargins left="0.7" right="0.7" top="0.75" bottom="0.75" header="0.3" footer="0.3"/>
    </customSheetView>
  </customSheetViews>
  <mergeCells count="5">
    <mergeCell ref="A1:B1"/>
    <mergeCell ref="C1:E1"/>
    <mergeCell ref="A2:B2"/>
    <mergeCell ref="A3:B3"/>
    <mergeCell ref="C3:E3"/>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77"/>
  <sheetViews>
    <sheetView topLeftCell="A55" workbookViewId="0">
      <selection activeCell="B82" sqref="B82"/>
    </sheetView>
  </sheetViews>
  <sheetFormatPr defaultRowHeight="15" x14ac:dyDescent="0.25"/>
  <cols>
    <col min="1" max="1" width="58.42578125" customWidth="1"/>
    <col min="2" max="2" width="58.28515625" customWidth="1"/>
    <col min="3" max="3" width="64" customWidth="1"/>
    <col min="4" max="4" width="23.5703125" customWidth="1"/>
    <col min="7" max="7" width="10.7109375" customWidth="1"/>
  </cols>
  <sheetData>
    <row r="1" spans="1:3" x14ac:dyDescent="0.25">
      <c r="A1" s="68" t="s">
        <v>249</v>
      </c>
      <c r="B1" s="68" t="s">
        <v>250</v>
      </c>
      <c r="C1" s="68" t="s">
        <v>251</v>
      </c>
    </row>
    <row r="2" spans="1:3" x14ac:dyDescent="0.25">
      <c r="A2" t="s">
        <v>171</v>
      </c>
      <c r="B2" t="s">
        <v>175</v>
      </c>
      <c r="C2" t="s">
        <v>154</v>
      </c>
    </row>
    <row r="3" spans="1:3" x14ac:dyDescent="0.25">
      <c r="A3" t="s">
        <v>162</v>
      </c>
      <c r="B3" t="s">
        <v>163</v>
      </c>
      <c r="C3" t="s">
        <v>146</v>
      </c>
    </row>
    <row r="4" spans="1:3" x14ac:dyDescent="0.25">
      <c r="A4" t="s">
        <v>62</v>
      </c>
      <c r="B4" t="s">
        <v>98</v>
      </c>
      <c r="C4" t="s">
        <v>150</v>
      </c>
    </row>
    <row r="5" spans="1:3" x14ac:dyDescent="0.25">
      <c r="A5" t="s">
        <v>62</v>
      </c>
      <c r="B5" t="s">
        <v>98</v>
      </c>
      <c r="C5" t="s">
        <v>61</v>
      </c>
    </row>
    <row r="6" spans="1:3" x14ac:dyDescent="0.25">
      <c r="A6" t="s">
        <v>21</v>
      </c>
      <c r="B6" t="s">
        <v>91</v>
      </c>
      <c r="C6" t="s">
        <v>20</v>
      </c>
    </row>
    <row r="7" spans="1:3" x14ac:dyDescent="0.25">
      <c r="A7" t="s">
        <v>25</v>
      </c>
      <c r="B7" t="s">
        <v>87</v>
      </c>
      <c r="C7" t="s">
        <v>20</v>
      </c>
    </row>
    <row r="8" spans="1:3" x14ac:dyDescent="0.25">
      <c r="A8" t="s">
        <v>164</v>
      </c>
      <c r="B8" t="s">
        <v>165</v>
      </c>
      <c r="C8" t="s">
        <v>148</v>
      </c>
    </row>
    <row r="9" spans="1:3" x14ac:dyDescent="0.25">
      <c r="A9" t="s">
        <v>166</v>
      </c>
      <c r="B9" t="s">
        <v>167</v>
      </c>
      <c r="C9" t="s">
        <v>151</v>
      </c>
    </row>
    <row r="10" spans="1:3" x14ac:dyDescent="0.25">
      <c r="A10" t="s">
        <v>166</v>
      </c>
      <c r="B10" t="s">
        <v>167</v>
      </c>
      <c r="C10" t="s">
        <v>59</v>
      </c>
    </row>
    <row r="11" spans="1:3" x14ac:dyDescent="0.25">
      <c r="A11" t="s">
        <v>241</v>
      </c>
      <c r="B11" t="s">
        <v>243</v>
      </c>
      <c r="C11" t="s">
        <v>47</v>
      </c>
    </row>
    <row r="12" spans="1:3" x14ac:dyDescent="0.25">
      <c r="A12" t="s">
        <v>60</v>
      </c>
      <c r="B12" t="s">
        <v>97</v>
      </c>
      <c r="C12" t="s">
        <v>59</v>
      </c>
    </row>
    <row r="13" spans="1:3" x14ac:dyDescent="0.25">
      <c r="A13" t="s">
        <v>67</v>
      </c>
      <c r="B13" t="s">
        <v>99</v>
      </c>
      <c r="C13" t="s">
        <v>59</v>
      </c>
    </row>
    <row r="14" spans="1:3" x14ac:dyDescent="0.25">
      <c r="A14" t="s">
        <v>74</v>
      </c>
      <c r="B14" t="s">
        <v>88</v>
      </c>
      <c r="C14" t="s">
        <v>59</v>
      </c>
    </row>
    <row r="15" spans="1:3" x14ac:dyDescent="0.25">
      <c r="A15" t="s">
        <v>75</v>
      </c>
      <c r="B15" t="s">
        <v>89</v>
      </c>
      <c r="C15" t="s">
        <v>59</v>
      </c>
    </row>
    <row r="16" spans="1:3" x14ac:dyDescent="0.25">
      <c r="A16" t="s">
        <v>76</v>
      </c>
      <c r="B16" t="s">
        <v>90</v>
      </c>
      <c r="C16" t="s">
        <v>59</v>
      </c>
    </row>
    <row r="17" spans="1:3" x14ac:dyDescent="0.25">
      <c r="A17" t="s">
        <v>66</v>
      </c>
      <c r="B17" t="s">
        <v>93</v>
      </c>
      <c r="C17" t="s">
        <v>59</v>
      </c>
    </row>
    <row r="18" spans="1:3" x14ac:dyDescent="0.25">
      <c r="A18" t="s">
        <v>172</v>
      </c>
      <c r="B18" t="s">
        <v>176</v>
      </c>
      <c r="C18" t="s">
        <v>154</v>
      </c>
    </row>
    <row r="19" spans="1:3" x14ac:dyDescent="0.25">
      <c r="A19" t="s">
        <v>65</v>
      </c>
      <c r="B19" t="s">
        <v>95</v>
      </c>
      <c r="C19" t="s">
        <v>36</v>
      </c>
    </row>
    <row r="20" spans="1:3" x14ac:dyDescent="0.25">
      <c r="A20" t="s">
        <v>73</v>
      </c>
      <c r="B20" t="s">
        <v>81</v>
      </c>
      <c r="C20" t="s">
        <v>36</v>
      </c>
    </row>
    <row r="21" spans="1:3" x14ac:dyDescent="0.25">
      <c r="A21" t="s">
        <v>63</v>
      </c>
      <c r="B21" t="s">
        <v>92</v>
      </c>
      <c r="C21" t="s">
        <v>42</v>
      </c>
    </row>
    <row r="22" spans="1:3" x14ac:dyDescent="0.25">
      <c r="A22" t="s">
        <v>56</v>
      </c>
      <c r="B22" t="s">
        <v>100</v>
      </c>
      <c r="C22" t="s">
        <v>42</v>
      </c>
    </row>
    <row r="23" spans="1:3" x14ac:dyDescent="0.25">
      <c r="A23" t="s">
        <v>70</v>
      </c>
      <c r="B23" t="s">
        <v>82</v>
      </c>
      <c r="C23" t="s">
        <v>42</v>
      </c>
    </row>
    <row r="24" spans="1:3" x14ac:dyDescent="0.25">
      <c r="A24" t="s">
        <v>173</v>
      </c>
      <c r="B24" t="s">
        <v>177</v>
      </c>
      <c r="C24" t="s">
        <v>154</v>
      </c>
    </row>
    <row r="25" spans="1:3" x14ac:dyDescent="0.25">
      <c r="A25" t="s">
        <v>11</v>
      </c>
      <c r="B25" t="s">
        <v>185</v>
      </c>
      <c r="C25" t="s">
        <v>158</v>
      </c>
    </row>
    <row r="26" spans="1:3" x14ac:dyDescent="0.25">
      <c r="A26" t="s">
        <v>11</v>
      </c>
      <c r="B26" t="s">
        <v>86</v>
      </c>
      <c r="C26" t="s">
        <v>8</v>
      </c>
    </row>
    <row r="27" spans="1:3" x14ac:dyDescent="0.25">
      <c r="A27" t="s">
        <v>64</v>
      </c>
      <c r="B27" t="s">
        <v>96</v>
      </c>
      <c r="C27" t="s">
        <v>44</v>
      </c>
    </row>
    <row r="28" spans="1:3" x14ac:dyDescent="0.25">
      <c r="A28" t="s">
        <v>58</v>
      </c>
      <c r="B28" t="s">
        <v>83</v>
      </c>
      <c r="C28" t="s">
        <v>44</v>
      </c>
    </row>
    <row r="29" spans="1:3" x14ac:dyDescent="0.25">
      <c r="A29" t="s">
        <v>181</v>
      </c>
      <c r="B29" t="s">
        <v>182</v>
      </c>
      <c r="C29" t="s">
        <v>156</v>
      </c>
    </row>
    <row r="30" spans="1:3" x14ac:dyDescent="0.25">
      <c r="A30" t="s">
        <v>240</v>
      </c>
      <c r="B30" t="s">
        <v>242</v>
      </c>
      <c r="C30" t="s">
        <v>8</v>
      </c>
    </row>
    <row r="31" spans="1:3" x14ac:dyDescent="0.25">
      <c r="A31" t="s">
        <v>24</v>
      </c>
      <c r="B31" t="s">
        <v>79</v>
      </c>
      <c r="C31" t="s">
        <v>8</v>
      </c>
    </row>
    <row r="32" spans="1:3" x14ac:dyDescent="0.25">
      <c r="A32" t="s">
        <v>24</v>
      </c>
      <c r="B32" t="s">
        <v>188</v>
      </c>
      <c r="C32" t="s">
        <v>158</v>
      </c>
    </row>
    <row r="33" spans="1:3" x14ac:dyDescent="0.25">
      <c r="A33" t="s">
        <v>183</v>
      </c>
      <c r="B33" t="s">
        <v>186</v>
      </c>
      <c r="C33" t="s">
        <v>154</v>
      </c>
    </row>
    <row r="34" spans="1:3" x14ac:dyDescent="0.25">
      <c r="A34" t="s">
        <v>174</v>
      </c>
      <c r="B34" t="s">
        <v>178</v>
      </c>
      <c r="C34" t="s">
        <v>158</v>
      </c>
    </row>
    <row r="35" spans="1:3" x14ac:dyDescent="0.25">
      <c r="A35" t="s">
        <v>184</v>
      </c>
      <c r="B35" t="s">
        <v>187</v>
      </c>
      <c r="C35" t="s">
        <v>158</v>
      </c>
    </row>
    <row r="36" spans="1:3" x14ac:dyDescent="0.25">
      <c r="A36" t="s">
        <v>15</v>
      </c>
      <c r="B36" t="s">
        <v>102</v>
      </c>
      <c r="C36" t="s">
        <v>14</v>
      </c>
    </row>
    <row r="37" spans="1:3" x14ac:dyDescent="0.25">
      <c r="A37" t="s">
        <v>19</v>
      </c>
      <c r="B37" t="s">
        <v>101</v>
      </c>
      <c r="C37" t="s">
        <v>18</v>
      </c>
    </row>
    <row r="38" spans="1:3" x14ac:dyDescent="0.25">
      <c r="A38" t="s">
        <v>57</v>
      </c>
      <c r="B38" t="s">
        <v>94</v>
      </c>
      <c r="C38" t="s">
        <v>8</v>
      </c>
    </row>
    <row r="39" spans="1:3" x14ac:dyDescent="0.25">
      <c r="A39" t="s">
        <v>69</v>
      </c>
      <c r="B39" t="s">
        <v>84</v>
      </c>
      <c r="C39" t="s">
        <v>68</v>
      </c>
    </row>
    <row r="40" spans="1:3" x14ac:dyDescent="0.25">
      <c r="A40" t="s">
        <v>72</v>
      </c>
      <c r="B40" t="s">
        <v>85</v>
      </c>
      <c r="C40" t="s">
        <v>71</v>
      </c>
    </row>
    <row r="42" spans="1:3" x14ac:dyDescent="0.25">
      <c r="A42" s="68" t="s">
        <v>275</v>
      </c>
      <c r="B42" s="68" t="s">
        <v>251</v>
      </c>
      <c r="C42" s="68" t="s">
        <v>276</v>
      </c>
    </row>
    <row r="43" spans="1:3" x14ac:dyDescent="0.25">
      <c r="A43" t="s">
        <v>31</v>
      </c>
      <c r="B43" t="s">
        <v>158</v>
      </c>
      <c r="C43" t="s">
        <v>30</v>
      </c>
    </row>
    <row r="44" spans="1:3" x14ac:dyDescent="0.25">
      <c r="A44" t="s">
        <v>31</v>
      </c>
      <c r="B44" t="s">
        <v>20</v>
      </c>
      <c r="C44" t="s">
        <v>30</v>
      </c>
    </row>
    <row r="45" spans="1:3" x14ac:dyDescent="0.25">
      <c r="A45" t="s">
        <v>180</v>
      </c>
      <c r="B45" t="s">
        <v>156</v>
      </c>
      <c r="C45" t="s">
        <v>30</v>
      </c>
    </row>
    <row r="46" spans="1:3" x14ac:dyDescent="0.25">
      <c r="A46" t="s">
        <v>229</v>
      </c>
      <c r="B46" t="s">
        <v>8</v>
      </c>
      <c r="C46" t="s">
        <v>239</v>
      </c>
    </row>
    <row r="47" spans="1:3" x14ac:dyDescent="0.25">
      <c r="A47" t="s">
        <v>33</v>
      </c>
      <c r="B47" t="s">
        <v>158</v>
      </c>
      <c r="C47" t="s">
        <v>32</v>
      </c>
    </row>
    <row r="48" spans="1:3" x14ac:dyDescent="0.25">
      <c r="A48" t="s">
        <v>33</v>
      </c>
      <c r="B48" t="s">
        <v>8</v>
      </c>
      <c r="C48" t="s">
        <v>32</v>
      </c>
    </row>
    <row r="49" spans="1:3" x14ac:dyDescent="0.25">
      <c r="A49" t="s">
        <v>52</v>
      </c>
      <c r="B49" t="s">
        <v>147</v>
      </c>
      <c r="C49" t="s">
        <v>28</v>
      </c>
    </row>
    <row r="50" spans="1:3" x14ac:dyDescent="0.25">
      <c r="A50" t="s">
        <v>52</v>
      </c>
      <c r="B50" t="s">
        <v>51</v>
      </c>
      <c r="C50" t="s">
        <v>28</v>
      </c>
    </row>
    <row r="51" spans="1:3" x14ac:dyDescent="0.25">
      <c r="A51" t="s">
        <v>37</v>
      </c>
      <c r="B51" t="s">
        <v>149</v>
      </c>
      <c r="C51" t="s">
        <v>28</v>
      </c>
    </row>
    <row r="52" spans="1:3" x14ac:dyDescent="0.25">
      <c r="A52" t="s">
        <v>37</v>
      </c>
      <c r="B52" t="s">
        <v>36</v>
      </c>
      <c r="C52" t="s">
        <v>28</v>
      </c>
    </row>
    <row r="53" spans="1:3" x14ac:dyDescent="0.25">
      <c r="A53" t="s">
        <v>48</v>
      </c>
      <c r="B53" t="s">
        <v>47</v>
      </c>
      <c r="C53" t="s">
        <v>28</v>
      </c>
    </row>
    <row r="54" spans="1:3" x14ac:dyDescent="0.25">
      <c r="A54" t="s">
        <v>132</v>
      </c>
      <c r="B54" t="s">
        <v>8</v>
      </c>
      <c r="C54" t="s">
        <v>28</v>
      </c>
    </row>
    <row r="55" spans="1:3" x14ac:dyDescent="0.25">
      <c r="A55" t="s">
        <v>132</v>
      </c>
      <c r="B55" t="s">
        <v>158</v>
      </c>
      <c r="C55" t="s">
        <v>28</v>
      </c>
    </row>
    <row r="56" spans="1:3" x14ac:dyDescent="0.25">
      <c r="A56" t="s">
        <v>54</v>
      </c>
      <c r="B56" t="s">
        <v>153</v>
      </c>
      <c r="C56" t="s">
        <v>28</v>
      </c>
    </row>
    <row r="57" spans="1:3" x14ac:dyDescent="0.25">
      <c r="A57" t="s">
        <v>54</v>
      </c>
      <c r="B57" t="s">
        <v>53</v>
      </c>
      <c r="C57" t="s">
        <v>28</v>
      </c>
    </row>
    <row r="58" spans="1:3" x14ac:dyDescent="0.25">
      <c r="A58" t="s">
        <v>169</v>
      </c>
      <c r="B58" t="s">
        <v>154</v>
      </c>
      <c r="C58" t="s">
        <v>28</v>
      </c>
    </row>
    <row r="59" spans="1:3" x14ac:dyDescent="0.25">
      <c r="A59" t="s">
        <v>170</v>
      </c>
      <c r="B59" t="s">
        <v>154</v>
      </c>
      <c r="C59" t="s">
        <v>28</v>
      </c>
    </row>
    <row r="60" spans="1:3" x14ac:dyDescent="0.25">
      <c r="A60" t="s">
        <v>45</v>
      </c>
      <c r="B60" t="s">
        <v>156</v>
      </c>
      <c r="C60" t="s">
        <v>28</v>
      </c>
    </row>
    <row r="61" spans="1:3" x14ac:dyDescent="0.25">
      <c r="A61" t="s">
        <v>45</v>
      </c>
      <c r="B61" t="s">
        <v>44</v>
      </c>
      <c r="C61" t="s">
        <v>28</v>
      </c>
    </row>
    <row r="62" spans="1:3" x14ac:dyDescent="0.25">
      <c r="A62" t="s">
        <v>50</v>
      </c>
      <c r="B62" t="s">
        <v>154</v>
      </c>
      <c r="C62" t="s">
        <v>28</v>
      </c>
    </row>
    <row r="63" spans="1:3" x14ac:dyDescent="0.25">
      <c r="A63" t="s">
        <v>50</v>
      </c>
      <c r="B63" t="s">
        <v>49</v>
      </c>
      <c r="C63" t="s">
        <v>28</v>
      </c>
    </row>
    <row r="64" spans="1:3" x14ac:dyDescent="0.25">
      <c r="A64" t="s">
        <v>46</v>
      </c>
      <c r="B64" t="s">
        <v>47</v>
      </c>
      <c r="C64" t="s">
        <v>28</v>
      </c>
    </row>
    <row r="65" spans="1:3" x14ac:dyDescent="0.25">
      <c r="A65" t="s">
        <v>46</v>
      </c>
      <c r="B65" t="s">
        <v>20</v>
      </c>
      <c r="C65" t="s">
        <v>28</v>
      </c>
    </row>
    <row r="66" spans="1:3" x14ac:dyDescent="0.25">
      <c r="A66" t="s">
        <v>43</v>
      </c>
      <c r="B66" t="s">
        <v>42</v>
      </c>
      <c r="C66" t="s">
        <v>28</v>
      </c>
    </row>
    <row r="67" spans="1:3" x14ac:dyDescent="0.25">
      <c r="A67" t="s">
        <v>39</v>
      </c>
      <c r="B67" t="s">
        <v>157</v>
      </c>
      <c r="C67" t="s">
        <v>28</v>
      </c>
    </row>
    <row r="68" spans="1:3" x14ac:dyDescent="0.25">
      <c r="A68" t="s">
        <v>39</v>
      </c>
      <c r="B68" t="s">
        <v>55</v>
      </c>
      <c r="C68" t="s">
        <v>28</v>
      </c>
    </row>
    <row r="69" spans="1:3" x14ac:dyDescent="0.25">
      <c r="A69" t="s">
        <v>39</v>
      </c>
      <c r="B69" t="s">
        <v>38</v>
      </c>
      <c r="C69" t="s">
        <v>28</v>
      </c>
    </row>
    <row r="70" spans="1:3" x14ac:dyDescent="0.25">
      <c r="A70" t="s">
        <v>134</v>
      </c>
      <c r="B70" t="s">
        <v>8</v>
      </c>
      <c r="C70" t="s">
        <v>28</v>
      </c>
    </row>
    <row r="71" spans="1:3" x14ac:dyDescent="0.25">
      <c r="A71" t="s">
        <v>179</v>
      </c>
      <c r="B71" t="s">
        <v>155</v>
      </c>
      <c r="C71" t="s">
        <v>28</v>
      </c>
    </row>
    <row r="72" spans="1:3" x14ac:dyDescent="0.25">
      <c r="A72" t="s">
        <v>35</v>
      </c>
      <c r="B72" t="s">
        <v>34</v>
      </c>
      <c r="C72" t="s">
        <v>28</v>
      </c>
    </row>
    <row r="73" spans="1:3" x14ac:dyDescent="0.25">
      <c r="A73" t="s">
        <v>41</v>
      </c>
      <c r="B73" t="s">
        <v>40</v>
      </c>
      <c r="C73" t="s">
        <v>28</v>
      </c>
    </row>
    <row r="74" spans="1:3" x14ac:dyDescent="0.25">
      <c r="A74" t="s">
        <v>29</v>
      </c>
      <c r="B74" t="s">
        <v>159</v>
      </c>
      <c r="C74" t="s">
        <v>28</v>
      </c>
    </row>
    <row r="75" spans="1:3" x14ac:dyDescent="0.25">
      <c r="A75" t="s">
        <v>29</v>
      </c>
      <c r="B75" t="s">
        <v>27</v>
      </c>
      <c r="C75" t="s">
        <v>28</v>
      </c>
    </row>
    <row r="76" spans="1:3" x14ac:dyDescent="0.25">
      <c r="A76" t="s">
        <v>363</v>
      </c>
      <c r="B76" t="s">
        <v>158</v>
      </c>
      <c r="C76" t="s">
        <v>362</v>
      </c>
    </row>
    <row r="77" spans="1:3" x14ac:dyDescent="0.25">
      <c r="A77" t="s">
        <v>296</v>
      </c>
      <c r="B77" t="s">
        <v>159</v>
      </c>
      <c r="C77" t="s">
        <v>28</v>
      </c>
    </row>
  </sheetData>
  <autoFilter ref="A1:C40" xr:uid="{00000000-0001-0000-0700-000000000000}"/>
  <customSheetViews>
    <customSheetView guid="{A894C457-AC24-41C3-B3B3-F885000CA59F}">
      <selection activeCell="H5" sqref="H5"/>
      <pageMargins left="0.7" right="0.7" top="0.75" bottom="0.75" header="0.3" footer="0.3"/>
    </customSheetView>
    <customSheetView guid="{512FD11E-1805-40CF-9281-A97D99C73B97}">
      <selection activeCell="E27" sqref="E27"/>
      <pageMargins left="0.7" right="0.7" top="0.75" bottom="0.75" header="0.3" footer="0.3"/>
    </customSheetView>
    <customSheetView guid="{5B7A7034-1D27-4339-9163-15908448B119}">
      <selection activeCell="H5" sqref="H5"/>
      <pageMargins left="0.7" right="0.7" top="0.75" bottom="0.75" header="0.3" footer="0.3"/>
    </customSheetView>
  </customSheetView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10C97-B875-472C-AFED-1BB7E13048BC}">
  <dimension ref="A1:E25"/>
  <sheetViews>
    <sheetView workbookViewId="0">
      <selection activeCell="A2" sqref="A2:E13"/>
    </sheetView>
  </sheetViews>
  <sheetFormatPr defaultRowHeight="15" x14ac:dyDescent="0.25"/>
  <cols>
    <col min="1" max="5" width="22.140625" customWidth="1"/>
  </cols>
  <sheetData>
    <row r="1" spans="1:5" x14ac:dyDescent="0.25">
      <c r="A1" s="235" t="s">
        <v>265</v>
      </c>
      <c r="B1" s="235" t="s">
        <v>374</v>
      </c>
      <c r="C1" s="235" t="s">
        <v>263</v>
      </c>
      <c r="D1" s="235" t="s">
        <v>398</v>
      </c>
      <c r="E1" s="235" t="s">
        <v>399</v>
      </c>
    </row>
    <row r="2" spans="1:5" x14ac:dyDescent="0.25">
      <c r="A2" s="263" t="s">
        <v>400</v>
      </c>
      <c r="B2" s="236" t="s">
        <v>375</v>
      </c>
      <c r="C2" s="8" t="s">
        <v>128</v>
      </c>
      <c r="D2" s="228">
        <v>450411</v>
      </c>
      <c r="E2" s="228">
        <v>116606</v>
      </c>
    </row>
    <row r="3" spans="1:5" x14ac:dyDescent="0.25">
      <c r="A3" s="263" t="s">
        <v>236</v>
      </c>
      <c r="B3" s="236" t="s">
        <v>377</v>
      </c>
      <c r="C3" s="8" t="s">
        <v>13</v>
      </c>
      <c r="D3" s="228">
        <v>449200</v>
      </c>
      <c r="E3" s="228">
        <v>134472</v>
      </c>
    </row>
    <row r="4" spans="1:5" x14ac:dyDescent="0.25">
      <c r="A4" s="263" t="s">
        <v>401</v>
      </c>
      <c r="B4" s="236" t="s">
        <v>379</v>
      </c>
      <c r="C4" s="8" t="s">
        <v>308</v>
      </c>
      <c r="D4" s="228">
        <v>570919</v>
      </c>
      <c r="E4" s="228">
        <v>76310</v>
      </c>
    </row>
    <row r="5" spans="1:5" x14ac:dyDescent="0.25">
      <c r="A5" s="263" t="s">
        <v>133</v>
      </c>
      <c r="B5" s="236" t="s">
        <v>376</v>
      </c>
      <c r="C5" s="8" t="s">
        <v>430</v>
      </c>
      <c r="D5" s="228">
        <v>1030000</v>
      </c>
      <c r="E5" s="228">
        <v>133900</v>
      </c>
    </row>
    <row r="6" spans="1:5" x14ac:dyDescent="0.25">
      <c r="A6" s="263" t="s">
        <v>445</v>
      </c>
      <c r="B6" s="236" t="s">
        <v>476</v>
      </c>
      <c r="C6" s="8" t="s">
        <v>395</v>
      </c>
      <c r="D6" s="228">
        <v>700000</v>
      </c>
      <c r="E6" s="228">
        <v>159640</v>
      </c>
    </row>
    <row r="7" spans="1:5" x14ac:dyDescent="0.25">
      <c r="A7" s="263" t="s">
        <v>394</v>
      </c>
      <c r="B7" s="236" t="s">
        <v>416</v>
      </c>
      <c r="C7" s="8" t="s">
        <v>395</v>
      </c>
      <c r="D7" s="228">
        <v>1100000</v>
      </c>
      <c r="E7" s="228">
        <v>247832</v>
      </c>
    </row>
    <row r="8" spans="1:5" x14ac:dyDescent="0.25">
      <c r="A8" s="263" t="s">
        <v>16</v>
      </c>
      <c r="B8" s="236" t="s">
        <v>378</v>
      </c>
      <c r="C8" s="8" t="s">
        <v>430</v>
      </c>
      <c r="D8" s="228">
        <v>640600</v>
      </c>
      <c r="E8" s="228">
        <v>142236</v>
      </c>
    </row>
    <row r="9" spans="1:5" x14ac:dyDescent="0.25">
      <c r="A9" s="263" t="s">
        <v>127</v>
      </c>
      <c r="B9" s="236" t="s">
        <v>380</v>
      </c>
      <c r="C9" s="8" t="s">
        <v>128</v>
      </c>
      <c r="D9" s="228">
        <v>531100</v>
      </c>
      <c r="E9" s="228">
        <v>118235</v>
      </c>
    </row>
    <row r="10" spans="1:5" x14ac:dyDescent="0.25">
      <c r="A10" s="263" t="s">
        <v>417</v>
      </c>
      <c r="B10" s="236" t="s">
        <v>397</v>
      </c>
      <c r="C10" s="8" t="s">
        <v>395</v>
      </c>
      <c r="D10" s="228">
        <v>1150000</v>
      </c>
      <c r="E10" s="228">
        <v>259199</v>
      </c>
    </row>
    <row r="11" spans="1:5" x14ac:dyDescent="0.25">
      <c r="A11" s="263" t="s">
        <v>22</v>
      </c>
      <c r="B11" s="236" t="s">
        <v>381</v>
      </c>
      <c r="C11" s="8" t="s">
        <v>431</v>
      </c>
      <c r="D11" s="228">
        <v>840000</v>
      </c>
      <c r="E11" s="228">
        <v>173160</v>
      </c>
    </row>
    <row r="12" spans="1:5" x14ac:dyDescent="0.25">
      <c r="A12" s="263" t="s">
        <v>245</v>
      </c>
      <c r="B12" s="236" t="s">
        <v>383</v>
      </c>
      <c r="C12" s="8" t="s">
        <v>430</v>
      </c>
      <c r="D12" s="228">
        <v>508000</v>
      </c>
      <c r="E12" s="228">
        <v>77740</v>
      </c>
    </row>
    <row r="13" spans="1:5" x14ac:dyDescent="0.25">
      <c r="A13" s="263" t="s">
        <v>26</v>
      </c>
      <c r="B13" s="236" t="s">
        <v>382</v>
      </c>
      <c r="C13" s="8" t="s">
        <v>431</v>
      </c>
      <c r="D13" s="228">
        <v>567000</v>
      </c>
      <c r="E13" s="228">
        <v>115830</v>
      </c>
    </row>
    <row r="14" spans="1:5" x14ac:dyDescent="0.25">
      <c r="A14" s="236"/>
      <c r="B14" s="236"/>
      <c r="C14" s="8"/>
      <c r="D14" s="228"/>
      <c r="E14" s="228"/>
    </row>
    <row r="15" spans="1:5" x14ac:dyDescent="0.25">
      <c r="A15" s="238"/>
      <c r="B15" s="238"/>
      <c r="C15" s="8"/>
      <c r="D15" s="228"/>
      <c r="E15" s="228"/>
    </row>
    <row r="16" spans="1:5" x14ac:dyDescent="0.25">
      <c r="A16" s="237"/>
      <c r="B16" s="238"/>
      <c r="C16" s="8"/>
      <c r="D16" s="228"/>
      <c r="E16" s="228"/>
    </row>
    <row r="17" spans="1:5" x14ac:dyDescent="0.25">
      <c r="A17" s="236"/>
      <c r="B17" s="236"/>
      <c r="C17" s="8"/>
      <c r="D17" s="228"/>
      <c r="E17" s="228"/>
    </row>
    <row r="18" spans="1:5" x14ac:dyDescent="0.25">
      <c r="A18" s="238"/>
      <c r="B18" s="238"/>
      <c r="C18" s="8"/>
      <c r="D18" s="228"/>
      <c r="E18" s="228"/>
    </row>
    <row r="19" spans="1:5" x14ac:dyDescent="0.25">
      <c r="A19" s="237"/>
      <c r="B19" s="238"/>
      <c r="C19" s="8"/>
      <c r="D19" s="228"/>
      <c r="E19" s="228"/>
    </row>
    <row r="20" spans="1:5" x14ac:dyDescent="0.25">
      <c r="A20" s="236"/>
      <c r="B20" s="236"/>
      <c r="C20" s="8"/>
      <c r="D20" s="228"/>
      <c r="E20" s="228"/>
    </row>
    <row r="21" spans="1:5" x14ac:dyDescent="0.25">
      <c r="A21" s="238"/>
      <c r="B21" s="238"/>
      <c r="C21" s="8"/>
      <c r="D21" s="228"/>
      <c r="E21" s="228"/>
    </row>
    <row r="22" spans="1:5" x14ac:dyDescent="0.25">
      <c r="A22" s="237"/>
      <c r="B22" s="238"/>
      <c r="C22" s="8"/>
      <c r="D22" s="228"/>
      <c r="E22" s="228"/>
    </row>
    <row r="23" spans="1:5" x14ac:dyDescent="0.25">
      <c r="A23" s="236"/>
      <c r="B23" s="236"/>
      <c r="C23" s="8"/>
      <c r="D23" s="228"/>
      <c r="E23" s="228"/>
    </row>
    <row r="24" spans="1:5" x14ac:dyDescent="0.25">
      <c r="A24" s="238"/>
      <c r="B24" s="238"/>
      <c r="C24" s="8"/>
      <c r="D24" s="228"/>
      <c r="E24" s="228"/>
    </row>
    <row r="25" spans="1:5" x14ac:dyDescent="0.25">
      <c r="A25" s="237"/>
      <c r="B25" s="238"/>
      <c r="C25" s="8"/>
      <c r="D25" s="228"/>
      <c r="E25" s="228"/>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6</vt:i4>
      </vt:variant>
    </vt:vector>
  </HeadingPairs>
  <TitlesOfParts>
    <vt:vector size="6" baseType="lpstr">
      <vt:lpstr>Költségvetés</vt:lpstr>
      <vt:lpstr>Bérköltség</vt:lpstr>
      <vt:lpstr>Dologi_felhalm</vt:lpstr>
      <vt:lpstr>dátumok, korlátok</vt:lpstr>
      <vt:lpstr>admin</vt:lpstr>
      <vt:lpstr>Havi béradatok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Balla Beáta</dc:creator>
  <cp:lastModifiedBy>Domján Gábor</cp:lastModifiedBy>
  <dcterms:created xsi:type="dcterms:W3CDTF">2020-02-11T10:52:09Z</dcterms:created>
  <dcterms:modified xsi:type="dcterms:W3CDTF">2023-06-05T08:12:11Z</dcterms:modified>
</cp:coreProperties>
</file>