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Munka\!PROJEKTEK\2020-1.1.2-PIACI-KFI-2021-00219_Smartek\"/>
    </mc:Choice>
  </mc:AlternateContent>
  <xr:revisionPtr revIDLastSave="0" documentId="13_ncr:1_{B0F49515-13FC-4B96-9EFB-987271D71B9E}" xr6:coauthVersionLast="47" xr6:coauthVersionMax="47" xr10:uidLastSave="{00000000-0000-0000-0000-000000000000}"/>
  <bookViews>
    <workbookView xWindow="-120" yWindow="-120" windowWidth="29040" windowHeight="15840" tabRatio="590" activeTab="1" xr2:uid="{00000000-000D-0000-FFFF-FFFF00000000}"/>
  </bookViews>
  <sheets>
    <sheet name="Összesítő_Terv-tény" sheetId="2" r:id="rId1"/>
    <sheet name="Bérköltség" sheetId="11" r:id="rId2"/>
    <sheet name="Dologi_felhalm." sheetId="13" r:id="rId3"/>
    <sheet name="EPTK költségvetés export fájl" sheetId="18" r:id="rId4"/>
    <sheet name="Hónapok" sheetId="16" r:id="rId5"/>
    <sheet name="Admin" sheetId="17" r:id="rId6"/>
    <sheet name="Havi béradatok" sheetId="19" r:id="rId7"/>
  </sheets>
  <definedNames>
    <definedName name="_xlnm._FilterDatabase" localSheetId="1" hidden="1">Bérköltség!$A$5:$AS$275</definedName>
    <definedName name="_xlnm._FilterDatabase" localSheetId="2" hidden="1">Dologi_felhalm.!$A$2:$P$3</definedName>
    <definedName name="_xlnm._FilterDatabase" localSheetId="0" hidden="1">'Összesítő_Terv-tény'!$A$2:$Q$23</definedName>
    <definedName name="Z_B3053EE5_F487_4331_B4B6_28A1F2EF1617_.wvu.Cols" localSheetId="1" hidden="1">Bérköltség!#REF!,Bérköltség!#REF!,Bérköltség!$S:$T,Bérköltség!$X:$X,Bérköltség!$AA:$AA</definedName>
    <definedName name="Z_B3053EE5_F487_4331_B4B6_28A1F2EF1617_.wvu.FilterData" localSheetId="1" hidden="1">Bérköltség!$B$5:$AS$277</definedName>
    <definedName name="Z_B3053EE5_F487_4331_B4B6_28A1F2EF1617_.wvu.FilterData" localSheetId="2" hidden="1">Dologi_felhalm.!$A$2:$P$3</definedName>
    <definedName name="Z_B3053EE5_F487_4331_B4B6_28A1F2EF1617_.wvu.FilterData" localSheetId="0" hidden="1">'Összesítő_Terv-tény'!$C$3:$I$17</definedName>
    <definedName name="Z_B3053EE5_F487_4331_B4B6_28A1F2EF1617_.wvu.Rows" localSheetId="1" hidden="1">Bérköltség!#REF!</definedName>
    <definedName name="Z_B3053EE5_F487_4331_B4B6_28A1F2EF1617_.wvu.Rows" localSheetId="2" hidden="1">Dologi_felhalm.!#REF!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38" i="11" l="1"/>
  <c r="U238" i="11" s="1"/>
  <c r="R238" i="11"/>
  <c r="O238" i="11"/>
  <c r="S237" i="11"/>
  <c r="U237" i="11" s="1"/>
  <c r="R237" i="11"/>
  <c r="O237" i="11"/>
  <c r="T236" i="11"/>
  <c r="S236" i="11"/>
  <c r="U236" i="11" s="1"/>
  <c r="R236" i="11"/>
  <c r="O236" i="11"/>
  <c r="U235" i="11"/>
  <c r="T235" i="11"/>
  <c r="S235" i="11"/>
  <c r="R235" i="11"/>
  <c r="O235" i="11"/>
  <c r="K238" i="11"/>
  <c r="I238" i="11"/>
  <c r="E238" i="11"/>
  <c r="C238" i="11"/>
  <c r="K237" i="11"/>
  <c r="I237" i="11"/>
  <c r="E237" i="11"/>
  <c r="C237" i="11"/>
  <c r="K236" i="11"/>
  <c r="I236" i="11"/>
  <c r="E236" i="11"/>
  <c r="C236" i="11"/>
  <c r="K235" i="11"/>
  <c r="I235" i="11"/>
  <c r="E235" i="11"/>
  <c r="C235" i="11"/>
  <c r="S234" i="11"/>
  <c r="T234" i="11" s="1"/>
  <c r="R234" i="11"/>
  <c r="O234" i="11"/>
  <c r="K234" i="11"/>
  <c r="I234" i="11"/>
  <c r="E234" i="11"/>
  <c r="C234" i="11"/>
  <c r="S78" i="11"/>
  <c r="U78" i="11" s="1"/>
  <c r="R78" i="11"/>
  <c r="O78" i="11"/>
  <c r="S77" i="11"/>
  <c r="U77" i="11" s="1"/>
  <c r="R77" i="11"/>
  <c r="O77" i="11"/>
  <c r="S76" i="11"/>
  <c r="U76" i="11" s="1"/>
  <c r="R76" i="11"/>
  <c r="O76" i="11"/>
  <c r="S75" i="11"/>
  <c r="U75" i="11" s="1"/>
  <c r="R75" i="11"/>
  <c r="O75" i="11"/>
  <c r="K78" i="11"/>
  <c r="I78" i="11"/>
  <c r="E78" i="11"/>
  <c r="C78" i="11"/>
  <c r="K77" i="11"/>
  <c r="I77" i="11"/>
  <c r="E77" i="11"/>
  <c r="C77" i="11"/>
  <c r="K76" i="11"/>
  <c r="I76" i="11"/>
  <c r="E76" i="11"/>
  <c r="C76" i="11"/>
  <c r="K75" i="11"/>
  <c r="I75" i="11"/>
  <c r="E75" i="11"/>
  <c r="C75" i="11"/>
  <c r="S74" i="11"/>
  <c r="U74" i="11" s="1"/>
  <c r="R74" i="11"/>
  <c r="O74" i="11"/>
  <c r="K74" i="11"/>
  <c r="I74" i="11"/>
  <c r="E74" i="11"/>
  <c r="C74" i="11"/>
  <c r="S20" i="11"/>
  <c r="U20" i="11" s="1"/>
  <c r="R20" i="11"/>
  <c r="O20" i="11"/>
  <c r="S19" i="11"/>
  <c r="U19" i="11" s="1"/>
  <c r="R19" i="11"/>
  <c r="O19" i="11"/>
  <c r="S18" i="11"/>
  <c r="U18" i="11" s="1"/>
  <c r="R18" i="11"/>
  <c r="O18" i="11"/>
  <c r="S17" i="11"/>
  <c r="U17" i="11" s="1"/>
  <c r="R17" i="11"/>
  <c r="O17" i="11"/>
  <c r="S16" i="11"/>
  <c r="T16" i="11" s="1"/>
  <c r="R16" i="11"/>
  <c r="O16" i="11"/>
  <c r="S15" i="11"/>
  <c r="U15" i="11" s="1"/>
  <c r="R15" i="11"/>
  <c r="O15" i="11"/>
  <c r="O14" i="11"/>
  <c r="I20" i="11"/>
  <c r="E20" i="11"/>
  <c r="C20" i="11"/>
  <c r="I19" i="11"/>
  <c r="E19" i="11"/>
  <c r="C19" i="11"/>
  <c r="I18" i="11"/>
  <c r="E18" i="11"/>
  <c r="C18" i="11"/>
  <c r="I17" i="11"/>
  <c r="E17" i="11"/>
  <c r="C17" i="11"/>
  <c r="I16" i="11"/>
  <c r="E16" i="11"/>
  <c r="C16" i="11"/>
  <c r="I15" i="11"/>
  <c r="E15" i="11"/>
  <c r="C15" i="11"/>
  <c r="S14" i="11"/>
  <c r="U14" i="11" s="1"/>
  <c r="R14" i="11"/>
  <c r="I14" i="11"/>
  <c r="E14" i="11"/>
  <c r="C14" i="11"/>
  <c r="K266" i="11"/>
  <c r="K265" i="11"/>
  <c r="K264" i="11"/>
  <c r="K263" i="11"/>
  <c r="K262" i="11"/>
  <c r="S266" i="11"/>
  <c r="U266" i="11" s="1"/>
  <c r="R266" i="11"/>
  <c r="O266" i="11"/>
  <c r="I266" i="11"/>
  <c r="E266" i="11"/>
  <c r="C266" i="11"/>
  <c r="S265" i="11"/>
  <c r="U265" i="11" s="1"/>
  <c r="R265" i="11"/>
  <c r="O265" i="11"/>
  <c r="I265" i="11"/>
  <c r="E265" i="11"/>
  <c r="C265" i="11"/>
  <c r="S264" i="11"/>
  <c r="U264" i="11" s="1"/>
  <c r="R264" i="11"/>
  <c r="O264" i="11"/>
  <c r="I264" i="11"/>
  <c r="E264" i="11"/>
  <c r="C264" i="11"/>
  <c r="S263" i="11"/>
  <c r="U263" i="11" s="1"/>
  <c r="R263" i="11"/>
  <c r="O263" i="11"/>
  <c r="I263" i="11"/>
  <c r="E263" i="11"/>
  <c r="C263" i="11"/>
  <c r="S262" i="11"/>
  <c r="U262" i="11" s="1"/>
  <c r="R262" i="11"/>
  <c r="O262" i="11"/>
  <c r="I262" i="11"/>
  <c r="E262" i="11"/>
  <c r="C262" i="11"/>
  <c r="S171" i="11"/>
  <c r="U171" i="11" s="1"/>
  <c r="R171" i="11"/>
  <c r="O171" i="11"/>
  <c r="K171" i="11"/>
  <c r="I171" i="11"/>
  <c r="E171" i="11"/>
  <c r="C171" i="11"/>
  <c r="S170" i="11"/>
  <c r="U170" i="11" s="1"/>
  <c r="R170" i="11"/>
  <c r="O170" i="11"/>
  <c r="K170" i="11"/>
  <c r="I170" i="11"/>
  <c r="E170" i="11"/>
  <c r="C170" i="11"/>
  <c r="S169" i="11"/>
  <c r="U169" i="11" s="1"/>
  <c r="R169" i="11"/>
  <c r="O169" i="11"/>
  <c r="K169" i="11"/>
  <c r="I169" i="11"/>
  <c r="E169" i="11"/>
  <c r="C169" i="11"/>
  <c r="S168" i="11"/>
  <c r="U168" i="11" s="1"/>
  <c r="R168" i="11"/>
  <c r="O168" i="11"/>
  <c r="K168" i="11"/>
  <c r="I168" i="11"/>
  <c r="E168" i="11"/>
  <c r="C168" i="11"/>
  <c r="K167" i="11"/>
  <c r="S167" i="11"/>
  <c r="U167" i="11" s="1"/>
  <c r="R167" i="11"/>
  <c r="O167" i="11"/>
  <c r="I167" i="11"/>
  <c r="E167" i="11"/>
  <c r="C167" i="11"/>
  <c r="AD2" i="11"/>
  <c r="AE2" i="11"/>
  <c r="AC2" i="11"/>
  <c r="S203" i="11"/>
  <c r="U203" i="11" s="1"/>
  <c r="R203" i="11"/>
  <c r="O203" i="11"/>
  <c r="S188" i="11"/>
  <c r="U188" i="11" s="1"/>
  <c r="R188" i="11"/>
  <c r="O188" i="11"/>
  <c r="S187" i="11"/>
  <c r="U187" i="11" s="1"/>
  <c r="R187" i="11"/>
  <c r="O187" i="11"/>
  <c r="S186" i="11"/>
  <c r="U186" i="11" s="1"/>
  <c r="R186" i="11"/>
  <c r="O186" i="11"/>
  <c r="S185" i="11"/>
  <c r="U185" i="11" s="1"/>
  <c r="R185" i="11"/>
  <c r="O185" i="11"/>
  <c r="K188" i="11"/>
  <c r="I188" i="11"/>
  <c r="E188" i="11"/>
  <c r="C188" i="11"/>
  <c r="K187" i="11"/>
  <c r="I187" i="11"/>
  <c r="E187" i="11"/>
  <c r="C187" i="11"/>
  <c r="K186" i="11"/>
  <c r="I186" i="11"/>
  <c r="E186" i="11"/>
  <c r="C186" i="11"/>
  <c r="K185" i="11"/>
  <c r="I185" i="11"/>
  <c r="E185" i="11"/>
  <c r="C185" i="11"/>
  <c r="S184" i="11"/>
  <c r="U184" i="11" s="1"/>
  <c r="R184" i="11"/>
  <c r="O184" i="11"/>
  <c r="K184" i="11"/>
  <c r="I184" i="11"/>
  <c r="E184" i="11"/>
  <c r="C184" i="11"/>
  <c r="S116" i="11"/>
  <c r="U116" i="11" s="1"/>
  <c r="R116" i="11"/>
  <c r="O116" i="11"/>
  <c r="S115" i="11"/>
  <c r="U115" i="11" s="1"/>
  <c r="R115" i="11"/>
  <c r="O115" i="11"/>
  <c r="K116" i="11"/>
  <c r="I116" i="11"/>
  <c r="E116" i="11"/>
  <c r="C116" i="11"/>
  <c r="K115" i="11"/>
  <c r="I115" i="11"/>
  <c r="E115" i="11"/>
  <c r="C115" i="11"/>
  <c r="S114" i="11"/>
  <c r="U114" i="11" s="1"/>
  <c r="R114" i="11"/>
  <c r="O114" i="11"/>
  <c r="K114" i="11"/>
  <c r="I114" i="11"/>
  <c r="E114" i="11"/>
  <c r="C114" i="11"/>
  <c r="S73" i="11"/>
  <c r="U73" i="11" s="1"/>
  <c r="R73" i="11"/>
  <c r="O73" i="11"/>
  <c r="S72" i="11"/>
  <c r="U72" i="11" s="1"/>
  <c r="R72" i="11"/>
  <c r="O72" i="11"/>
  <c r="K73" i="11"/>
  <c r="I73" i="11"/>
  <c r="E73" i="11"/>
  <c r="C73" i="11"/>
  <c r="K72" i="11"/>
  <c r="I72" i="11"/>
  <c r="E72" i="11"/>
  <c r="C72" i="11"/>
  <c r="S71" i="11"/>
  <c r="T71" i="11" s="1"/>
  <c r="R71" i="11"/>
  <c r="O71" i="11"/>
  <c r="K71" i="11"/>
  <c r="I71" i="11"/>
  <c r="E71" i="11"/>
  <c r="C71" i="11"/>
  <c r="S9" i="11"/>
  <c r="U9" i="11" s="1"/>
  <c r="R9" i="11"/>
  <c r="O9" i="11"/>
  <c r="K9" i="11"/>
  <c r="E9" i="11"/>
  <c r="C9" i="11"/>
  <c r="S8" i="11"/>
  <c r="U8" i="11" s="1"/>
  <c r="R8" i="11"/>
  <c r="O8" i="11"/>
  <c r="K8" i="11"/>
  <c r="E8" i="11"/>
  <c r="C8" i="11"/>
  <c r="S7" i="11"/>
  <c r="T7" i="11" s="1"/>
  <c r="R7" i="11"/>
  <c r="O7" i="11"/>
  <c r="K7" i="11"/>
  <c r="E7" i="11"/>
  <c r="C7" i="11"/>
  <c r="S213" i="11"/>
  <c r="U213" i="11" s="1"/>
  <c r="R213" i="11"/>
  <c r="O213" i="11"/>
  <c r="S212" i="11"/>
  <c r="U212" i="11" s="1"/>
  <c r="R212" i="11"/>
  <c r="O212" i="11"/>
  <c r="K213" i="11"/>
  <c r="I213" i="11"/>
  <c r="E213" i="11"/>
  <c r="C213" i="11"/>
  <c r="K212" i="11"/>
  <c r="I212" i="11"/>
  <c r="E212" i="11"/>
  <c r="C212" i="11"/>
  <c r="S211" i="11"/>
  <c r="U211" i="11" s="1"/>
  <c r="R211" i="11"/>
  <c r="O211" i="11"/>
  <c r="K211" i="11"/>
  <c r="I211" i="11"/>
  <c r="E211" i="11"/>
  <c r="C211" i="11"/>
  <c r="S131" i="11"/>
  <c r="T131" i="11" s="1"/>
  <c r="R131" i="11"/>
  <c r="O131" i="11"/>
  <c r="S130" i="11"/>
  <c r="U130" i="11" s="1"/>
  <c r="R130" i="11"/>
  <c r="O130" i="11"/>
  <c r="T237" i="11" l="1"/>
  <c r="T238" i="11"/>
  <c r="U234" i="11"/>
  <c r="T75" i="11"/>
  <c r="T76" i="11"/>
  <c r="T77" i="11"/>
  <c r="T78" i="11"/>
  <c r="T74" i="11"/>
  <c r="T17" i="11"/>
  <c r="U16" i="11"/>
  <c r="T18" i="11"/>
  <c r="T15" i="11"/>
  <c r="T19" i="11"/>
  <c r="T20" i="11"/>
  <c r="T14" i="11"/>
  <c r="T265" i="11"/>
  <c r="T264" i="11"/>
  <c r="T266" i="11"/>
  <c r="T263" i="11"/>
  <c r="T262" i="11"/>
  <c r="T169" i="11"/>
  <c r="T170" i="11"/>
  <c r="T168" i="11"/>
  <c r="T171" i="11"/>
  <c r="T167" i="11"/>
  <c r="T203" i="11"/>
  <c r="T185" i="11"/>
  <c r="T186" i="11"/>
  <c r="T187" i="11"/>
  <c r="T188" i="11"/>
  <c r="T184" i="11"/>
  <c r="T115" i="11"/>
  <c r="T116" i="11"/>
  <c r="T114" i="11"/>
  <c r="T73" i="11"/>
  <c r="T72" i="11"/>
  <c r="U71" i="11"/>
  <c r="T8" i="11"/>
  <c r="U7" i="11"/>
  <c r="T9" i="11"/>
  <c r="T212" i="11"/>
  <c r="T213" i="11"/>
  <c r="T211" i="11"/>
  <c r="U131" i="11"/>
  <c r="T130" i="11"/>
  <c r="K131" i="11"/>
  <c r="I131" i="11"/>
  <c r="E131" i="11"/>
  <c r="C131" i="11"/>
  <c r="K130" i="11"/>
  <c r="I130" i="11"/>
  <c r="E130" i="11"/>
  <c r="C130" i="11"/>
  <c r="S129" i="11"/>
  <c r="T129" i="11" s="1"/>
  <c r="R129" i="11"/>
  <c r="O129" i="11"/>
  <c r="K129" i="11"/>
  <c r="I129" i="11"/>
  <c r="E129" i="11"/>
  <c r="C129" i="11"/>
  <c r="U129" i="11" l="1"/>
  <c r="S113" i="11"/>
  <c r="U113" i="11" s="1"/>
  <c r="R113" i="11"/>
  <c r="O113" i="11"/>
  <c r="K113" i="11"/>
  <c r="I113" i="11"/>
  <c r="E113" i="11"/>
  <c r="C113" i="11"/>
  <c r="S35" i="11"/>
  <c r="U35" i="11" s="1"/>
  <c r="R35" i="11"/>
  <c r="O35" i="11"/>
  <c r="S34" i="11"/>
  <c r="U34" i="11" s="1"/>
  <c r="R34" i="11"/>
  <c r="O34" i="11"/>
  <c r="S33" i="11"/>
  <c r="U33" i="11" s="1"/>
  <c r="R33" i="11"/>
  <c r="O33" i="11"/>
  <c r="K35" i="11"/>
  <c r="I35" i="11"/>
  <c r="E35" i="11"/>
  <c r="C35" i="11"/>
  <c r="K34" i="11"/>
  <c r="I34" i="11"/>
  <c r="E34" i="11"/>
  <c r="C34" i="11"/>
  <c r="K33" i="11"/>
  <c r="I33" i="11"/>
  <c r="E33" i="11"/>
  <c r="C33" i="11"/>
  <c r="S202" i="11"/>
  <c r="U202" i="11" s="1"/>
  <c r="R202" i="11"/>
  <c r="O202" i="11"/>
  <c r="S201" i="11"/>
  <c r="U201" i="11" s="1"/>
  <c r="R201" i="11"/>
  <c r="O201" i="11"/>
  <c r="K203" i="11"/>
  <c r="I203" i="11"/>
  <c r="E203" i="11"/>
  <c r="C203" i="11"/>
  <c r="K202" i="11"/>
  <c r="I202" i="11"/>
  <c r="E202" i="11"/>
  <c r="C202" i="11"/>
  <c r="K201" i="11"/>
  <c r="I201" i="11"/>
  <c r="E201" i="11"/>
  <c r="C201" i="11"/>
  <c r="S101" i="11"/>
  <c r="U101" i="11" s="1"/>
  <c r="R101" i="11"/>
  <c r="O101" i="11"/>
  <c r="S100" i="11"/>
  <c r="U100" i="11" s="1"/>
  <c r="R100" i="11"/>
  <c r="O100" i="11"/>
  <c r="S99" i="11"/>
  <c r="U99" i="11" s="1"/>
  <c r="R99" i="11"/>
  <c r="O99" i="11"/>
  <c r="S98" i="11"/>
  <c r="U98" i="11" s="1"/>
  <c r="R98" i="11"/>
  <c r="O98" i="11"/>
  <c r="S97" i="11"/>
  <c r="U97" i="11" s="1"/>
  <c r="R97" i="11"/>
  <c r="O97" i="11"/>
  <c r="K101" i="11"/>
  <c r="I101" i="11"/>
  <c r="E101" i="11"/>
  <c r="C101" i="11"/>
  <c r="K100" i="11"/>
  <c r="I100" i="11"/>
  <c r="E100" i="11"/>
  <c r="C100" i="11"/>
  <c r="K99" i="11"/>
  <c r="I99" i="11"/>
  <c r="E99" i="11"/>
  <c r="C99" i="11"/>
  <c r="K98" i="11"/>
  <c r="I98" i="11"/>
  <c r="E98" i="11"/>
  <c r="C98" i="11"/>
  <c r="K97" i="11"/>
  <c r="I97" i="11"/>
  <c r="E97" i="11"/>
  <c r="C97" i="11"/>
  <c r="S53" i="11"/>
  <c r="U53" i="11" s="1"/>
  <c r="R53" i="11"/>
  <c r="O53" i="11"/>
  <c r="S52" i="11"/>
  <c r="U52" i="11" s="1"/>
  <c r="R52" i="11"/>
  <c r="O52" i="11"/>
  <c r="S51" i="11"/>
  <c r="U51" i="11" s="1"/>
  <c r="R51" i="11"/>
  <c r="O51" i="11"/>
  <c r="S50" i="11"/>
  <c r="U50" i="11" s="1"/>
  <c r="R50" i="11"/>
  <c r="O50" i="11"/>
  <c r="S49" i="11"/>
  <c r="U49" i="11" s="1"/>
  <c r="R49" i="11"/>
  <c r="O49" i="11"/>
  <c r="S48" i="11"/>
  <c r="U48" i="11" s="1"/>
  <c r="R48" i="11"/>
  <c r="O48" i="11"/>
  <c r="K53" i="11"/>
  <c r="I53" i="11"/>
  <c r="E53" i="11"/>
  <c r="C53" i="11"/>
  <c r="K52" i="11"/>
  <c r="I52" i="11"/>
  <c r="E52" i="11"/>
  <c r="C52" i="11"/>
  <c r="K51" i="11"/>
  <c r="I51" i="11"/>
  <c r="E51" i="11"/>
  <c r="C51" i="11"/>
  <c r="K50" i="11"/>
  <c r="I50" i="11"/>
  <c r="E50" i="11"/>
  <c r="C50" i="11"/>
  <c r="K49" i="11"/>
  <c r="I49" i="11"/>
  <c r="E49" i="11"/>
  <c r="C49" i="11"/>
  <c r="K48" i="11"/>
  <c r="I48" i="11"/>
  <c r="E48" i="11"/>
  <c r="C48" i="11"/>
  <c r="I154" i="11"/>
  <c r="S154" i="11"/>
  <c r="U154" i="11" s="1"/>
  <c r="R154" i="11"/>
  <c r="E154" i="11"/>
  <c r="C154" i="11"/>
  <c r="S261" i="11"/>
  <c r="U261" i="11" s="1"/>
  <c r="R261" i="11"/>
  <c r="O261" i="11"/>
  <c r="S260" i="11"/>
  <c r="T260" i="11" s="1"/>
  <c r="R260" i="11"/>
  <c r="O260" i="11"/>
  <c r="S259" i="11"/>
  <c r="U259" i="11" s="1"/>
  <c r="R259" i="11"/>
  <c r="O259" i="11"/>
  <c r="S258" i="11"/>
  <c r="U258" i="11" s="1"/>
  <c r="R258" i="11"/>
  <c r="O258" i="11"/>
  <c r="S257" i="11"/>
  <c r="U257" i="11" s="1"/>
  <c r="R257" i="11"/>
  <c r="O257" i="11"/>
  <c r="S256" i="11"/>
  <c r="U256" i="11" s="1"/>
  <c r="R256" i="11"/>
  <c r="O256" i="11"/>
  <c r="S166" i="11"/>
  <c r="U166" i="11" s="1"/>
  <c r="R166" i="11"/>
  <c r="O166" i="11"/>
  <c r="S165" i="11"/>
  <c r="T165" i="11" s="1"/>
  <c r="R165" i="11"/>
  <c r="O165" i="11"/>
  <c r="S112" i="11"/>
  <c r="U112" i="11" s="1"/>
  <c r="R112" i="11"/>
  <c r="O112" i="11"/>
  <c r="K112" i="11"/>
  <c r="I112" i="11"/>
  <c r="E112" i="11"/>
  <c r="C112" i="11"/>
  <c r="S111" i="11"/>
  <c r="U111" i="11" s="1"/>
  <c r="R111" i="11"/>
  <c r="O111" i="11"/>
  <c r="K111" i="11"/>
  <c r="I111" i="11"/>
  <c r="E111" i="11"/>
  <c r="C111" i="11"/>
  <c r="S200" i="11"/>
  <c r="U200" i="11" s="1"/>
  <c r="R200" i="11"/>
  <c r="O200" i="11"/>
  <c r="S199" i="11"/>
  <c r="U199" i="11" s="1"/>
  <c r="R199" i="11"/>
  <c r="O199" i="11"/>
  <c r="K200" i="11"/>
  <c r="I200" i="11"/>
  <c r="E200" i="11"/>
  <c r="C200" i="11"/>
  <c r="K199" i="11"/>
  <c r="I199" i="11"/>
  <c r="E199" i="11"/>
  <c r="C199" i="11"/>
  <c r="S198" i="11"/>
  <c r="U198" i="11" s="1"/>
  <c r="R198" i="11"/>
  <c r="O198" i="11"/>
  <c r="K198" i="11"/>
  <c r="I198" i="11"/>
  <c r="E198" i="11"/>
  <c r="C198" i="11"/>
  <c r="S96" i="11"/>
  <c r="U96" i="11" s="1"/>
  <c r="R96" i="11"/>
  <c r="O96" i="11"/>
  <c r="S95" i="11"/>
  <c r="U95" i="11" s="1"/>
  <c r="R95" i="11"/>
  <c r="O95" i="11"/>
  <c r="K96" i="11"/>
  <c r="I96" i="11"/>
  <c r="E96" i="11"/>
  <c r="C96" i="11"/>
  <c r="K95" i="11"/>
  <c r="I95" i="11"/>
  <c r="E95" i="11"/>
  <c r="C95" i="11"/>
  <c r="S94" i="11"/>
  <c r="U94" i="11" s="1"/>
  <c r="R94" i="11"/>
  <c r="O94" i="11"/>
  <c r="K94" i="11"/>
  <c r="I94" i="11"/>
  <c r="E94" i="11"/>
  <c r="C94" i="11"/>
  <c r="S32" i="11"/>
  <c r="U32" i="11" s="1"/>
  <c r="R32" i="11"/>
  <c r="O32" i="11"/>
  <c r="S31" i="11"/>
  <c r="U31" i="11" s="1"/>
  <c r="R31" i="11"/>
  <c r="O31" i="11"/>
  <c r="K32" i="11"/>
  <c r="I32" i="11"/>
  <c r="E32" i="11"/>
  <c r="C32" i="11"/>
  <c r="K31" i="11"/>
  <c r="I31" i="11"/>
  <c r="E31" i="11"/>
  <c r="C31" i="11"/>
  <c r="S30" i="11"/>
  <c r="T30" i="11" s="1"/>
  <c r="R30" i="11"/>
  <c r="O30" i="11"/>
  <c r="K30" i="11"/>
  <c r="I30" i="11"/>
  <c r="E30" i="11"/>
  <c r="C30" i="11"/>
  <c r="S13" i="11"/>
  <c r="U13" i="11" s="1"/>
  <c r="R13" i="11"/>
  <c r="I13" i="11"/>
  <c r="E13" i="11"/>
  <c r="C13" i="11"/>
  <c r="S12" i="11"/>
  <c r="U12" i="11" s="1"/>
  <c r="R12" i="11"/>
  <c r="K12" i="11"/>
  <c r="I12" i="11"/>
  <c r="E12" i="11"/>
  <c r="C12" i="11"/>
  <c r="S11" i="11"/>
  <c r="U11" i="11" s="1"/>
  <c r="R11" i="11"/>
  <c r="K11" i="11"/>
  <c r="I11" i="11"/>
  <c r="E11" i="11"/>
  <c r="C11" i="11"/>
  <c r="S10" i="11"/>
  <c r="R10" i="11"/>
  <c r="K10" i="11"/>
  <c r="I10" i="11"/>
  <c r="E10" i="11"/>
  <c r="C10" i="11"/>
  <c r="C41" i="11"/>
  <c r="S128" i="11"/>
  <c r="U128" i="11" s="1"/>
  <c r="R128" i="11"/>
  <c r="O128" i="11"/>
  <c r="S127" i="11"/>
  <c r="U127" i="11" s="1"/>
  <c r="R127" i="11"/>
  <c r="O127" i="11"/>
  <c r="K128" i="11"/>
  <c r="I128" i="11"/>
  <c r="E128" i="11"/>
  <c r="C128" i="11"/>
  <c r="K127" i="11"/>
  <c r="I127" i="11"/>
  <c r="E127" i="11"/>
  <c r="C127" i="11"/>
  <c r="S126" i="11"/>
  <c r="U126" i="11" s="1"/>
  <c r="R126" i="11"/>
  <c r="O126" i="11"/>
  <c r="K126" i="11"/>
  <c r="I126" i="11"/>
  <c r="E126" i="11"/>
  <c r="C126" i="11"/>
  <c r="T151" i="11"/>
  <c r="T113" i="11" l="1"/>
  <c r="T33" i="11"/>
  <c r="T34" i="11"/>
  <c r="T35" i="11"/>
  <c r="T201" i="11"/>
  <c r="T202" i="11"/>
  <c r="T100" i="11"/>
  <c r="T97" i="11"/>
  <c r="T99" i="11"/>
  <c r="T98" i="11"/>
  <c r="T101" i="11"/>
  <c r="T50" i="11"/>
  <c r="T49" i="11"/>
  <c r="T48" i="11"/>
  <c r="T51" i="11"/>
  <c r="T52" i="11"/>
  <c r="T53" i="11"/>
  <c r="U260" i="11"/>
  <c r="T112" i="11"/>
  <c r="T259" i="11"/>
  <c r="T261" i="11"/>
  <c r="T257" i="11"/>
  <c r="T258" i="11"/>
  <c r="T256" i="11"/>
  <c r="T166" i="11"/>
  <c r="U165" i="11"/>
  <c r="T111" i="11"/>
  <c r="T199" i="11"/>
  <c r="T200" i="11"/>
  <c r="T198" i="11"/>
  <c r="T96" i="11"/>
  <c r="T95" i="11"/>
  <c r="T94" i="11"/>
  <c r="T31" i="11"/>
  <c r="T32" i="11"/>
  <c r="U30" i="11"/>
  <c r="T13" i="11"/>
  <c r="U10" i="11"/>
  <c r="T127" i="11"/>
  <c r="T128" i="11"/>
  <c r="T126" i="11"/>
  <c r="S183" i="11" l="1"/>
  <c r="U183" i="11" s="1"/>
  <c r="R183" i="11"/>
  <c r="O183" i="11"/>
  <c r="S182" i="11"/>
  <c r="U182" i="11" s="1"/>
  <c r="R182" i="11"/>
  <c r="O182" i="11"/>
  <c r="K183" i="11"/>
  <c r="I183" i="11"/>
  <c r="E183" i="11"/>
  <c r="C183" i="11"/>
  <c r="K182" i="11"/>
  <c r="I182" i="11"/>
  <c r="E182" i="11"/>
  <c r="C182" i="11"/>
  <c r="S181" i="11"/>
  <c r="U181" i="11" s="1"/>
  <c r="R181" i="11"/>
  <c r="O181" i="11"/>
  <c r="K181" i="11"/>
  <c r="I181" i="11"/>
  <c r="E181" i="11"/>
  <c r="C181" i="11"/>
  <c r="S210" i="11"/>
  <c r="U210" i="11" s="1"/>
  <c r="R210" i="11"/>
  <c r="O210" i="11"/>
  <c r="S209" i="11"/>
  <c r="U209" i="11" s="1"/>
  <c r="R209" i="11"/>
  <c r="O209" i="11"/>
  <c r="K210" i="11"/>
  <c r="I210" i="11"/>
  <c r="E210" i="11"/>
  <c r="C210" i="11"/>
  <c r="K209" i="11"/>
  <c r="I209" i="11"/>
  <c r="E209" i="11"/>
  <c r="C209" i="11"/>
  <c r="S208" i="11"/>
  <c r="U208" i="11" s="1"/>
  <c r="R208" i="11"/>
  <c r="O208" i="11"/>
  <c r="K208" i="11"/>
  <c r="I208" i="11"/>
  <c r="E208" i="11"/>
  <c r="C208" i="11"/>
  <c r="S153" i="11"/>
  <c r="U153" i="11" s="1"/>
  <c r="R153" i="11"/>
  <c r="K153" i="11"/>
  <c r="I153" i="11"/>
  <c r="E153" i="11"/>
  <c r="C153" i="11"/>
  <c r="S152" i="11"/>
  <c r="R152" i="11"/>
  <c r="K152" i="11"/>
  <c r="I152" i="11"/>
  <c r="E152" i="11"/>
  <c r="C152" i="11"/>
  <c r="S70" i="11"/>
  <c r="U70" i="11" s="1"/>
  <c r="R70" i="11"/>
  <c r="O70" i="11"/>
  <c r="S69" i="11"/>
  <c r="U69" i="11" s="1"/>
  <c r="R69" i="11"/>
  <c r="O69" i="11"/>
  <c r="S233" i="11"/>
  <c r="U233" i="11" s="1"/>
  <c r="R233" i="11"/>
  <c r="O233" i="11"/>
  <c r="S232" i="11"/>
  <c r="U232" i="11" s="1"/>
  <c r="R232" i="11"/>
  <c r="O232" i="11"/>
  <c r="S231" i="11"/>
  <c r="T231" i="11" s="1"/>
  <c r="R231" i="11"/>
  <c r="O231" i="11"/>
  <c r="S230" i="11"/>
  <c r="U230" i="11" s="1"/>
  <c r="R230" i="11"/>
  <c r="O230" i="11"/>
  <c r="S229" i="11"/>
  <c r="U229" i="11" s="1"/>
  <c r="R229" i="11"/>
  <c r="O229" i="11"/>
  <c r="S47" i="11"/>
  <c r="U47" i="11" s="1"/>
  <c r="R47" i="11"/>
  <c r="O47" i="11"/>
  <c r="S46" i="11"/>
  <c r="U46" i="11" s="1"/>
  <c r="R46" i="11"/>
  <c r="O46" i="11"/>
  <c r="K47" i="11"/>
  <c r="I47" i="11"/>
  <c r="E47" i="11"/>
  <c r="C47" i="11"/>
  <c r="K46" i="11"/>
  <c r="I46" i="11"/>
  <c r="E46" i="11"/>
  <c r="C46" i="11"/>
  <c r="S45" i="11"/>
  <c r="U45" i="11" s="1"/>
  <c r="R45" i="11"/>
  <c r="O45" i="11"/>
  <c r="K45" i="11"/>
  <c r="I45" i="11"/>
  <c r="E45" i="11"/>
  <c r="C45" i="11"/>
  <c r="T183" i="11" l="1"/>
  <c r="T182" i="11"/>
  <c r="T181" i="11"/>
  <c r="T209" i="11"/>
  <c r="T210" i="11"/>
  <c r="T208" i="11"/>
  <c r="U231" i="11"/>
  <c r="T153" i="11"/>
  <c r="U152" i="11"/>
  <c r="T230" i="11"/>
  <c r="T69" i="11"/>
  <c r="T70" i="11"/>
  <c r="T229" i="11"/>
  <c r="T232" i="11"/>
  <c r="T233" i="11"/>
  <c r="T47" i="11"/>
  <c r="T46" i="11"/>
  <c r="T45" i="11"/>
  <c r="K233" i="11"/>
  <c r="I233" i="11"/>
  <c r="E233" i="11"/>
  <c r="C233" i="11"/>
  <c r="K232" i="11"/>
  <c r="I232" i="11"/>
  <c r="E232" i="11"/>
  <c r="C232" i="11"/>
  <c r="K231" i="11"/>
  <c r="I231" i="11"/>
  <c r="E231" i="11"/>
  <c r="C231" i="11"/>
  <c r="K230" i="11"/>
  <c r="I230" i="11"/>
  <c r="E230" i="11"/>
  <c r="C230" i="11"/>
  <c r="K229" i="11"/>
  <c r="I229" i="11"/>
  <c r="E229" i="11"/>
  <c r="C229" i="11"/>
  <c r="S228" i="11"/>
  <c r="T228" i="11" s="1"/>
  <c r="R228" i="11"/>
  <c r="O228" i="11"/>
  <c r="K228" i="11"/>
  <c r="I228" i="11"/>
  <c r="E228" i="11"/>
  <c r="C228" i="11"/>
  <c r="K70" i="11"/>
  <c r="I70" i="11"/>
  <c r="E70" i="11"/>
  <c r="C70" i="11"/>
  <c r="K69" i="11"/>
  <c r="I69" i="11"/>
  <c r="E69" i="11"/>
  <c r="C69" i="11"/>
  <c r="S68" i="11"/>
  <c r="U68" i="11" s="1"/>
  <c r="R68" i="11"/>
  <c r="O68" i="11"/>
  <c r="K68" i="11"/>
  <c r="I68" i="11"/>
  <c r="E68" i="11"/>
  <c r="C68" i="11"/>
  <c r="S144" i="11"/>
  <c r="U144" i="11" s="1"/>
  <c r="R144" i="11"/>
  <c r="O144" i="11"/>
  <c r="K144" i="11"/>
  <c r="I144" i="11"/>
  <c r="E144" i="11"/>
  <c r="C144" i="11"/>
  <c r="K166" i="11"/>
  <c r="I166" i="11"/>
  <c r="E166" i="11"/>
  <c r="C166" i="11"/>
  <c r="K165" i="11"/>
  <c r="I165" i="11"/>
  <c r="E165" i="11"/>
  <c r="C165" i="11"/>
  <c r="S164" i="11"/>
  <c r="U164" i="11" s="1"/>
  <c r="R164" i="11"/>
  <c r="O164" i="11"/>
  <c r="K164" i="11"/>
  <c r="I164" i="11"/>
  <c r="E164" i="11"/>
  <c r="C164" i="11"/>
  <c r="S255" i="11"/>
  <c r="U255" i="11" s="1"/>
  <c r="R255" i="11"/>
  <c r="O255" i="11"/>
  <c r="K261" i="11"/>
  <c r="I261" i="11"/>
  <c r="E261" i="11"/>
  <c r="C261" i="11"/>
  <c r="K260" i="11"/>
  <c r="I260" i="11"/>
  <c r="E260" i="11"/>
  <c r="C260" i="11"/>
  <c r="K259" i="11"/>
  <c r="I259" i="11"/>
  <c r="E259" i="11"/>
  <c r="C259" i="11"/>
  <c r="K258" i="11"/>
  <c r="I258" i="11"/>
  <c r="E258" i="11"/>
  <c r="C258" i="11"/>
  <c r="K257" i="11"/>
  <c r="I257" i="11"/>
  <c r="E257" i="11"/>
  <c r="C257" i="11"/>
  <c r="K256" i="11"/>
  <c r="I256" i="11"/>
  <c r="E256" i="11"/>
  <c r="C256" i="11"/>
  <c r="K255" i="11"/>
  <c r="I255" i="11"/>
  <c r="E255" i="11"/>
  <c r="C255" i="11"/>
  <c r="S254" i="11"/>
  <c r="U254" i="11" s="1"/>
  <c r="R254" i="11"/>
  <c r="O254" i="11"/>
  <c r="K254" i="11"/>
  <c r="I254" i="11"/>
  <c r="E254" i="11"/>
  <c r="C254" i="11"/>
  <c r="S151" i="11"/>
  <c r="U151" i="11" s="1"/>
  <c r="R151" i="11"/>
  <c r="S110" i="11"/>
  <c r="U110" i="11" s="1"/>
  <c r="R110" i="11"/>
  <c r="O110" i="11"/>
  <c r="S239" i="11"/>
  <c r="U239" i="11" s="1"/>
  <c r="R239" i="11"/>
  <c r="O239" i="11"/>
  <c r="K239" i="11"/>
  <c r="I239" i="11"/>
  <c r="E239" i="11"/>
  <c r="C239" i="11"/>
  <c r="S67" i="11"/>
  <c r="U67" i="11" s="1"/>
  <c r="R67" i="11"/>
  <c r="O67" i="11"/>
  <c r="S66" i="11"/>
  <c r="U66" i="11" s="1"/>
  <c r="R66" i="11"/>
  <c r="O66" i="11"/>
  <c r="S150" i="11"/>
  <c r="U150" i="11" s="1"/>
  <c r="R150" i="11"/>
  <c r="K151" i="11"/>
  <c r="I151" i="11"/>
  <c r="E151" i="11"/>
  <c r="C151" i="11"/>
  <c r="K150" i="11"/>
  <c r="I150" i="11"/>
  <c r="E150" i="11"/>
  <c r="C150" i="11"/>
  <c r="S149" i="11"/>
  <c r="U149" i="11" s="1"/>
  <c r="R149" i="11"/>
  <c r="O149" i="11"/>
  <c r="K149" i="11"/>
  <c r="I149" i="11"/>
  <c r="E149" i="11"/>
  <c r="C149" i="11"/>
  <c r="S109" i="11"/>
  <c r="U109" i="11" s="1"/>
  <c r="R109" i="11"/>
  <c r="O109" i="11"/>
  <c r="K110" i="11"/>
  <c r="I110" i="11"/>
  <c r="E110" i="11"/>
  <c r="C110" i="11"/>
  <c r="K109" i="11"/>
  <c r="I109" i="11"/>
  <c r="E109" i="11"/>
  <c r="C109" i="11"/>
  <c r="S108" i="11"/>
  <c r="U108" i="11" s="1"/>
  <c r="R108" i="11"/>
  <c r="O108" i="11"/>
  <c r="K108" i="11"/>
  <c r="I108" i="11"/>
  <c r="E108" i="11"/>
  <c r="C108" i="11"/>
  <c r="S180" i="11"/>
  <c r="U180" i="11" s="1"/>
  <c r="R180" i="11"/>
  <c r="O180" i="11"/>
  <c r="S179" i="11"/>
  <c r="U179" i="11" s="1"/>
  <c r="R179" i="11"/>
  <c r="O179" i="11"/>
  <c r="K180" i="11"/>
  <c r="I180" i="11"/>
  <c r="E180" i="11"/>
  <c r="C180" i="11"/>
  <c r="K179" i="11"/>
  <c r="I179" i="11"/>
  <c r="E179" i="11"/>
  <c r="C179" i="11"/>
  <c r="S178" i="11"/>
  <c r="U178" i="11" s="1"/>
  <c r="R178" i="11"/>
  <c r="O178" i="11"/>
  <c r="K178" i="11"/>
  <c r="I178" i="11"/>
  <c r="E178" i="11"/>
  <c r="C178" i="11"/>
  <c r="S125" i="11"/>
  <c r="U125" i="11" s="1"/>
  <c r="R125" i="11"/>
  <c r="O125" i="11"/>
  <c r="S124" i="11"/>
  <c r="U124" i="11" s="1"/>
  <c r="R124" i="11"/>
  <c r="O124" i="11"/>
  <c r="K125" i="11"/>
  <c r="I125" i="11"/>
  <c r="E125" i="11"/>
  <c r="C125" i="11"/>
  <c r="K124" i="11"/>
  <c r="I124" i="11"/>
  <c r="E124" i="11"/>
  <c r="C124" i="11"/>
  <c r="S123" i="11"/>
  <c r="T123" i="11" s="1"/>
  <c r="R123" i="11"/>
  <c r="O123" i="11"/>
  <c r="K123" i="11"/>
  <c r="I123" i="11"/>
  <c r="E123" i="11"/>
  <c r="C123" i="11"/>
  <c r="S197" i="11"/>
  <c r="U197" i="11" s="1"/>
  <c r="R197" i="11"/>
  <c r="O197" i="11"/>
  <c r="S196" i="11"/>
  <c r="U196" i="11" s="1"/>
  <c r="R196" i="11"/>
  <c r="O196" i="11"/>
  <c r="K197" i="11"/>
  <c r="I197" i="11"/>
  <c r="E197" i="11"/>
  <c r="C197" i="11"/>
  <c r="K196" i="11"/>
  <c r="I196" i="11"/>
  <c r="E196" i="11"/>
  <c r="C196" i="11"/>
  <c r="S195" i="11"/>
  <c r="U195" i="11" s="1"/>
  <c r="R195" i="11"/>
  <c r="O195" i="11"/>
  <c r="K195" i="11"/>
  <c r="I195" i="11"/>
  <c r="E195" i="11"/>
  <c r="C195" i="11"/>
  <c r="S29" i="11"/>
  <c r="U29" i="11" s="1"/>
  <c r="R29" i="11"/>
  <c r="O29" i="11"/>
  <c r="S28" i="11"/>
  <c r="U28" i="11" s="1"/>
  <c r="R28" i="11"/>
  <c r="O28" i="11"/>
  <c r="K29" i="11"/>
  <c r="I29" i="11"/>
  <c r="E29" i="11"/>
  <c r="C29" i="11"/>
  <c r="K28" i="11"/>
  <c r="I28" i="11"/>
  <c r="E28" i="11"/>
  <c r="C28" i="11"/>
  <c r="S27" i="11"/>
  <c r="U27" i="11" s="1"/>
  <c r="R27" i="11"/>
  <c r="O27" i="11"/>
  <c r="K27" i="11"/>
  <c r="I27" i="11"/>
  <c r="E27" i="11"/>
  <c r="C27" i="11"/>
  <c r="S44" i="11"/>
  <c r="U44" i="11" s="1"/>
  <c r="R44" i="11"/>
  <c r="O44" i="11"/>
  <c r="S43" i="11"/>
  <c r="U43" i="11" s="1"/>
  <c r="R43" i="11"/>
  <c r="O43" i="11"/>
  <c r="K44" i="11"/>
  <c r="I44" i="11"/>
  <c r="E44" i="11"/>
  <c r="C44" i="11"/>
  <c r="K43" i="11"/>
  <c r="I43" i="11"/>
  <c r="E43" i="11"/>
  <c r="C43" i="11"/>
  <c r="S42" i="11"/>
  <c r="T42" i="11" s="1"/>
  <c r="R42" i="11"/>
  <c r="O42" i="11"/>
  <c r="K42" i="11"/>
  <c r="I42" i="11"/>
  <c r="E42" i="11"/>
  <c r="C42" i="11"/>
  <c r="S143" i="11"/>
  <c r="U143" i="11" s="1"/>
  <c r="R143" i="11"/>
  <c r="O143" i="11"/>
  <c r="S142" i="11"/>
  <c r="U142" i="11" s="1"/>
  <c r="R142" i="11"/>
  <c r="O142" i="11"/>
  <c r="K143" i="11"/>
  <c r="I143" i="11"/>
  <c r="E143" i="11"/>
  <c r="C143" i="11"/>
  <c r="K142" i="11"/>
  <c r="I142" i="11"/>
  <c r="E142" i="11"/>
  <c r="C142" i="11"/>
  <c r="S141" i="11"/>
  <c r="U141" i="11" s="1"/>
  <c r="R141" i="11"/>
  <c r="O141" i="11"/>
  <c r="K141" i="11"/>
  <c r="I141" i="11"/>
  <c r="E141" i="11"/>
  <c r="C141" i="11"/>
  <c r="S93" i="11"/>
  <c r="U93" i="11" s="1"/>
  <c r="R93" i="11"/>
  <c r="O93" i="11"/>
  <c r="S92" i="11"/>
  <c r="U92" i="11" s="1"/>
  <c r="R92" i="11"/>
  <c r="O92" i="11"/>
  <c r="K93" i="11"/>
  <c r="I93" i="11"/>
  <c r="E93" i="11"/>
  <c r="C93" i="11"/>
  <c r="K92" i="11"/>
  <c r="I92" i="11"/>
  <c r="E92" i="11"/>
  <c r="C92" i="11"/>
  <c r="S91" i="11"/>
  <c r="U91" i="11" s="1"/>
  <c r="R91" i="11"/>
  <c r="O91" i="11"/>
  <c r="K91" i="11"/>
  <c r="I91" i="11"/>
  <c r="E91" i="11"/>
  <c r="C91" i="11"/>
  <c r="S207" i="11"/>
  <c r="U207" i="11" s="1"/>
  <c r="R207" i="11"/>
  <c r="O207" i="11"/>
  <c r="S206" i="11"/>
  <c r="U206" i="11" s="1"/>
  <c r="R206" i="11"/>
  <c r="O206" i="11"/>
  <c r="K207" i="11"/>
  <c r="I207" i="11"/>
  <c r="E207" i="11"/>
  <c r="C207" i="11"/>
  <c r="K206" i="11"/>
  <c r="I206" i="11"/>
  <c r="E206" i="11"/>
  <c r="C206" i="11"/>
  <c r="S205" i="11"/>
  <c r="T205" i="11" s="1"/>
  <c r="R205" i="11"/>
  <c r="O205" i="11"/>
  <c r="K205" i="11"/>
  <c r="I205" i="11"/>
  <c r="E205" i="11"/>
  <c r="C205" i="11"/>
  <c r="O90" i="11"/>
  <c r="O89" i="11"/>
  <c r="S65" i="11"/>
  <c r="U65" i="11" s="1"/>
  <c r="R65" i="11"/>
  <c r="O65" i="11"/>
  <c r="K67" i="11"/>
  <c r="I67" i="11"/>
  <c r="E67" i="11"/>
  <c r="C67" i="11"/>
  <c r="K66" i="11"/>
  <c r="I66" i="11"/>
  <c r="E66" i="11"/>
  <c r="C66" i="11"/>
  <c r="K65" i="11"/>
  <c r="I65" i="11"/>
  <c r="E65" i="11"/>
  <c r="C65" i="11"/>
  <c r="S64" i="11"/>
  <c r="T64" i="11" s="1"/>
  <c r="R64" i="11"/>
  <c r="O64" i="11"/>
  <c r="K64" i="11"/>
  <c r="I64" i="11"/>
  <c r="E64" i="11"/>
  <c r="C64" i="11"/>
  <c r="S163" i="11"/>
  <c r="U163" i="11" s="1"/>
  <c r="R163" i="11"/>
  <c r="O163" i="11"/>
  <c r="S162" i="11"/>
  <c r="U162" i="11" s="1"/>
  <c r="R162" i="11"/>
  <c r="O162" i="11"/>
  <c r="S161" i="11"/>
  <c r="U161" i="11" s="1"/>
  <c r="R161" i="11"/>
  <c r="O161" i="11"/>
  <c r="K163" i="11"/>
  <c r="I163" i="11"/>
  <c r="E163" i="11"/>
  <c r="C163" i="11"/>
  <c r="K162" i="11"/>
  <c r="I162" i="11"/>
  <c r="E162" i="11"/>
  <c r="C162" i="11"/>
  <c r="K161" i="11"/>
  <c r="I161" i="11"/>
  <c r="E161" i="11"/>
  <c r="C161" i="11"/>
  <c r="S160" i="11"/>
  <c r="U160" i="11" s="1"/>
  <c r="R160" i="11"/>
  <c r="O160" i="11"/>
  <c r="K160" i="11"/>
  <c r="I160" i="11"/>
  <c r="E160" i="11"/>
  <c r="C160" i="11"/>
  <c r="R204" i="11"/>
  <c r="S204" i="11"/>
  <c r="T204" i="11" s="1"/>
  <c r="O204" i="11"/>
  <c r="K204" i="11"/>
  <c r="I204" i="11"/>
  <c r="E204" i="11"/>
  <c r="C204" i="11"/>
  <c r="S148" i="11"/>
  <c r="U148" i="11" s="1"/>
  <c r="R148" i="11"/>
  <c r="O148" i="11"/>
  <c r="K148" i="11"/>
  <c r="I148" i="11"/>
  <c r="E148" i="11"/>
  <c r="C148" i="11"/>
  <c r="S194" i="11"/>
  <c r="U194" i="11" s="1"/>
  <c r="R194" i="11"/>
  <c r="O194" i="11"/>
  <c r="S193" i="11"/>
  <c r="U193" i="11" s="1"/>
  <c r="R193" i="11"/>
  <c r="O193" i="11"/>
  <c r="K194" i="11"/>
  <c r="I194" i="11"/>
  <c r="E194" i="11"/>
  <c r="C194" i="11"/>
  <c r="K193" i="11"/>
  <c r="I193" i="11"/>
  <c r="E193" i="11"/>
  <c r="C193" i="11"/>
  <c r="S192" i="11"/>
  <c r="U192" i="11" s="1"/>
  <c r="R192" i="11"/>
  <c r="O192" i="11"/>
  <c r="K192" i="11"/>
  <c r="I192" i="11"/>
  <c r="E192" i="11"/>
  <c r="C192" i="11"/>
  <c r="S26" i="11"/>
  <c r="T26" i="11" s="1"/>
  <c r="R26" i="11"/>
  <c r="O26" i="11"/>
  <c r="S25" i="11"/>
  <c r="U25" i="11" s="1"/>
  <c r="R25" i="11"/>
  <c r="O25" i="11"/>
  <c r="K26" i="11"/>
  <c r="I26" i="11"/>
  <c r="E26" i="11"/>
  <c r="C26" i="11"/>
  <c r="K25" i="11"/>
  <c r="I25" i="11"/>
  <c r="E25" i="11"/>
  <c r="C25" i="11"/>
  <c r="S24" i="11"/>
  <c r="U24" i="11" s="1"/>
  <c r="R24" i="11"/>
  <c r="O24" i="11"/>
  <c r="K24" i="11"/>
  <c r="I24" i="11"/>
  <c r="E24" i="11"/>
  <c r="C24" i="11"/>
  <c r="S41" i="11"/>
  <c r="U41" i="11" s="1"/>
  <c r="R41" i="11"/>
  <c r="O41" i="11"/>
  <c r="S40" i="11"/>
  <c r="U40" i="11" s="1"/>
  <c r="R40" i="11"/>
  <c r="O40" i="11"/>
  <c r="K41" i="11"/>
  <c r="I41" i="11"/>
  <c r="E41" i="11"/>
  <c r="K40" i="11"/>
  <c r="I40" i="11"/>
  <c r="E40" i="11"/>
  <c r="C40" i="11"/>
  <c r="S39" i="11"/>
  <c r="U39" i="11" s="1"/>
  <c r="R39" i="11"/>
  <c r="O39" i="11"/>
  <c r="K39" i="11"/>
  <c r="I39" i="11"/>
  <c r="E39" i="11"/>
  <c r="C39" i="11"/>
  <c r="S63" i="11"/>
  <c r="U63" i="11" s="1"/>
  <c r="R63" i="11"/>
  <c r="O63" i="11"/>
  <c r="K63" i="11"/>
  <c r="I63" i="11"/>
  <c r="E63" i="11"/>
  <c r="C63" i="11"/>
  <c r="S62" i="11"/>
  <c r="U62" i="11" s="1"/>
  <c r="R62" i="11"/>
  <c r="O62" i="11"/>
  <c r="K62" i="11"/>
  <c r="I62" i="11"/>
  <c r="E62" i="11"/>
  <c r="C62" i="11"/>
  <c r="S177" i="11"/>
  <c r="U177" i="11" s="1"/>
  <c r="R177" i="11"/>
  <c r="O177" i="11"/>
  <c r="S176" i="11"/>
  <c r="U176" i="11" s="1"/>
  <c r="R176" i="11"/>
  <c r="O176" i="11"/>
  <c r="K177" i="11"/>
  <c r="I177" i="11"/>
  <c r="E177" i="11"/>
  <c r="C177" i="11"/>
  <c r="K176" i="11"/>
  <c r="I176" i="11"/>
  <c r="E176" i="11"/>
  <c r="C176" i="11"/>
  <c r="S175" i="11"/>
  <c r="U175" i="11" s="1"/>
  <c r="R175" i="11"/>
  <c r="O175" i="11"/>
  <c r="K175" i="11"/>
  <c r="I175" i="11"/>
  <c r="E175" i="11"/>
  <c r="C175" i="11"/>
  <c r="S107" i="11"/>
  <c r="T107" i="11" s="1"/>
  <c r="R107" i="11"/>
  <c r="O107" i="11"/>
  <c r="S106" i="11"/>
  <c r="U106" i="11" s="1"/>
  <c r="R106" i="11"/>
  <c r="O106" i="11"/>
  <c r="K107" i="11"/>
  <c r="I107" i="11"/>
  <c r="E107" i="11"/>
  <c r="C107" i="11"/>
  <c r="K106" i="11"/>
  <c r="I106" i="11"/>
  <c r="E106" i="11"/>
  <c r="C106" i="11"/>
  <c r="S105" i="11"/>
  <c r="U105" i="11" s="1"/>
  <c r="R105" i="11"/>
  <c r="O105" i="11"/>
  <c r="K105" i="11"/>
  <c r="I105" i="11"/>
  <c r="E105" i="11"/>
  <c r="C105" i="11"/>
  <c r="S227" i="11"/>
  <c r="U227" i="11" s="1"/>
  <c r="R227" i="11"/>
  <c r="O227" i="11"/>
  <c r="S226" i="11"/>
  <c r="U226" i="11" s="1"/>
  <c r="R226" i="11"/>
  <c r="O226" i="11"/>
  <c r="S225" i="11"/>
  <c r="T225" i="11" s="1"/>
  <c r="R225" i="11"/>
  <c r="O225" i="11"/>
  <c r="S224" i="11"/>
  <c r="T224" i="11" s="1"/>
  <c r="R224" i="11"/>
  <c r="O224" i="11"/>
  <c r="S223" i="11"/>
  <c r="U223" i="11" s="1"/>
  <c r="R223" i="11"/>
  <c r="O223" i="11"/>
  <c r="K227" i="11"/>
  <c r="I227" i="11"/>
  <c r="E227" i="11"/>
  <c r="C227" i="11"/>
  <c r="K226" i="11"/>
  <c r="I226" i="11"/>
  <c r="E226" i="11"/>
  <c r="C226" i="11"/>
  <c r="K225" i="11"/>
  <c r="I225" i="11"/>
  <c r="E225" i="11"/>
  <c r="C225" i="11"/>
  <c r="K224" i="11"/>
  <c r="I224" i="11"/>
  <c r="E224" i="11"/>
  <c r="C224" i="11"/>
  <c r="K223" i="11"/>
  <c r="I223" i="11"/>
  <c r="E223" i="11"/>
  <c r="C223" i="11"/>
  <c r="S222" i="11"/>
  <c r="U222" i="11" s="1"/>
  <c r="R222" i="11"/>
  <c r="O222" i="11"/>
  <c r="K222" i="11"/>
  <c r="I222" i="11"/>
  <c r="E222" i="11"/>
  <c r="C222" i="11"/>
  <c r="S90" i="11"/>
  <c r="U90" i="11" s="1"/>
  <c r="R90" i="11"/>
  <c r="K90" i="11"/>
  <c r="I90" i="11"/>
  <c r="E90" i="11"/>
  <c r="C90" i="11"/>
  <c r="S89" i="11"/>
  <c r="T89" i="11" s="1"/>
  <c r="R89" i="11"/>
  <c r="K89" i="11"/>
  <c r="I89" i="11"/>
  <c r="E89" i="11"/>
  <c r="C89" i="11"/>
  <c r="S88" i="11"/>
  <c r="T88" i="11" s="1"/>
  <c r="R88" i="11"/>
  <c r="O88" i="11"/>
  <c r="K88" i="11"/>
  <c r="I88" i="11"/>
  <c r="E88" i="11"/>
  <c r="C88" i="11"/>
  <c r="S122" i="11"/>
  <c r="U122" i="11" s="1"/>
  <c r="R122" i="11"/>
  <c r="O122" i="11"/>
  <c r="S121" i="11"/>
  <c r="U121" i="11" s="1"/>
  <c r="R121" i="11"/>
  <c r="O121" i="11"/>
  <c r="K122" i="11"/>
  <c r="I122" i="11"/>
  <c r="E122" i="11"/>
  <c r="C122" i="11"/>
  <c r="K121" i="11"/>
  <c r="I121" i="11"/>
  <c r="E121" i="11"/>
  <c r="C121" i="11"/>
  <c r="S120" i="11"/>
  <c r="U120" i="11" s="1"/>
  <c r="R120" i="11"/>
  <c r="O120" i="11"/>
  <c r="K120" i="11"/>
  <c r="I120" i="11"/>
  <c r="E120" i="11"/>
  <c r="C120" i="11"/>
  <c r="S140" i="11"/>
  <c r="U140" i="11" s="1"/>
  <c r="R140" i="11"/>
  <c r="O140" i="11"/>
  <c r="S139" i="11"/>
  <c r="U139" i="11" s="1"/>
  <c r="R139" i="11"/>
  <c r="O139" i="11"/>
  <c r="K140" i="11"/>
  <c r="I140" i="11"/>
  <c r="E140" i="11"/>
  <c r="C140" i="11"/>
  <c r="K139" i="11"/>
  <c r="I139" i="11"/>
  <c r="E139" i="11"/>
  <c r="C139" i="11"/>
  <c r="S138" i="11"/>
  <c r="U138" i="11" s="1"/>
  <c r="R138" i="11"/>
  <c r="O138" i="11"/>
  <c r="K138" i="11"/>
  <c r="I138" i="11"/>
  <c r="E138" i="11"/>
  <c r="C138" i="11"/>
  <c r="S253" i="11"/>
  <c r="U253" i="11" s="1"/>
  <c r="R253" i="11"/>
  <c r="O253" i="11"/>
  <c r="S252" i="11"/>
  <c r="U252" i="11" s="1"/>
  <c r="R252" i="11"/>
  <c r="O252" i="11"/>
  <c r="S251" i="11"/>
  <c r="U251" i="11" s="1"/>
  <c r="R251" i="11"/>
  <c r="O251" i="11"/>
  <c r="S250" i="11"/>
  <c r="T250" i="11" s="1"/>
  <c r="R250" i="11"/>
  <c r="O250" i="11"/>
  <c r="S249" i="11"/>
  <c r="T249" i="11" s="1"/>
  <c r="R249" i="11"/>
  <c r="O249" i="11"/>
  <c r="S147" i="11"/>
  <c r="U147" i="11" s="1"/>
  <c r="R147" i="11"/>
  <c r="S146" i="11"/>
  <c r="U146" i="11" s="1"/>
  <c r="R146" i="11"/>
  <c r="O146" i="11"/>
  <c r="I147" i="11"/>
  <c r="E147" i="11"/>
  <c r="C147" i="11"/>
  <c r="I146" i="11"/>
  <c r="E146" i="11"/>
  <c r="C146" i="11"/>
  <c r="K147" i="11"/>
  <c r="K146" i="11"/>
  <c r="S145" i="11"/>
  <c r="U145" i="11" s="1"/>
  <c r="R145" i="11"/>
  <c r="O145" i="11"/>
  <c r="K145" i="11"/>
  <c r="I145" i="11"/>
  <c r="E145" i="11"/>
  <c r="C145" i="11"/>
  <c r="S104" i="11"/>
  <c r="T104" i="11" s="1"/>
  <c r="S87" i="11"/>
  <c r="T87" i="11" s="1"/>
  <c r="R87" i="11"/>
  <c r="O87" i="11"/>
  <c r="S86" i="11"/>
  <c r="U86" i="11" s="1"/>
  <c r="R86" i="11"/>
  <c r="O86" i="11"/>
  <c r="K87" i="11"/>
  <c r="I87" i="11"/>
  <c r="E87" i="11"/>
  <c r="C87" i="11"/>
  <c r="K86" i="11"/>
  <c r="I86" i="11"/>
  <c r="E86" i="11"/>
  <c r="C86" i="11"/>
  <c r="S85" i="11"/>
  <c r="U85" i="11" s="1"/>
  <c r="R85" i="11"/>
  <c r="O85" i="11"/>
  <c r="K85" i="11"/>
  <c r="I85" i="11"/>
  <c r="E85" i="11"/>
  <c r="C85" i="11"/>
  <c r="R104" i="11"/>
  <c r="O104" i="11"/>
  <c r="K104" i="11"/>
  <c r="I104" i="11"/>
  <c r="E104" i="11"/>
  <c r="C104" i="11"/>
  <c r="U103" i="11"/>
  <c r="T103" i="11"/>
  <c r="R103" i="11"/>
  <c r="O103" i="11"/>
  <c r="K103" i="11"/>
  <c r="I103" i="11"/>
  <c r="E103" i="11"/>
  <c r="C103" i="11"/>
  <c r="U102" i="11"/>
  <c r="R102" i="11"/>
  <c r="O102" i="11"/>
  <c r="K102" i="11"/>
  <c r="I102" i="11"/>
  <c r="E102" i="11"/>
  <c r="C102" i="11"/>
  <c r="S174" i="11"/>
  <c r="U174" i="11" s="1"/>
  <c r="R174" i="11"/>
  <c r="O174" i="11"/>
  <c r="K174" i="11"/>
  <c r="I174" i="11"/>
  <c r="E174" i="11"/>
  <c r="C174" i="11"/>
  <c r="S173" i="11"/>
  <c r="U173" i="11" s="1"/>
  <c r="R173" i="11"/>
  <c r="O173" i="11"/>
  <c r="K173" i="11"/>
  <c r="I173" i="11"/>
  <c r="E173" i="11"/>
  <c r="C173" i="11"/>
  <c r="S172" i="11"/>
  <c r="U172" i="11" s="1"/>
  <c r="R172" i="11"/>
  <c r="O172" i="11"/>
  <c r="K172" i="11"/>
  <c r="I172" i="11"/>
  <c r="E172" i="11"/>
  <c r="C172" i="11"/>
  <c r="S191" i="11"/>
  <c r="U191" i="11" s="1"/>
  <c r="R191" i="11"/>
  <c r="O191" i="11"/>
  <c r="K191" i="11"/>
  <c r="I191" i="11"/>
  <c r="E191" i="11"/>
  <c r="C191" i="11"/>
  <c r="S190" i="11"/>
  <c r="U190" i="11" s="1"/>
  <c r="R190" i="11"/>
  <c r="O190" i="11"/>
  <c r="K190" i="11"/>
  <c r="I190" i="11"/>
  <c r="E190" i="11"/>
  <c r="C190" i="11"/>
  <c r="S189" i="11"/>
  <c r="T189" i="11" s="1"/>
  <c r="R189" i="11"/>
  <c r="O189" i="11"/>
  <c r="K189" i="11"/>
  <c r="I189" i="11"/>
  <c r="E189" i="11"/>
  <c r="C189" i="11"/>
  <c r="S119" i="11"/>
  <c r="U119" i="11" s="1"/>
  <c r="R119" i="11"/>
  <c r="O119" i="11"/>
  <c r="S118" i="11"/>
  <c r="T118" i="11" s="1"/>
  <c r="R118" i="11"/>
  <c r="O118" i="11"/>
  <c r="K119" i="11"/>
  <c r="I119" i="11"/>
  <c r="E119" i="11"/>
  <c r="C119" i="11"/>
  <c r="K118" i="11"/>
  <c r="I118" i="11"/>
  <c r="E118" i="11"/>
  <c r="C118" i="11"/>
  <c r="S117" i="11"/>
  <c r="T117" i="11" s="1"/>
  <c r="R117" i="11"/>
  <c r="O117" i="11"/>
  <c r="K117" i="11"/>
  <c r="I117" i="11"/>
  <c r="E117" i="11"/>
  <c r="C117" i="11"/>
  <c r="S23" i="11"/>
  <c r="U23" i="11" s="1"/>
  <c r="R23" i="11"/>
  <c r="O23" i="11"/>
  <c r="K23" i="11"/>
  <c r="I23" i="11"/>
  <c r="E23" i="11"/>
  <c r="C23" i="11"/>
  <c r="S22" i="11"/>
  <c r="U22" i="11" s="1"/>
  <c r="R22" i="11"/>
  <c r="O22" i="11"/>
  <c r="K22" i="11"/>
  <c r="I22" i="11"/>
  <c r="E22" i="11"/>
  <c r="C22" i="11"/>
  <c r="U228" i="11" l="1"/>
  <c r="T68" i="11"/>
  <c r="T144" i="11"/>
  <c r="T164" i="11"/>
  <c r="T255" i="11"/>
  <c r="T254" i="11"/>
  <c r="T110" i="11"/>
  <c r="T239" i="11"/>
  <c r="T66" i="11"/>
  <c r="T67" i="11"/>
  <c r="T149" i="11"/>
  <c r="T109" i="11"/>
  <c r="T108" i="11"/>
  <c r="T179" i="11"/>
  <c r="T180" i="11"/>
  <c r="T178" i="11"/>
  <c r="U123" i="11"/>
  <c r="T124" i="11"/>
  <c r="T125" i="11"/>
  <c r="T196" i="11"/>
  <c r="T197" i="11"/>
  <c r="T195" i="11"/>
  <c r="T28" i="11"/>
  <c r="T29" i="11"/>
  <c r="T27" i="11"/>
  <c r="T43" i="11"/>
  <c r="T44" i="11"/>
  <c r="U42" i="11"/>
  <c r="T142" i="11"/>
  <c r="T143" i="11"/>
  <c r="T141" i="11"/>
  <c r="T92" i="11"/>
  <c r="T93" i="11"/>
  <c r="T91" i="11"/>
  <c r="T207" i="11"/>
  <c r="T206" i="11"/>
  <c r="U205" i="11"/>
  <c r="T65" i="11"/>
  <c r="U64" i="11"/>
  <c r="T161" i="11"/>
  <c r="T163" i="11"/>
  <c r="T162" i="11"/>
  <c r="T160" i="11"/>
  <c r="U204" i="11"/>
  <c r="T148" i="11"/>
  <c r="T194" i="11"/>
  <c r="T193" i="11"/>
  <c r="T192" i="11"/>
  <c r="T25" i="11"/>
  <c r="U26" i="11"/>
  <c r="T24" i="11"/>
  <c r="T39" i="11"/>
  <c r="T40" i="11"/>
  <c r="T41" i="11"/>
  <c r="T63" i="11"/>
  <c r="T62" i="11"/>
  <c r="T176" i="11"/>
  <c r="T177" i="11"/>
  <c r="T175" i="11"/>
  <c r="U107" i="11"/>
  <c r="T106" i="11"/>
  <c r="T105" i="11"/>
  <c r="U224" i="11"/>
  <c r="T222" i="11"/>
  <c r="U225" i="11"/>
  <c r="T227" i="11"/>
  <c r="T223" i="11"/>
  <c r="T226" i="11"/>
  <c r="U89" i="11"/>
  <c r="U88" i="11"/>
  <c r="T90" i="11"/>
  <c r="T122" i="11"/>
  <c r="T121" i="11"/>
  <c r="T120" i="11"/>
  <c r="T140" i="11"/>
  <c r="T139" i="11"/>
  <c r="T138" i="11"/>
  <c r="U250" i="11"/>
  <c r="T251" i="11"/>
  <c r="U249" i="11"/>
  <c r="T252" i="11"/>
  <c r="T253" i="11"/>
  <c r="T146" i="11"/>
  <c r="T145" i="11"/>
  <c r="U104" i="11"/>
  <c r="U87" i="11"/>
  <c r="T86" i="11"/>
  <c r="T85" i="11"/>
  <c r="T102" i="11"/>
  <c r="T173" i="11"/>
  <c r="T174" i="11"/>
  <c r="T172" i="11"/>
  <c r="T190" i="11"/>
  <c r="T191" i="11"/>
  <c r="U189" i="11"/>
  <c r="T119" i="11"/>
  <c r="U118" i="11"/>
  <c r="U117" i="11"/>
  <c r="T22" i="11"/>
  <c r="T23" i="11"/>
  <c r="S21" i="11"/>
  <c r="T21" i="11" s="1"/>
  <c r="R21" i="11"/>
  <c r="O21" i="11"/>
  <c r="K21" i="11"/>
  <c r="I21" i="11"/>
  <c r="E21" i="11"/>
  <c r="C21" i="11"/>
  <c r="S38" i="11"/>
  <c r="U38" i="11" s="1"/>
  <c r="R38" i="11"/>
  <c r="O38" i="11"/>
  <c r="S37" i="11"/>
  <c r="U37" i="11" s="1"/>
  <c r="R37" i="11"/>
  <c r="O37" i="11"/>
  <c r="S36" i="11"/>
  <c r="U36" i="11" s="1"/>
  <c r="R36" i="11"/>
  <c r="O36" i="11"/>
  <c r="I38" i="11"/>
  <c r="E38" i="11"/>
  <c r="C38" i="11"/>
  <c r="I37" i="11"/>
  <c r="E37" i="11"/>
  <c r="C37" i="11"/>
  <c r="K38" i="11"/>
  <c r="K37" i="11"/>
  <c r="K36" i="11"/>
  <c r="I36" i="11"/>
  <c r="E36" i="11"/>
  <c r="C36" i="11"/>
  <c r="S54" i="11"/>
  <c r="U54" i="11" s="1"/>
  <c r="R54" i="11"/>
  <c r="O54" i="11"/>
  <c r="K54" i="11"/>
  <c r="I54" i="11"/>
  <c r="E54" i="11"/>
  <c r="C54" i="11"/>
  <c r="I242" i="11"/>
  <c r="K61" i="11"/>
  <c r="K60" i="11"/>
  <c r="K59" i="11"/>
  <c r="S61" i="11"/>
  <c r="T61" i="11" s="1"/>
  <c r="R61" i="11"/>
  <c r="O61" i="11"/>
  <c r="I61" i="11"/>
  <c r="E61" i="11"/>
  <c r="C61" i="11"/>
  <c r="S60" i="11"/>
  <c r="U60" i="11" s="1"/>
  <c r="R60" i="11"/>
  <c r="O60" i="11"/>
  <c r="I60" i="11"/>
  <c r="E60" i="11"/>
  <c r="C60" i="11"/>
  <c r="S59" i="11"/>
  <c r="U59" i="11" s="1"/>
  <c r="R59" i="11"/>
  <c r="O59" i="11"/>
  <c r="I59" i="11"/>
  <c r="E59" i="11"/>
  <c r="C59" i="11"/>
  <c r="K159" i="11"/>
  <c r="K158" i="11"/>
  <c r="K157" i="11"/>
  <c r="K156" i="11"/>
  <c r="K155" i="11"/>
  <c r="S159" i="11"/>
  <c r="U159" i="11" s="1"/>
  <c r="R159" i="11"/>
  <c r="O159" i="11"/>
  <c r="I159" i="11"/>
  <c r="E159" i="11"/>
  <c r="C159" i="11"/>
  <c r="S158" i="11"/>
  <c r="T158" i="11" s="1"/>
  <c r="R158" i="11"/>
  <c r="O158" i="11"/>
  <c r="I158" i="11"/>
  <c r="E158" i="11"/>
  <c r="C158" i="11"/>
  <c r="S157" i="11"/>
  <c r="U157" i="11" s="1"/>
  <c r="R157" i="11"/>
  <c r="O157" i="11"/>
  <c r="I157" i="11"/>
  <c r="E157" i="11"/>
  <c r="C157" i="11"/>
  <c r="S156" i="11"/>
  <c r="U156" i="11" s="1"/>
  <c r="R156" i="11"/>
  <c r="O156" i="11"/>
  <c r="I156" i="11"/>
  <c r="E156" i="11"/>
  <c r="C156" i="11"/>
  <c r="S155" i="11"/>
  <c r="U155" i="11" s="1"/>
  <c r="R155" i="11"/>
  <c r="O155" i="11"/>
  <c r="I155" i="11"/>
  <c r="E155" i="11"/>
  <c r="C155" i="11"/>
  <c r="L14" i="2"/>
  <c r="U21" i="11" l="1"/>
  <c r="T37" i="11"/>
  <c r="T38" i="11"/>
  <c r="T36" i="11"/>
  <c r="T54" i="11"/>
  <c r="U61" i="11"/>
  <c r="T60" i="11"/>
  <c r="T59" i="11"/>
  <c r="U158" i="11"/>
  <c r="T157" i="11"/>
  <c r="T156" i="11"/>
  <c r="T159" i="11"/>
  <c r="T155" i="11"/>
  <c r="S248" i="11"/>
  <c r="U248" i="11" s="1"/>
  <c r="S247" i="11"/>
  <c r="T247" i="11" s="1"/>
  <c r="S246" i="11"/>
  <c r="T246" i="11" s="1"/>
  <c r="S245" i="11"/>
  <c r="T245" i="11" s="1"/>
  <c r="S244" i="11"/>
  <c r="T244" i="11" s="1"/>
  <c r="S243" i="11"/>
  <c r="U243" i="11" s="1"/>
  <c r="S242" i="11"/>
  <c r="T242" i="11" s="1"/>
  <c r="S241" i="11"/>
  <c r="T241" i="11" s="1"/>
  <c r="S240" i="11"/>
  <c r="U240" i="11" s="1"/>
  <c r="S221" i="11"/>
  <c r="T221" i="11" s="1"/>
  <c r="S220" i="11"/>
  <c r="U220" i="11" s="1"/>
  <c r="S219" i="11"/>
  <c r="U219" i="11" s="1"/>
  <c r="S218" i="11"/>
  <c r="U218" i="11" s="1"/>
  <c r="S217" i="11"/>
  <c r="T217" i="11" s="1"/>
  <c r="S216" i="11"/>
  <c r="U216" i="11" s="1"/>
  <c r="S215" i="11"/>
  <c r="T215" i="11" s="1"/>
  <c r="S214" i="11"/>
  <c r="T214" i="11" s="1"/>
  <c r="S137" i="11"/>
  <c r="T137" i="11" s="1"/>
  <c r="S136" i="11"/>
  <c r="T136" i="11" s="1"/>
  <c r="S135" i="11"/>
  <c r="T135" i="11" s="1"/>
  <c r="S134" i="11"/>
  <c r="U134" i="11" s="1"/>
  <c r="S133" i="11"/>
  <c r="T133" i="11" s="1"/>
  <c r="S132" i="11"/>
  <c r="U132" i="11" s="1"/>
  <c r="S84" i="11"/>
  <c r="U84" i="11" s="1"/>
  <c r="S83" i="11"/>
  <c r="T83" i="11" s="1"/>
  <c r="S82" i="11"/>
  <c r="T82" i="11" s="1"/>
  <c r="U81" i="11"/>
  <c r="T80" i="11"/>
  <c r="S79" i="11"/>
  <c r="T79" i="11" s="1"/>
  <c r="S58" i="11"/>
  <c r="U58" i="11" s="1"/>
  <c r="S57" i="11"/>
  <c r="U57" i="11" s="1"/>
  <c r="S56" i="11"/>
  <c r="T56" i="11" s="1"/>
  <c r="S55" i="11"/>
  <c r="R248" i="11"/>
  <c r="R247" i="11"/>
  <c r="R246" i="11"/>
  <c r="R245" i="11"/>
  <c r="R244" i="11"/>
  <c r="R243" i="11"/>
  <c r="R242" i="11"/>
  <c r="R241" i="11"/>
  <c r="R240" i="11"/>
  <c r="R221" i="11"/>
  <c r="R220" i="11"/>
  <c r="R219" i="11"/>
  <c r="R218" i="11"/>
  <c r="R217" i="11"/>
  <c r="R216" i="11"/>
  <c r="R215" i="11"/>
  <c r="R214" i="11"/>
  <c r="R137" i="11"/>
  <c r="R136" i="11"/>
  <c r="R135" i="11"/>
  <c r="R134" i="11"/>
  <c r="R133" i="11"/>
  <c r="R132" i="11"/>
  <c r="R84" i="11"/>
  <c r="R83" i="11"/>
  <c r="R82" i="11"/>
  <c r="R81" i="11"/>
  <c r="R80" i="11"/>
  <c r="R79" i="11"/>
  <c r="R58" i="11"/>
  <c r="R57" i="11"/>
  <c r="R56" i="11"/>
  <c r="R55" i="11"/>
  <c r="O248" i="11"/>
  <c r="O247" i="11"/>
  <c r="O246" i="11"/>
  <c r="O245" i="11"/>
  <c r="O244" i="11"/>
  <c r="O243" i="11"/>
  <c r="O242" i="11"/>
  <c r="O241" i="11"/>
  <c r="O240" i="11"/>
  <c r="O221" i="11"/>
  <c r="O220" i="11"/>
  <c r="O219" i="11"/>
  <c r="O218" i="11"/>
  <c r="O217" i="11"/>
  <c r="O216" i="11"/>
  <c r="O215" i="11"/>
  <c r="O214" i="11"/>
  <c r="O137" i="11"/>
  <c r="O136" i="11"/>
  <c r="O135" i="11"/>
  <c r="O134" i="11"/>
  <c r="O133" i="11"/>
  <c r="O132" i="11"/>
  <c r="O84" i="11"/>
  <c r="O83" i="11"/>
  <c r="O82" i="11"/>
  <c r="O81" i="11"/>
  <c r="O80" i="11"/>
  <c r="O79" i="11"/>
  <c r="O58" i="11"/>
  <c r="O57" i="11"/>
  <c r="O56" i="11"/>
  <c r="O55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21" i="11"/>
  <c r="K220" i="11"/>
  <c r="K219" i="11"/>
  <c r="K218" i="11"/>
  <c r="K217" i="11"/>
  <c r="K216" i="11"/>
  <c r="K215" i="11"/>
  <c r="K214" i="11"/>
  <c r="K137" i="11"/>
  <c r="K136" i="11"/>
  <c r="K135" i="11"/>
  <c r="K134" i="11"/>
  <c r="K133" i="11"/>
  <c r="K84" i="11"/>
  <c r="K83" i="11"/>
  <c r="K82" i="11"/>
  <c r="K81" i="11"/>
  <c r="K80" i="11"/>
  <c r="K79" i="11"/>
  <c r="K58" i="11"/>
  <c r="K57" i="11"/>
  <c r="K56" i="11"/>
  <c r="K55" i="11"/>
  <c r="I253" i="11"/>
  <c r="I252" i="11"/>
  <c r="I251" i="11"/>
  <c r="I250" i="11"/>
  <c r="I249" i="11"/>
  <c r="I248" i="11"/>
  <c r="I247" i="11"/>
  <c r="I246" i="11"/>
  <c r="I245" i="11"/>
  <c r="I244" i="11"/>
  <c r="I243" i="11"/>
  <c r="I241" i="11"/>
  <c r="I240" i="11"/>
  <c r="I221" i="11"/>
  <c r="I220" i="11"/>
  <c r="I219" i="11"/>
  <c r="I218" i="11"/>
  <c r="I217" i="11"/>
  <c r="I216" i="11"/>
  <c r="I215" i="11"/>
  <c r="I214" i="11"/>
  <c r="I137" i="11"/>
  <c r="I136" i="11"/>
  <c r="I135" i="11"/>
  <c r="I134" i="11"/>
  <c r="I133" i="11"/>
  <c r="I132" i="11"/>
  <c r="I84" i="11"/>
  <c r="I83" i="11"/>
  <c r="I82" i="11"/>
  <c r="I81" i="11"/>
  <c r="I80" i="11"/>
  <c r="I79" i="11"/>
  <c r="I58" i="11"/>
  <c r="I57" i="11"/>
  <c r="I56" i="11"/>
  <c r="I55" i="11"/>
  <c r="E253" i="11"/>
  <c r="C253" i="11"/>
  <c r="E252" i="11"/>
  <c r="C252" i="11"/>
  <c r="E251" i="11"/>
  <c r="C251" i="11"/>
  <c r="E250" i="11"/>
  <c r="C250" i="11"/>
  <c r="E249" i="11"/>
  <c r="C249" i="11"/>
  <c r="E248" i="11"/>
  <c r="C248" i="11"/>
  <c r="E247" i="11"/>
  <c r="C247" i="11"/>
  <c r="E246" i="11"/>
  <c r="C246" i="11"/>
  <c r="E245" i="11"/>
  <c r="C245" i="11"/>
  <c r="E244" i="11"/>
  <c r="C244" i="11"/>
  <c r="E243" i="11"/>
  <c r="C243" i="11"/>
  <c r="E242" i="11"/>
  <c r="C242" i="11"/>
  <c r="E241" i="11"/>
  <c r="C241" i="11"/>
  <c r="E240" i="11"/>
  <c r="C240" i="11"/>
  <c r="E221" i="11"/>
  <c r="C221" i="11"/>
  <c r="E220" i="11"/>
  <c r="C220" i="11"/>
  <c r="E219" i="11"/>
  <c r="C219" i="11"/>
  <c r="E218" i="11"/>
  <c r="C218" i="11"/>
  <c r="E217" i="11"/>
  <c r="C217" i="11"/>
  <c r="E216" i="11"/>
  <c r="C216" i="11"/>
  <c r="E215" i="11"/>
  <c r="C215" i="11"/>
  <c r="E214" i="11"/>
  <c r="C214" i="11"/>
  <c r="E137" i="11"/>
  <c r="C137" i="11"/>
  <c r="E136" i="11"/>
  <c r="C136" i="11"/>
  <c r="E135" i="11"/>
  <c r="C135" i="11"/>
  <c r="E134" i="11"/>
  <c r="C134" i="11"/>
  <c r="E133" i="11"/>
  <c r="C133" i="11"/>
  <c r="E132" i="11"/>
  <c r="C132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58" i="11"/>
  <c r="C58" i="11"/>
  <c r="E57" i="11"/>
  <c r="C57" i="11"/>
  <c r="E56" i="11"/>
  <c r="C56" i="11"/>
  <c r="E55" i="11"/>
  <c r="C55" i="11"/>
  <c r="P4" i="2" l="1"/>
  <c r="U55" i="11"/>
  <c r="N4" i="2"/>
  <c r="T58" i="11"/>
  <c r="T84" i="11"/>
  <c r="T218" i="11"/>
  <c r="T132" i="11"/>
  <c r="T81" i="11"/>
  <c r="U83" i="11"/>
  <c r="T243" i="11"/>
  <c r="U135" i="11"/>
  <c r="U137" i="11"/>
  <c r="U214" i="11"/>
  <c r="T220" i="11"/>
  <c r="T248" i="11"/>
  <c r="U215" i="11"/>
  <c r="U221" i="11"/>
  <c r="U244" i="11"/>
  <c r="U245" i="11"/>
  <c r="T57" i="11"/>
  <c r="U80" i="11"/>
  <c r="T240" i="11"/>
  <c r="U136" i="11"/>
  <c r="U242" i="11"/>
  <c r="T216" i="11"/>
  <c r="U79" i="11"/>
  <c r="T134" i="11"/>
  <c r="U246" i="11"/>
  <c r="U82" i="11"/>
  <c r="U217" i="11"/>
  <c r="U247" i="11"/>
  <c r="T219" i="11"/>
  <c r="T55" i="11"/>
  <c r="U133" i="11"/>
  <c r="U56" i="11"/>
  <c r="U241" i="11"/>
  <c r="O4" i="2" l="1"/>
  <c r="Q4" i="2" s="1"/>
  <c r="N5" i="2"/>
  <c r="P5" i="2"/>
  <c r="H5" i="2"/>
  <c r="F5" i="2"/>
  <c r="G5" i="2" s="1"/>
  <c r="H4" i="2"/>
  <c r="F4" i="2"/>
  <c r="G4" i="2" s="1"/>
  <c r="D4" i="13"/>
  <c r="C4" i="13"/>
  <c r="B4" i="13"/>
  <c r="D3" i="13"/>
  <c r="C3" i="13"/>
  <c r="B3" i="13"/>
  <c r="Q5" i="2" l="1"/>
  <c r="O5" i="2"/>
  <c r="I5" i="2"/>
  <c r="I4" i="2"/>
  <c r="E11" i="2"/>
  <c r="E16" i="2"/>
  <c r="H15" i="2" l="1"/>
  <c r="F15" i="2"/>
  <c r="G15" i="2" s="1"/>
  <c r="H12" i="2"/>
  <c r="F12" i="2"/>
  <c r="H10" i="2"/>
  <c r="F10" i="2"/>
  <c r="G10" i="2" s="1"/>
  <c r="H7" i="2"/>
  <c r="F7" i="2"/>
  <c r="I15" i="2" l="1"/>
  <c r="G7" i="2"/>
  <c r="I7" i="2" s="1"/>
  <c r="G12" i="2"/>
  <c r="I12" i="2" s="1"/>
  <c r="I10" i="2"/>
  <c r="I6" i="2" l="1"/>
  <c r="H6" i="2"/>
  <c r="G6" i="2"/>
  <c r="E6" i="2"/>
  <c r="E17" i="2" s="1"/>
  <c r="F6" i="2"/>
  <c r="F8" i="2" l="1"/>
  <c r="H8" i="2"/>
  <c r="M5" i="2"/>
  <c r="G8" i="2" l="1"/>
  <c r="F9" i="2"/>
  <c r="G9" i="2" s="1"/>
  <c r="H9" i="2"/>
  <c r="S278" i="11"/>
  <c r="F13" i="2"/>
  <c r="I9" i="2" l="1"/>
  <c r="H13" i="2"/>
  <c r="H11" i="2"/>
  <c r="G11" i="2"/>
  <c r="I8" i="2"/>
  <c r="F11" i="2"/>
  <c r="G13" i="2"/>
  <c r="H14" i="2"/>
  <c r="F14" i="2"/>
  <c r="G14" i="2" s="1"/>
  <c r="T278" i="11"/>
  <c r="I13" i="2" l="1"/>
  <c r="I11" i="2"/>
  <c r="H16" i="2"/>
  <c r="H17" i="2" s="1"/>
  <c r="F16" i="2"/>
  <c r="F17" i="2" s="1"/>
  <c r="G16" i="2"/>
  <c r="G17" i="2" s="1"/>
  <c r="I14" i="2"/>
  <c r="M24" i="13"/>
  <c r="I16" i="2" l="1"/>
  <c r="I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AD2" authorId="0" shapeId="0" xr:uid="{4D8E54B5-AD78-443A-9505-510072C82878}">
      <text>
        <r>
          <rPr>
            <b/>
            <sz val="9"/>
            <color indexed="81"/>
            <rFont val="Tahoma"/>
            <family val="2"/>
            <charset val="238"/>
          </rPr>
          <t>ha mínusz pár forint az eltérés, akkor le kell vonni a bérből, mert az kerekítési különbözet. Ha plusz pár Forint, azt hagyjuk úgy</t>
        </r>
      </text>
    </comment>
    <comment ref="O10" authorId="0" shapeId="0" xr:uid="{40F6C4F5-7A5E-4B80-A0FB-2EB3A7E67ADD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11" authorId="0" shapeId="0" xr:uid="{CACB5014-D558-4AE2-A988-C6892E215888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12" authorId="0" shapeId="0" xr:uid="{6FA820CD-4702-4D22-A771-E4C214E0FBBD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13" authorId="0" shapeId="0" xr:uid="{2B3CD7DB-DB25-4162-AA9D-AE78D39C0F17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71" authorId="0" shapeId="0" xr:uid="{2F1CFE39-414D-4324-BDAA-439E06289124}">
      <text>
        <r>
          <rPr>
            <b/>
            <sz val="9"/>
            <color indexed="81"/>
            <rFont val="Tahoma"/>
            <family val="2"/>
            <charset val="238"/>
          </rPr>
          <t>már nem volt vezető, ezért levontam a 40e pótlékot</t>
        </r>
      </text>
    </comment>
    <comment ref="N132" authorId="0" shapeId="0" xr:uid="{9673476E-945C-4657-8B1E-6F221E2C9EEB}">
      <text>
        <r>
          <rPr>
            <b/>
            <sz val="9"/>
            <color indexed="81"/>
            <rFont val="Tahoma"/>
            <family val="2"/>
            <charset val="238"/>
          </rPr>
          <t>tört hónap</t>
        </r>
      </text>
    </comment>
    <comment ref="O147" authorId="0" shapeId="0" xr:uid="{D1437F96-4824-48F7-8F8E-9A4320802746}">
      <text>
        <r>
          <rPr>
            <b/>
            <sz val="9"/>
            <color indexed="81"/>
            <rFont val="Tahoma"/>
            <family val="2"/>
            <charset val="238"/>
          </rPr>
          <t>járulékkedvezmény</t>
        </r>
        <r>
          <rPr>
            <sz val="9"/>
            <color indexed="81"/>
            <rFont val="Tahoma"/>
            <family val="2"/>
            <charset val="238"/>
          </rPr>
          <t xml:space="preserve">
arányosan számoltam a teljes bérhez</t>
        </r>
      </text>
    </comment>
    <comment ref="O150" authorId="0" shapeId="0" xr:uid="{6EF126E7-4087-45E1-90CC-178B48F6E0A3}">
      <text>
        <r>
          <rPr>
            <b/>
            <sz val="9"/>
            <color indexed="81"/>
            <rFont val="Tahoma"/>
            <family val="2"/>
            <charset val="238"/>
          </rPr>
          <t>járulékkedvezmény</t>
        </r>
      </text>
    </comment>
    <comment ref="T150" authorId="0" shapeId="0" xr:uid="{CDE5C39A-85B8-4687-98FE-419F63A49B86}">
      <text>
        <r>
          <rPr>
            <b/>
            <sz val="9"/>
            <color indexed="81"/>
            <rFont val="Tahoma"/>
            <family val="2"/>
            <charset val="238"/>
          </rPr>
          <t>óra/összes óra * járulék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151" authorId="0" shapeId="0" xr:uid="{70342777-C81D-4154-A561-65C9EDB39083}">
      <text>
        <r>
          <rPr>
            <b/>
            <sz val="9"/>
            <color indexed="81"/>
            <rFont val="Tahoma"/>
            <family val="2"/>
            <charset val="238"/>
          </rPr>
          <t>járulékkedvezmény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152" authorId="0" shapeId="0" xr:uid="{4C05C05A-F061-4DD8-B9E9-D9C82B8CEA38}">
      <text>
        <r>
          <rPr>
            <b/>
            <sz val="9"/>
            <color indexed="81"/>
            <rFont val="Tahoma"/>
            <family val="2"/>
            <charset val="238"/>
          </rPr>
          <t>járulékkedvezmény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O153" authorId="0" shapeId="0" xr:uid="{97A31C1B-5021-4231-8DA3-C240DD67FF9C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154" authorId="0" shapeId="0" xr:uid="{72433C93-A0F1-40CD-96DC-7311E6404379}">
      <text>
        <r>
          <rPr>
            <b/>
            <sz val="9"/>
            <color indexed="81"/>
            <rFont val="Tahoma"/>
            <family val="2"/>
            <charset val="238"/>
          </rPr>
          <t>tört hónap</t>
        </r>
      </text>
    </comment>
    <comment ref="O154" authorId="0" shapeId="0" xr:uid="{B84E7FB5-242C-4DEE-B95E-91FB1E59CBF1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221" authorId="0" shapeId="0" xr:uid="{CEDA70D2-46FB-4F0D-BE6B-EE12166102F3}">
      <text>
        <r>
          <rPr>
            <b/>
            <sz val="9"/>
            <color indexed="81"/>
            <rFont val="Tahoma"/>
            <family val="2"/>
            <charset val="238"/>
          </rPr>
          <t>táppénz, csecsemőgond. díj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222" authorId="0" shapeId="0" xr:uid="{43995E91-CD8B-4B1C-8F54-FF0761A7F4C3}">
      <text>
        <r>
          <rPr>
            <b/>
            <sz val="9"/>
            <color indexed="81"/>
            <rFont val="Tahoma"/>
            <family val="2"/>
            <charset val="238"/>
          </rPr>
          <t>csecsemőgond díj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223" authorId="0" shapeId="0" xr:uid="{62D1458D-4447-475C-AB15-B73F88910690}">
      <text>
        <r>
          <rPr>
            <b/>
            <sz val="9"/>
            <color indexed="81"/>
            <rFont val="Tahoma"/>
            <family val="2"/>
            <charset val="238"/>
          </rPr>
          <t>csecsemőgond. díj</t>
        </r>
      </text>
    </comment>
    <comment ref="N224" authorId="0" shapeId="0" xr:uid="{A78F073C-BF48-4877-9C75-E57F8053787F}">
      <text>
        <r>
          <rPr>
            <b/>
            <sz val="9"/>
            <color indexed="81"/>
            <rFont val="Tahoma"/>
            <family val="2"/>
            <charset val="238"/>
          </rPr>
          <t>csecsemőgondozási díj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225" authorId="0" shapeId="0" xr:uid="{6292535C-F091-4326-A1C9-B92E5962CD28}">
      <text>
        <r>
          <rPr>
            <b/>
            <sz val="9"/>
            <color indexed="81"/>
            <rFont val="Tahoma"/>
            <family val="2"/>
            <charset val="238"/>
          </rPr>
          <t>csecsemőgondozás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226" authorId="0" shapeId="0" xr:uid="{DF719E8D-6991-4CB6-BDBA-30F90DFECAF0}">
      <text>
        <r>
          <rPr>
            <b/>
            <sz val="9"/>
            <color indexed="81"/>
            <rFont val="Tahoma"/>
            <family val="2"/>
            <charset val="238"/>
          </rPr>
          <t>csecsemőgondozás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N227" authorId="0" shapeId="0" xr:uid="{23674A8F-541C-45F0-9A64-756953AF3052}">
      <text>
        <r>
          <rPr>
            <b/>
            <sz val="9"/>
            <color indexed="81"/>
            <rFont val="Tahoma"/>
            <family val="2"/>
            <charset val="238"/>
          </rPr>
          <t>gyed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<sst xmlns="http://schemas.openxmlformats.org/spreadsheetml/2006/main" count="2988" uniqueCount="261">
  <si>
    <t>Fennmaradó 
egyenleg</t>
  </si>
  <si>
    <t>bér arány</t>
  </si>
  <si>
    <t>ÖSSZESEN</t>
  </si>
  <si>
    <t>Szállító</t>
  </si>
  <si>
    <t>Megnevezés</t>
  </si>
  <si>
    <t>Témaszám</t>
  </si>
  <si>
    <t>Költség típus</t>
  </si>
  <si>
    <t xml:space="preserve">Szakmai megvalósításban </t>
  </si>
  <si>
    <t>Tény</t>
  </si>
  <si>
    <t>Köt. váll.</t>
  </si>
  <si>
    <t xml:space="preserve">Köt. váll. </t>
  </si>
  <si>
    <t>Köt. vállal terhelt egyenleg</t>
  </si>
  <si>
    <t>Megjegyzés</t>
  </si>
  <si>
    <t>Tény/Köt. váll.</t>
  </si>
  <si>
    <t>Kifizetési kérelem</t>
  </si>
  <si>
    <t>Felhasználás</t>
  </si>
  <si>
    <t>Pénzügyi</t>
  </si>
  <si>
    <t>Megbízási</t>
  </si>
  <si>
    <t>Munkaköri</t>
  </si>
  <si>
    <t>Mindösszesen</t>
  </si>
  <si>
    <t>többlet</t>
  </si>
  <si>
    <t>bruttó bér</t>
  </si>
  <si>
    <t>óra</t>
  </si>
  <si>
    <t>elszámolt</t>
  </si>
  <si>
    <t>járulék</t>
  </si>
  <si>
    <t>dátuma</t>
  </si>
  <si>
    <t>közreműködő munkatársak (Név)</t>
  </si>
  <si>
    <t>központ (terhelés)</t>
  </si>
  <si>
    <t>központ (számfejtés)</t>
  </si>
  <si>
    <t>MEGBÍZÁSOK</t>
  </si>
  <si>
    <t>Megrendelés/ szerződés száma</t>
  </si>
  <si>
    <t>SZERVEZETI EGYSÉGEK SZERINT</t>
  </si>
  <si>
    <t>leírás</t>
  </si>
  <si>
    <t>nyilvántartás</t>
  </si>
  <si>
    <t>mértéke</t>
  </si>
  <si>
    <t>Munkaidő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</si>
  <si>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</si>
  <si>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</si>
  <si>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</si>
  <si>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</si>
  <si>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</si>
  <si>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</si>
  <si>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</si>
  <si>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</si>
  <si>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</si>
  <si>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</si>
  <si>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</si>
  <si>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</si>
  <si>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</si>
  <si>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</si>
  <si>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</si>
  <si>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</si>
  <si>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Kifizetés hónapja</t>
  </si>
  <si>
    <t>Tevékenység neve</t>
  </si>
  <si>
    <t>Keret</t>
  </si>
  <si>
    <t>óra arány</t>
  </si>
  <si>
    <t>különbsége</t>
  </si>
  <si>
    <t>Alap dokumentum</t>
  </si>
  <si>
    <t>Aláírt</t>
  </si>
  <si>
    <t>kinevezés</t>
  </si>
  <si>
    <t>KÖLTSÉGEK</t>
  </si>
  <si>
    <t>Szervezeti egység</t>
  </si>
  <si>
    <t>Szoc. Ho.</t>
  </si>
  <si>
    <t>adó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</si>
  <si>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</si>
  <si>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</si>
  <si>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</si>
  <si>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</si>
  <si>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</si>
  <si>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</si>
  <si>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</si>
  <si>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</si>
  <si>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</si>
  <si>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</si>
  <si>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</si>
  <si>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(kinev/többlet)</t>
  </si>
  <si>
    <t>Technikus</t>
  </si>
  <si>
    <t>Segédszemélyzet</t>
  </si>
  <si>
    <t>Munkabér</t>
  </si>
  <si>
    <t>3 tizedesre kerekített munkaidő%</t>
  </si>
  <si>
    <t>Számla sorszáma</t>
  </si>
  <si>
    <t>Beszerzett tétel megnevezése</t>
  </si>
  <si>
    <t>Úti költéség és konferenica esetében kérjük a konferencia nevét, időpontját feltüntetni illetve az útiköltség esetében is hogy melyik konferenciához ívánjuk elszámolni a felmerülő költséget, résztvevők nevei.</t>
  </si>
  <si>
    <t>Konferecia és útiköltség esetében esetében is kérjük tölteni.</t>
  </si>
  <si>
    <t>Költség kategória</t>
  </si>
  <si>
    <t>Költség elem</t>
  </si>
  <si>
    <t>Számla kelte</t>
  </si>
  <si>
    <t>Teljesítés dátuma</t>
  </si>
  <si>
    <t>Időszak</t>
  </si>
  <si>
    <t>Hallgatói foglalkoztatás</t>
  </si>
  <si>
    <t>K+F munkatárs</t>
  </si>
  <si>
    <t>Projektmenedzsment</t>
  </si>
  <si>
    <t>Egyéb</t>
  </si>
  <si>
    <t>Adott kolléga milyen munkakört tölt be a projektben (legördülő menüből választani)
TÖLTENDŐ!</t>
  </si>
  <si>
    <t>JBI azonosító szerepeltetése
OTRS szám</t>
  </si>
  <si>
    <t>SAP/Köt. váll. azonosító</t>
  </si>
  <si>
    <t>Összeg 
(Ft)</t>
  </si>
  <si>
    <t>Egyéb paraméter</t>
  </si>
  <si>
    <t>Támogatást igénylő</t>
  </si>
  <si>
    <t>Finanszírozási mód</t>
  </si>
  <si>
    <t>Állami támogatás kategória</t>
  </si>
  <si>
    <t>Beszerzés jellege</t>
  </si>
  <si>
    <t>Elszámolási mód</t>
  </si>
  <si>
    <t>Mérföldkő hozzárendelése</t>
  </si>
  <si>
    <t>Nettó egységár</t>
  </si>
  <si>
    <t>Nettó egységárra jutó ÁFA</t>
  </si>
  <si>
    <t>Bruttó egységár</t>
  </si>
  <si>
    <t>Mennyiség</t>
  </si>
  <si>
    <t>Nettó érték</t>
  </si>
  <si>
    <t>ÁFA érték</t>
  </si>
  <si>
    <t>Teljes költség</t>
  </si>
  <si>
    <t>Elszámolható költség</t>
  </si>
  <si>
    <t>Nem elszámolható költség</t>
  </si>
  <si>
    <t>Támogatási százalék</t>
  </si>
  <si>
    <t>Támogatási összeg</t>
  </si>
  <si>
    <t>Összes kifizethető költség (Ft) - Utófinanszírozott</t>
  </si>
  <si>
    <t>Összes kifizethető költség (Ft) - Szállítói finanszírozású</t>
  </si>
  <si>
    <t>Részletezés</t>
  </si>
  <si>
    <t>Megvalósítási helyszín</t>
  </si>
  <si>
    <t>Átjárhatóság</t>
  </si>
  <si>
    <t>Szakágazat</t>
  </si>
  <si>
    <t>Eszközbeszerzés</t>
  </si>
  <si>
    <t>Utófinanszírozás</t>
  </si>
  <si>
    <t>Nem állami támogatás</t>
  </si>
  <si>
    <t>Beszerzés</t>
  </si>
  <si>
    <t>Valós költség</t>
  </si>
  <si>
    <t>Kísérleti fejlesztés – Működési költség</t>
  </si>
  <si>
    <t>51. Anyagköltség</t>
  </si>
  <si>
    <t>Alkalmazott (ipari) kutatás – Működési költség</t>
  </si>
  <si>
    <t>54. Bérköltség</t>
  </si>
  <si>
    <t>54. Bérköltség - Kutató-fejlesztő munkatárs</t>
  </si>
  <si>
    <t>Saját teljesítés</t>
  </si>
  <si>
    <t>54. Bérköltség - technikus segédszemélyzet</t>
  </si>
  <si>
    <t>56. Bérjárulék</t>
  </si>
  <si>
    <t>56. Bérjárulék - Kutató-fejlesztő munkatárs</t>
  </si>
  <si>
    <t>56. Bérjárulék - technikus segédszemélyzet</t>
  </si>
  <si>
    <t>Összesen</t>
  </si>
  <si>
    <t>Pannon Egyetem</t>
  </si>
  <si>
    <t>Munkakör</t>
  </si>
  <si>
    <t>2023.12</t>
  </si>
  <si>
    <t>2024.01</t>
  </si>
  <si>
    <t>2024.02</t>
  </si>
  <si>
    <t>2024.03</t>
  </si>
  <si>
    <t>2024.04</t>
  </si>
  <si>
    <t>2024.05</t>
  </si>
  <si>
    <t>Résztvevő</t>
  </si>
  <si>
    <t>Foglalkoztatás</t>
  </si>
  <si>
    <t>Teljes</t>
  </si>
  <si>
    <t>Projekten</t>
  </si>
  <si>
    <t>Elszámolás</t>
  </si>
  <si>
    <t>Tevékenység</t>
  </si>
  <si>
    <t>Költség</t>
  </si>
  <si>
    <t>típusa</t>
  </si>
  <si>
    <t>bruttó munkabér</t>
  </si>
  <si>
    <t>bérjárulék</t>
  </si>
  <si>
    <t>havi</t>
  </si>
  <si>
    <t>sorszáma</t>
  </si>
  <si>
    <t>neve</t>
  </si>
  <si>
    <t>kategória</t>
  </si>
  <si>
    <t>típus</t>
  </si>
  <si>
    <t>elem</t>
  </si>
  <si>
    <t>Kezdete</t>
  </si>
  <si>
    <t>Vége</t>
  </si>
  <si>
    <t>munkaidő</t>
  </si>
  <si>
    <t>DOLOGI / ESZKÖZÖK ÖSSZESEN</t>
  </si>
  <si>
    <t>BÉRKÖLTSÉG ÖSSZESEN</t>
  </si>
  <si>
    <t>BÉRJÁRULÉK ÖSSZESEN</t>
  </si>
  <si>
    <t>IT eszközbeszerzés</t>
  </si>
  <si>
    <t>Kísérleti fejlesztés anyagköltsége</t>
  </si>
  <si>
    <t>14. Egyéb berendezések, felszerelések, járművek</t>
  </si>
  <si>
    <t>Kutató-fejlesztő bér - KF</t>
  </si>
  <si>
    <t>Kutató-fejlesztő bér - IK</t>
  </si>
  <si>
    <t>Technikus bér - KF</t>
  </si>
  <si>
    <t>Technikus bér - IK</t>
  </si>
  <si>
    <t>E017200178</t>
  </si>
  <si>
    <t>Közbeszerzés</t>
  </si>
  <si>
    <t>Magas szintű számítási kapacitásokkal rendelkező IT eszközök. Pl. 3 db HP ProBook650, 3 db HP EliteBook 830, 2 db HP Prodesk 400, 3 db HP G5 dokkoló, 2 db Calatyst router. Ajánlatadó: Euro One Számítástechnikai Zrt.
1 db EMC Data Domain DD2500 10GB NETWORK IO module
2 db Lenovo Flex System FC5022 16Gb SAN Scalable Switch
2 db Flex System FC5022 16Gb SAN Scalable Switch (Upgrade 2)
36 db Brocade 16Gb SFP+ transceiver module</t>
  </si>
  <si>
    <t>Kis értékű szerelési anyagok, melyeket a tesztelések és a rendszer kialakítása során fogunk felhasználni. Az eszközök az alábbiakat fogják magukba foglalni: kábelek, csatlakozók, teszteléshez tápegységek, optikai kábelek)</t>
  </si>
  <si>
    <t>A projekt kísérleti fejlesztési szakaszában a Pannon Egyetem részéről 5 fő kutató-fejlesztő vesz majd részt, akik jelenleg is az egyetem alkalmazásában állnak. 
A kutatómérnökök a projektre elszámolandó bruttó bére + munkaadó által fizetendő bérjáruléka (15,5% szakképzési hozzájárulás + 1,5% szakképzési járulék) arányosítva van kikalkulálva. 
A mérnökök munkabére besorolásuktól függően 600.000 Ft/havidíj között alakul, ezen béreket arányosítottuk. Különálló szervezeti egység lesz létrehozva a projekt idejére és az ezen belül dolgozók munkaidejük 100%-át a a projektre fogják fordítani, tehát az ezen a soron lévő 5 személy is. A fejlesztők 2 évig a kísérleti fejlesztésen lesznek alkalmazva, és 1 évig az ipari kutatáson. FTE tekintetében a kísérleti fejlesztési szakaszhoz 3,35-ös értékük párosul, míg az ipari kutatási szakaszhoz 1,65.</t>
  </si>
  <si>
    <t>A projekt ipari kutatási szakaszában a Pannon Egyetem részéről 5 fő kutató-fejlesztő vesz majd részt, akik jelenleg is az egyetem alkalmazásában állnak. 
A kutatómérnökök projektre elszámolandó bruttó bére + munkaadó által fizetendő bérjáruléka (15,5% szakképzési hozzájárulás + 1,5% szakképzési járulék) arányosítva van kikalkulálva. 
A mérnökök munkabére besorolásuktól függően 600.000 Ft/havidíj között alakul, ezen béreket arányosítottuk. Különálló szervezeti egység lesz létrehozva a projekt idejére és az ezen belül dolgozók munkaidejük 100%-át a a projektre fogják fordítani, tehát az ezen a soron lévő 5 személy is. A fejlesztők 2 évig a kísérleti fejlesztés keretein belül lesznek alkalmazva, és 1 évig az ipari kutatáson. FTE tekintetében a kísérleti fejlesztési szakaszhoz 3,35-ös értékük párosul, míg az ipari kutatási szakaszhoz 1,65.</t>
  </si>
  <si>
    <t>A projekt kísérleti fejlesztési szakaszában a Pannon Egyetem részéről 1 fő technikus vesz majd részt, aki jelenleg is az egyetem alkalmazásában áll. 
A technikus projektre elszámolandó bruttó bére + munkaadó által fizetendő bérjáruléka (15,5% szakképzési hozzájárulás) arányosítva van kikalkulálva. 
A technikus munkabére besorolástól függően 494.805 Ft/havidíj között alakul, ezen béreket arányosítottuk. Különálló szervezeti egység lesz létrehozva a projekt idejére és az ezen belül dolgozók munkaidejük 100%-át a a projektre fogják fordítani, tehát az ezen a soron lévő 1 fő is. A technikus 2 évig a kísérleti fejlesztés keretein belül lesz alkalmazva, és 1 évig az ipari kutatáson. FTE tekintetében a kísérleti fejlesztési szakaszhoz 0,67-es érték párosul, míg az ipari kutatási szakaszhoz 0,33.</t>
  </si>
  <si>
    <t>A projekt ipari kutatási szakaszában a Pannon Egyetem részéről 1 fő technikus vesz majd részt, aki jelenleg is az egyetem alkalmazásában áll. 
A technikus projektre elszámolandó bruttó bére + munkaadó által fizetendő bérjáruléka (15,5% szakképzési hozzájárulás) arányosítva van kikalkulálva. 
A technikus munkabére besorolástól függően 494.805 Ft/havidíj között alakul, ezen béreket arányosítottuk. Különálló szervezeti egység lesz létrehozva a projekt idejére és az ezen belül dolgozók munkaidejük 100%-át a a projektre fogják fordítani, tehát az ezen a soron lévő 1 fő is. A technikus 2 évig a kísérleti fejlesztés keretein belül lesz alkalmazva, és 1 évig az ipari kutatáson. FTE tekintetében a kísérleti fejlesztési szakaszhoz 0,67-es érték párosul, míg az ipari kutatási szakaszhoz 0,33.</t>
  </si>
  <si>
    <t>Kutató-fejlesztő bérjárulék - IK</t>
  </si>
  <si>
    <t>A projekt ipari kutatási szakaszában a Pannon Egyetem részéről 5 fő kutató-fejlesztő vesz majd részt, akik jelenleg is az egyetem alkalmazásában állnak. 
A kutatómérnökök projektre elszámolandó bruttó bére + munkaadó által fizetendő bérjáruléka (15,5% szakképzési hozzájárulás) arányosítva van kikalkulálva. 
A mérnökök munkabére besorolásuktól függően 600.000 Ft/havidíj között alakul, ezen béreket arányosítottuk. Különálló szervezeti egység lesz létrehozva a projekt idejére és az ezen belül dolgozók munkaidejük 100%-át a a projektre fogják fordítani, tehát az ezen a soron lévő 5 személy is. A fejlesztők 2 évig a kísérleti fejlesztés keretein belül lesznek alkalmazva, és 1 évig az ipari kutatáson. FTE tekintetében a kísérleti fejlesztési szakaszhoz 3,35-ös értékük párosul, míg az ipari kutatási szakaszhoz 1,65.</t>
  </si>
  <si>
    <t>Kutató-fejlesztő bérjárulék - KF</t>
  </si>
  <si>
    <t>A projekt kísérleti fejlesztési szakaszában a Pannon Egyetem részéről 5 fő kutató-fejlesztő vesz majd részt, akik jelenleg is az egyetem alkalmazásában állnak. 
A kutatómérnökök a projektre elszámolandó bruttó bére + munkaadó által fizetendő bérjáruléka (15,5% szakképzési hozzájárulás) arányosítva van kikalkulálva. 
A mérnökök munkabére besorolásuktól függően 600.000 Ft/havidíj között alakul, ezen béreket arányosítottuk. Különálló szervezeti egység lesz létrehozva a projekt idejére és az ezen belül dolgozók munkaidejük 100%-át a a projektre fogják fordítani, tehát az ezen a soron lévő 5 személy is. A fejlesztők 2 évig a kísérleti fejlesztés keretein belül lesznek alkalmazva, és 1 évig az ipari kutatáson. FTE tekintetében a kísérleti fejlesztési szakaszhoz 3,35-ös értékük párosul, míg az ipari kutatási szakaszhoz 1,65.</t>
  </si>
  <si>
    <t>Technikus bérjárulék - IK</t>
  </si>
  <si>
    <t>Technikus bérjárulék - KF</t>
  </si>
  <si>
    <t>MIK</t>
  </si>
  <si>
    <t>Domokos Endre Gábor</t>
  </si>
  <si>
    <t>Fodor Attila</t>
  </si>
  <si>
    <t>Hardy András György</t>
  </si>
  <si>
    <t>Tudós Gábor</t>
  </si>
  <si>
    <t>C211100000</t>
  </si>
  <si>
    <t>E021100000</t>
  </si>
  <si>
    <t>E021110000</t>
  </si>
  <si>
    <t>M211120000</t>
  </si>
  <si>
    <t>i</t>
  </si>
  <si>
    <t>Előlegek</t>
  </si>
  <si>
    <t>Juhász Judit</t>
  </si>
  <si>
    <t>Csizmadia Ferenc</t>
  </si>
  <si>
    <t>Bálint Roland</t>
  </si>
  <si>
    <t>Fodor Sándor</t>
  </si>
  <si>
    <t>E011110000</t>
  </si>
  <si>
    <t>Pózna Anna</t>
  </si>
  <si>
    <t>Pekárdy Milán Péter</t>
  </si>
  <si>
    <t>E031110000</t>
  </si>
  <si>
    <t>Fodor Fruzsina</t>
  </si>
  <si>
    <t>Ipkovich Bálint</t>
  </si>
  <si>
    <t>Tóth-Nagy Georgina</t>
  </si>
  <si>
    <t>Schmidtné Lényi Szilvia</t>
  </si>
  <si>
    <t>2024.06</t>
  </si>
  <si>
    <t>2024.07</t>
  </si>
  <si>
    <t>2024.08</t>
  </si>
  <si>
    <t>2024.09</t>
  </si>
  <si>
    <t>Futamidő: 2021.10.01-2024.09.30</t>
  </si>
  <si>
    <t>Záró beszámoló: 2024.10.31</t>
  </si>
  <si>
    <t>Trájer Attila János</t>
  </si>
  <si>
    <t>Dolgozó</t>
  </si>
  <si>
    <t>adóazonosító</t>
  </si>
  <si>
    <t>8457261002</t>
  </si>
  <si>
    <t>8448900545</t>
  </si>
  <si>
    <t>8375073423</t>
  </si>
  <si>
    <t>8393082064</t>
  </si>
  <si>
    <t>8409541254</t>
  </si>
  <si>
    <t>8479830956</t>
  </si>
  <si>
    <t>8470832808</t>
  </si>
  <si>
    <t>8341122936</t>
  </si>
  <si>
    <t>8473223225</t>
  </si>
  <si>
    <t>8470592335</t>
  </si>
  <si>
    <t>8443330120</t>
  </si>
  <si>
    <t>8412333799</t>
  </si>
  <si>
    <t>8440712316</t>
  </si>
  <si>
    <t>8426440355</t>
  </si>
  <si>
    <t>8420632767</t>
  </si>
  <si>
    <t>eltérés</t>
  </si>
  <si>
    <t>Bér</t>
  </si>
  <si>
    <t>Járulék</t>
  </si>
  <si>
    <t>Név</t>
  </si>
  <si>
    <t>Adóazonosító</t>
  </si>
  <si>
    <t>Számfejtés</t>
  </si>
  <si>
    <t>Dr. Bálint Roland</t>
  </si>
  <si>
    <t>Dr. Domokos Endre Gábor</t>
  </si>
  <si>
    <t>Dr. Fodor Attila</t>
  </si>
  <si>
    <t>Dr. Pózna Anna Ibolya</t>
  </si>
  <si>
    <t>Dr. Tóth-Nagy Georgina</t>
  </si>
  <si>
    <t>Bali Zsolt László</t>
  </si>
  <si>
    <t>8490960364</t>
  </si>
  <si>
    <t>EGYEZIK</t>
  </si>
  <si>
    <t>HIBÁS</t>
  </si>
  <si>
    <t>M211130000</t>
  </si>
  <si>
    <t>Ábrahám Gyula</t>
  </si>
  <si>
    <t>8451322220</t>
  </si>
  <si>
    <t>Terhelés</t>
  </si>
  <si>
    <t>Hónap</t>
  </si>
  <si>
    <t>Kihagyás</t>
  </si>
  <si>
    <t>Lakó János</t>
  </si>
  <si>
    <t>C211110000</t>
  </si>
  <si>
    <t>8409820269</t>
  </si>
  <si>
    <t>Varga Béla</t>
  </si>
  <si>
    <t>8450390338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</si>
</sst>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_-* #,##0\ &quot;Ft&quot;_-;\-* #,##0\ &quot;Ft&quot;_-;_-* &quot;-&quot;??\ &quot;Ft&quot;_-;_-@_-"/>
    <numFmt numFmtId="169" formatCode="0.0%"/>
    <numFmt numFmtId="170" formatCode="_-* #,##0_-;\-* #,##0_-;_-* &quot;-&quot;??_-;_-@_-"/>
  </numFmts>
  <fonts count="59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14"/>
      <name val="Times New Roman"/>
      <family val="1"/>
      <charset val="238"/>
    </font>
    <font>
      <b/>
      <sz val="9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sz val="10"/>
      <color indexed="8"/>
      <name val="Times New Roman"/>
      <family val="1"/>
      <charset val="238"/>
    </font>
    <font>
      <b/>
      <sz val="11"/>
      <color rgb="FF000000"/>
      <name val="Calibri"/>
      <family val="2"/>
      <charset val="238"/>
    </font>
    <font>
      <sz val="8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</font>
    <font>
      <sz val="11"/>
      <color rgb="FF00B050"/>
      <name val="Calibri"/>
      <family val="2"/>
      <charset val="238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1C8FB"/>
        <bgColor rgb="FF000000"/>
      </patternFill>
    </fill>
    <fill>
      <patternFill patternType="solid">
        <fgColor rgb="FFE6EDF7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/>
      <bottom style="thin">
        <color theme="4" tint="0.39997558519241921"/>
      </bottom>
      <diagonal/>
    </border>
  </borders>
  <cellStyleXfs count="147">
    <xf numFmtId="0" fontId="0" fillId="0" borderId="0"/>
    <xf numFmtId="0" fontId="12" fillId="2" borderId="8" applyNumberFormat="0" applyAlignment="0" applyProtection="0"/>
    <xf numFmtId="164" fontId="7" fillId="0" borderId="0" applyFont="0" applyFill="0" applyBorder="0" applyAlignment="0" applyProtection="0"/>
    <xf numFmtId="0" fontId="14" fillId="0" borderId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7" fillId="11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1" fillId="0" borderId="0" applyNumberFormat="0" applyFill="0" applyBorder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1" fillId="21" borderId="15" applyNumberFormat="0" applyFont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5" borderId="0" applyNumberFormat="0" applyBorder="0" applyAlignment="0" applyProtection="0"/>
    <xf numFmtId="0" fontId="25" fillId="8" borderId="0" applyNumberFormat="0" applyBorder="0" applyAlignment="0" applyProtection="0"/>
    <xf numFmtId="0" fontId="26" fillId="26" borderId="16" applyNumberFormat="0" applyAlignment="0" applyProtection="0"/>
    <xf numFmtId="0" fontId="27" fillId="0" borderId="0" applyNumberFormat="0" applyFill="0" applyBorder="0" applyAlignment="0" applyProtection="0"/>
    <xf numFmtId="0" fontId="4" fillId="0" borderId="17" applyNumberFormat="0" applyFill="0" applyAlignment="0" applyProtection="0"/>
    <xf numFmtId="0" fontId="28" fillId="7" borderId="0" applyNumberFormat="0" applyBorder="0" applyAlignment="0" applyProtection="0"/>
    <xf numFmtId="0" fontId="29" fillId="27" borderId="0" applyNumberFormat="0" applyBorder="0" applyAlignment="0" applyProtection="0"/>
    <xf numFmtId="0" fontId="30" fillId="26" borderId="9" applyNumberFormat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1" fillId="0" borderId="0"/>
    <xf numFmtId="0" fontId="11" fillId="5" borderId="0" applyNumberFormat="0" applyBorder="0" applyAlignment="0" applyProtection="0"/>
    <xf numFmtId="0" fontId="11" fillId="0" borderId="0"/>
    <xf numFmtId="0" fontId="31" fillId="0" borderId="0"/>
    <xf numFmtId="0" fontId="17" fillId="11" borderId="9" applyNumberFormat="0" applyAlignment="0" applyProtection="0"/>
    <xf numFmtId="0" fontId="1" fillId="21" borderId="15" applyNumberFormat="0" applyFont="0" applyAlignment="0" applyProtection="0"/>
    <xf numFmtId="0" fontId="26" fillId="26" borderId="16" applyNumberFormat="0" applyAlignment="0" applyProtection="0"/>
    <xf numFmtId="0" fontId="4" fillId="0" borderId="17" applyNumberFormat="0" applyFill="0" applyAlignment="0" applyProtection="0"/>
    <xf numFmtId="0" fontId="30" fillId="26" borderId="9" applyNumberFormat="0" applyAlignment="0" applyProtection="0"/>
    <xf numFmtId="0" fontId="11" fillId="5" borderId="0" applyNumberFormat="0" applyBorder="0" applyAlignment="0" applyProtection="0"/>
    <xf numFmtId="0" fontId="1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26" borderId="16" applyNumberFormat="0" applyAlignment="0" applyProtection="0"/>
    <xf numFmtId="0" fontId="1" fillId="21" borderId="15" applyNumberFormat="0" applyFont="0" applyAlignment="0" applyProtection="0"/>
    <xf numFmtId="0" fontId="4" fillId="0" borderId="17" applyNumberFormat="0" applyFill="0" applyAlignment="0" applyProtection="0"/>
    <xf numFmtId="0" fontId="26" fillId="26" borderId="16" applyNumberFormat="0" applyAlignment="0" applyProtection="0"/>
    <xf numFmtId="0" fontId="30" fillId="26" borderId="9" applyNumberFormat="0" applyAlignment="0" applyProtection="0"/>
    <xf numFmtId="0" fontId="4" fillId="0" borderId="17" applyNumberFormat="0" applyFill="0" applyAlignment="0" applyProtection="0"/>
    <xf numFmtId="0" fontId="26" fillId="26" borderId="16" applyNumberFormat="0" applyAlignment="0" applyProtection="0"/>
    <xf numFmtId="0" fontId="1" fillId="21" borderId="15" applyNumberFormat="0" applyFont="0" applyAlignment="0" applyProtection="0"/>
    <xf numFmtId="0" fontId="17" fillId="11" borderId="9" applyNumberFormat="0" applyAlignment="0" applyProtection="0"/>
    <xf numFmtId="0" fontId="1" fillId="21" borderId="15" applyNumberFormat="0" applyFont="0" applyAlignment="0" applyProtection="0"/>
    <xf numFmtId="0" fontId="1" fillId="21" borderId="15" applyNumberFormat="0" applyFont="0" applyAlignment="0" applyProtection="0"/>
    <xf numFmtId="0" fontId="17" fillId="11" borderId="9" applyNumberFormat="0" applyAlignment="0" applyProtection="0"/>
    <xf numFmtId="0" fontId="26" fillId="26" borderId="16" applyNumberFormat="0" applyAlignment="0" applyProtection="0"/>
    <xf numFmtId="0" fontId="4" fillId="0" borderId="17" applyNumberFormat="0" applyFill="0" applyAlignment="0" applyProtection="0"/>
    <xf numFmtId="0" fontId="30" fillId="26" borderId="9" applyNumberFormat="0" applyAlignment="0" applyProtection="0"/>
    <xf numFmtId="0" fontId="30" fillId="26" borderId="9" applyNumberFormat="0" applyAlignment="0" applyProtection="0"/>
    <xf numFmtId="0" fontId="17" fillId="11" borderId="9" applyNumberFormat="0" applyAlignment="0" applyProtection="0"/>
    <xf numFmtId="0" fontId="11" fillId="0" borderId="0"/>
    <xf numFmtId="0" fontId="11" fillId="5" borderId="0" applyNumberFormat="0" applyBorder="0" applyAlignment="0" applyProtection="0"/>
    <xf numFmtId="0" fontId="11" fillId="0" borderId="0"/>
    <xf numFmtId="0" fontId="11" fillId="5" borderId="0" applyNumberFormat="0" applyBorder="0" applyAlignment="0" applyProtection="0"/>
    <xf numFmtId="0" fontId="11" fillId="0" borderId="0"/>
    <xf numFmtId="0" fontId="26" fillId="26" borderId="16" applyNumberFormat="0" applyAlignment="0" applyProtection="0"/>
    <xf numFmtId="0" fontId="1" fillId="21" borderId="15" applyNumberFormat="0" applyFont="0" applyAlignment="0" applyProtection="0"/>
    <xf numFmtId="0" fontId="17" fillId="11" borderId="9" applyNumberFormat="0" applyAlignment="0" applyProtection="0"/>
    <xf numFmtId="0" fontId="30" fillId="26" borderId="9" applyNumberFormat="0" applyAlignment="0" applyProtection="0"/>
    <xf numFmtId="0" fontId="30" fillId="26" borderId="9" applyNumberFormat="0" applyAlignment="0" applyProtection="0"/>
    <xf numFmtId="0" fontId="4" fillId="0" borderId="17" applyNumberFormat="0" applyFill="0" applyAlignment="0" applyProtection="0"/>
    <xf numFmtId="0" fontId="17" fillId="11" borderId="9" applyNumberFormat="0" applyAlignment="0" applyProtection="0"/>
    <xf numFmtId="0" fontId="30" fillId="26" borderId="9" applyNumberFormat="0" applyAlignment="0" applyProtection="0"/>
    <xf numFmtId="0" fontId="4" fillId="0" borderId="17" applyNumberFormat="0" applyFill="0" applyAlignment="0" applyProtection="0"/>
    <xf numFmtId="0" fontId="4" fillId="0" borderId="17" applyNumberFormat="0" applyFill="0" applyAlignment="0" applyProtection="0"/>
    <xf numFmtId="0" fontId="26" fillId="26" borderId="16" applyNumberFormat="0" applyAlignment="0" applyProtection="0"/>
    <xf numFmtId="0" fontId="1" fillId="21" borderId="15" applyNumberFormat="0" applyFont="0" applyAlignment="0" applyProtection="0"/>
    <xf numFmtId="0" fontId="17" fillId="11" borderId="9" applyNumberFormat="0" applyAlignment="0" applyProtection="0"/>
    <xf numFmtId="0" fontId="30" fillId="26" borderId="9" applyNumberFormat="0" applyAlignment="0" applyProtection="0"/>
    <xf numFmtId="0" fontId="4" fillId="0" borderId="17" applyNumberFormat="0" applyFill="0" applyAlignment="0" applyProtection="0"/>
    <xf numFmtId="0" fontId="26" fillId="26" borderId="16" applyNumberFormat="0" applyAlignment="0" applyProtection="0"/>
    <xf numFmtId="0" fontId="1" fillId="21" borderId="15" applyNumberFormat="0" applyFont="0" applyAlignment="0" applyProtection="0"/>
    <xf numFmtId="0" fontId="17" fillId="11" borderId="9" applyNumberFormat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0" borderId="0"/>
    <xf numFmtId="164" fontId="1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7" fillId="0" borderId="0"/>
    <xf numFmtId="164" fontId="3" fillId="0" borderId="0" applyFont="0" applyFill="0" applyBorder="0" applyAlignment="0" applyProtection="0"/>
    <xf numFmtId="0" fontId="39" fillId="0" borderId="0"/>
    <xf numFmtId="44" fontId="11" fillId="0" borderId="0" applyFont="0" applyFill="0" applyBorder="0" applyAlignment="0" applyProtection="0"/>
  </cellStyleXfs>
  <cellXfs count="248">
    <xf numFmtId="0" fontId="0" fillId="0" borderId="0" xfId="0"/>
    <xf numFmtId="0" fontId="3" fillId="3" borderId="1" xfId="0" applyFont="1" applyFill="1" applyBorder="1" applyAlignment="1">
      <alignment horizontal="left"/>
    </xf>
    <xf numFmtId="49" fontId="0" fillId="0" borderId="0" xfId="0" applyNumberFormat="1"/>
    <xf numFmtId="165" fontId="0" fillId="0" borderId="0" xfId="2" applyNumberFormat="1" applyFont="1" applyFill="1"/>
    <xf numFmtId="165" fontId="36" fillId="0" borderId="0" xfId="2" applyNumberFormat="1" applyFont="1" applyFill="1"/>
    <xf numFmtId="0" fontId="3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49" fontId="0" fillId="0" borderId="20" xfId="0" applyNumberFormat="1" applyBorder="1" applyAlignment="1">
      <alignment horizontal="center" vertical="center" wrapText="1"/>
    </xf>
    <xf numFmtId="165" fontId="0" fillId="0" borderId="20" xfId="2" applyNumberFormat="1" applyFont="1" applyFill="1" applyBorder="1" applyAlignment="1">
      <alignment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vertical="center"/>
    </xf>
    <xf numFmtId="10" fontId="8" fillId="0" borderId="1" xfId="0" applyNumberFormat="1" applyFont="1" applyBorder="1" applyAlignment="1">
      <alignment horizontal="center" wrapText="1"/>
    </xf>
    <xf numFmtId="167" fontId="13" fillId="0" borderId="0" xfId="0" applyNumberFormat="1" applyFont="1"/>
    <xf numFmtId="167" fontId="13" fillId="3" borderId="1" xfId="0" applyNumberFormat="1" applyFont="1" applyFill="1" applyBorder="1"/>
    <xf numFmtId="3" fontId="0" fillId="0" borderId="0" xfId="0" applyNumberFormat="1"/>
    <xf numFmtId="0" fontId="13" fillId="0" borderId="1" xfId="0" applyFont="1" applyBorder="1" applyAlignment="1">
      <alignment horizontal="center"/>
    </xf>
    <xf numFmtId="3" fontId="41" fillId="0" borderId="0" xfId="0" applyNumberFormat="1" applyFont="1"/>
    <xf numFmtId="49" fontId="0" fillId="0" borderId="0" xfId="0" applyNumberFormat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3" fontId="3" fillId="3" borderId="1" xfId="0" applyNumberFormat="1" applyFont="1" applyFill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3" fontId="44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5" fillId="33" borderId="7" xfId="0" applyFont="1" applyFill="1" applyBorder="1" applyAlignment="1">
      <alignment horizontal="center" vertical="center" wrapText="1"/>
    </xf>
    <xf numFmtId="0" fontId="5" fillId="33" borderId="2" xfId="0" applyFont="1" applyFill="1" applyBorder="1" applyAlignment="1">
      <alignment horizontal="center" vertical="center" wrapText="1"/>
    </xf>
    <xf numFmtId="0" fontId="5" fillId="33" borderId="3" xfId="0" applyFont="1" applyFill="1" applyBorder="1" applyAlignment="1">
      <alignment horizontal="center" vertical="center" wrapText="1"/>
    </xf>
    <xf numFmtId="0" fontId="3" fillId="33" borderId="7" xfId="0" applyFont="1" applyFill="1" applyBorder="1" applyAlignment="1">
      <alignment horizontal="center" vertical="center" wrapText="1"/>
    </xf>
    <xf numFmtId="0" fontId="3" fillId="33" borderId="2" xfId="0" applyFont="1" applyFill="1" applyBorder="1" applyAlignment="1">
      <alignment horizontal="center" vertical="center" wrapText="1"/>
    </xf>
    <xf numFmtId="0" fontId="3" fillId="33" borderId="3" xfId="0" applyFont="1" applyFill="1" applyBorder="1" applyAlignment="1">
      <alignment horizontal="center" vertical="center" wrapText="1"/>
    </xf>
    <xf numFmtId="0" fontId="5" fillId="35" borderId="5" xfId="0" applyFont="1" applyFill="1" applyBorder="1" applyAlignment="1">
      <alignment horizontal="center" vertical="center" wrapText="1"/>
    </xf>
    <xf numFmtId="0" fontId="5" fillId="35" borderId="6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2" applyNumberFormat="1" applyFont="1"/>
    <xf numFmtId="14" fontId="0" fillId="0" borderId="0" xfId="2" applyNumberFormat="1" applyFont="1" applyAlignment="1">
      <alignment horizontal="center"/>
    </xf>
    <xf numFmtId="165" fontId="36" fillId="0" borderId="0" xfId="2" applyNumberFormat="1" applyFont="1" applyAlignment="1">
      <alignment horizontal="center"/>
    </xf>
    <xf numFmtId="3" fontId="45" fillId="0" borderId="0" xfId="0" applyNumberFormat="1" applyFont="1" applyAlignment="1">
      <alignment horizontal="center"/>
    </xf>
    <xf numFmtId="17" fontId="0" fillId="0" borderId="0" xfId="0" quotePrefix="1" applyNumberFormat="1"/>
    <xf numFmtId="0" fontId="0" fillId="0" borderId="0" xfId="0" quotePrefix="1"/>
    <xf numFmtId="0" fontId="36" fillId="0" borderId="22" xfId="0" applyFont="1" applyBorder="1" applyAlignment="1">
      <alignment horizontal="center" vertical="center"/>
    </xf>
    <xf numFmtId="0" fontId="36" fillId="0" borderId="22" xfId="0" applyFont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6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36" fillId="0" borderId="24" xfId="0" applyFont="1" applyBorder="1" applyAlignment="1">
      <alignment horizontal="center" vertical="center" wrapText="1"/>
    </xf>
    <xf numFmtId="0" fontId="36" fillId="3" borderId="22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5" fontId="0" fillId="0" borderId="1" xfId="2" applyNumberFormat="1" applyFont="1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36" fillId="32" borderId="25" xfId="0" applyFont="1" applyFill="1" applyBorder="1" applyAlignment="1">
      <alignment horizontal="left"/>
    </xf>
    <xf numFmtId="0" fontId="0" fillId="32" borderId="26" xfId="0" applyFill="1" applyBorder="1" applyAlignment="1">
      <alignment horizontal="center"/>
    </xf>
    <xf numFmtId="167" fontId="13" fillId="32" borderId="26" xfId="0" applyNumberFormat="1" applyFont="1" applyFill="1" applyBorder="1"/>
    <xf numFmtId="167" fontId="13" fillId="32" borderId="27" xfId="0" applyNumberFormat="1" applyFont="1" applyFill="1" applyBorder="1"/>
    <xf numFmtId="167" fontId="2" fillId="0" borderId="28" xfId="0" applyNumberFormat="1" applyFont="1" applyBorder="1" applyAlignment="1">
      <alignment horizontal="center" vertical="center" wrapText="1"/>
    </xf>
    <xf numFmtId="167" fontId="2" fillId="0" borderId="29" xfId="0" applyNumberFormat="1" applyFont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left"/>
    </xf>
    <xf numFmtId="9" fontId="13" fillId="0" borderId="6" xfId="0" applyNumberFormat="1" applyFont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0" fontId="36" fillId="36" borderId="22" xfId="0" applyFont="1" applyFill="1" applyBorder="1" applyAlignment="1">
      <alignment horizontal="center" vertical="center"/>
    </xf>
    <xf numFmtId="0" fontId="0" fillId="0" borderId="39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36" borderId="39" xfId="0" applyFill="1" applyBorder="1"/>
    <xf numFmtId="0" fontId="0" fillId="36" borderId="37" xfId="0" applyFill="1" applyBorder="1"/>
    <xf numFmtId="0" fontId="0" fillId="36" borderId="38" xfId="0" applyFill="1" applyBorder="1"/>
    <xf numFmtId="10" fontId="8" fillId="0" borderId="35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vertical="center" wrapText="1"/>
    </xf>
    <xf numFmtId="165" fontId="36" fillId="0" borderId="22" xfId="2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7" borderId="1" xfId="0" applyFill="1" applyBorder="1" applyAlignment="1">
      <alignment vertical="center" wrapText="1"/>
    </xf>
    <xf numFmtId="0" fontId="0" fillId="37" borderId="4" xfId="0" applyFill="1" applyBorder="1" applyAlignment="1">
      <alignment vertical="center" wrapText="1"/>
    </xf>
    <xf numFmtId="3" fontId="13" fillId="31" borderId="1" xfId="0" applyNumberFormat="1" applyFont="1" applyFill="1" applyBorder="1" applyAlignment="1">
      <alignment vertical="center" wrapText="1"/>
    </xf>
    <xf numFmtId="3" fontId="13" fillId="31" borderId="4" xfId="0" applyNumberFormat="1" applyFont="1" applyFill="1" applyBorder="1" applyAlignment="1">
      <alignment vertical="center" wrapText="1"/>
    </xf>
    <xf numFmtId="169" fontId="0" fillId="0" borderId="0" xfId="0" applyNumberFormat="1" applyAlignment="1">
      <alignment horizontal="center"/>
    </xf>
    <xf numFmtId="169" fontId="13" fillId="0" borderId="6" xfId="0" applyNumberFormat="1" applyFont="1" applyBorder="1" applyAlignment="1">
      <alignment horizontal="center"/>
    </xf>
    <xf numFmtId="169" fontId="8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left"/>
    </xf>
    <xf numFmtId="3" fontId="38" fillId="0" borderId="1" xfId="1" applyNumberFormat="1" applyFont="1" applyFill="1" applyBorder="1" applyAlignment="1" applyProtection="1">
      <alignment horizontal="left"/>
      <protection locked="0"/>
    </xf>
    <xf numFmtId="3" fontId="38" fillId="0" borderId="1" xfId="0" applyNumberFormat="1" applyFont="1" applyBorder="1" applyAlignment="1">
      <alignment horizontal="left"/>
    </xf>
    <xf numFmtId="0" fontId="38" fillId="0" borderId="1" xfId="0" applyFont="1" applyBorder="1"/>
    <xf numFmtId="3" fontId="3" fillId="0" borderId="1" xfId="0" applyNumberFormat="1" applyFont="1" applyBorder="1" applyAlignment="1">
      <alignment horizontal="left"/>
    </xf>
    <xf numFmtId="0" fontId="38" fillId="0" borderId="18" xfId="0" applyFont="1" applyBorder="1"/>
    <xf numFmtId="3" fontId="38" fillId="0" borderId="18" xfId="1" applyNumberFormat="1" applyFont="1" applyFill="1" applyBorder="1" applyAlignment="1" applyProtection="1">
      <alignment horizontal="left"/>
      <protection locked="0"/>
    </xf>
    <xf numFmtId="0" fontId="0" fillId="0" borderId="30" xfId="0" applyBorder="1"/>
    <xf numFmtId="0" fontId="10" fillId="0" borderId="31" xfId="0" applyFont="1" applyBorder="1"/>
    <xf numFmtId="3" fontId="13" fillId="0" borderId="31" xfId="1" applyNumberFormat="1" applyFont="1" applyFill="1" applyBorder="1" applyAlignment="1" applyProtection="1">
      <alignment horizontal="left"/>
      <protection locked="0"/>
    </xf>
    <xf numFmtId="3" fontId="13" fillId="0" borderId="31" xfId="1" applyNumberFormat="1" applyFont="1" applyFill="1" applyBorder="1" applyAlignment="1" applyProtection="1">
      <alignment wrapText="1"/>
      <protection locked="0"/>
    </xf>
    <xf numFmtId="3" fontId="13" fillId="0" borderId="31" xfId="1" applyNumberFormat="1" applyFont="1" applyFill="1" applyBorder="1" applyAlignment="1" applyProtection="1">
      <alignment horizontal="center" wrapText="1"/>
      <protection locked="0"/>
    </xf>
    <xf numFmtId="0" fontId="13" fillId="0" borderId="31" xfId="0" applyFont="1" applyBorder="1"/>
    <xf numFmtId="3" fontId="8" fillId="0" borderId="31" xfId="0" applyNumberFormat="1" applyFont="1" applyBorder="1" applyAlignment="1">
      <alignment wrapText="1"/>
    </xf>
    <xf numFmtId="9" fontId="8" fillId="0" borderId="31" xfId="0" applyNumberFormat="1" applyFont="1" applyBorder="1" applyAlignment="1">
      <alignment horizontal="center" wrapText="1"/>
    </xf>
    <xf numFmtId="0" fontId="8" fillId="0" borderId="31" xfId="0" applyFont="1" applyBorder="1" applyAlignment="1">
      <alignment horizontal="center" wrapText="1"/>
    </xf>
    <xf numFmtId="166" fontId="35" fillId="0" borderId="31" xfId="0" applyNumberFormat="1" applyFont="1" applyBorder="1" applyAlignment="1">
      <alignment wrapText="1"/>
    </xf>
    <xf numFmtId="0" fontId="47" fillId="38" borderId="46" xfId="0" applyFont="1" applyFill="1" applyBorder="1" applyAlignment="1">
      <alignment horizontal="center"/>
    </xf>
    <xf numFmtId="0" fontId="0" fillId="0" borderId="46" xfId="0" applyBorder="1"/>
    <xf numFmtId="3" fontId="0" fillId="0" borderId="46" xfId="0" applyNumberFormat="1" applyBorder="1"/>
    <xf numFmtId="0" fontId="0" fillId="39" borderId="46" xfId="0" applyFill="1" applyBorder="1"/>
    <xf numFmtId="3" fontId="0" fillId="39" borderId="46" xfId="0" applyNumberFormat="1" applyFill="1" applyBorder="1"/>
    <xf numFmtId="0" fontId="47" fillId="38" borderId="47" xfId="0" applyFont="1" applyFill="1" applyBorder="1" applyAlignment="1">
      <alignment horizontal="center"/>
    </xf>
    <xf numFmtId="0" fontId="38" fillId="40" borderId="1" xfId="0" applyFont="1" applyFill="1" applyBorder="1"/>
    <xf numFmtId="3" fontId="38" fillId="40" borderId="1" xfId="1" applyNumberFormat="1" applyFont="1" applyFill="1" applyBorder="1" applyAlignment="1" applyProtection="1">
      <alignment horizontal="left"/>
      <protection locked="0"/>
    </xf>
    <xf numFmtId="3" fontId="3" fillId="40" borderId="1" xfId="0" applyNumberFormat="1" applyFont="1" applyFill="1" applyBorder="1" applyAlignment="1">
      <alignment horizontal="left"/>
    </xf>
    <xf numFmtId="3" fontId="38" fillId="40" borderId="1" xfId="0" applyNumberFormat="1" applyFont="1" applyFill="1" applyBorder="1" applyAlignment="1">
      <alignment horizontal="left"/>
    </xf>
    <xf numFmtId="0" fontId="13" fillId="40" borderId="1" xfId="0" applyFont="1" applyFill="1" applyBorder="1" applyAlignment="1">
      <alignment horizontal="center"/>
    </xf>
    <xf numFmtId="3" fontId="2" fillId="36" borderId="40" xfId="0" applyNumberFormat="1" applyFont="1" applyFill="1" applyBorder="1" applyAlignment="1">
      <alignment horizontal="center" vertical="center"/>
    </xf>
    <xf numFmtId="3" fontId="2" fillId="36" borderId="41" xfId="0" applyNumberFormat="1" applyFont="1" applyFill="1" applyBorder="1" applyAlignment="1">
      <alignment horizontal="center" vertical="center"/>
    </xf>
    <xf numFmtId="3" fontId="2" fillId="41" borderId="41" xfId="0" applyNumberFormat="1" applyFont="1" applyFill="1" applyBorder="1" applyAlignment="1">
      <alignment horizontal="center" vertical="center"/>
    </xf>
    <xf numFmtId="3" fontId="2" fillId="41" borderId="41" xfId="0" applyNumberFormat="1" applyFont="1" applyFill="1" applyBorder="1" applyAlignment="1">
      <alignment horizontal="center" vertical="center" wrapText="1"/>
    </xf>
    <xf numFmtId="3" fontId="2" fillId="41" borderId="41" xfId="0" applyNumberFormat="1" applyFont="1" applyFill="1" applyBorder="1" applyAlignment="1">
      <alignment vertical="center" wrapText="1"/>
    </xf>
    <xf numFmtId="0" fontId="46" fillId="33" borderId="41" xfId="0" applyFont="1" applyFill="1" applyBorder="1" applyAlignment="1">
      <alignment horizontal="center" vertical="center" wrapText="1"/>
    </xf>
    <xf numFmtId="3" fontId="46" fillId="33" borderId="41" xfId="0" applyNumberFormat="1" applyFont="1" applyFill="1" applyBorder="1" applyAlignment="1">
      <alignment horizontal="center" vertical="center"/>
    </xf>
    <xf numFmtId="3" fontId="2" fillId="33" borderId="41" xfId="0" applyNumberFormat="1" applyFont="1" applyFill="1" applyBorder="1" applyAlignment="1">
      <alignment horizontal="center" vertical="center"/>
    </xf>
    <xf numFmtId="3" fontId="3" fillId="28" borderId="7" xfId="0" applyNumberFormat="1" applyFont="1" applyFill="1" applyBorder="1" applyAlignment="1">
      <alignment horizontal="center" vertical="center"/>
    </xf>
    <xf numFmtId="9" fontId="5" fillId="34" borderId="4" xfId="0" applyNumberFormat="1" applyFont="1" applyFill="1" applyBorder="1" applyAlignment="1">
      <alignment horizontal="center" vertical="center"/>
    </xf>
    <xf numFmtId="3" fontId="2" fillId="36" borderId="28" xfId="0" applyNumberFormat="1" applyFont="1" applyFill="1" applyBorder="1" applyAlignment="1">
      <alignment horizontal="center" vertical="center"/>
    </xf>
    <xf numFmtId="3" fontId="2" fillId="36" borderId="1" xfId="0" applyNumberFormat="1" applyFont="1" applyFill="1" applyBorder="1" applyAlignment="1">
      <alignment horizontal="center" vertical="center"/>
    </xf>
    <xf numFmtId="3" fontId="2" fillId="41" borderId="1" xfId="0" applyNumberFormat="1" applyFont="1" applyFill="1" applyBorder="1" applyAlignment="1">
      <alignment horizontal="center" vertical="center"/>
    </xf>
    <xf numFmtId="3" fontId="2" fillId="41" borderId="1" xfId="0" applyNumberFormat="1" applyFont="1" applyFill="1" applyBorder="1" applyAlignment="1">
      <alignment horizontal="center" vertical="center" wrapText="1"/>
    </xf>
    <xf numFmtId="0" fontId="46" fillId="33" borderId="1" xfId="0" applyFont="1" applyFill="1" applyBorder="1" applyAlignment="1">
      <alignment horizontal="center" vertical="center" wrapText="1"/>
    </xf>
    <xf numFmtId="3" fontId="46" fillId="33" borderId="1" xfId="0" applyNumberFormat="1" applyFont="1" applyFill="1" applyBorder="1" applyAlignment="1">
      <alignment horizontal="center" vertical="center" wrapText="1"/>
    </xf>
    <xf numFmtId="3" fontId="2" fillId="33" borderId="1" xfId="0" applyNumberFormat="1" applyFont="1" applyFill="1" applyBorder="1" applyAlignment="1">
      <alignment horizontal="center" vertical="center" wrapText="1"/>
    </xf>
    <xf numFmtId="49" fontId="2" fillId="33" borderId="1" xfId="0" applyNumberFormat="1" applyFont="1" applyFill="1" applyBorder="1" applyAlignment="1">
      <alignment horizontal="center" vertical="center"/>
    </xf>
    <xf numFmtId="3" fontId="2" fillId="33" borderId="1" xfId="0" applyNumberFormat="1" applyFont="1" applyFill="1" applyBorder="1" applyAlignment="1">
      <alignment horizontal="center" vertical="center"/>
    </xf>
    <xf numFmtId="3" fontId="2" fillId="33" borderId="29" xfId="0" applyNumberFormat="1" applyFont="1" applyFill="1" applyBorder="1" applyAlignment="1">
      <alignment horizontal="center" vertical="center"/>
    </xf>
    <xf numFmtId="3" fontId="3" fillId="28" borderId="2" xfId="0" applyNumberFormat="1" applyFont="1" applyFill="1" applyBorder="1" applyAlignment="1">
      <alignment horizontal="center" vertical="center"/>
    </xf>
    <xf numFmtId="9" fontId="5" fillId="34" borderId="5" xfId="0" applyNumberFormat="1" applyFont="1" applyFill="1" applyBorder="1" applyAlignment="1">
      <alignment horizontal="center" vertical="center" wrapText="1"/>
    </xf>
    <xf numFmtId="3" fontId="2" fillId="36" borderId="30" xfId="0" applyNumberFormat="1" applyFont="1" applyFill="1" applyBorder="1" applyAlignment="1">
      <alignment horizontal="center" vertical="center"/>
    </xf>
    <xf numFmtId="3" fontId="2" fillId="36" borderId="31" xfId="0" applyNumberFormat="1" applyFont="1" applyFill="1" applyBorder="1" applyAlignment="1">
      <alignment horizontal="center" vertical="center"/>
    </xf>
    <xf numFmtId="3" fontId="2" fillId="36" borderId="31" xfId="0" applyNumberFormat="1" applyFont="1" applyFill="1" applyBorder="1" applyAlignment="1">
      <alignment horizontal="center" vertical="center" wrapText="1"/>
    </xf>
    <xf numFmtId="3" fontId="2" fillId="41" borderId="31" xfId="0" applyNumberFormat="1" applyFont="1" applyFill="1" applyBorder="1" applyAlignment="1">
      <alignment horizontal="center" vertical="center" wrapText="1"/>
    </xf>
    <xf numFmtId="3" fontId="2" fillId="41" borderId="31" xfId="0" applyNumberFormat="1" applyFont="1" applyFill="1" applyBorder="1" applyAlignment="1">
      <alignment vertical="center" wrapText="1"/>
    </xf>
    <xf numFmtId="0" fontId="46" fillId="33" borderId="31" xfId="0" applyFont="1" applyFill="1" applyBorder="1" applyAlignment="1">
      <alignment horizontal="center" vertical="center" wrapText="1"/>
    </xf>
    <xf numFmtId="3" fontId="46" fillId="33" borderId="31" xfId="0" applyNumberFormat="1" applyFont="1" applyFill="1" applyBorder="1" applyAlignment="1">
      <alignment horizontal="center" vertical="center" wrapText="1"/>
    </xf>
    <xf numFmtId="3" fontId="2" fillId="33" borderId="31" xfId="0" applyNumberFormat="1" applyFont="1" applyFill="1" applyBorder="1" applyAlignment="1">
      <alignment horizontal="center" vertical="center" wrapText="1"/>
    </xf>
    <xf numFmtId="49" fontId="2" fillId="33" borderId="31" xfId="0" applyNumberFormat="1" applyFont="1" applyFill="1" applyBorder="1" applyAlignment="1">
      <alignment horizontal="center" vertical="center"/>
    </xf>
    <xf numFmtId="3" fontId="2" fillId="33" borderId="32" xfId="0" applyNumberFormat="1" applyFont="1" applyFill="1" applyBorder="1" applyAlignment="1">
      <alignment horizontal="center" vertical="center" wrapText="1"/>
    </xf>
    <xf numFmtId="3" fontId="3" fillId="28" borderId="3" xfId="0" applyNumberFormat="1" applyFont="1" applyFill="1" applyBorder="1" applyAlignment="1">
      <alignment horizontal="center" vertical="center"/>
    </xf>
    <xf numFmtId="9" fontId="5" fillId="34" borderId="6" xfId="0" applyNumberFormat="1" applyFont="1" applyFill="1" applyBorder="1" applyAlignment="1">
      <alignment horizontal="center" vertical="center" wrapText="1"/>
    </xf>
    <xf numFmtId="3" fontId="2" fillId="33" borderId="42" xfId="0" applyNumberFormat="1" applyFont="1" applyFill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3" fontId="42" fillId="31" borderId="1" xfId="0" applyNumberFormat="1" applyFont="1" applyFill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36" fillId="0" borderId="0" xfId="0" applyFont="1" applyAlignment="1">
      <alignment vertical="center"/>
    </xf>
    <xf numFmtId="167" fontId="42" fillId="0" borderId="0" xfId="0" applyNumberFormat="1" applyFont="1" applyAlignment="1">
      <alignment vertical="center"/>
    </xf>
    <xf numFmtId="0" fontId="0" fillId="29" borderId="1" xfId="0" applyFill="1" applyBorder="1" applyAlignment="1">
      <alignment vertical="center" wrapText="1"/>
    </xf>
    <xf numFmtId="0" fontId="36" fillId="29" borderId="1" xfId="0" applyFont="1" applyFill="1" applyBorder="1" applyAlignment="1">
      <alignment vertical="center" wrapText="1"/>
    </xf>
    <xf numFmtId="168" fontId="49" fillId="29" borderId="1" xfId="146" applyNumberFormat="1" applyFont="1" applyFill="1" applyBorder="1" applyAlignment="1">
      <alignment vertical="center"/>
    </xf>
    <xf numFmtId="168" fontId="50" fillId="30" borderId="45" xfId="146" applyNumberFormat="1" applyFont="1" applyFill="1" applyBorder="1" applyAlignment="1">
      <alignment vertical="center"/>
    </xf>
    <xf numFmtId="3" fontId="38" fillId="0" borderId="1" xfId="1" applyNumberFormat="1" applyFont="1" applyFill="1" applyBorder="1" applyAlignment="1" applyProtection="1">
      <alignment horizontal="center"/>
      <protection locked="0"/>
    </xf>
    <xf numFmtId="3" fontId="13" fillId="0" borderId="1" xfId="1" applyNumberFormat="1" applyFont="1" applyFill="1" applyBorder="1" applyAlignment="1" applyProtection="1">
      <protection locked="0"/>
    </xf>
    <xf numFmtId="3" fontId="13" fillId="0" borderId="1" xfId="0" applyNumberFormat="1" applyFont="1" applyBorder="1"/>
    <xf numFmtId="166" fontId="42" fillId="0" borderId="1" xfId="0" applyNumberFormat="1" applyFont="1" applyBorder="1"/>
    <xf numFmtId="166" fontId="42" fillId="0" borderId="29" xfId="0" applyNumberFormat="1" applyFont="1" applyBorder="1"/>
    <xf numFmtId="10" fontId="13" fillId="0" borderId="35" xfId="138" applyNumberFormat="1" applyFont="1" applyFill="1" applyBorder="1" applyAlignment="1">
      <alignment horizontal="center"/>
    </xf>
    <xf numFmtId="0" fontId="13" fillId="0" borderId="28" xfId="0" applyFont="1" applyBorder="1"/>
    <xf numFmtId="0" fontId="13" fillId="0" borderId="0" xfId="0" applyFont="1"/>
    <xf numFmtId="0" fontId="0" fillId="0" borderId="28" xfId="0" applyBorder="1"/>
    <xf numFmtId="9" fontId="13" fillId="0" borderId="1" xfId="0" applyNumberFormat="1" applyFont="1" applyBorder="1" applyAlignment="1">
      <alignment horizontal="center"/>
    </xf>
    <xf numFmtId="0" fontId="0" fillId="40" borderId="28" xfId="0" applyFill="1" applyBorder="1"/>
    <xf numFmtId="3" fontId="38" fillId="40" borderId="1" xfId="1" applyNumberFormat="1" applyFont="1" applyFill="1" applyBorder="1" applyAlignment="1" applyProtection="1">
      <alignment horizontal="center"/>
      <protection locked="0"/>
    </xf>
    <xf numFmtId="3" fontId="13" fillId="40" borderId="1" xfId="0" applyNumberFormat="1" applyFont="1" applyFill="1" applyBorder="1"/>
    <xf numFmtId="166" fontId="42" fillId="40" borderId="1" xfId="0" applyNumberFormat="1" applyFont="1" applyFill="1" applyBorder="1"/>
    <xf numFmtId="166" fontId="42" fillId="40" borderId="29" xfId="0" applyNumberFormat="1" applyFont="1" applyFill="1" applyBorder="1"/>
    <xf numFmtId="2" fontId="13" fillId="40" borderId="35" xfId="0" applyNumberFormat="1" applyFont="1" applyFill="1" applyBorder="1" applyAlignment="1">
      <alignment horizontal="center"/>
    </xf>
    <xf numFmtId="9" fontId="13" fillId="40" borderId="1" xfId="0" applyNumberFormat="1" applyFont="1" applyFill="1" applyBorder="1" applyAlignment="1">
      <alignment horizontal="center"/>
    </xf>
    <xf numFmtId="2" fontId="13" fillId="0" borderId="35" xfId="0" applyNumberFormat="1" applyFont="1" applyBorder="1" applyAlignment="1">
      <alignment horizontal="center"/>
    </xf>
    <xf numFmtId="3" fontId="38" fillId="0" borderId="18" xfId="1" applyNumberFormat="1" applyFont="1" applyFill="1" applyBorder="1" applyAlignment="1" applyProtection="1">
      <alignment horizontal="center"/>
      <protection locked="0"/>
    </xf>
    <xf numFmtId="3" fontId="38" fillId="0" borderId="18" xfId="1" applyNumberFormat="1" applyFont="1" applyFill="1" applyBorder="1" applyAlignment="1" applyProtection="1">
      <protection locked="0"/>
    </xf>
    <xf numFmtId="3" fontId="13" fillId="0" borderId="18" xfId="2" applyNumberFormat="1" applyFont="1" applyFill="1" applyBorder="1" applyAlignment="1"/>
    <xf numFmtId="0" fontId="13" fillId="0" borderId="18" xfId="0" applyFont="1" applyBorder="1" applyAlignment="1">
      <alignment horizontal="center"/>
    </xf>
    <xf numFmtId="166" fontId="42" fillId="0" borderId="18" xfId="0" applyNumberFormat="1" applyFont="1" applyBorder="1"/>
    <xf numFmtId="166" fontId="42" fillId="0" borderId="43" xfId="0" applyNumberFormat="1" applyFont="1" applyBorder="1"/>
    <xf numFmtId="2" fontId="13" fillId="0" borderId="36" xfId="138" applyNumberFormat="1" applyFont="1" applyFill="1" applyBorder="1" applyAlignment="1">
      <alignment horizontal="center"/>
    </xf>
    <xf numFmtId="9" fontId="13" fillId="0" borderId="18" xfId="0" applyNumberFormat="1" applyFont="1" applyBorder="1" applyAlignment="1">
      <alignment horizontal="center"/>
    </xf>
    <xf numFmtId="10" fontId="13" fillId="0" borderId="18" xfId="0" applyNumberFormat="1" applyFont="1" applyBorder="1" applyAlignment="1">
      <alignment horizontal="center"/>
    </xf>
    <xf numFmtId="0" fontId="36" fillId="29" borderId="1" xfId="0" applyFont="1" applyFill="1" applyBorder="1" applyAlignment="1">
      <alignment vertical="center"/>
    </xf>
    <xf numFmtId="3" fontId="38" fillId="0" borderId="35" xfId="1" applyNumberFormat="1" applyFont="1" applyFill="1" applyBorder="1" applyAlignment="1" applyProtection="1">
      <alignment horizontal="left"/>
      <protection locked="0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13" fillId="31" borderId="1" xfId="0" applyNumberFormat="1" applyFont="1" applyFill="1" applyBorder="1" applyAlignment="1">
      <alignment vertical="center"/>
    </xf>
    <xf numFmtId="167" fontId="13" fillId="0" borderId="1" xfId="0" applyNumberFormat="1" applyFont="1" applyBorder="1" applyAlignment="1">
      <alignment vertical="center"/>
    </xf>
    <xf numFmtId="14" fontId="38" fillId="0" borderId="1" xfId="1" applyNumberFormat="1" applyFont="1" applyFill="1" applyBorder="1" applyAlignment="1" applyProtection="1">
      <alignment horizontal="center"/>
      <protection locked="0"/>
    </xf>
    <xf numFmtId="166" fontId="42" fillId="0" borderId="1" xfId="0" applyNumberFormat="1" applyFont="1" applyBorder="1" applyAlignment="1">
      <alignment wrapText="1"/>
    </xf>
    <xf numFmtId="165" fontId="51" fillId="0" borderId="0" xfId="2" applyNumberFormat="1" applyFont="1" applyAlignment="1">
      <alignment horizontal="center"/>
    </xf>
    <xf numFmtId="14" fontId="52" fillId="0" borderId="0" xfId="2" applyNumberFormat="1" applyFont="1" applyAlignment="1">
      <alignment horizontal="center"/>
    </xf>
    <xf numFmtId="14" fontId="52" fillId="0" borderId="0" xfId="2" applyNumberFormat="1" applyFont="1" applyAlignment="1">
      <alignment horizontal="center" vertical="center"/>
    </xf>
    <xf numFmtId="165" fontId="52" fillId="0" borderId="0" xfId="2" applyNumberFormat="1" applyFont="1" applyAlignment="1">
      <alignment horizontal="center" vertical="center"/>
    </xf>
    <xf numFmtId="165" fontId="52" fillId="0" borderId="0" xfId="2" applyNumberFormat="1" applyFont="1" applyAlignment="1">
      <alignment horizontal="center"/>
    </xf>
    <xf numFmtId="168" fontId="13" fillId="0" borderId="1" xfId="146" applyNumberFormat="1" applyFont="1" applyBorder="1" applyAlignment="1">
      <alignment vertical="center"/>
    </xf>
    <xf numFmtId="3" fontId="38" fillId="0" borderId="18" xfId="0" applyNumberFormat="1" applyFont="1" applyBorder="1" applyAlignment="1">
      <alignment horizontal="left"/>
    </xf>
    <xf numFmtId="3" fontId="13" fillId="0" borderId="18" xfId="1" applyNumberFormat="1" applyFont="1" applyFill="1" applyBorder="1" applyAlignment="1" applyProtection="1">
      <protection locked="0"/>
    </xf>
    <xf numFmtId="3" fontId="13" fillId="0" borderId="18" xfId="0" applyNumberFormat="1" applyFont="1" applyBorder="1"/>
    <xf numFmtId="10" fontId="13" fillId="0" borderId="36" xfId="138" applyNumberFormat="1" applyFont="1" applyFill="1" applyBorder="1" applyAlignment="1">
      <alignment horizontal="center"/>
    </xf>
    <xf numFmtId="169" fontId="13" fillId="0" borderId="48" xfId="0" applyNumberFormat="1" applyFont="1" applyBorder="1" applyAlignment="1">
      <alignment horizontal="center"/>
    </xf>
    <xf numFmtId="14" fontId="13" fillId="0" borderId="18" xfId="0" applyNumberFormat="1" applyFont="1" applyBorder="1" applyAlignment="1">
      <alignment horizontal="center"/>
    </xf>
    <xf numFmtId="3" fontId="38" fillId="0" borderId="35" xfId="1" applyNumberFormat="1" applyFont="1" applyFill="1" applyBorder="1" applyAlignment="1" applyProtection="1">
      <alignment horizontal="center"/>
      <protection locked="0"/>
    </xf>
    <xf numFmtId="0" fontId="55" fillId="42" borderId="0" xfId="0" applyFont="1" applyFill="1" applyAlignment="1">
      <alignment horizontal="center" vertical="center" wrapText="1"/>
    </xf>
    <xf numFmtId="0" fontId="0" fillId="42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8" fillId="43" borderId="0" xfId="0" applyFont="1" applyFill="1" applyAlignment="1">
      <alignment vertical="center"/>
    </xf>
    <xf numFmtId="0" fontId="36" fillId="42" borderId="0" xfId="0" applyFont="1" applyFill="1" applyAlignment="1">
      <alignment horizontal="center" vertical="center"/>
    </xf>
    <xf numFmtId="0" fontId="36" fillId="44" borderId="0" xfId="0" applyFont="1" applyFill="1" applyAlignment="1">
      <alignment horizontal="center"/>
    </xf>
    <xf numFmtId="0" fontId="56" fillId="0" borderId="0" xfId="0" applyFont="1" applyAlignment="1">
      <alignment horizontal="left"/>
    </xf>
    <xf numFmtId="170" fontId="0" fillId="0" borderId="0" xfId="0" applyNumberFormat="1"/>
    <xf numFmtId="0" fontId="56" fillId="0" borderId="49" xfId="0" applyFont="1" applyBorder="1"/>
    <xf numFmtId="0" fontId="56" fillId="0" borderId="0" xfId="0" applyFont="1"/>
    <xf numFmtId="0" fontId="57" fillId="0" borderId="0" xfId="0" applyFont="1" applyAlignment="1">
      <alignment vertical="center"/>
    </xf>
    <xf numFmtId="49" fontId="5" fillId="34" borderId="5" xfId="0" applyNumberFormat="1" applyFont="1" applyFill="1" applyBorder="1" applyAlignment="1">
      <alignment horizontal="center" vertical="center"/>
    </xf>
    <xf numFmtId="49" fontId="5" fillId="34" borderId="5" xfId="0" applyNumberFormat="1" applyFont="1" applyFill="1" applyBorder="1" applyAlignment="1">
      <alignment horizontal="center" vertical="center" wrapText="1"/>
    </xf>
    <xf numFmtId="49" fontId="5" fillId="34" borderId="6" xfId="0" applyNumberFormat="1" applyFont="1" applyFill="1" applyBorder="1" applyAlignment="1">
      <alignment horizontal="center" vertical="center" wrapText="1"/>
    </xf>
    <xf numFmtId="49" fontId="13" fillId="0" borderId="48" xfId="0" applyNumberFormat="1" applyFont="1" applyBorder="1" applyAlignment="1">
      <alignment horizontal="center"/>
    </xf>
    <xf numFmtId="49" fontId="13" fillId="0" borderId="6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49" fontId="13" fillId="40" borderId="1" xfId="0" applyNumberFormat="1" applyFont="1" applyFill="1" applyBorder="1" applyAlignment="1">
      <alignment horizontal="center"/>
    </xf>
    <xf numFmtId="49" fontId="13" fillId="0" borderId="18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wrapText="1"/>
    </xf>
    <xf numFmtId="10" fontId="2" fillId="33" borderId="31" xfId="0" applyNumberFormat="1" applyFont="1" applyFill="1" applyBorder="1" applyAlignment="1">
      <alignment vertical="center" wrapText="1"/>
    </xf>
    <xf numFmtId="10" fontId="13" fillId="0" borderId="1" xfId="0" applyNumberFormat="1" applyFont="1" applyBorder="1" applyAlignment="1">
      <alignment horizontal="center"/>
    </xf>
    <xf numFmtId="10" fontId="13" fillId="40" borderId="1" xfId="0" applyNumberFormat="1" applyFont="1" applyFill="1" applyBorder="1" applyAlignment="1">
      <alignment horizontal="center"/>
    </xf>
    <xf numFmtId="10" fontId="8" fillId="0" borderId="31" xfId="0" applyNumberFormat="1" applyFont="1" applyBorder="1" applyAlignment="1">
      <alignment horizontal="center" wrapText="1"/>
    </xf>
    <xf numFmtId="49" fontId="8" fillId="0" borderId="0" xfId="0" applyNumberFormat="1" applyFont="1" applyAlignment="1">
      <alignment vertical="center"/>
    </xf>
    <xf numFmtId="0" fontId="56" fillId="0" borderId="49" xfId="0" applyFont="1" applyBorder="1" applyAlignment="1">
      <alignment horizontal="left"/>
    </xf>
    <xf numFmtId="0" fontId="58" fillId="0" borderId="0" xfId="0" applyFont="1" applyAlignment="1">
      <alignment vertical="center"/>
    </xf>
    <xf numFmtId="0" fontId="36" fillId="32" borderId="25" xfId="0" applyFont="1" applyFill="1" applyBorder="1" applyAlignment="1">
      <alignment horizontal="center"/>
    </xf>
    <xf numFmtId="0" fontId="36" fillId="32" borderId="26" xfId="0" applyFont="1" applyFill="1" applyBorder="1" applyAlignment="1">
      <alignment horizontal="center"/>
    </xf>
    <xf numFmtId="0" fontId="36" fillId="32" borderId="27" xfId="0" applyFont="1" applyFill="1" applyBorder="1" applyAlignment="1">
      <alignment horizontal="center"/>
    </xf>
    <xf numFmtId="0" fontId="50" fillId="30" borderId="33" xfId="0" applyFont="1" applyFill="1" applyBorder="1" applyAlignment="1">
      <alignment horizontal="center" vertical="center"/>
    </xf>
    <xf numFmtId="0" fontId="50" fillId="30" borderId="34" xfId="0" applyFont="1" applyFill="1" applyBorder="1" applyAlignment="1">
      <alignment horizontal="center" vertical="center"/>
    </xf>
    <xf numFmtId="0" fontId="50" fillId="30" borderId="44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3" fontId="2" fillId="41" borderId="22" xfId="0" applyNumberFormat="1" applyFont="1" applyFill="1" applyBorder="1" applyAlignment="1">
      <alignment horizontal="center" vertical="center" wrapText="1"/>
    </xf>
    <xf numFmtId="3" fontId="2" fillId="41" borderId="6" xfId="0" applyNumberFormat="1" applyFont="1" applyFill="1" applyBorder="1" applyAlignment="1">
      <alignment horizontal="center" vertical="center" wrapText="1"/>
    </xf>
    <xf numFmtId="10" fontId="2" fillId="33" borderId="22" xfId="0" applyNumberFormat="1" applyFont="1" applyFill="1" applyBorder="1" applyAlignment="1">
      <alignment horizontal="center" vertical="center" wrapText="1"/>
    </xf>
    <xf numFmtId="10" fontId="2" fillId="33" borderId="6" xfId="0" applyNumberFormat="1" applyFont="1" applyFill="1" applyBorder="1" applyAlignment="1">
      <alignment horizontal="center" vertical="center" wrapText="1"/>
    </xf>
  </cellXfs>
  <cellStyles count="147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Normál 7" xfId="143" xr:uid="{00000000-0005-0000-0000-000076000000}"/>
    <cellStyle name="Normál 8" xfId="145" xr:uid="{00000000-0005-0000-0000-000077000000}"/>
    <cellStyle name="Összesen 2" xfId="46" xr:uid="{00000000-0005-0000-0000-000078000000}"/>
    <cellStyle name="Összesen 2 2" xfId="59" xr:uid="{00000000-0005-0000-0000-000079000000}"/>
    <cellStyle name="Összesen 2 2 2" xfId="103" xr:uid="{00000000-0005-0000-0000-00007A000000}"/>
    <cellStyle name="Összesen 2 2 3" xfId="111" xr:uid="{00000000-0005-0000-0000-00007B000000}"/>
    <cellStyle name="Összesen 2 2 4" xfId="129" xr:uid="{00000000-0005-0000-0000-00007C000000}"/>
    <cellStyle name="Összesen 2 2 5" xfId="134" xr:uid="{00000000-0005-0000-0000-00007D000000}"/>
    <cellStyle name="Összesen 2 3" xfId="125" xr:uid="{00000000-0005-0000-0000-00007E000000}"/>
    <cellStyle name="Összesen 2 4" xfId="128" xr:uid="{00000000-0005-0000-0000-00007F000000}"/>
    <cellStyle name="Összesen 2 5" xfId="100" xr:uid="{00000000-0005-0000-0000-000080000000}"/>
    <cellStyle name="Pénznem" xfId="146" builtinId="4"/>
    <cellStyle name="Pénznem 2" xfId="50" xr:uid="{00000000-0005-0000-0000-000082000000}"/>
    <cellStyle name="Pénznem 3" xfId="5" xr:uid="{00000000-0005-0000-0000-000083000000}"/>
    <cellStyle name="Rossz 2" xfId="47" xr:uid="{00000000-0005-0000-0000-000084000000}"/>
    <cellStyle name="Semleges 2" xfId="48" xr:uid="{00000000-0005-0000-0000-000085000000}"/>
    <cellStyle name="Számítás 2" xfId="49" xr:uid="{00000000-0005-0000-0000-000086000000}"/>
    <cellStyle name="Számítás 2 2" xfId="60" xr:uid="{00000000-0005-0000-0000-000087000000}"/>
    <cellStyle name="Számítás 2 2 2" xfId="102" xr:uid="{00000000-0005-0000-0000-000088000000}"/>
    <cellStyle name="Számítás 2 2 3" xfId="112" xr:uid="{00000000-0005-0000-0000-000089000000}"/>
    <cellStyle name="Számítás 2 2 4" xfId="123" xr:uid="{00000000-0005-0000-0000-00008A000000}"/>
    <cellStyle name="Számítás 2 2 5" xfId="133" xr:uid="{00000000-0005-0000-0000-00008B000000}"/>
    <cellStyle name="Számítás 2 3" xfId="124" xr:uid="{00000000-0005-0000-0000-00008C000000}"/>
    <cellStyle name="Számítás 2 4" xfId="127" xr:uid="{00000000-0005-0000-0000-00008D000000}"/>
    <cellStyle name="Számítás 2 5" xfId="113" xr:uid="{00000000-0005-0000-0000-00008E000000}"/>
    <cellStyle name="Százalék" xfId="138" builtinId="5"/>
    <cellStyle name="Százalék 2" xfId="51" xr:uid="{00000000-0005-0000-0000-000090000000}"/>
    <cellStyle name="Százalék 3" xfId="6" xr:uid="{00000000-0005-0000-0000-000091000000}"/>
    <cellStyle name="TableStyleLight1" xfId="55" xr:uid="{00000000-0005-0000-0000-000092000000}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Q22"/>
  <sheetViews>
    <sheetView topLeftCell="B1" zoomScale="85" zoomScaleNormal="85" workbookViewId="0">
      <selection activeCell="C26" sqref="C26"/>
    </sheetView>
  </sheetViews>
  <sheetFormatPr defaultRowHeight="15" x14ac:dyDescent="0.25"/>
  <cols>
    <col min="1" max="1" width="22.28515625" bestFit="1" customWidth="1"/>
    <col min="2" max="2" width="22.140625" bestFit="1" customWidth="1"/>
    <col min="3" max="3" width="25" bestFit="1" customWidth="1"/>
    <col min="4" max="4" width="31.28515625" bestFit="1" customWidth="1"/>
    <col min="5" max="5" width="20.140625" style="19" bestFit="1" customWidth="1"/>
    <col min="6" max="6" width="18.42578125" style="17" bestFit="1" customWidth="1"/>
    <col min="7" max="7" width="20.5703125" style="17" customWidth="1"/>
    <col min="8" max="8" width="21.28515625" style="17" customWidth="1"/>
    <col min="9" max="9" width="19.5703125" style="17" bestFit="1" customWidth="1"/>
    <col min="10" max="10" width="4.85546875" customWidth="1"/>
    <col min="11" max="11" width="29.5703125" style="6" bestFit="1" customWidth="1"/>
    <col min="12" max="12" width="16.5703125" style="6" bestFit="1" customWidth="1"/>
    <col min="13" max="13" width="11.42578125" style="6" bestFit="1" customWidth="1"/>
    <col min="14" max="14" width="18" bestFit="1" customWidth="1"/>
    <col min="15" max="15" width="17.42578125" bestFit="1" customWidth="1"/>
    <col min="16" max="16" width="14.28515625" bestFit="1" customWidth="1"/>
    <col min="17" max="17" width="15.42578125" bestFit="1" customWidth="1"/>
  </cols>
  <sheetData>
    <row r="1" spans="1:17" x14ac:dyDescent="0.25">
      <c r="A1" s="236" t="s">
        <v>60</v>
      </c>
      <c r="B1" s="237"/>
      <c r="C1" s="237"/>
      <c r="D1" s="237"/>
      <c r="E1" s="237"/>
      <c r="F1" s="237"/>
      <c r="G1" s="237"/>
      <c r="H1" s="237"/>
      <c r="I1" s="238"/>
      <c r="K1" s="61" t="s">
        <v>31</v>
      </c>
      <c r="L1" s="62"/>
      <c r="M1" s="62"/>
      <c r="N1" s="62"/>
      <c r="O1" s="63"/>
      <c r="P1" s="63"/>
      <c r="Q1" s="64"/>
    </row>
    <row r="2" spans="1:17" ht="25.5" x14ac:dyDescent="0.25">
      <c r="A2" s="79" t="s">
        <v>53</v>
      </c>
      <c r="B2" s="79" t="s">
        <v>84</v>
      </c>
      <c r="C2" s="79" t="s">
        <v>6</v>
      </c>
      <c r="D2" s="79" t="s">
        <v>85</v>
      </c>
      <c r="E2" s="79" t="s">
        <v>54</v>
      </c>
      <c r="F2" s="26" t="s">
        <v>15</v>
      </c>
      <c r="G2" s="26" t="s">
        <v>0</v>
      </c>
      <c r="H2" s="26" t="s">
        <v>10</v>
      </c>
      <c r="I2" s="26" t="s">
        <v>11</v>
      </c>
      <c r="K2" s="65" t="s">
        <v>61</v>
      </c>
      <c r="L2" s="26" t="s">
        <v>5</v>
      </c>
      <c r="M2" s="26" t="s">
        <v>54</v>
      </c>
      <c r="N2" s="26" t="s">
        <v>15</v>
      </c>
      <c r="O2" s="26" t="s">
        <v>0</v>
      </c>
      <c r="P2" s="26" t="s">
        <v>10</v>
      </c>
      <c r="Q2" s="66" t="s">
        <v>11</v>
      </c>
    </row>
    <row r="3" spans="1:17" x14ac:dyDescent="0.25">
      <c r="A3" s="1"/>
      <c r="B3" s="1"/>
      <c r="C3" s="1"/>
      <c r="D3" s="1"/>
      <c r="E3" s="25"/>
      <c r="F3" s="18"/>
      <c r="G3" s="18"/>
      <c r="H3" s="18"/>
      <c r="I3" s="18"/>
      <c r="K3" s="67"/>
      <c r="L3" s="39"/>
      <c r="M3" s="39"/>
      <c r="N3" s="1"/>
      <c r="O3" s="1"/>
      <c r="P3" s="1"/>
      <c r="Q3" s="68"/>
    </row>
    <row r="4" spans="1:17" ht="60" x14ac:dyDescent="0.25">
      <c r="A4" s="83" t="s">
        <v>121</v>
      </c>
      <c r="B4" s="83" t="s">
        <v>169</v>
      </c>
      <c r="C4" s="83" t="s">
        <v>169</v>
      </c>
      <c r="D4" s="83" t="s">
        <v>167</v>
      </c>
      <c r="E4" s="85">
        <v>31365708</v>
      </c>
      <c r="F4" s="201">
        <f>SUMIFS(Dologi_felhalm.!$M$3:$M$23,Dologi_felhalm.!$E$3:$E$23,$D4,Dologi_felhalm.!$N$3:$N$23,"Tény")</f>
        <v>0</v>
      </c>
      <c r="G4" s="201">
        <f t="shared" ref="G4:G5" si="0">E4-F4</f>
        <v>31365708</v>
      </c>
      <c r="H4" s="201">
        <f>SUMIFS(Dologi_felhalm.!$M$3:$M$23,Dologi_felhalm.!$E$3:$E$23,$D4,Dologi_felhalm.!$N$3:$N$23,"Köt. váll.")</f>
        <v>0</v>
      </c>
      <c r="I4" s="201">
        <f t="shared" ref="I4:I5" si="1">G4-H4</f>
        <v>31365708</v>
      </c>
      <c r="K4" s="190" t="s">
        <v>188</v>
      </c>
      <c r="L4" s="191" t="s">
        <v>174</v>
      </c>
      <c r="M4" s="192">
        <v>182680458</v>
      </c>
      <c r="N4" s="193">
        <f>SUMIFS(Bérköltség!$S$6:$S$277,Bérköltség!$L$6:$L$277,"Tény")+SUMIFS(Bérköltség!$T$6:$T$277,Bérköltség!$L$6:$L$277,"Tény")+SUMIFS(Dologi_felhalm.!$M$3:$M$23,Dologi_felhalm.!$N$3:$N$23,"Tény")</f>
        <v>53042286</v>
      </c>
      <c r="O4" s="193">
        <f t="shared" ref="O4" si="2">M4-N4</f>
        <v>129638172</v>
      </c>
      <c r="P4" s="193">
        <f>SUMIFS(Bérköltség!$S$6:$S$277,Bérköltség!$L$6:$L$277,"Köt. váll.")+SUMIFS(Bérköltség!$T$6:$T$277,Bérköltség!$L$6:$L$277,"Köt. váll.")+SUMIFS(Dologi_felhalm.!$M$3:$M$23,Dologi_felhalm.!$N$3:$N$23,"Köt. váll.")</f>
        <v>20413699</v>
      </c>
      <c r="Q4" s="193">
        <f t="shared" ref="Q4" si="3">O4-P4</f>
        <v>109224473</v>
      </c>
    </row>
    <row r="5" spans="1:17" ht="30" x14ac:dyDescent="0.25">
      <c r="A5" s="82" t="s">
        <v>126</v>
      </c>
      <c r="B5" s="82" t="s">
        <v>127</v>
      </c>
      <c r="C5" s="82" t="s">
        <v>127</v>
      </c>
      <c r="D5" s="82" t="s">
        <v>168</v>
      </c>
      <c r="E5" s="84">
        <v>6000750</v>
      </c>
      <c r="F5" s="201">
        <f>SUMIFS(Dologi_felhalm.!$M$3:$M$23,Dologi_felhalm.!$E$3:$E$23,$D5,Dologi_felhalm.!$N$3:$N$23,"Tény")</f>
        <v>0</v>
      </c>
      <c r="G5" s="201">
        <f t="shared" si="0"/>
        <v>6000750</v>
      </c>
      <c r="H5" s="201">
        <f>SUMIFS(Dologi_felhalm.!$M$3:$M$23,Dologi_felhalm.!$E$3:$E$23,$D5,Dologi_felhalm.!$N$3:$N$23,"Köt. váll.")</f>
        <v>0</v>
      </c>
      <c r="I5" s="201">
        <f t="shared" si="1"/>
        <v>6000750</v>
      </c>
      <c r="K5" s="152" t="s">
        <v>136</v>
      </c>
      <c r="L5" s="154"/>
      <c r="M5" s="153">
        <f>SUM(M4:M4)</f>
        <v>182680458</v>
      </c>
      <c r="N5" s="153">
        <f>SUM(N4:N4)</f>
        <v>53042286</v>
      </c>
      <c r="O5" s="153">
        <f>SUM(O4:O4)</f>
        <v>129638172</v>
      </c>
      <c r="P5" s="153">
        <f>SUM(P4:P4)</f>
        <v>20413699</v>
      </c>
      <c r="Q5" s="153">
        <f>SUM(Q4:Q4)</f>
        <v>109224473</v>
      </c>
    </row>
    <row r="6" spans="1:17" ht="15.75" x14ac:dyDescent="0.25">
      <c r="A6" s="188" t="s">
        <v>164</v>
      </c>
      <c r="B6" s="157"/>
      <c r="C6" s="157"/>
      <c r="D6" s="157"/>
      <c r="E6" s="159">
        <f>SUM(E4:E5)</f>
        <v>37366458</v>
      </c>
      <c r="F6" s="159">
        <f>SUM(F4:F5)</f>
        <v>0</v>
      </c>
      <c r="G6" s="159">
        <f>SUM(G4:G5)</f>
        <v>37366458</v>
      </c>
      <c r="H6" s="159">
        <f>SUM(H4:H5)</f>
        <v>0</v>
      </c>
      <c r="I6" s="159">
        <f>SUM(I4:I5)</f>
        <v>37366458</v>
      </c>
      <c r="K6" s="5"/>
      <c r="L6" s="155"/>
      <c r="N6" s="156"/>
      <c r="O6" s="156"/>
      <c r="P6" s="156"/>
      <c r="Q6" s="156"/>
    </row>
    <row r="7" spans="1:17" ht="30" x14ac:dyDescent="0.25">
      <c r="A7" s="82" t="s">
        <v>126</v>
      </c>
      <c r="B7" s="82" t="s">
        <v>129</v>
      </c>
      <c r="C7" s="82" t="s">
        <v>130</v>
      </c>
      <c r="D7" s="82" t="s">
        <v>170</v>
      </c>
      <c r="E7" s="84">
        <v>72360000</v>
      </c>
      <c r="F7" s="201">
        <f>SUMIFS(Bérköltség!$S$6:$S$277,Bérköltség!$F$6:$F$277,$D7,Bérköltség!$L$6:$L$277,"Tény")</f>
        <v>0</v>
      </c>
      <c r="G7" s="201">
        <f>E7-F7</f>
        <v>72360000</v>
      </c>
      <c r="H7" s="201">
        <f>SUMIFS(Bérköltség!$S$6:$S$277,Bérköltség!$F$6:$F$277,$D7,Bérköltség!$L$6:$L$277,"Köt. váll.")</f>
        <v>0</v>
      </c>
      <c r="I7" s="201">
        <f>G7-H7</f>
        <v>72360000</v>
      </c>
      <c r="N7" s="17"/>
      <c r="O7" s="17"/>
      <c r="P7" s="17"/>
      <c r="Q7" s="17"/>
    </row>
    <row r="8" spans="1:17" ht="45" x14ac:dyDescent="0.25">
      <c r="A8" s="82" t="s">
        <v>128</v>
      </c>
      <c r="B8" s="82" t="s">
        <v>129</v>
      </c>
      <c r="C8" s="82" t="s">
        <v>130</v>
      </c>
      <c r="D8" s="82" t="s">
        <v>171</v>
      </c>
      <c r="E8" s="84">
        <v>35640000</v>
      </c>
      <c r="F8" s="201">
        <f>SUMIFS(Bérköltség!$S$6:$S$277,Bérköltség!$F$6:$F$277,$D8,Bérköltség!$L$6:$L$277,"Tény")</f>
        <v>33117537</v>
      </c>
      <c r="G8" s="201">
        <f t="shared" ref="G8:G12" si="4">E8-F8</f>
        <v>2522463</v>
      </c>
      <c r="H8" s="201">
        <f>SUMIFS(Bérköltség!$S$6:$S$277,Bérköltség!$F$6:$F$277,$D8,Bérköltség!$L$6:$L$277,"Köt. váll.")</f>
        <v>13413436</v>
      </c>
      <c r="I8" s="201">
        <f t="shared" ref="I8:I12" si="5">G8-H8</f>
        <v>-10890973</v>
      </c>
      <c r="K8" s="43"/>
      <c r="L8" s="42"/>
    </row>
    <row r="9" spans="1:17" ht="30" x14ac:dyDescent="0.25">
      <c r="A9" s="82" t="s">
        <v>126</v>
      </c>
      <c r="B9" s="82" t="s">
        <v>129</v>
      </c>
      <c r="C9" s="82" t="s">
        <v>132</v>
      </c>
      <c r="D9" s="82" t="s">
        <v>172</v>
      </c>
      <c r="E9" s="84">
        <v>11934701</v>
      </c>
      <c r="F9" s="201">
        <f>SUMIFS(Bérköltség!$S$6:$S$277,Bérköltség!$F$6:$F$277,$D9,Bérköltség!$L$6:$L$277,"Tény")</f>
        <v>0</v>
      </c>
      <c r="G9" s="201">
        <f t="shared" si="4"/>
        <v>11934701</v>
      </c>
      <c r="H9" s="201">
        <f>SUMIFS(Bérköltség!$S$6:$S$277,Bérköltség!$F$6:$F$277,$D9,Bérköltség!$L$6:$L$277,"Köt. váll.")</f>
        <v>0</v>
      </c>
      <c r="I9" s="201">
        <f t="shared" si="5"/>
        <v>11934701</v>
      </c>
      <c r="K9" s="196" t="s">
        <v>198</v>
      </c>
      <c r="L9" s="197"/>
    </row>
    <row r="10" spans="1:17" ht="45" x14ac:dyDescent="0.25">
      <c r="A10" s="82" t="s">
        <v>128</v>
      </c>
      <c r="B10" s="82" t="s">
        <v>129</v>
      </c>
      <c r="C10" s="82" t="s">
        <v>132</v>
      </c>
      <c r="D10" s="82" t="s">
        <v>173</v>
      </c>
      <c r="E10" s="84">
        <v>5878286</v>
      </c>
      <c r="F10" s="201">
        <f>SUMIFS(Bérköltség!$S$6:$S$277,Bérköltség!$F$6:$F$277,$D10,Bérköltség!$L$6:$L$277,"Tény")</f>
        <v>13907135</v>
      </c>
      <c r="G10" s="201">
        <f t="shared" si="4"/>
        <v>-8028849</v>
      </c>
      <c r="H10" s="201">
        <f>SUMIFS(Bérköltség!$S$6:$S$277,Bérköltség!$F$6:$F$277,$D10,Bérköltség!$L$6:$L$277,"Köt. váll.")</f>
        <v>4651786</v>
      </c>
      <c r="I10" s="201">
        <f t="shared" si="5"/>
        <v>-12680635</v>
      </c>
      <c r="K10" s="198">
        <v>44530</v>
      </c>
      <c r="L10" s="199">
        <v>79319328</v>
      </c>
    </row>
    <row r="11" spans="1:17" ht="15.75" x14ac:dyDescent="0.25">
      <c r="A11" s="158" t="s">
        <v>165</v>
      </c>
      <c r="B11" s="157"/>
      <c r="C11" s="157"/>
      <c r="D11" s="157"/>
      <c r="E11" s="159">
        <f>SUM(E7:E10)</f>
        <v>125812987</v>
      </c>
      <c r="F11" s="159">
        <f>SUM(F7:F10)</f>
        <v>47024672</v>
      </c>
      <c r="G11" s="159">
        <f>SUM(G7:G10)</f>
        <v>78788315</v>
      </c>
      <c r="H11" s="159">
        <f>SUM(H7:H10)</f>
        <v>18065222</v>
      </c>
      <c r="I11" s="159">
        <f>SUM(I7:I10)</f>
        <v>60723093</v>
      </c>
      <c r="K11" s="198">
        <v>44530</v>
      </c>
      <c r="L11" s="199">
        <v>54680940</v>
      </c>
    </row>
    <row r="12" spans="1:17" ht="30" x14ac:dyDescent="0.25">
      <c r="A12" s="82" t="s">
        <v>126</v>
      </c>
      <c r="B12" s="82" t="s">
        <v>133</v>
      </c>
      <c r="C12" s="82" t="s">
        <v>134</v>
      </c>
      <c r="D12" s="82" t="s">
        <v>170</v>
      </c>
      <c r="E12" s="84">
        <v>5524200</v>
      </c>
      <c r="F12" s="201">
        <f>SUMIFS(Bérköltség!$T$6:$T$277,Bérköltség!$F$6:$F$277,$D12,Bérköltség!$L$6:$L$277,"Tény")</f>
        <v>0</v>
      </c>
      <c r="G12" s="201">
        <f t="shared" si="4"/>
        <v>5524200</v>
      </c>
      <c r="H12" s="201">
        <f>SUMIFS(Bérköltség!$T$6:$T$277,Bérköltség!$F$6:$F$277,$D12,Bérköltség!$L$6:$L$277,"Köt. váll.")</f>
        <v>0</v>
      </c>
      <c r="I12" s="201">
        <f t="shared" si="5"/>
        <v>5524200</v>
      </c>
      <c r="K12" s="197"/>
      <c r="L12" s="200"/>
    </row>
    <row r="13" spans="1:17" ht="45" x14ac:dyDescent="0.25">
      <c r="A13" s="82" t="s">
        <v>128</v>
      </c>
      <c r="B13" s="82" t="s">
        <v>133</v>
      </c>
      <c r="C13" s="82" t="s">
        <v>134</v>
      </c>
      <c r="D13" s="82" t="s">
        <v>171</v>
      </c>
      <c r="E13" s="84">
        <v>11215800</v>
      </c>
      <c r="F13" s="201">
        <f>SUMIFS(Bérköltség!$T$6:$T$277,Bérköltség!$F$6:$F$277,$D13,Bérköltség!$L$6:$L$277,"Tény")</f>
        <v>4340531</v>
      </c>
      <c r="G13" s="201">
        <f t="shared" ref="G13:G15" si="6">E13-F13</f>
        <v>6875269</v>
      </c>
      <c r="H13" s="201">
        <f>SUMIFS(Bérköltség!$T$6:$T$277,Bérköltség!$F$6:$F$277,$D13,Bérköltség!$L$6:$L$277,"Köt. váll.")</f>
        <v>1743744</v>
      </c>
      <c r="I13" s="201">
        <f t="shared" ref="I13:I15" si="7">G13-H13</f>
        <v>5131525</v>
      </c>
      <c r="K13" s="197"/>
      <c r="L13" s="200"/>
    </row>
    <row r="14" spans="1:17" ht="30" x14ac:dyDescent="0.25">
      <c r="A14" s="82" t="s">
        <v>126</v>
      </c>
      <c r="B14" s="82" t="s">
        <v>133</v>
      </c>
      <c r="C14" s="82" t="s">
        <v>135</v>
      </c>
      <c r="D14" s="82" t="s">
        <v>172</v>
      </c>
      <c r="E14" s="84">
        <v>911134</v>
      </c>
      <c r="F14" s="201">
        <f>SUMIFS(Bérköltség!$T$6:$T$277,Bérköltség!$F$6:$F$277,$D14,Bérköltség!$L$6:$L$277,"Tény")</f>
        <v>0</v>
      </c>
      <c r="G14" s="201">
        <f t="shared" si="6"/>
        <v>911134</v>
      </c>
      <c r="H14" s="201">
        <f>SUMIFS(Bérköltség!$T$6:$T$277,Bérköltség!$F$6:$F$277,$D14,Bérköltség!$L$6:$L$277,"Köt. váll.")</f>
        <v>0</v>
      </c>
      <c r="I14" s="201">
        <f t="shared" si="7"/>
        <v>911134</v>
      </c>
      <c r="K14" s="197" t="s">
        <v>136</v>
      </c>
      <c r="L14" s="196">
        <f>SUM(L10:L13)</f>
        <v>134000268</v>
      </c>
    </row>
    <row r="15" spans="1:17" ht="45" x14ac:dyDescent="0.25">
      <c r="A15" s="82" t="s">
        <v>128</v>
      </c>
      <c r="B15" s="82" t="s">
        <v>133</v>
      </c>
      <c r="C15" s="82" t="s">
        <v>135</v>
      </c>
      <c r="D15" s="82" t="s">
        <v>173</v>
      </c>
      <c r="E15" s="84">
        <v>1849879</v>
      </c>
      <c r="F15" s="201">
        <f>SUMIFS(Bérköltség!$T$6:$T$277,Bérköltség!$F$6:$F$277,$D15,Bérköltség!$L$6:$L$277,"Tény")</f>
        <v>1677083</v>
      </c>
      <c r="G15" s="201">
        <f t="shared" si="6"/>
        <v>172796</v>
      </c>
      <c r="H15" s="201">
        <f>SUMIFS(Bérköltség!$T$6:$T$277,Bérköltség!$F$6:$F$277,$D15,Bérköltség!$L$6:$L$277,"Köt. váll.")</f>
        <v>604733</v>
      </c>
      <c r="I15" s="201">
        <f t="shared" si="7"/>
        <v>-431937</v>
      </c>
      <c r="K15" s="197"/>
      <c r="L15" s="200"/>
    </row>
    <row r="16" spans="1:17" ht="16.5" thickBot="1" x14ac:dyDescent="0.3">
      <c r="A16" s="158" t="s">
        <v>166</v>
      </c>
      <c r="B16" s="157"/>
      <c r="C16" s="157"/>
      <c r="D16" s="157"/>
      <c r="E16" s="159">
        <f>SUM(E12:E15)</f>
        <v>19501013</v>
      </c>
      <c r="F16" s="159">
        <f>SUM(F12:F15)</f>
        <v>6017614</v>
      </c>
      <c r="G16" s="159">
        <f>SUM(G12:G15)</f>
        <v>13483399</v>
      </c>
      <c r="H16" s="159">
        <f>SUM(H12:H15)</f>
        <v>2348477</v>
      </c>
      <c r="I16" s="159">
        <f>SUM(I12:I15)</f>
        <v>11134922</v>
      </c>
      <c r="K16" s="197"/>
      <c r="L16" s="196"/>
    </row>
    <row r="17" spans="1:17" ht="19.5" thickBot="1" x14ac:dyDescent="0.3">
      <c r="A17" s="239" t="s">
        <v>19</v>
      </c>
      <c r="B17" s="240"/>
      <c r="C17" s="240"/>
      <c r="D17" s="241"/>
      <c r="E17" s="160">
        <f>E16+E6+E11</f>
        <v>182680458</v>
      </c>
      <c r="F17" s="160">
        <f>F16+F6+F11</f>
        <v>53042286</v>
      </c>
      <c r="G17" s="160">
        <f>G16+G6+G11</f>
        <v>129638172</v>
      </c>
      <c r="H17" s="160">
        <f>H16+H6+H11</f>
        <v>20413699</v>
      </c>
      <c r="I17" s="160">
        <f>I16+I6+I11</f>
        <v>109224473</v>
      </c>
      <c r="K17" s="43" t="s">
        <v>215</v>
      </c>
      <c r="L17" s="40"/>
      <c r="M17" s="40"/>
      <c r="N17" s="41"/>
      <c r="O17" s="41"/>
      <c r="P17" s="41"/>
      <c r="Q17" s="41"/>
    </row>
    <row r="18" spans="1:17" x14ac:dyDescent="0.25">
      <c r="K18" s="43" t="s">
        <v>216</v>
      </c>
      <c r="L18" s="40"/>
      <c r="M18" s="40"/>
      <c r="N18" s="41"/>
      <c r="O18" s="41"/>
      <c r="P18" s="41"/>
      <c r="Q18" s="41"/>
    </row>
    <row r="19" spans="1:17" x14ac:dyDescent="0.25">
      <c r="K19" s="40"/>
      <c r="L19" s="40"/>
      <c r="M19" s="40"/>
      <c r="N19" s="41"/>
      <c r="O19" s="41"/>
      <c r="P19" s="41"/>
      <c r="Q19" s="41"/>
    </row>
    <row r="20" spans="1:17" s="8" customFormat="1" x14ac:dyDescent="0.25">
      <c r="A20"/>
      <c r="B20"/>
      <c r="C20"/>
      <c r="D20"/>
      <c r="E20" s="19"/>
      <c r="F20" s="17"/>
      <c r="G20" s="17"/>
      <c r="H20" s="17"/>
      <c r="I20" s="17"/>
      <c r="K20" s="40"/>
      <c r="L20" s="40"/>
      <c r="M20" s="40"/>
      <c r="N20" s="41"/>
      <c r="O20" s="41"/>
      <c r="P20" s="41"/>
      <c r="Q20" s="41"/>
    </row>
    <row r="21" spans="1:17" x14ac:dyDescent="0.25">
      <c r="K21" s="40"/>
      <c r="L21" s="40"/>
      <c r="M21" s="40"/>
      <c r="N21" s="41"/>
      <c r="O21" s="41"/>
      <c r="P21" s="41"/>
      <c r="Q21" s="41"/>
    </row>
    <row r="22" spans="1:17" x14ac:dyDescent="0.25">
      <c r="E22" s="17"/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7C24E242-3427-4882-AFC4-6826C994D3D4}"/>
    </customSheetView>
  </customSheetViews>
  <mergeCells count="2">
    <mergeCell ref="A1:I1"/>
    <mergeCell ref="A17:D17"/>
  </mergeCells>
  <phoneticPr fontId="6" type="noConversion"/>
  <conditionalFormatting sqref="I4:I17">
    <cfRule type="cellIs" dxfId="0" priority="1" operator="lessThan">
      <formula>0</formula>
    </cfRule>
  </conditionalFormatting>
  <pageMargins left="0.7" right="0.7" top="0.75" bottom="0.75" header="0.3" footer="0.3"/>
  <pageSetup paperSize="9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2"/>
  <dimension ref="A1:AE307"/>
  <sheetViews>
    <sheetView tabSelected="1" topLeftCell="G1" zoomScaleNormal="100" workbookViewId="0">
      <pane ySplit="5" topLeftCell="A219" activePane="bottomLeft" state="frozen"/>
      <selection pane="bottomLeft" activeCell="S236" sqref="S236"/>
    </sheetView>
  </sheetViews>
  <sheetFormatPr defaultRowHeight="15" outlineLevelCol="1" x14ac:dyDescent="0.25"/>
  <cols>
    <col min="1" max="1" width="13" bestFit="1" customWidth="1"/>
    <col min="2" max="2" width="33.7109375" customWidth="1"/>
    <col min="3" max="3" width="15.28515625" style="89" hidden="1" customWidth="1" outlineLevel="1"/>
    <col min="4" max="4" width="14.85546875" hidden="1" customWidth="1" outlineLevel="1"/>
    <col min="5" max="5" width="19.140625" style="89" hidden="1" customWidth="1" outlineLevel="1"/>
    <col min="6" max="6" width="22.140625" style="89" hidden="1" customWidth="1" outlineLevel="1"/>
    <col min="7" max="7" width="16.28515625" customWidth="1" collapsed="1"/>
    <col min="8" max="8" width="16.85546875" customWidth="1"/>
    <col min="9" max="9" width="24" customWidth="1"/>
    <col min="10" max="10" width="16" style="6" bestFit="1" customWidth="1"/>
    <col min="11" max="11" width="15.140625" style="6" customWidth="1"/>
    <col min="12" max="12" width="11.140625" customWidth="1"/>
    <col min="13" max="13" width="12.85546875" customWidth="1"/>
    <col min="14" max="14" width="11.85546875" style="19" customWidth="1"/>
    <col min="15" max="15" width="10.7109375" style="19" customWidth="1"/>
    <col min="16" max="16" width="11.140625" style="6" customWidth="1"/>
    <col min="17" max="17" width="11" style="22" customWidth="1"/>
    <col min="18" max="18" width="12.42578125" style="30" customWidth="1"/>
    <col min="19" max="20" width="16.140625" style="2" customWidth="1"/>
    <col min="21" max="21" width="16.42578125" style="30" customWidth="1"/>
    <col min="22" max="22" width="11.28515625" style="86" customWidth="1"/>
    <col min="23" max="23" width="13.85546875" style="22" customWidth="1"/>
    <col min="24" max="24" width="16.42578125" style="6" customWidth="1"/>
    <col min="25" max="25" width="10.5703125" style="6" customWidth="1"/>
    <col min="26" max="26" width="10.5703125" style="24" customWidth="1"/>
    <col min="27" max="27" width="11.140625" style="6" customWidth="1"/>
    <col min="28" max="28" width="8.85546875"/>
    <col min="29" max="31" width="10.28515625" bestFit="1" customWidth="1"/>
    <col min="32" max="45" width="8.85546875"/>
  </cols>
  <sheetData>
    <row r="1" spans="1:31" x14ac:dyDescent="0.25">
      <c r="B1" t="s">
        <v>238</v>
      </c>
      <c r="G1" t="s">
        <v>253</v>
      </c>
      <c r="H1" t="s">
        <v>240</v>
      </c>
      <c r="J1" s="6" t="s">
        <v>254</v>
      </c>
      <c r="S1" s="2" t="s">
        <v>236</v>
      </c>
      <c r="T1" s="2" t="s">
        <v>237</v>
      </c>
      <c r="W1" s="22" t="s">
        <v>239</v>
      </c>
      <c r="AB1" t="s">
        <v>255</v>
      </c>
    </row>
    <row r="2" spans="1:31" ht="19.5" thickBot="1" x14ac:dyDescent="0.35">
      <c r="B2" s="242"/>
      <c r="C2" s="242"/>
      <c r="D2" s="242"/>
      <c r="E2" s="242"/>
      <c r="F2" s="242"/>
      <c r="G2" s="242"/>
      <c r="H2" s="242"/>
      <c r="I2" s="243"/>
      <c r="J2" s="242"/>
      <c r="K2" s="70"/>
      <c r="L2" s="27"/>
      <c r="M2" s="9"/>
      <c r="N2" s="44"/>
      <c r="O2" s="21"/>
      <c r="U2" s="29"/>
      <c r="AC2" s="211" t="e">
        <f>IF(VLOOKUP($W2,'Havi béradatok'!$B:$E,2,FALSE)=H2,"EGYEZIK","HIBÁS")</f>
        <v>#N/A</v>
      </c>
      <c r="AD2" s="233" t="e">
        <f>VLOOKUP($W2,'Havi béradatok'!$B:$E,3,FALSE)-N2</f>
        <v>#N/A</v>
      </c>
      <c r="AE2" s="233" t="e">
        <f>VLOOKUP($W2,'Havi béradatok'!$B:$E,4,FALSE)-O2</f>
        <v>#N/A</v>
      </c>
    </row>
    <row r="3" spans="1:31" s="8" customFormat="1" ht="30" customHeight="1" x14ac:dyDescent="0.25">
      <c r="A3" s="117"/>
      <c r="B3" s="118" t="s">
        <v>145</v>
      </c>
      <c r="C3" s="118"/>
      <c r="D3" s="118"/>
      <c r="E3" s="118"/>
      <c r="F3" s="119"/>
      <c r="G3" s="119"/>
      <c r="H3" s="119"/>
      <c r="I3" s="244" t="s">
        <v>93</v>
      </c>
      <c r="J3" s="120"/>
      <c r="K3" s="120"/>
      <c r="L3" s="121"/>
      <c r="M3" s="120" t="s">
        <v>146</v>
      </c>
      <c r="N3" s="122" t="s">
        <v>147</v>
      </c>
      <c r="O3" s="123" t="s">
        <v>147</v>
      </c>
      <c r="P3" s="124" t="s">
        <v>147</v>
      </c>
      <c r="Q3" s="124" t="s">
        <v>148</v>
      </c>
      <c r="R3" s="246" t="s">
        <v>79</v>
      </c>
      <c r="S3" s="124" t="s">
        <v>148</v>
      </c>
      <c r="T3" s="151" t="s">
        <v>148</v>
      </c>
      <c r="U3" s="125" t="s">
        <v>55</v>
      </c>
      <c r="V3" s="126" t="s">
        <v>62</v>
      </c>
      <c r="W3" s="220"/>
      <c r="X3" s="37" t="s">
        <v>57</v>
      </c>
      <c r="Y3" s="31" t="s">
        <v>58</v>
      </c>
      <c r="Z3" s="34" t="s">
        <v>18</v>
      </c>
      <c r="AA3" s="31"/>
      <c r="AC3" s="210"/>
      <c r="AD3" s="210"/>
      <c r="AE3" s="210"/>
    </row>
    <row r="4" spans="1:31" s="8" customFormat="1" ht="30" customHeight="1" x14ac:dyDescent="0.25">
      <c r="A4" s="127" t="s">
        <v>149</v>
      </c>
      <c r="B4" s="128" t="s">
        <v>7</v>
      </c>
      <c r="C4" s="128" t="s">
        <v>150</v>
      </c>
      <c r="D4" s="128" t="s">
        <v>151</v>
      </c>
      <c r="E4" s="128" t="s">
        <v>151</v>
      </c>
      <c r="F4" s="129" t="s">
        <v>151</v>
      </c>
      <c r="G4" s="130" t="s">
        <v>16</v>
      </c>
      <c r="H4" s="130" t="s">
        <v>16</v>
      </c>
      <c r="I4" s="245"/>
      <c r="J4" s="130" t="s">
        <v>88</v>
      </c>
      <c r="K4" s="130" t="s">
        <v>88</v>
      </c>
      <c r="L4" s="130" t="s">
        <v>8</v>
      </c>
      <c r="M4" s="130" t="s">
        <v>152</v>
      </c>
      <c r="N4" s="131" t="s">
        <v>153</v>
      </c>
      <c r="O4" s="132" t="s">
        <v>154</v>
      </c>
      <c r="P4" s="133" t="s">
        <v>155</v>
      </c>
      <c r="Q4" s="134" t="s">
        <v>23</v>
      </c>
      <c r="R4" s="247"/>
      <c r="S4" s="135" t="s">
        <v>23</v>
      </c>
      <c r="T4" s="136" t="s">
        <v>23</v>
      </c>
      <c r="U4" s="137" t="s">
        <v>1</v>
      </c>
      <c r="V4" s="138" t="s">
        <v>63</v>
      </c>
      <c r="W4" s="221" t="s">
        <v>218</v>
      </c>
      <c r="X4" s="37" t="s">
        <v>75</v>
      </c>
      <c r="Y4" s="32" t="s">
        <v>59</v>
      </c>
      <c r="Z4" s="35" t="s">
        <v>32</v>
      </c>
      <c r="AA4" s="32" t="s">
        <v>35</v>
      </c>
      <c r="AC4" s="213" t="s">
        <v>5</v>
      </c>
      <c r="AD4" s="213" t="s">
        <v>236</v>
      </c>
      <c r="AE4" s="213" t="s">
        <v>237</v>
      </c>
    </row>
    <row r="5" spans="1:31" s="8" customFormat="1" ht="30" customHeight="1" thickBot="1" x14ac:dyDescent="0.3">
      <c r="A5" s="139" t="s">
        <v>156</v>
      </c>
      <c r="B5" s="140" t="s">
        <v>26</v>
      </c>
      <c r="C5" s="141" t="s">
        <v>157</v>
      </c>
      <c r="D5" s="141" t="s">
        <v>158</v>
      </c>
      <c r="E5" s="141" t="s">
        <v>159</v>
      </c>
      <c r="F5" s="142" t="s">
        <v>160</v>
      </c>
      <c r="G5" s="142" t="s">
        <v>27</v>
      </c>
      <c r="H5" s="142" t="s">
        <v>28</v>
      </c>
      <c r="I5" s="143"/>
      <c r="J5" s="142" t="s">
        <v>161</v>
      </c>
      <c r="K5" s="142" t="s">
        <v>162</v>
      </c>
      <c r="L5" s="142" t="s">
        <v>9</v>
      </c>
      <c r="M5" s="142"/>
      <c r="N5" s="144"/>
      <c r="O5" s="145"/>
      <c r="P5" s="146" t="s">
        <v>163</v>
      </c>
      <c r="Q5" s="147" t="s">
        <v>22</v>
      </c>
      <c r="R5" s="229"/>
      <c r="S5" s="146" t="s">
        <v>21</v>
      </c>
      <c r="T5" s="148" t="s">
        <v>24</v>
      </c>
      <c r="U5" s="149" t="s">
        <v>56</v>
      </c>
      <c r="V5" s="150" t="s">
        <v>34</v>
      </c>
      <c r="W5" s="222" t="s">
        <v>219</v>
      </c>
      <c r="X5" s="38" t="s">
        <v>25</v>
      </c>
      <c r="Y5" s="33" t="s">
        <v>20</v>
      </c>
      <c r="Z5" s="36"/>
      <c r="AA5" s="33" t="s">
        <v>33</v>
      </c>
      <c r="AC5" s="209" t="s">
        <v>235</v>
      </c>
      <c r="AD5" s="209" t="s">
        <v>235</v>
      </c>
      <c r="AE5" s="209" t="s">
        <v>235</v>
      </c>
    </row>
    <row r="6" spans="1:31" s="8" customFormat="1" x14ac:dyDescent="0.25">
      <c r="A6" s="189"/>
      <c r="B6" s="92"/>
      <c r="C6" s="95"/>
      <c r="D6" s="179"/>
      <c r="E6" s="95"/>
      <c r="F6" s="95"/>
      <c r="G6" s="179"/>
      <c r="H6" s="179"/>
      <c r="I6" s="95"/>
      <c r="J6" s="179"/>
      <c r="K6" s="179"/>
      <c r="L6" s="202"/>
      <c r="M6" s="94"/>
      <c r="N6" s="203"/>
      <c r="O6" s="204"/>
      <c r="P6" s="179"/>
      <c r="Q6" s="179"/>
      <c r="R6" s="187"/>
      <c r="S6" s="183"/>
      <c r="T6" s="184"/>
      <c r="U6" s="205"/>
      <c r="V6" s="206"/>
      <c r="W6" s="223"/>
      <c r="X6" s="207"/>
      <c r="Y6" s="182"/>
      <c r="Z6" s="182"/>
      <c r="AA6" s="182"/>
      <c r="AB6" s="168"/>
    </row>
    <row r="7" spans="1:31" s="8" customFormat="1" x14ac:dyDescent="0.25">
      <c r="A7" s="189"/>
      <c r="B7" s="92" t="s">
        <v>251</v>
      </c>
      <c r="C7" s="90" t="str">
        <f>VLOOKUP($F7,Admin!$A$16:$E$19,2,FALSE)</f>
        <v>Alkalmazott (ipari) kutatás – Működési költség</v>
      </c>
      <c r="D7" s="161" t="s">
        <v>129</v>
      </c>
      <c r="E7" s="90" t="str">
        <f>VLOOKUP($F7,Admin!$A$16:$E$19,4,FALSE)</f>
        <v>54. Bérköltség - Kutató-fejlesztő munkatárs</v>
      </c>
      <c r="F7" s="90" t="s">
        <v>171</v>
      </c>
      <c r="G7" s="161" t="s">
        <v>174</v>
      </c>
      <c r="H7" s="161" t="s">
        <v>194</v>
      </c>
      <c r="I7" s="90" t="s">
        <v>90</v>
      </c>
      <c r="J7" s="161" t="s">
        <v>67</v>
      </c>
      <c r="K7" s="161" t="str">
        <f t="shared" ref="K7" si="0">J7</f>
        <v>2023.04</v>
      </c>
      <c r="L7" s="91" t="s">
        <v>8</v>
      </c>
      <c r="M7" s="92" t="s">
        <v>78</v>
      </c>
      <c r="N7" s="162">
        <v>700000</v>
      </c>
      <c r="O7" s="163">
        <f t="shared" ref="O7" si="1">ROUND(N7*V7,0)</f>
        <v>91000</v>
      </c>
      <c r="P7" s="161">
        <v>174</v>
      </c>
      <c r="Q7" s="161">
        <v>75</v>
      </c>
      <c r="R7" s="230">
        <f t="shared" ref="R7" si="2">Q7/P7</f>
        <v>0.43103448275862066</v>
      </c>
      <c r="S7" s="164">
        <f t="shared" ref="S7" si="3">ROUND(N7*Q7/P7,0)</f>
        <v>301724</v>
      </c>
      <c r="T7" s="165">
        <f t="shared" ref="T7" si="4">ROUND(S7*V7,0)</f>
        <v>39224</v>
      </c>
      <c r="U7" s="166">
        <f t="shared" ref="U7" si="5">Q7/P7-S7/N7</f>
        <v>1.9704433495970619E-7</v>
      </c>
      <c r="V7" s="87">
        <v>0.13</v>
      </c>
      <c r="W7" s="224" t="s">
        <v>252</v>
      </c>
      <c r="X7" s="23">
        <v>45001</v>
      </c>
      <c r="Y7" s="20" t="s">
        <v>197</v>
      </c>
      <c r="Z7" s="20"/>
      <c r="AA7" s="20"/>
      <c r="AB7" s="168"/>
      <c r="AC7" s="8" t="s">
        <v>248</v>
      </c>
      <c r="AD7" s="8">
        <v>0</v>
      </c>
      <c r="AE7" s="8">
        <v>0</v>
      </c>
    </row>
    <row r="8" spans="1:31" s="8" customFormat="1" x14ac:dyDescent="0.25">
      <c r="A8" s="189"/>
      <c r="B8" s="92" t="s">
        <v>251</v>
      </c>
      <c r="C8" s="90" t="str">
        <f>VLOOKUP($F8,Admin!$A$16:$E$19,2,FALSE)</f>
        <v>Alkalmazott (ipari) kutatás – Működési költség</v>
      </c>
      <c r="D8" s="161" t="s">
        <v>129</v>
      </c>
      <c r="E8" s="90" t="str">
        <f>VLOOKUP($F8,Admin!$A$16:$E$19,4,FALSE)</f>
        <v>54. Bérköltség - Kutató-fejlesztő munkatárs</v>
      </c>
      <c r="F8" s="90" t="s">
        <v>171</v>
      </c>
      <c r="G8" s="161" t="s">
        <v>174</v>
      </c>
      <c r="H8" s="161" t="s">
        <v>194</v>
      </c>
      <c r="I8" s="90" t="s">
        <v>90</v>
      </c>
      <c r="J8" s="161" t="s">
        <v>68</v>
      </c>
      <c r="K8" s="161" t="str">
        <f t="shared" ref="K8:K9" si="6">J8</f>
        <v>2023.05</v>
      </c>
      <c r="L8" s="91" t="s">
        <v>9</v>
      </c>
      <c r="M8" s="92" t="s">
        <v>78</v>
      </c>
      <c r="N8" s="162">
        <v>700000</v>
      </c>
      <c r="O8" s="163">
        <f t="shared" ref="O8:O9" si="7">ROUND(N8*V8,0)</f>
        <v>91000</v>
      </c>
      <c r="P8" s="161">
        <v>174</v>
      </c>
      <c r="Q8" s="161">
        <v>75</v>
      </c>
      <c r="R8" s="230">
        <f t="shared" ref="R8:R9" si="8">Q8/P8</f>
        <v>0.43103448275862066</v>
      </c>
      <c r="S8" s="164">
        <f t="shared" ref="S8:S9" si="9">ROUND(N8*Q8/P8,0)</f>
        <v>301724</v>
      </c>
      <c r="T8" s="165">
        <f t="shared" ref="T8:T9" si="10">ROUND(S8*V8,0)</f>
        <v>39224</v>
      </c>
      <c r="U8" s="166">
        <f t="shared" ref="U8:U9" si="11">Q8/P8-S8/N8</f>
        <v>1.9704433495970619E-7</v>
      </c>
      <c r="V8" s="87">
        <v>0.13</v>
      </c>
      <c r="W8" s="224" t="s">
        <v>252</v>
      </c>
      <c r="X8" s="23">
        <v>45001</v>
      </c>
      <c r="Y8" s="20" t="s">
        <v>197</v>
      </c>
      <c r="Z8" s="20"/>
      <c r="AA8" s="20"/>
      <c r="AB8" s="168"/>
    </row>
    <row r="9" spans="1:31" s="8" customFormat="1" x14ac:dyDescent="0.25">
      <c r="A9" s="189"/>
      <c r="B9" s="92" t="s">
        <v>251</v>
      </c>
      <c r="C9" s="90" t="str">
        <f>VLOOKUP($F9,Admin!$A$16:$E$19,2,FALSE)</f>
        <v>Alkalmazott (ipari) kutatás – Működési költség</v>
      </c>
      <c r="D9" s="161" t="s">
        <v>129</v>
      </c>
      <c r="E9" s="90" t="str">
        <f>VLOOKUP($F9,Admin!$A$16:$E$19,4,FALSE)</f>
        <v>54. Bérköltség - Kutató-fejlesztő munkatárs</v>
      </c>
      <c r="F9" s="90" t="s">
        <v>171</v>
      </c>
      <c r="G9" s="161" t="s">
        <v>174</v>
      </c>
      <c r="H9" s="161" t="s">
        <v>194</v>
      </c>
      <c r="I9" s="90" t="s">
        <v>90</v>
      </c>
      <c r="J9" s="161" t="s">
        <v>69</v>
      </c>
      <c r="K9" s="161" t="str">
        <f t="shared" si="6"/>
        <v>2023.06</v>
      </c>
      <c r="L9" s="91" t="s">
        <v>9</v>
      </c>
      <c r="M9" s="92" t="s">
        <v>78</v>
      </c>
      <c r="N9" s="162">
        <v>700000</v>
      </c>
      <c r="O9" s="163">
        <f t="shared" si="7"/>
        <v>91000</v>
      </c>
      <c r="P9" s="161">
        <v>174</v>
      </c>
      <c r="Q9" s="161">
        <v>75</v>
      </c>
      <c r="R9" s="230">
        <f t="shared" si="8"/>
        <v>0.43103448275862066</v>
      </c>
      <c r="S9" s="164">
        <f t="shared" si="9"/>
        <v>301724</v>
      </c>
      <c r="T9" s="165">
        <f t="shared" si="10"/>
        <v>39224</v>
      </c>
      <c r="U9" s="166">
        <f t="shared" si="11"/>
        <v>1.9704433495970619E-7</v>
      </c>
      <c r="V9" s="87">
        <v>0.13</v>
      </c>
      <c r="W9" s="224" t="s">
        <v>252</v>
      </c>
      <c r="X9" s="23">
        <v>45001</v>
      </c>
      <c r="Y9" s="20" t="s">
        <v>197</v>
      </c>
      <c r="Z9" s="20"/>
      <c r="AA9" s="20"/>
      <c r="AB9" s="168"/>
    </row>
    <row r="10" spans="1:31" s="8" customFormat="1" x14ac:dyDescent="0.25">
      <c r="A10" s="189"/>
      <c r="B10" s="92" t="s">
        <v>246</v>
      </c>
      <c r="C10" s="90" t="str">
        <f>VLOOKUP($F10,Admin!$A$16:$E$19,2,FALSE)</f>
        <v>Alkalmazott (ipari) kutatás – Működési költség</v>
      </c>
      <c r="D10" s="161" t="s">
        <v>129</v>
      </c>
      <c r="E10" s="90" t="str">
        <f>VLOOKUP($F10,Admin!$A$16:$E$19,4,FALSE)</f>
        <v>54. Bérköltség - technikus segédszemélyzet</v>
      </c>
      <c r="F10" s="90" t="s">
        <v>173</v>
      </c>
      <c r="G10" s="161" t="s">
        <v>174</v>
      </c>
      <c r="H10" s="161" t="s">
        <v>206</v>
      </c>
      <c r="I10" s="90" t="str">
        <f>VLOOKUP($F10,Admin!$A$16:$E$19,5,FALSE)</f>
        <v>Technikus</v>
      </c>
      <c r="J10" s="161" t="s">
        <v>65</v>
      </c>
      <c r="K10" s="161" t="str">
        <f t="shared" ref="K10" si="12">J10</f>
        <v>2023.02</v>
      </c>
      <c r="L10" s="91" t="s">
        <v>8</v>
      </c>
      <c r="M10" s="92" t="s">
        <v>89</v>
      </c>
      <c r="N10" s="162">
        <v>150800</v>
      </c>
      <c r="O10" s="163">
        <v>0</v>
      </c>
      <c r="P10" s="161">
        <v>174</v>
      </c>
      <c r="Q10" s="161">
        <v>174</v>
      </c>
      <c r="R10" s="230">
        <f t="shared" ref="R10" si="13">Q10/P10</f>
        <v>1</v>
      </c>
      <c r="S10" s="164">
        <f t="shared" ref="S10" si="14">ROUND(N10*Q10/P10,0)</f>
        <v>150800</v>
      </c>
      <c r="T10" s="165">
        <v>0</v>
      </c>
      <c r="U10" s="166">
        <f t="shared" ref="U10" si="15">Q10/P10-S10/N10</f>
        <v>0</v>
      </c>
      <c r="V10" s="87">
        <v>0.13</v>
      </c>
      <c r="W10" s="224" t="s">
        <v>247</v>
      </c>
      <c r="X10" s="23">
        <v>44943</v>
      </c>
      <c r="Y10" s="20" t="s">
        <v>197</v>
      </c>
      <c r="Z10" s="20"/>
      <c r="AA10" s="20"/>
      <c r="AB10" s="168"/>
      <c r="AC10" s="8" t="s">
        <v>248</v>
      </c>
      <c r="AD10" s="8">
        <v>0</v>
      </c>
      <c r="AE10" s="8">
        <v>0</v>
      </c>
    </row>
    <row r="11" spans="1:31" s="8" customFormat="1" x14ac:dyDescent="0.25">
      <c r="A11" s="189"/>
      <c r="B11" s="92" t="s">
        <v>246</v>
      </c>
      <c r="C11" s="90" t="str">
        <f>VLOOKUP($F11,Admin!$A$16:$E$19,2,FALSE)</f>
        <v>Alkalmazott (ipari) kutatás – Működési költség</v>
      </c>
      <c r="D11" s="161" t="s">
        <v>129</v>
      </c>
      <c r="E11" s="90" t="str">
        <f>VLOOKUP($F11,Admin!$A$16:$E$19,4,FALSE)</f>
        <v>54. Bérköltség - technikus segédszemélyzet</v>
      </c>
      <c r="F11" s="90" t="s">
        <v>173</v>
      </c>
      <c r="G11" s="161" t="s">
        <v>174</v>
      </c>
      <c r="H11" s="161" t="s">
        <v>206</v>
      </c>
      <c r="I11" s="90" t="str">
        <f>VLOOKUP($F11,Admin!$A$16:$E$19,5,FALSE)</f>
        <v>Technikus</v>
      </c>
      <c r="J11" s="161" t="s">
        <v>66</v>
      </c>
      <c r="K11" s="161" t="str">
        <f t="shared" ref="K11:K12" si="16">J11</f>
        <v>2023.03</v>
      </c>
      <c r="L11" s="91" t="s">
        <v>8</v>
      </c>
      <c r="M11" s="92" t="s">
        <v>89</v>
      </c>
      <c r="N11" s="162">
        <v>150800</v>
      </c>
      <c r="O11" s="163">
        <v>0</v>
      </c>
      <c r="P11" s="161">
        <v>174</v>
      </c>
      <c r="Q11" s="161">
        <v>174</v>
      </c>
      <c r="R11" s="230">
        <f t="shared" ref="R11:R13" si="17">Q11/P11</f>
        <v>1</v>
      </c>
      <c r="S11" s="164">
        <f t="shared" ref="S11:S13" si="18">ROUND(N11*Q11/P11,0)</f>
        <v>150800</v>
      </c>
      <c r="T11" s="165">
        <v>0</v>
      </c>
      <c r="U11" s="166">
        <f t="shared" ref="U11:U13" si="19">Q11/P11-S11/N11</f>
        <v>0</v>
      </c>
      <c r="V11" s="87">
        <v>0.13</v>
      </c>
      <c r="W11" s="224" t="s">
        <v>247</v>
      </c>
      <c r="X11" s="23">
        <v>44943</v>
      </c>
      <c r="Y11" s="20" t="s">
        <v>197</v>
      </c>
      <c r="Z11" s="20"/>
      <c r="AA11" s="20"/>
      <c r="AB11" s="168"/>
      <c r="AC11" s="8" t="s">
        <v>248</v>
      </c>
      <c r="AD11" s="8">
        <v>0</v>
      </c>
      <c r="AE11" s="8">
        <v>0</v>
      </c>
    </row>
    <row r="12" spans="1:31" s="8" customFormat="1" x14ac:dyDescent="0.25">
      <c r="A12" s="189"/>
      <c r="B12" s="92" t="s">
        <v>246</v>
      </c>
      <c r="C12" s="90" t="str">
        <f>VLOOKUP($F12,Admin!$A$16:$E$19,2,FALSE)</f>
        <v>Alkalmazott (ipari) kutatás – Működési költség</v>
      </c>
      <c r="D12" s="161" t="s">
        <v>129</v>
      </c>
      <c r="E12" s="90" t="str">
        <f>VLOOKUP($F12,Admin!$A$16:$E$19,4,FALSE)</f>
        <v>54. Bérköltség - technikus segédszemélyzet</v>
      </c>
      <c r="F12" s="90" t="s">
        <v>173</v>
      </c>
      <c r="G12" s="161" t="s">
        <v>174</v>
      </c>
      <c r="H12" s="161" t="s">
        <v>206</v>
      </c>
      <c r="I12" s="90" t="str">
        <f>VLOOKUP($F12,Admin!$A$16:$E$19,5,FALSE)</f>
        <v>Technikus</v>
      </c>
      <c r="J12" s="161" t="s">
        <v>67</v>
      </c>
      <c r="K12" s="161" t="str">
        <f t="shared" si="16"/>
        <v>2023.04</v>
      </c>
      <c r="L12" s="91" t="s">
        <v>8</v>
      </c>
      <c r="M12" s="92" t="s">
        <v>89</v>
      </c>
      <c r="N12" s="162">
        <v>150800</v>
      </c>
      <c r="O12" s="163">
        <v>0</v>
      </c>
      <c r="P12" s="161">
        <v>174</v>
      </c>
      <c r="Q12" s="161">
        <v>174</v>
      </c>
      <c r="R12" s="230">
        <f t="shared" si="17"/>
        <v>1</v>
      </c>
      <c r="S12" s="164">
        <f t="shared" si="18"/>
        <v>150800</v>
      </c>
      <c r="T12" s="165">
        <v>0</v>
      </c>
      <c r="U12" s="166">
        <f t="shared" si="19"/>
        <v>0</v>
      </c>
      <c r="V12" s="87">
        <v>0.13</v>
      </c>
      <c r="W12" s="224" t="s">
        <v>247</v>
      </c>
      <c r="X12" s="23">
        <v>44943</v>
      </c>
      <c r="Y12" s="20" t="s">
        <v>197</v>
      </c>
      <c r="Z12" s="20"/>
      <c r="AA12" s="20"/>
      <c r="AB12" s="168"/>
      <c r="AC12" s="8" t="s">
        <v>248</v>
      </c>
      <c r="AD12" s="8">
        <v>0</v>
      </c>
      <c r="AE12" s="8">
        <v>0</v>
      </c>
    </row>
    <row r="13" spans="1:31" s="8" customFormat="1" x14ac:dyDescent="0.25">
      <c r="A13" s="189"/>
      <c r="B13" s="92" t="s">
        <v>246</v>
      </c>
      <c r="C13" s="90" t="str">
        <f>VLOOKUP($F13,Admin!$A$16:$E$19,2,FALSE)</f>
        <v>Alkalmazott (ipari) kutatás – Működési költség</v>
      </c>
      <c r="D13" s="161" t="s">
        <v>129</v>
      </c>
      <c r="E13" s="90" t="str">
        <f>VLOOKUP($F13,Admin!$A$16:$E$19,4,FALSE)</f>
        <v>54. Bérköltség - technikus segédszemélyzet</v>
      </c>
      <c r="F13" s="90" t="s">
        <v>173</v>
      </c>
      <c r="G13" s="161" t="s">
        <v>174</v>
      </c>
      <c r="H13" s="161" t="s">
        <v>206</v>
      </c>
      <c r="I13" s="90" t="str">
        <f>VLOOKUP($F13,Admin!$A$16:$E$19,5,FALSE)</f>
        <v>Technikus</v>
      </c>
      <c r="J13" s="161" t="s">
        <v>68</v>
      </c>
      <c r="K13" s="194">
        <v>45070</v>
      </c>
      <c r="L13" s="91" t="s">
        <v>9</v>
      </c>
      <c r="M13" s="92" t="s">
        <v>89</v>
      </c>
      <c r="N13" s="162">
        <v>150800</v>
      </c>
      <c r="O13" s="163">
        <v>0</v>
      </c>
      <c r="P13" s="161">
        <v>174</v>
      </c>
      <c r="Q13" s="161">
        <v>174</v>
      </c>
      <c r="R13" s="230">
        <f t="shared" si="17"/>
        <v>1</v>
      </c>
      <c r="S13" s="164">
        <f t="shared" si="18"/>
        <v>150800</v>
      </c>
      <c r="T13" s="165">
        <f t="shared" ref="T13" si="20">ROUND(S13*V13,0)</f>
        <v>19604</v>
      </c>
      <c r="U13" s="166">
        <f t="shared" si="19"/>
        <v>0</v>
      </c>
      <c r="V13" s="87">
        <v>0.13</v>
      </c>
      <c r="W13" s="224" t="s">
        <v>247</v>
      </c>
      <c r="X13" s="23">
        <v>44943</v>
      </c>
      <c r="Y13" s="20" t="s">
        <v>197</v>
      </c>
      <c r="Z13" s="20"/>
      <c r="AA13" s="20"/>
      <c r="AB13" s="168"/>
    </row>
    <row r="14" spans="1:31" s="8" customFormat="1" x14ac:dyDescent="0.25">
      <c r="A14" s="189"/>
      <c r="B14" s="92" t="s">
        <v>246</v>
      </c>
      <c r="C14" s="90" t="str">
        <f>VLOOKUP($F14,Admin!$A$16:$E$19,2,FALSE)</f>
        <v>Alkalmazott (ipari) kutatás – Működési költség</v>
      </c>
      <c r="D14" s="161" t="s">
        <v>129</v>
      </c>
      <c r="E14" s="90" t="str">
        <f>VLOOKUP($F14,Admin!$A$16:$E$19,4,FALSE)</f>
        <v>54. Bérköltség - technikus segédszemélyzet</v>
      </c>
      <c r="F14" s="90" t="s">
        <v>173</v>
      </c>
      <c r="G14" s="161" t="s">
        <v>174</v>
      </c>
      <c r="H14" s="161" t="s">
        <v>203</v>
      </c>
      <c r="I14" s="90" t="str">
        <f>VLOOKUP($F14,Admin!$A$16:$E$19,5,FALSE)</f>
        <v>Technikus</v>
      </c>
      <c r="J14" s="161" t="s">
        <v>69</v>
      </c>
      <c r="K14" s="194">
        <v>45070</v>
      </c>
      <c r="L14" s="91" t="s">
        <v>9</v>
      </c>
      <c r="M14" s="92" t="s">
        <v>89</v>
      </c>
      <c r="N14" s="162">
        <v>375000</v>
      </c>
      <c r="O14" s="163">
        <f t="shared" ref="O14" si="21">ROUND(N14*V14,0)</f>
        <v>48750</v>
      </c>
      <c r="P14" s="161">
        <v>130</v>
      </c>
      <c r="Q14" s="161">
        <v>130</v>
      </c>
      <c r="R14" s="230">
        <f t="shared" ref="R14" si="22">Q14/P14</f>
        <v>1</v>
      </c>
      <c r="S14" s="164">
        <f t="shared" ref="S14" si="23">ROUND(N14*Q14/P14,0)</f>
        <v>375000</v>
      </c>
      <c r="T14" s="165">
        <f t="shared" ref="T14" si="24">ROUND(S14*V14,0)</f>
        <v>48750</v>
      </c>
      <c r="U14" s="166">
        <f t="shared" ref="U14" si="25">Q14/P14-S14/N14</f>
        <v>0</v>
      </c>
      <c r="V14" s="87">
        <v>0.13</v>
      </c>
      <c r="W14" s="224" t="s">
        <v>247</v>
      </c>
      <c r="X14" s="23">
        <v>45063</v>
      </c>
      <c r="Y14" s="20" t="s">
        <v>197</v>
      </c>
      <c r="Z14" s="20"/>
      <c r="AA14" s="20"/>
      <c r="AB14" s="168"/>
    </row>
    <row r="15" spans="1:31" s="8" customFormat="1" x14ac:dyDescent="0.25">
      <c r="A15" s="189"/>
      <c r="B15" s="92" t="s">
        <v>246</v>
      </c>
      <c r="C15" s="90" t="str">
        <f>VLOOKUP($F15,Admin!$A$16:$E$19,2,FALSE)</f>
        <v>Alkalmazott (ipari) kutatás – Működési költség</v>
      </c>
      <c r="D15" s="161" t="s">
        <v>129</v>
      </c>
      <c r="E15" s="90" t="str">
        <f>VLOOKUP($F15,Admin!$A$16:$E$19,4,FALSE)</f>
        <v>54. Bérköltség - technikus segédszemélyzet</v>
      </c>
      <c r="F15" s="90" t="s">
        <v>173</v>
      </c>
      <c r="G15" s="161" t="s">
        <v>174</v>
      </c>
      <c r="H15" s="161" t="s">
        <v>203</v>
      </c>
      <c r="I15" s="90" t="str">
        <f>VLOOKUP($F15,Admin!$A$16:$E$19,5,FALSE)</f>
        <v>Technikus</v>
      </c>
      <c r="J15" s="161" t="s">
        <v>70</v>
      </c>
      <c r="K15" s="194">
        <v>45070</v>
      </c>
      <c r="L15" s="91" t="s">
        <v>9</v>
      </c>
      <c r="M15" s="92" t="s">
        <v>89</v>
      </c>
      <c r="N15" s="162">
        <v>375000</v>
      </c>
      <c r="O15" s="163">
        <f t="shared" ref="O15:O20" si="26">ROUND(N15*V15,0)</f>
        <v>48750</v>
      </c>
      <c r="P15" s="161">
        <v>130</v>
      </c>
      <c r="Q15" s="161">
        <v>130</v>
      </c>
      <c r="R15" s="230">
        <f t="shared" ref="R15:R20" si="27">Q15/P15</f>
        <v>1</v>
      </c>
      <c r="S15" s="164">
        <f t="shared" ref="S15:S20" si="28">ROUND(N15*Q15/P15,0)</f>
        <v>375000</v>
      </c>
      <c r="T15" s="165">
        <f t="shared" ref="T15:T20" si="29">ROUND(S15*V15,0)</f>
        <v>48750</v>
      </c>
      <c r="U15" s="166">
        <f t="shared" ref="U15:U20" si="30">Q15/P15-S15/N15</f>
        <v>0</v>
      </c>
      <c r="V15" s="87">
        <v>0.13</v>
      </c>
      <c r="W15" s="224" t="s">
        <v>247</v>
      </c>
      <c r="X15" s="23">
        <v>45063</v>
      </c>
      <c r="Y15" s="20" t="s">
        <v>197</v>
      </c>
      <c r="Z15" s="20"/>
      <c r="AA15" s="20"/>
      <c r="AB15" s="168"/>
    </row>
    <row r="16" spans="1:31" s="8" customFormat="1" x14ac:dyDescent="0.25">
      <c r="A16" s="189"/>
      <c r="B16" s="92" t="s">
        <v>246</v>
      </c>
      <c r="C16" s="90" t="str">
        <f>VLOOKUP($F16,Admin!$A$16:$E$19,2,FALSE)</f>
        <v>Alkalmazott (ipari) kutatás – Működési költség</v>
      </c>
      <c r="D16" s="161" t="s">
        <v>129</v>
      </c>
      <c r="E16" s="90" t="str">
        <f>VLOOKUP($F16,Admin!$A$16:$E$19,4,FALSE)</f>
        <v>54. Bérköltség - technikus segédszemélyzet</v>
      </c>
      <c r="F16" s="90" t="s">
        <v>173</v>
      </c>
      <c r="G16" s="161" t="s">
        <v>174</v>
      </c>
      <c r="H16" s="161" t="s">
        <v>203</v>
      </c>
      <c r="I16" s="90" t="str">
        <f>VLOOKUP($F16,Admin!$A$16:$E$19,5,FALSE)</f>
        <v>Technikus</v>
      </c>
      <c r="J16" s="161" t="s">
        <v>71</v>
      </c>
      <c r="K16" s="194">
        <v>45070</v>
      </c>
      <c r="L16" s="91" t="s">
        <v>9</v>
      </c>
      <c r="M16" s="92" t="s">
        <v>89</v>
      </c>
      <c r="N16" s="162">
        <v>375000</v>
      </c>
      <c r="O16" s="163">
        <f t="shared" si="26"/>
        <v>48750</v>
      </c>
      <c r="P16" s="161">
        <v>130</v>
      </c>
      <c r="Q16" s="161">
        <v>130</v>
      </c>
      <c r="R16" s="230">
        <f t="shared" si="27"/>
        <v>1</v>
      </c>
      <c r="S16" s="164">
        <f t="shared" si="28"/>
        <v>375000</v>
      </c>
      <c r="T16" s="165">
        <f t="shared" si="29"/>
        <v>48750</v>
      </c>
      <c r="U16" s="166">
        <f t="shared" si="30"/>
        <v>0</v>
      </c>
      <c r="V16" s="87">
        <v>0.13</v>
      </c>
      <c r="W16" s="224" t="s">
        <v>247</v>
      </c>
      <c r="X16" s="23">
        <v>45063</v>
      </c>
      <c r="Y16" s="20" t="s">
        <v>197</v>
      </c>
      <c r="Z16" s="20"/>
      <c r="AA16" s="20"/>
      <c r="AB16" s="168"/>
    </row>
    <row r="17" spans="1:31" s="8" customFormat="1" x14ac:dyDescent="0.25">
      <c r="A17" s="189"/>
      <c r="B17" s="92" t="s">
        <v>246</v>
      </c>
      <c r="C17" s="90" t="str">
        <f>VLOOKUP($F17,Admin!$A$16:$E$19,2,FALSE)</f>
        <v>Alkalmazott (ipari) kutatás – Működési költség</v>
      </c>
      <c r="D17" s="161" t="s">
        <v>129</v>
      </c>
      <c r="E17" s="90" t="str">
        <f>VLOOKUP($F17,Admin!$A$16:$E$19,4,FALSE)</f>
        <v>54. Bérköltség - technikus segédszemélyzet</v>
      </c>
      <c r="F17" s="90" t="s">
        <v>173</v>
      </c>
      <c r="G17" s="161" t="s">
        <v>174</v>
      </c>
      <c r="H17" s="161" t="s">
        <v>203</v>
      </c>
      <c r="I17" s="90" t="str">
        <f>VLOOKUP($F17,Admin!$A$16:$E$19,5,FALSE)</f>
        <v>Technikus</v>
      </c>
      <c r="J17" s="161" t="s">
        <v>72</v>
      </c>
      <c r="K17" s="194">
        <v>45070</v>
      </c>
      <c r="L17" s="91" t="s">
        <v>9</v>
      </c>
      <c r="M17" s="92" t="s">
        <v>89</v>
      </c>
      <c r="N17" s="162">
        <v>375000</v>
      </c>
      <c r="O17" s="163">
        <f t="shared" si="26"/>
        <v>48750</v>
      </c>
      <c r="P17" s="161">
        <v>130</v>
      </c>
      <c r="Q17" s="161">
        <v>130</v>
      </c>
      <c r="R17" s="230">
        <f t="shared" si="27"/>
        <v>1</v>
      </c>
      <c r="S17" s="164">
        <f t="shared" si="28"/>
        <v>375000</v>
      </c>
      <c r="T17" s="165">
        <f t="shared" si="29"/>
        <v>48750</v>
      </c>
      <c r="U17" s="166">
        <f t="shared" si="30"/>
        <v>0</v>
      </c>
      <c r="V17" s="87">
        <v>0.13</v>
      </c>
      <c r="W17" s="224" t="s">
        <v>247</v>
      </c>
      <c r="X17" s="23">
        <v>45063</v>
      </c>
      <c r="Y17" s="20" t="s">
        <v>197</v>
      </c>
      <c r="Z17" s="20"/>
      <c r="AA17" s="20"/>
      <c r="AB17" s="168"/>
    </row>
    <row r="18" spans="1:31" s="8" customFormat="1" x14ac:dyDescent="0.25">
      <c r="A18" s="189"/>
      <c r="B18" s="92" t="s">
        <v>246</v>
      </c>
      <c r="C18" s="90" t="str">
        <f>VLOOKUP($F18,Admin!$A$16:$E$19,2,FALSE)</f>
        <v>Alkalmazott (ipari) kutatás – Működési költség</v>
      </c>
      <c r="D18" s="161" t="s">
        <v>129</v>
      </c>
      <c r="E18" s="90" t="str">
        <f>VLOOKUP($F18,Admin!$A$16:$E$19,4,FALSE)</f>
        <v>54. Bérköltség - technikus segédszemélyzet</v>
      </c>
      <c r="F18" s="90" t="s">
        <v>173</v>
      </c>
      <c r="G18" s="161" t="s">
        <v>174</v>
      </c>
      <c r="H18" s="161" t="s">
        <v>203</v>
      </c>
      <c r="I18" s="90" t="str">
        <f>VLOOKUP($F18,Admin!$A$16:$E$19,5,FALSE)</f>
        <v>Technikus</v>
      </c>
      <c r="J18" s="161" t="s">
        <v>73</v>
      </c>
      <c r="K18" s="194">
        <v>45070</v>
      </c>
      <c r="L18" s="91" t="s">
        <v>9</v>
      </c>
      <c r="M18" s="92" t="s">
        <v>89</v>
      </c>
      <c r="N18" s="162">
        <v>375000</v>
      </c>
      <c r="O18" s="163">
        <f t="shared" si="26"/>
        <v>48750</v>
      </c>
      <c r="P18" s="161">
        <v>130</v>
      </c>
      <c r="Q18" s="161">
        <v>130</v>
      </c>
      <c r="R18" s="230">
        <f t="shared" si="27"/>
        <v>1</v>
      </c>
      <c r="S18" s="164">
        <f t="shared" si="28"/>
        <v>375000</v>
      </c>
      <c r="T18" s="165">
        <f t="shared" si="29"/>
        <v>48750</v>
      </c>
      <c r="U18" s="166">
        <f t="shared" si="30"/>
        <v>0</v>
      </c>
      <c r="V18" s="87">
        <v>0.13</v>
      </c>
      <c r="W18" s="224" t="s">
        <v>247</v>
      </c>
      <c r="X18" s="23">
        <v>45063</v>
      </c>
      <c r="Y18" s="20" t="s">
        <v>197</v>
      </c>
      <c r="Z18" s="20"/>
      <c r="AA18" s="20"/>
      <c r="AB18" s="168"/>
    </row>
    <row r="19" spans="1:31" s="8" customFormat="1" x14ac:dyDescent="0.25">
      <c r="A19" s="189"/>
      <c r="B19" s="92" t="s">
        <v>246</v>
      </c>
      <c r="C19" s="90" t="str">
        <f>VLOOKUP($F19,Admin!$A$16:$E$19,2,FALSE)</f>
        <v>Alkalmazott (ipari) kutatás – Működési költség</v>
      </c>
      <c r="D19" s="161" t="s">
        <v>129</v>
      </c>
      <c r="E19" s="90" t="str">
        <f>VLOOKUP($F19,Admin!$A$16:$E$19,4,FALSE)</f>
        <v>54. Bérköltség - technikus segédszemélyzet</v>
      </c>
      <c r="F19" s="90" t="s">
        <v>173</v>
      </c>
      <c r="G19" s="161" t="s">
        <v>174</v>
      </c>
      <c r="H19" s="161" t="s">
        <v>203</v>
      </c>
      <c r="I19" s="90" t="str">
        <f>VLOOKUP($F19,Admin!$A$16:$E$19,5,FALSE)</f>
        <v>Technikus</v>
      </c>
      <c r="J19" s="161" t="s">
        <v>74</v>
      </c>
      <c r="K19" s="194">
        <v>45070</v>
      </c>
      <c r="L19" s="91" t="s">
        <v>9</v>
      </c>
      <c r="M19" s="92" t="s">
        <v>89</v>
      </c>
      <c r="N19" s="162">
        <v>375000</v>
      </c>
      <c r="O19" s="163">
        <f t="shared" si="26"/>
        <v>48750</v>
      </c>
      <c r="P19" s="161">
        <v>130</v>
      </c>
      <c r="Q19" s="161">
        <v>130</v>
      </c>
      <c r="R19" s="230">
        <f t="shared" si="27"/>
        <v>1</v>
      </c>
      <c r="S19" s="164">
        <f t="shared" si="28"/>
        <v>375000</v>
      </c>
      <c r="T19" s="165">
        <f t="shared" si="29"/>
        <v>48750</v>
      </c>
      <c r="U19" s="166">
        <f t="shared" si="30"/>
        <v>0</v>
      </c>
      <c r="V19" s="87">
        <v>0.13</v>
      </c>
      <c r="W19" s="224" t="s">
        <v>247</v>
      </c>
      <c r="X19" s="23">
        <v>45063</v>
      </c>
      <c r="Y19" s="20" t="s">
        <v>197</v>
      </c>
      <c r="Z19" s="20"/>
      <c r="AA19" s="20"/>
      <c r="AB19" s="168"/>
    </row>
    <row r="20" spans="1:31" s="8" customFormat="1" x14ac:dyDescent="0.25">
      <c r="A20" s="189"/>
      <c r="B20" s="92" t="s">
        <v>246</v>
      </c>
      <c r="C20" s="90" t="str">
        <f>VLOOKUP($F20,Admin!$A$16:$E$19,2,FALSE)</f>
        <v>Alkalmazott (ipari) kutatás – Működési költség</v>
      </c>
      <c r="D20" s="161" t="s">
        <v>129</v>
      </c>
      <c r="E20" s="90" t="str">
        <f>VLOOKUP($F20,Admin!$A$16:$E$19,4,FALSE)</f>
        <v>54. Bérköltség - technikus segédszemélyzet</v>
      </c>
      <c r="F20" s="90" t="s">
        <v>173</v>
      </c>
      <c r="G20" s="161" t="s">
        <v>174</v>
      </c>
      <c r="H20" s="161" t="s">
        <v>203</v>
      </c>
      <c r="I20" s="90" t="str">
        <f>VLOOKUP($F20,Admin!$A$16:$E$19,5,FALSE)</f>
        <v>Technikus</v>
      </c>
      <c r="J20" s="161" t="s">
        <v>139</v>
      </c>
      <c r="K20" s="194">
        <v>45070</v>
      </c>
      <c r="L20" s="91" t="s">
        <v>9</v>
      </c>
      <c r="M20" s="92" t="s">
        <v>89</v>
      </c>
      <c r="N20" s="162">
        <v>375000</v>
      </c>
      <c r="O20" s="163">
        <f t="shared" si="26"/>
        <v>48750</v>
      </c>
      <c r="P20" s="161">
        <v>130</v>
      </c>
      <c r="Q20" s="161">
        <v>130</v>
      </c>
      <c r="R20" s="230">
        <f t="shared" si="27"/>
        <v>1</v>
      </c>
      <c r="S20" s="164">
        <f t="shared" si="28"/>
        <v>375000</v>
      </c>
      <c r="T20" s="165">
        <f t="shared" si="29"/>
        <v>48750</v>
      </c>
      <c r="U20" s="166">
        <f t="shared" si="30"/>
        <v>0</v>
      </c>
      <c r="V20" s="87">
        <v>0.13</v>
      </c>
      <c r="W20" s="224" t="s">
        <v>247</v>
      </c>
      <c r="X20" s="23">
        <v>45063</v>
      </c>
      <c r="Y20" s="20" t="s">
        <v>197</v>
      </c>
      <c r="Z20" s="20"/>
      <c r="AA20" s="20"/>
      <c r="AB20" s="168"/>
    </row>
    <row r="21" spans="1:31" s="8" customFormat="1" x14ac:dyDescent="0.25">
      <c r="A21" s="208">
        <v>1</v>
      </c>
      <c r="B21" s="92" t="s">
        <v>201</v>
      </c>
      <c r="C21" s="90" t="str">
        <f>VLOOKUP($F21,Admin!$A$16:$E$19,2,FALSE)</f>
        <v>Alkalmazott (ipari) kutatás – Működési költség</v>
      </c>
      <c r="D21" s="161" t="s">
        <v>129</v>
      </c>
      <c r="E21" s="90" t="str">
        <f>VLOOKUP($F21,Admin!$A$16:$E$19,4,FALSE)</f>
        <v>54. Bérköltség - Kutató-fejlesztő munkatárs</v>
      </c>
      <c r="F21" s="90" t="s">
        <v>171</v>
      </c>
      <c r="G21" s="161" t="s">
        <v>174</v>
      </c>
      <c r="H21" s="161" t="s">
        <v>194</v>
      </c>
      <c r="I21" s="90" t="str">
        <f>VLOOKUP($F21,Admin!$A$16:$E$19,5,FALSE)</f>
        <v>K+F munkatárs</v>
      </c>
      <c r="J21" s="161" t="s">
        <v>43</v>
      </c>
      <c r="K21" s="161" t="str">
        <f t="shared" ref="K21" si="31">J21</f>
        <v>2022.04</v>
      </c>
      <c r="L21" s="91" t="s">
        <v>8</v>
      </c>
      <c r="M21" s="92" t="s">
        <v>78</v>
      </c>
      <c r="N21" s="162">
        <v>923000</v>
      </c>
      <c r="O21" s="163">
        <f t="shared" ref="O21" si="32">ROUND(N21*V21,0)</f>
        <v>119990</v>
      </c>
      <c r="P21" s="161">
        <v>174</v>
      </c>
      <c r="Q21" s="161">
        <v>19</v>
      </c>
      <c r="R21" s="230">
        <f t="shared" ref="R21" si="33">Q21/P21</f>
        <v>0.10919540229885058</v>
      </c>
      <c r="S21" s="164">
        <f t="shared" ref="S21" si="34">ROUND(N21*Q21/P21,0)</f>
        <v>100787</v>
      </c>
      <c r="T21" s="165">
        <f t="shared" ref="T21" si="35">ROUND(S21*V21,0)</f>
        <v>13102</v>
      </c>
      <c r="U21" s="166">
        <f t="shared" ref="U21" si="36">Q21/P21-S21/N21</f>
        <v>3.8604749630355428E-7</v>
      </c>
      <c r="V21" s="87">
        <v>0.13</v>
      </c>
      <c r="W21" s="224"/>
      <c r="X21" s="23">
        <v>44648</v>
      </c>
      <c r="Y21" s="20" t="s">
        <v>197</v>
      </c>
      <c r="Z21" s="20"/>
      <c r="AA21" s="20"/>
      <c r="AB21" s="168"/>
    </row>
    <row r="22" spans="1:31" s="8" customFormat="1" x14ac:dyDescent="0.25">
      <c r="A22" s="208">
        <v>1</v>
      </c>
      <c r="B22" s="92" t="s">
        <v>201</v>
      </c>
      <c r="C22" s="90" t="str">
        <f>VLOOKUP($F22,Admin!$A$16:$E$19,2,FALSE)</f>
        <v>Alkalmazott (ipari) kutatás – Működési költség</v>
      </c>
      <c r="D22" s="161" t="s">
        <v>129</v>
      </c>
      <c r="E22" s="90" t="str">
        <f>VLOOKUP($F22,Admin!$A$16:$E$19,4,FALSE)</f>
        <v>54. Bérköltség - Kutató-fejlesztő munkatárs</v>
      </c>
      <c r="F22" s="90" t="s">
        <v>171</v>
      </c>
      <c r="G22" s="161" t="s">
        <v>174</v>
      </c>
      <c r="H22" s="161" t="s">
        <v>194</v>
      </c>
      <c r="I22" s="90" t="str">
        <f>VLOOKUP($F22,Admin!$A$16:$E$19,5,FALSE)</f>
        <v>K+F munkatárs</v>
      </c>
      <c r="J22" s="161" t="s">
        <v>44</v>
      </c>
      <c r="K22" s="161" t="str">
        <f t="shared" ref="K22:K23" si="37">J22</f>
        <v>2022.05</v>
      </c>
      <c r="L22" s="91" t="s">
        <v>8</v>
      </c>
      <c r="M22" s="92" t="s">
        <v>78</v>
      </c>
      <c r="N22" s="162">
        <v>923000</v>
      </c>
      <c r="O22" s="163">
        <f t="shared" ref="O22:O23" si="38">ROUND(N22*V22,0)</f>
        <v>119990</v>
      </c>
      <c r="P22" s="161">
        <v>174</v>
      </c>
      <c r="Q22" s="161">
        <v>19</v>
      </c>
      <c r="R22" s="230">
        <f t="shared" ref="R22:R23" si="39">Q22/P22</f>
        <v>0.10919540229885058</v>
      </c>
      <c r="S22" s="164">
        <f t="shared" ref="S22:S23" si="40">ROUND(N22*Q22/P22,0)</f>
        <v>100787</v>
      </c>
      <c r="T22" s="165">
        <f t="shared" ref="T22:T23" si="41">ROUND(S22*V22,0)</f>
        <v>13102</v>
      </c>
      <c r="U22" s="166">
        <f t="shared" ref="U22:U23" si="42">Q22/P22-S22/N22</f>
        <v>3.8604749630355428E-7</v>
      </c>
      <c r="V22" s="87">
        <v>0.13</v>
      </c>
      <c r="W22" s="224"/>
      <c r="X22" s="23">
        <v>44648</v>
      </c>
      <c r="Y22" s="20" t="s">
        <v>197</v>
      </c>
      <c r="Z22" s="20"/>
      <c r="AA22" s="20"/>
      <c r="AB22" s="168"/>
    </row>
    <row r="23" spans="1:31" s="8" customFormat="1" x14ac:dyDescent="0.25">
      <c r="A23" s="208">
        <v>1</v>
      </c>
      <c r="B23" s="92" t="s">
        <v>201</v>
      </c>
      <c r="C23" s="90" t="str">
        <f>VLOOKUP($F23,Admin!$A$16:$E$19,2,FALSE)</f>
        <v>Alkalmazott (ipari) kutatás – Működési költség</v>
      </c>
      <c r="D23" s="161" t="s">
        <v>129</v>
      </c>
      <c r="E23" s="90" t="str">
        <f>VLOOKUP($F23,Admin!$A$16:$E$19,4,FALSE)</f>
        <v>54. Bérköltség - Kutató-fejlesztő munkatárs</v>
      </c>
      <c r="F23" s="90" t="s">
        <v>171</v>
      </c>
      <c r="G23" s="161" t="s">
        <v>174</v>
      </c>
      <c r="H23" s="161" t="s">
        <v>194</v>
      </c>
      <c r="I23" s="90" t="str">
        <f>VLOOKUP($F23,Admin!$A$16:$E$19,5,FALSE)</f>
        <v>K+F munkatárs</v>
      </c>
      <c r="J23" s="161" t="s">
        <v>45</v>
      </c>
      <c r="K23" s="161" t="str">
        <f t="shared" si="37"/>
        <v>2022.06</v>
      </c>
      <c r="L23" s="91" t="s">
        <v>8</v>
      </c>
      <c r="M23" s="92" t="s">
        <v>78</v>
      </c>
      <c r="N23" s="162">
        <v>923000</v>
      </c>
      <c r="O23" s="163">
        <f t="shared" si="38"/>
        <v>119990</v>
      </c>
      <c r="P23" s="161">
        <v>174</v>
      </c>
      <c r="Q23" s="161">
        <v>19</v>
      </c>
      <c r="R23" s="230">
        <f t="shared" si="39"/>
        <v>0.10919540229885058</v>
      </c>
      <c r="S23" s="164">
        <f t="shared" si="40"/>
        <v>100787</v>
      </c>
      <c r="T23" s="165">
        <f t="shared" si="41"/>
        <v>13102</v>
      </c>
      <c r="U23" s="166">
        <f t="shared" si="42"/>
        <v>3.8604749630355428E-7</v>
      </c>
      <c r="V23" s="87">
        <v>0.13</v>
      </c>
      <c r="W23" s="224"/>
      <c r="X23" s="23">
        <v>44713</v>
      </c>
      <c r="Y23" s="20" t="s">
        <v>197</v>
      </c>
      <c r="Z23" s="20"/>
      <c r="AA23" s="20"/>
      <c r="AB23" s="168"/>
    </row>
    <row r="24" spans="1:31" s="8" customFormat="1" x14ac:dyDescent="0.25">
      <c r="A24" s="208">
        <v>1</v>
      </c>
      <c r="B24" s="92" t="s">
        <v>201</v>
      </c>
      <c r="C24" s="90" t="str">
        <f>VLOOKUP($F24,Admin!$A$16:$E$19,2,FALSE)</f>
        <v>Alkalmazott (ipari) kutatás – Működési költség</v>
      </c>
      <c r="D24" s="161" t="s">
        <v>129</v>
      </c>
      <c r="E24" s="90" t="str">
        <f>VLOOKUP($F24,Admin!$A$16:$E$19,4,FALSE)</f>
        <v>54. Bérköltség - Kutató-fejlesztő munkatárs</v>
      </c>
      <c r="F24" s="90" t="s">
        <v>171</v>
      </c>
      <c r="G24" s="161" t="s">
        <v>174</v>
      </c>
      <c r="H24" s="161" t="s">
        <v>194</v>
      </c>
      <c r="I24" s="90" t="str">
        <f>VLOOKUP($F24,Admin!$A$16:$E$19,5,FALSE)</f>
        <v>K+F munkatárs</v>
      </c>
      <c r="J24" s="161" t="s">
        <v>46</v>
      </c>
      <c r="K24" s="161" t="str">
        <f t="shared" ref="K24:K26" si="43">J24</f>
        <v>2022.07</v>
      </c>
      <c r="L24" s="91" t="s">
        <v>8</v>
      </c>
      <c r="M24" s="92" t="s">
        <v>78</v>
      </c>
      <c r="N24" s="162">
        <v>923000</v>
      </c>
      <c r="O24" s="163">
        <f t="shared" ref="O24" si="44">ROUND(N24*V24,0)</f>
        <v>119990</v>
      </c>
      <c r="P24" s="161">
        <v>174</v>
      </c>
      <c r="Q24" s="161">
        <v>19</v>
      </c>
      <c r="R24" s="230">
        <f t="shared" ref="R24" si="45">Q24/P24</f>
        <v>0.10919540229885058</v>
      </c>
      <c r="S24" s="164">
        <f t="shared" ref="S24" si="46">ROUND(N24*Q24/P24,0)</f>
        <v>100787</v>
      </c>
      <c r="T24" s="165">
        <f t="shared" ref="T24" si="47">ROUND(S24*V24,0)</f>
        <v>13102</v>
      </c>
      <c r="U24" s="166">
        <f t="shared" ref="U24" si="48">Q24/P24-S24/N24</f>
        <v>3.8604749630355428E-7</v>
      </c>
      <c r="V24" s="87">
        <v>0.13</v>
      </c>
      <c r="W24" s="224"/>
      <c r="X24" s="23">
        <v>44742</v>
      </c>
      <c r="Y24" s="20" t="s">
        <v>197</v>
      </c>
      <c r="Z24" s="20"/>
      <c r="AA24" s="20"/>
      <c r="AB24" s="168"/>
    </row>
    <row r="25" spans="1:31" s="8" customFormat="1" x14ac:dyDescent="0.25">
      <c r="A25" s="208">
        <v>1</v>
      </c>
      <c r="B25" s="92" t="s">
        <v>201</v>
      </c>
      <c r="C25" s="90" t="str">
        <f>VLOOKUP($F25,Admin!$A$16:$E$19,2,FALSE)</f>
        <v>Alkalmazott (ipari) kutatás – Működési költség</v>
      </c>
      <c r="D25" s="161" t="s">
        <v>129</v>
      </c>
      <c r="E25" s="90" t="str">
        <f>VLOOKUP($F25,Admin!$A$16:$E$19,4,FALSE)</f>
        <v>54. Bérköltség - Kutató-fejlesztő munkatárs</v>
      </c>
      <c r="F25" s="90" t="s">
        <v>171</v>
      </c>
      <c r="G25" s="161" t="s">
        <v>174</v>
      </c>
      <c r="H25" s="161" t="s">
        <v>194</v>
      </c>
      <c r="I25" s="90" t="str">
        <f>VLOOKUP($F25,Admin!$A$16:$E$19,5,FALSE)</f>
        <v>K+F munkatárs</v>
      </c>
      <c r="J25" s="161" t="s">
        <v>47</v>
      </c>
      <c r="K25" s="161" t="str">
        <f t="shared" si="43"/>
        <v>2022.08</v>
      </c>
      <c r="L25" s="91" t="s">
        <v>8</v>
      </c>
      <c r="M25" s="92" t="s">
        <v>78</v>
      </c>
      <c r="N25" s="162">
        <v>722348</v>
      </c>
      <c r="O25" s="163">
        <f t="shared" ref="O25:O26" si="49">ROUND(N25*V25,0)</f>
        <v>93905</v>
      </c>
      <c r="P25" s="161">
        <v>174</v>
      </c>
      <c r="Q25" s="161">
        <v>19</v>
      </c>
      <c r="R25" s="230">
        <f t="shared" ref="R25:R26" si="50">Q25/P25</f>
        <v>0.10919540229885058</v>
      </c>
      <c r="S25" s="164">
        <f t="shared" ref="S25:S26" si="51">ROUND(N25*Q25/P25,0)</f>
        <v>78877</v>
      </c>
      <c r="T25" s="165">
        <f t="shared" ref="T25:T26" si="52">ROUND(S25*V25,0)</f>
        <v>10254</v>
      </c>
      <c r="U25" s="166">
        <f t="shared" ref="U25:U26" si="53">Q25/P25-S25/N25</f>
        <v>1.1138643717101271E-7</v>
      </c>
      <c r="V25" s="87">
        <v>0.13</v>
      </c>
      <c r="W25" s="224"/>
      <c r="X25" s="23">
        <v>44742</v>
      </c>
      <c r="Y25" s="20" t="s">
        <v>197</v>
      </c>
      <c r="Z25" s="20"/>
      <c r="AA25" s="20"/>
      <c r="AB25" s="168"/>
    </row>
    <row r="26" spans="1:31" s="8" customFormat="1" x14ac:dyDescent="0.25">
      <c r="A26" s="208">
        <v>1</v>
      </c>
      <c r="B26" s="92" t="s">
        <v>201</v>
      </c>
      <c r="C26" s="90" t="str">
        <f>VLOOKUP($F26,Admin!$A$16:$E$19,2,FALSE)</f>
        <v>Alkalmazott (ipari) kutatás – Működési költség</v>
      </c>
      <c r="D26" s="161" t="s">
        <v>129</v>
      </c>
      <c r="E26" s="90" t="str">
        <f>VLOOKUP($F26,Admin!$A$16:$E$19,4,FALSE)</f>
        <v>54. Bérköltség - Kutató-fejlesztő munkatárs</v>
      </c>
      <c r="F26" s="90" t="s">
        <v>171</v>
      </c>
      <c r="G26" s="161" t="s">
        <v>174</v>
      </c>
      <c r="H26" s="161" t="s">
        <v>194</v>
      </c>
      <c r="I26" s="90" t="str">
        <f>VLOOKUP($F26,Admin!$A$16:$E$19,5,FALSE)</f>
        <v>K+F munkatárs</v>
      </c>
      <c r="J26" s="161" t="s">
        <v>48</v>
      </c>
      <c r="K26" s="161" t="str">
        <f t="shared" si="43"/>
        <v>2022.09</v>
      </c>
      <c r="L26" s="91" t="s">
        <v>8</v>
      </c>
      <c r="M26" s="92" t="s">
        <v>78</v>
      </c>
      <c r="N26" s="162">
        <v>923000</v>
      </c>
      <c r="O26" s="163">
        <f t="shared" si="49"/>
        <v>119990</v>
      </c>
      <c r="P26" s="161">
        <v>174</v>
      </c>
      <c r="Q26" s="161">
        <v>19</v>
      </c>
      <c r="R26" s="230">
        <f t="shared" si="50"/>
        <v>0.10919540229885058</v>
      </c>
      <c r="S26" s="164">
        <f t="shared" si="51"/>
        <v>100787</v>
      </c>
      <c r="T26" s="165">
        <f t="shared" si="52"/>
        <v>13102</v>
      </c>
      <c r="U26" s="166">
        <f t="shared" si="53"/>
        <v>3.8604749630355428E-7</v>
      </c>
      <c r="V26" s="87">
        <v>0.13</v>
      </c>
      <c r="W26" s="224"/>
      <c r="X26" s="23">
        <v>44742</v>
      </c>
      <c r="Y26" s="20" t="s">
        <v>197</v>
      </c>
      <c r="Z26" s="20"/>
      <c r="AA26" s="20"/>
      <c r="AB26" s="168"/>
    </row>
    <row r="27" spans="1:31" s="8" customFormat="1" x14ac:dyDescent="0.25">
      <c r="A27" s="189"/>
      <c r="B27" s="92" t="s">
        <v>201</v>
      </c>
      <c r="C27" s="90" t="str">
        <f>VLOOKUP($F27,Admin!$A$16:$E$19,2,FALSE)</f>
        <v>Alkalmazott (ipari) kutatás – Működési költség</v>
      </c>
      <c r="D27" s="161" t="s">
        <v>129</v>
      </c>
      <c r="E27" s="90" t="str">
        <f>VLOOKUP($F27,Admin!$A$16:$E$19,4,FALSE)</f>
        <v>54. Bérköltség - Kutató-fejlesztő munkatárs</v>
      </c>
      <c r="F27" s="90" t="s">
        <v>171</v>
      </c>
      <c r="G27" s="161" t="s">
        <v>174</v>
      </c>
      <c r="H27" s="161" t="s">
        <v>194</v>
      </c>
      <c r="I27" s="90" t="str">
        <f>VLOOKUP($F27,Admin!$A$16:$E$19,5,FALSE)</f>
        <v>K+F munkatárs</v>
      </c>
      <c r="J27" s="161" t="s">
        <v>49</v>
      </c>
      <c r="K27" s="161" t="str">
        <f t="shared" ref="K27:K29" si="54">J27</f>
        <v>2022.10</v>
      </c>
      <c r="L27" s="91" t="s">
        <v>8</v>
      </c>
      <c r="M27" s="92" t="s">
        <v>78</v>
      </c>
      <c r="N27" s="162">
        <v>673000</v>
      </c>
      <c r="O27" s="163">
        <f t="shared" ref="O27" si="55">ROUND(N27*V27,0)</f>
        <v>87490</v>
      </c>
      <c r="P27" s="161">
        <v>174</v>
      </c>
      <c r="Q27" s="161">
        <v>26</v>
      </c>
      <c r="R27" s="230">
        <f t="shared" ref="R27" si="56">Q27/P27</f>
        <v>0.14942528735632185</v>
      </c>
      <c r="S27" s="164">
        <f t="shared" ref="S27" si="57">ROUND(N27*Q27/P27,0)</f>
        <v>100563</v>
      </c>
      <c r="T27" s="165">
        <f t="shared" ref="T27" si="58">ROUND(S27*V27,0)</f>
        <v>13073</v>
      </c>
      <c r="U27" s="166">
        <f t="shared" ref="U27" si="59">Q27/P27-S27/N27</f>
        <v>3.2450342438150592E-7</v>
      </c>
      <c r="V27" s="87">
        <v>0.13</v>
      </c>
      <c r="W27" s="224"/>
      <c r="X27" s="23">
        <v>44830</v>
      </c>
      <c r="Y27" s="20" t="s">
        <v>197</v>
      </c>
      <c r="Z27" s="20"/>
      <c r="AA27" s="20"/>
      <c r="AB27" s="168"/>
    </row>
    <row r="28" spans="1:31" s="8" customFormat="1" x14ac:dyDescent="0.25">
      <c r="A28" s="189"/>
      <c r="B28" s="92" t="s">
        <v>201</v>
      </c>
      <c r="C28" s="90" t="str">
        <f>VLOOKUP($F28,Admin!$A$16:$E$19,2,FALSE)</f>
        <v>Alkalmazott (ipari) kutatás – Működési költség</v>
      </c>
      <c r="D28" s="161" t="s">
        <v>129</v>
      </c>
      <c r="E28" s="90" t="str">
        <f>VLOOKUP($F28,Admin!$A$16:$E$19,4,FALSE)</f>
        <v>54. Bérköltség - Kutató-fejlesztő munkatárs</v>
      </c>
      <c r="F28" s="90" t="s">
        <v>171</v>
      </c>
      <c r="G28" s="161" t="s">
        <v>174</v>
      </c>
      <c r="H28" s="161" t="s">
        <v>194</v>
      </c>
      <c r="I28" s="90" t="str">
        <f>VLOOKUP($F28,Admin!$A$16:$E$19,5,FALSE)</f>
        <v>K+F munkatárs</v>
      </c>
      <c r="J28" s="161" t="s">
        <v>50</v>
      </c>
      <c r="K28" s="161" t="str">
        <f t="shared" si="54"/>
        <v>2022.11</v>
      </c>
      <c r="L28" s="91" t="s">
        <v>8</v>
      </c>
      <c r="M28" s="92" t="s">
        <v>78</v>
      </c>
      <c r="N28" s="162">
        <v>673000</v>
      </c>
      <c r="O28" s="163">
        <f t="shared" ref="O28:O29" si="60">ROUND(N28*V28,0)</f>
        <v>87490</v>
      </c>
      <c r="P28" s="161">
        <v>174</v>
      </c>
      <c r="Q28" s="161">
        <v>26</v>
      </c>
      <c r="R28" s="230">
        <f t="shared" ref="R28:R29" si="61">Q28/P28</f>
        <v>0.14942528735632185</v>
      </c>
      <c r="S28" s="164">
        <f t="shared" ref="S28:S29" si="62">ROUND(N28*Q28/P28,0)</f>
        <v>100563</v>
      </c>
      <c r="T28" s="165">
        <f t="shared" ref="T28:T29" si="63">ROUND(S28*V28,0)</f>
        <v>13073</v>
      </c>
      <c r="U28" s="166">
        <f t="shared" ref="U28:U29" si="64">Q28/P28-S28/N28</f>
        <v>3.2450342438150592E-7</v>
      </c>
      <c r="V28" s="87">
        <v>0.13</v>
      </c>
      <c r="W28" s="224" t="s">
        <v>221</v>
      </c>
      <c r="X28" s="23">
        <v>44830</v>
      </c>
      <c r="Y28" s="20" t="s">
        <v>197</v>
      </c>
      <c r="Z28" s="20"/>
      <c r="AA28" s="20"/>
      <c r="AB28" s="168"/>
      <c r="AC28" s="211" t="e">
        <v>#N/A</v>
      </c>
      <c r="AD28" s="211" t="e">
        <v>#N/A</v>
      </c>
      <c r="AE28" s="211" t="e">
        <v>#N/A</v>
      </c>
    </row>
    <row r="29" spans="1:31" s="8" customFormat="1" x14ac:dyDescent="0.25">
      <c r="A29" s="189"/>
      <c r="B29" s="92" t="s">
        <v>201</v>
      </c>
      <c r="C29" s="90" t="str">
        <f>VLOOKUP($F29,Admin!$A$16:$E$19,2,FALSE)</f>
        <v>Alkalmazott (ipari) kutatás – Működési költség</v>
      </c>
      <c r="D29" s="161" t="s">
        <v>129</v>
      </c>
      <c r="E29" s="90" t="str">
        <f>VLOOKUP($F29,Admin!$A$16:$E$19,4,FALSE)</f>
        <v>54. Bérköltség - Kutató-fejlesztő munkatárs</v>
      </c>
      <c r="F29" s="90" t="s">
        <v>171</v>
      </c>
      <c r="G29" s="161" t="s">
        <v>174</v>
      </c>
      <c r="H29" s="161" t="s">
        <v>194</v>
      </c>
      <c r="I29" s="90" t="str">
        <f>VLOOKUP($F29,Admin!$A$16:$E$19,5,FALSE)</f>
        <v>K+F munkatárs</v>
      </c>
      <c r="J29" s="161" t="s">
        <v>51</v>
      </c>
      <c r="K29" s="161" t="str">
        <f t="shared" si="54"/>
        <v>2022.12</v>
      </c>
      <c r="L29" s="91" t="s">
        <v>8</v>
      </c>
      <c r="M29" s="92" t="s">
        <v>78</v>
      </c>
      <c r="N29" s="162">
        <v>672999</v>
      </c>
      <c r="O29" s="163">
        <f t="shared" si="60"/>
        <v>87490</v>
      </c>
      <c r="P29" s="161">
        <v>174</v>
      </c>
      <c r="Q29" s="161">
        <v>26</v>
      </c>
      <c r="R29" s="230">
        <f t="shared" si="61"/>
        <v>0.14942528735632185</v>
      </c>
      <c r="S29" s="164">
        <f t="shared" si="62"/>
        <v>100563</v>
      </c>
      <c r="T29" s="165">
        <f t="shared" si="63"/>
        <v>13073</v>
      </c>
      <c r="U29" s="166">
        <f t="shared" si="64"/>
        <v>1.0247491785686513E-7</v>
      </c>
      <c r="V29" s="87">
        <v>0.13</v>
      </c>
      <c r="W29" s="224" t="s">
        <v>221</v>
      </c>
      <c r="X29" s="23">
        <v>44830</v>
      </c>
      <c r="Y29" s="20" t="s">
        <v>197</v>
      </c>
      <c r="Z29" s="20"/>
      <c r="AA29" s="20"/>
      <c r="AB29" s="168"/>
      <c r="AC29" s="211" t="s">
        <v>248</v>
      </c>
      <c r="AD29" s="211" t="s">
        <v>249</v>
      </c>
      <c r="AE29" s="211" t="s">
        <v>249</v>
      </c>
    </row>
    <row r="30" spans="1:31" s="8" customFormat="1" x14ac:dyDescent="0.25">
      <c r="A30" s="189"/>
      <c r="B30" s="92" t="s">
        <v>201</v>
      </c>
      <c r="C30" s="90" t="str">
        <f>VLOOKUP($F30,Admin!$A$16:$E$19,2,FALSE)</f>
        <v>Alkalmazott (ipari) kutatás – Működési költség</v>
      </c>
      <c r="D30" s="161" t="s">
        <v>129</v>
      </c>
      <c r="E30" s="90" t="str">
        <f>VLOOKUP($F30,Admin!$A$16:$E$19,4,FALSE)</f>
        <v>54. Bérköltség - Kutató-fejlesztő munkatárs</v>
      </c>
      <c r="F30" s="90" t="s">
        <v>171</v>
      </c>
      <c r="G30" s="161" t="s">
        <v>174</v>
      </c>
      <c r="H30" s="161" t="s">
        <v>194</v>
      </c>
      <c r="I30" s="90" t="str">
        <f>VLOOKUP($F30,Admin!$A$16:$E$19,5,FALSE)</f>
        <v>K+F munkatárs</v>
      </c>
      <c r="J30" s="161" t="s">
        <v>64</v>
      </c>
      <c r="K30" s="161" t="str">
        <f t="shared" ref="K30:K32" si="65">J30</f>
        <v>2023.01</v>
      </c>
      <c r="L30" s="91" t="s">
        <v>8</v>
      </c>
      <c r="M30" s="92" t="s">
        <v>78</v>
      </c>
      <c r="N30" s="162">
        <v>713400</v>
      </c>
      <c r="O30" s="163">
        <f t="shared" ref="O30" si="66">ROUND(N30*V30,0)</f>
        <v>92742</v>
      </c>
      <c r="P30" s="161">
        <v>174</v>
      </c>
      <c r="Q30" s="161">
        <v>26</v>
      </c>
      <c r="R30" s="230">
        <f t="shared" ref="R30" si="67">Q30/P30</f>
        <v>0.14942528735632185</v>
      </c>
      <c r="S30" s="164">
        <f t="shared" ref="S30" si="68">ROUND(N30*Q30/P30,0)</f>
        <v>106600</v>
      </c>
      <c r="T30" s="165">
        <f t="shared" ref="T30" si="69">ROUND(S30*V30,0)</f>
        <v>13858</v>
      </c>
      <c r="U30" s="166">
        <f t="shared" ref="U30" si="70">Q30/P30-S30/N30</f>
        <v>0</v>
      </c>
      <c r="V30" s="87">
        <v>0.13</v>
      </c>
      <c r="W30" s="224" t="s">
        <v>221</v>
      </c>
      <c r="X30" s="23">
        <v>44944</v>
      </c>
      <c r="Y30" s="20" t="s">
        <v>197</v>
      </c>
      <c r="Z30" s="20"/>
      <c r="AA30" s="20"/>
      <c r="AB30" s="168"/>
      <c r="AC30" s="211" t="s">
        <v>248</v>
      </c>
      <c r="AD30" s="219">
        <v>1</v>
      </c>
      <c r="AE30" s="211">
        <v>0</v>
      </c>
    </row>
    <row r="31" spans="1:31" s="8" customFormat="1" x14ac:dyDescent="0.25">
      <c r="A31" s="189"/>
      <c r="B31" s="92" t="s">
        <v>201</v>
      </c>
      <c r="C31" s="90" t="str">
        <f>VLOOKUP($F31,Admin!$A$16:$E$19,2,FALSE)</f>
        <v>Alkalmazott (ipari) kutatás – Működési költség</v>
      </c>
      <c r="D31" s="161" t="s">
        <v>129</v>
      </c>
      <c r="E31" s="90" t="str">
        <f>VLOOKUP($F31,Admin!$A$16:$E$19,4,FALSE)</f>
        <v>54. Bérköltség - Kutató-fejlesztő munkatárs</v>
      </c>
      <c r="F31" s="90" t="s">
        <v>171</v>
      </c>
      <c r="G31" s="161" t="s">
        <v>174</v>
      </c>
      <c r="H31" s="161" t="s">
        <v>194</v>
      </c>
      <c r="I31" s="90" t="str">
        <f>VLOOKUP($F31,Admin!$A$16:$E$19,5,FALSE)</f>
        <v>K+F munkatárs</v>
      </c>
      <c r="J31" s="161" t="s">
        <v>65</v>
      </c>
      <c r="K31" s="161" t="str">
        <f t="shared" si="65"/>
        <v>2023.02</v>
      </c>
      <c r="L31" s="91" t="s">
        <v>8</v>
      </c>
      <c r="M31" s="92" t="s">
        <v>78</v>
      </c>
      <c r="N31" s="162">
        <v>713400</v>
      </c>
      <c r="O31" s="163">
        <f t="shared" ref="O31:O32" si="71">ROUND(N31*V31,0)</f>
        <v>92742</v>
      </c>
      <c r="P31" s="161">
        <v>174</v>
      </c>
      <c r="Q31" s="161">
        <v>26</v>
      </c>
      <c r="R31" s="230">
        <f t="shared" ref="R31:R32" si="72">Q31/P31</f>
        <v>0.14942528735632185</v>
      </c>
      <c r="S31" s="164">
        <f t="shared" ref="S31:S32" si="73">ROUND(N31*Q31/P31,0)</f>
        <v>106600</v>
      </c>
      <c r="T31" s="165">
        <f t="shared" ref="T31:T32" si="74">ROUND(S31*V31,0)</f>
        <v>13858</v>
      </c>
      <c r="U31" s="166">
        <f t="shared" ref="U31:U32" si="75">Q31/P31-S31/N31</f>
        <v>0</v>
      </c>
      <c r="V31" s="87">
        <v>0.13</v>
      </c>
      <c r="W31" s="224" t="s">
        <v>221</v>
      </c>
      <c r="X31" s="23">
        <v>44944</v>
      </c>
      <c r="Y31" s="20" t="s">
        <v>197</v>
      </c>
      <c r="Z31" s="20"/>
      <c r="AA31" s="20"/>
      <c r="AB31" s="168"/>
      <c r="AC31" s="8" t="s">
        <v>248</v>
      </c>
      <c r="AD31" s="8">
        <v>146601</v>
      </c>
      <c r="AE31" s="8">
        <v>19058</v>
      </c>
    </row>
    <row r="32" spans="1:31" s="8" customFormat="1" x14ac:dyDescent="0.25">
      <c r="A32" s="189"/>
      <c r="B32" s="92" t="s">
        <v>201</v>
      </c>
      <c r="C32" s="90" t="str">
        <f>VLOOKUP($F32,Admin!$A$16:$E$19,2,FALSE)</f>
        <v>Alkalmazott (ipari) kutatás – Működési költség</v>
      </c>
      <c r="D32" s="161" t="s">
        <v>129</v>
      </c>
      <c r="E32" s="90" t="str">
        <f>VLOOKUP($F32,Admin!$A$16:$E$19,4,FALSE)</f>
        <v>54. Bérköltség - Kutató-fejlesztő munkatárs</v>
      </c>
      <c r="F32" s="90" t="s">
        <v>171</v>
      </c>
      <c r="G32" s="161" t="s">
        <v>174</v>
      </c>
      <c r="H32" s="161" t="s">
        <v>194</v>
      </c>
      <c r="I32" s="90" t="str">
        <f>VLOOKUP($F32,Admin!$A$16:$E$19,5,FALSE)</f>
        <v>K+F munkatárs</v>
      </c>
      <c r="J32" s="161" t="s">
        <v>66</v>
      </c>
      <c r="K32" s="161" t="str">
        <f t="shared" si="65"/>
        <v>2023.03</v>
      </c>
      <c r="L32" s="91" t="s">
        <v>8</v>
      </c>
      <c r="M32" s="92" t="s">
        <v>78</v>
      </c>
      <c r="N32" s="162">
        <v>860000</v>
      </c>
      <c r="O32" s="163">
        <f t="shared" si="71"/>
        <v>111800</v>
      </c>
      <c r="P32" s="161">
        <v>174</v>
      </c>
      <c r="Q32" s="161">
        <v>21</v>
      </c>
      <c r="R32" s="230">
        <f t="shared" si="72"/>
        <v>0.1206896551724138</v>
      </c>
      <c r="S32" s="164">
        <f t="shared" si="73"/>
        <v>103793</v>
      </c>
      <c r="T32" s="165">
        <f t="shared" si="74"/>
        <v>13493</v>
      </c>
      <c r="U32" s="166">
        <f t="shared" si="75"/>
        <v>1.2028869286750954E-7</v>
      </c>
      <c r="V32" s="87">
        <v>0.13</v>
      </c>
      <c r="W32" s="224" t="s">
        <v>221</v>
      </c>
      <c r="X32" s="23">
        <v>44980</v>
      </c>
      <c r="Y32" s="20" t="s">
        <v>197</v>
      </c>
      <c r="Z32" s="20"/>
      <c r="AA32" s="20"/>
      <c r="AB32" s="168"/>
      <c r="AC32" s="8" t="s">
        <v>248</v>
      </c>
      <c r="AD32" s="8">
        <v>1</v>
      </c>
      <c r="AE32" s="8">
        <v>0</v>
      </c>
    </row>
    <row r="33" spans="1:31" s="8" customFormat="1" x14ac:dyDescent="0.25">
      <c r="A33" s="189"/>
      <c r="B33" s="92" t="s">
        <v>201</v>
      </c>
      <c r="C33" s="90" t="str">
        <f>VLOOKUP($F33,Admin!$A$16:$E$19,2,FALSE)</f>
        <v>Alkalmazott (ipari) kutatás – Működési költség</v>
      </c>
      <c r="D33" s="161" t="s">
        <v>129</v>
      </c>
      <c r="E33" s="90" t="str">
        <f>VLOOKUP($F33,Admin!$A$16:$E$19,4,FALSE)</f>
        <v>54. Bérköltség - Kutató-fejlesztő munkatárs</v>
      </c>
      <c r="F33" s="90" t="s">
        <v>171</v>
      </c>
      <c r="G33" s="161" t="s">
        <v>174</v>
      </c>
      <c r="H33" s="161" t="s">
        <v>194</v>
      </c>
      <c r="I33" s="90" t="str">
        <f>VLOOKUP($F33,Admin!$A$16:$E$19,5,FALSE)</f>
        <v>K+F munkatárs</v>
      </c>
      <c r="J33" s="161" t="s">
        <v>67</v>
      </c>
      <c r="K33" s="161" t="str">
        <f t="shared" ref="K33:K35" si="76">J33</f>
        <v>2023.04</v>
      </c>
      <c r="L33" s="91" t="s">
        <v>8</v>
      </c>
      <c r="M33" s="92" t="s">
        <v>78</v>
      </c>
      <c r="N33" s="162">
        <v>860000</v>
      </c>
      <c r="O33" s="163">
        <f t="shared" ref="O33:O35" si="77">ROUND(N33*V33,0)</f>
        <v>111800</v>
      </c>
      <c r="P33" s="161">
        <v>174</v>
      </c>
      <c r="Q33" s="161">
        <v>21</v>
      </c>
      <c r="R33" s="230">
        <f t="shared" ref="R33:R35" si="78">Q33/P33</f>
        <v>0.1206896551724138</v>
      </c>
      <c r="S33" s="164">
        <f t="shared" ref="S33:S35" si="79">ROUND(N33*Q33/P33,0)</f>
        <v>103793</v>
      </c>
      <c r="T33" s="165">
        <f t="shared" ref="T33:T35" si="80">ROUND(S33*V33,0)</f>
        <v>13493</v>
      </c>
      <c r="U33" s="166">
        <f t="shared" ref="U33:U35" si="81">Q33/P33-S33/N33</f>
        <v>1.2028869286750954E-7</v>
      </c>
      <c r="V33" s="87">
        <v>0.13</v>
      </c>
      <c r="W33" s="224" t="s">
        <v>221</v>
      </c>
      <c r="X33" s="23">
        <v>44980</v>
      </c>
      <c r="Y33" s="20" t="s">
        <v>197</v>
      </c>
      <c r="Z33" s="20"/>
      <c r="AA33" s="20"/>
      <c r="AB33" s="168"/>
      <c r="AC33" s="8" t="s">
        <v>248</v>
      </c>
      <c r="AD33" s="235">
        <v>1</v>
      </c>
      <c r="AE33" s="8">
        <v>0</v>
      </c>
    </row>
    <row r="34" spans="1:31" s="8" customFormat="1" x14ac:dyDescent="0.25">
      <c r="A34" s="189"/>
      <c r="B34" s="92" t="s">
        <v>201</v>
      </c>
      <c r="C34" s="90" t="str">
        <f>VLOOKUP($F34,Admin!$A$16:$E$19,2,FALSE)</f>
        <v>Alkalmazott (ipari) kutatás – Működési költség</v>
      </c>
      <c r="D34" s="161" t="s">
        <v>129</v>
      </c>
      <c r="E34" s="90" t="str">
        <f>VLOOKUP($F34,Admin!$A$16:$E$19,4,FALSE)</f>
        <v>54. Bérköltség - Kutató-fejlesztő munkatárs</v>
      </c>
      <c r="F34" s="90" t="s">
        <v>171</v>
      </c>
      <c r="G34" s="161" t="s">
        <v>174</v>
      </c>
      <c r="H34" s="161" t="s">
        <v>194</v>
      </c>
      <c r="I34" s="90" t="str">
        <f>VLOOKUP($F34,Admin!$A$16:$E$19,5,FALSE)</f>
        <v>K+F munkatárs</v>
      </c>
      <c r="J34" s="161" t="s">
        <v>68</v>
      </c>
      <c r="K34" s="161" t="str">
        <f t="shared" si="76"/>
        <v>2023.05</v>
      </c>
      <c r="L34" s="91" t="s">
        <v>9</v>
      </c>
      <c r="M34" s="92" t="s">
        <v>78</v>
      </c>
      <c r="N34" s="162">
        <v>860000</v>
      </c>
      <c r="O34" s="163">
        <f t="shared" si="77"/>
        <v>111800</v>
      </c>
      <c r="P34" s="161">
        <v>174</v>
      </c>
      <c r="Q34" s="161">
        <v>21</v>
      </c>
      <c r="R34" s="230">
        <f t="shared" si="78"/>
        <v>0.1206896551724138</v>
      </c>
      <c r="S34" s="164">
        <f t="shared" si="79"/>
        <v>103793</v>
      </c>
      <c r="T34" s="165">
        <f t="shared" si="80"/>
        <v>13493</v>
      </c>
      <c r="U34" s="166">
        <f t="shared" si="81"/>
        <v>1.2028869286750954E-7</v>
      </c>
      <c r="V34" s="87">
        <v>0.13</v>
      </c>
      <c r="W34" s="224" t="s">
        <v>221</v>
      </c>
      <c r="X34" s="23">
        <v>44980</v>
      </c>
      <c r="Y34" s="20" t="s">
        <v>197</v>
      </c>
      <c r="Z34" s="20"/>
      <c r="AA34" s="20"/>
      <c r="AB34" s="168"/>
      <c r="AC34" s="211"/>
      <c r="AD34" s="211"/>
      <c r="AE34" s="211"/>
    </row>
    <row r="35" spans="1:31" s="8" customFormat="1" x14ac:dyDescent="0.25">
      <c r="A35" s="189"/>
      <c r="B35" s="92" t="s">
        <v>201</v>
      </c>
      <c r="C35" s="90" t="str">
        <f>VLOOKUP($F35,Admin!$A$16:$E$19,2,FALSE)</f>
        <v>Alkalmazott (ipari) kutatás – Működési költség</v>
      </c>
      <c r="D35" s="161" t="s">
        <v>129</v>
      </c>
      <c r="E35" s="90" t="str">
        <f>VLOOKUP($F35,Admin!$A$16:$E$19,4,FALSE)</f>
        <v>54. Bérköltség - Kutató-fejlesztő munkatárs</v>
      </c>
      <c r="F35" s="90" t="s">
        <v>171</v>
      </c>
      <c r="G35" s="161" t="s">
        <v>174</v>
      </c>
      <c r="H35" s="161" t="s">
        <v>194</v>
      </c>
      <c r="I35" s="90" t="str">
        <f>VLOOKUP($F35,Admin!$A$16:$E$19,5,FALSE)</f>
        <v>K+F munkatárs</v>
      </c>
      <c r="J35" s="161" t="s">
        <v>69</v>
      </c>
      <c r="K35" s="161" t="str">
        <f t="shared" si="76"/>
        <v>2023.06</v>
      </c>
      <c r="L35" s="91" t="s">
        <v>9</v>
      </c>
      <c r="M35" s="92" t="s">
        <v>78</v>
      </c>
      <c r="N35" s="162">
        <v>860000</v>
      </c>
      <c r="O35" s="163">
        <f t="shared" si="77"/>
        <v>111800</v>
      </c>
      <c r="P35" s="161">
        <v>174</v>
      </c>
      <c r="Q35" s="161">
        <v>21</v>
      </c>
      <c r="R35" s="230">
        <f t="shared" si="78"/>
        <v>0.1206896551724138</v>
      </c>
      <c r="S35" s="164">
        <f t="shared" si="79"/>
        <v>103793</v>
      </c>
      <c r="T35" s="165">
        <f t="shared" si="80"/>
        <v>13493</v>
      </c>
      <c r="U35" s="166">
        <f t="shared" si="81"/>
        <v>1.2028869286750954E-7</v>
      </c>
      <c r="V35" s="87">
        <v>0.13</v>
      </c>
      <c r="W35" s="224" t="s">
        <v>221</v>
      </c>
      <c r="X35" s="23">
        <v>44980</v>
      </c>
      <c r="Y35" s="20" t="s">
        <v>197</v>
      </c>
      <c r="Z35" s="20"/>
      <c r="AA35" s="20"/>
      <c r="AB35" s="168"/>
      <c r="AC35" s="211"/>
      <c r="AD35" s="211"/>
      <c r="AE35" s="211"/>
    </row>
    <row r="36" spans="1:31" s="8" customFormat="1" x14ac:dyDescent="0.25">
      <c r="A36" s="208">
        <v>1</v>
      </c>
      <c r="B36" s="92" t="s">
        <v>200</v>
      </c>
      <c r="C36" s="90" t="str">
        <f>VLOOKUP($F36,Admin!$A$16:$E$19,2,FALSE)</f>
        <v>Alkalmazott (ipari) kutatás – Működési költség</v>
      </c>
      <c r="D36" s="161" t="s">
        <v>129</v>
      </c>
      <c r="E36" s="90" t="str">
        <f>VLOOKUP($F36,Admin!$A$16:$E$19,4,FALSE)</f>
        <v>54. Bérköltség - Kutató-fejlesztő munkatárs</v>
      </c>
      <c r="F36" s="90" t="s">
        <v>171</v>
      </c>
      <c r="G36" s="161" t="s">
        <v>174</v>
      </c>
      <c r="H36" s="161" t="s">
        <v>195</v>
      </c>
      <c r="I36" s="90" t="str">
        <f>VLOOKUP($F36,Admin!$A$16:$E$19,5,FALSE)</f>
        <v>K+F munkatárs</v>
      </c>
      <c r="J36" s="161" t="s">
        <v>43</v>
      </c>
      <c r="K36" s="161" t="str">
        <f t="shared" ref="K36:K38" si="82">J36</f>
        <v>2022.04</v>
      </c>
      <c r="L36" s="91" t="s">
        <v>8</v>
      </c>
      <c r="M36" s="92" t="s">
        <v>78</v>
      </c>
      <c r="N36" s="162">
        <v>552500</v>
      </c>
      <c r="O36" s="163">
        <f t="shared" ref="O36:O54" si="83">ROUND(N36*V36,0)</f>
        <v>71825</v>
      </c>
      <c r="P36" s="161">
        <v>174</v>
      </c>
      <c r="Q36" s="161">
        <v>47</v>
      </c>
      <c r="R36" s="230">
        <f t="shared" ref="R36" si="84">Q36/P36</f>
        <v>0.27011494252873564</v>
      </c>
      <c r="S36" s="164">
        <f t="shared" ref="S36" si="85">ROUND(N36*Q36/P36,0)</f>
        <v>149239</v>
      </c>
      <c r="T36" s="165">
        <f t="shared" ref="T36" si="86">ROUND(S36*V36,0)</f>
        <v>19401</v>
      </c>
      <c r="U36" s="166">
        <f t="shared" ref="U36" si="87">Q36/P36-S36/N36</f>
        <v>-8.9457533675174616E-7</v>
      </c>
      <c r="V36" s="87">
        <v>0.13</v>
      </c>
      <c r="W36" s="224"/>
      <c r="X36" s="23">
        <v>44644</v>
      </c>
      <c r="Y36" s="20" t="s">
        <v>197</v>
      </c>
      <c r="Z36" s="20"/>
      <c r="AA36" s="20"/>
      <c r="AB36" s="168"/>
    </row>
    <row r="37" spans="1:31" s="8" customFormat="1" x14ac:dyDescent="0.25">
      <c r="A37" s="208">
        <v>1</v>
      </c>
      <c r="B37" s="92" t="s">
        <v>200</v>
      </c>
      <c r="C37" s="90" t="str">
        <f>VLOOKUP($F37,Admin!$A$16:$E$19,2,FALSE)</f>
        <v>Alkalmazott (ipari) kutatás – Működési költség</v>
      </c>
      <c r="D37" s="161" t="s">
        <v>129</v>
      </c>
      <c r="E37" s="90" t="str">
        <f>VLOOKUP($F37,Admin!$A$16:$E$19,4,FALSE)</f>
        <v>54. Bérköltség - Kutató-fejlesztő munkatárs</v>
      </c>
      <c r="F37" s="90" t="s">
        <v>171</v>
      </c>
      <c r="G37" s="161" t="s">
        <v>174</v>
      </c>
      <c r="H37" s="161" t="s">
        <v>195</v>
      </c>
      <c r="I37" s="90" t="str">
        <f>VLOOKUP($F37,Admin!$A$16:$E$19,5,FALSE)</f>
        <v>K+F munkatárs</v>
      </c>
      <c r="J37" s="161" t="s">
        <v>44</v>
      </c>
      <c r="K37" s="161" t="str">
        <f t="shared" si="82"/>
        <v>2022.05</v>
      </c>
      <c r="L37" s="91" t="s">
        <v>8</v>
      </c>
      <c r="M37" s="92" t="s">
        <v>78</v>
      </c>
      <c r="N37" s="162">
        <v>552500</v>
      </c>
      <c r="O37" s="163">
        <f t="shared" ref="O37:O38" si="88">ROUND(N37*V37,0)</f>
        <v>71825</v>
      </c>
      <c r="P37" s="161">
        <v>174</v>
      </c>
      <c r="Q37" s="161">
        <v>47</v>
      </c>
      <c r="R37" s="230">
        <f t="shared" ref="R37:R38" si="89">Q37/P37</f>
        <v>0.27011494252873564</v>
      </c>
      <c r="S37" s="164">
        <f t="shared" ref="S37:S38" si="90">ROUND(N37*Q37/P37,0)</f>
        <v>149239</v>
      </c>
      <c r="T37" s="165">
        <f t="shared" ref="T37:T38" si="91">ROUND(S37*V37,0)</f>
        <v>19401</v>
      </c>
      <c r="U37" s="166">
        <f t="shared" ref="U37:U38" si="92">Q37/P37-S37/N37</f>
        <v>-8.9457533675174616E-7</v>
      </c>
      <c r="V37" s="87">
        <v>0.13</v>
      </c>
      <c r="W37" s="224"/>
      <c r="X37" s="23">
        <v>44644</v>
      </c>
      <c r="Y37" s="20" t="s">
        <v>197</v>
      </c>
      <c r="Z37" s="20"/>
      <c r="AA37" s="20"/>
      <c r="AB37" s="168"/>
    </row>
    <row r="38" spans="1:31" s="8" customFormat="1" x14ac:dyDescent="0.25">
      <c r="A38" s="208">
        <v>1</v>
      </c>
      <c r="B38" s="92" t="s">
        <v>200</v>
      </c>
      <c r="C38" s="90" t="str">
        <f>VLOOKUP($F38,Admin!$A$16:$E$19,2,FALSE)</f>
        <v>Alkalmazott (ipari) kutatás – Működési költség</v>
      </c>
      <c r="D38" s="161" t="s">
        <v>129</v>
      </c>
      <c r="E38" s="90" t="str">
        <f>VLOOKUP($F38,Admin!$A$16:$E$19,4,FALSE)</f>
        <v>54. Bérköltség - Kutató-fejlesztő munkatárs</v>
      </c>
      <c r="F38" s="90" t="s">
        <v>171</v>
      </c>
      <c r="G38" s="161" t="s">
        <v>174</v>
      </c>
      <c r="H38" s="161" t="s">
        <v>195</v>
      </c>
      <c r="I38" s="90" t="str">
        <f>VLOOKUP($F38,Admin!$A$16:$E$19,5,FALSE)</f>
        <v>K+F munkatárs</v>
      </c>
      <c r="J38" s="161" t="s">
        <v>45</v>
      </c>
      <c r="K38" s="161" t="str">
        <f t="shared" si="82"/>
        <v>2022.06</v>
      </c>
      <c r="L38" s="91" t="s">
        <v>8</v>
      </c>
      <c r="M38" s="92" t="s">
        <v>78</v>
      </c>
      <c r="N38" s="162">
        <v>552500</v>
      </c>
      <c r="O38" s="163">
        <f t="shared" si="88"/>
        <v>71825</v>
      </c>
      <c r="P38" s="161">
        <v>174</v>
      </c>
      <c r="Q38" s="161">
        <v>47</v>
      </c>
      <c r="R38" s="230">
        <f t="shared" si="89"/>
        <v>0.27011494252873564</v>
      </c>
      <c r="S38" s="164">
        <f t="shared" si="90"/>
        <v>149239</v>
      </c>
      <c r="T38" s="165">
        <f t="shared" si="91"/>
        <v>19401</v>
      </c>
      <c r="U38" s="166">
        <f t="shared" si="92"/>
        <v>-8.9457533675174616E-7</v>
      </c>
      <c r="V38" s="87">
        <v>0.13</v>
      </c>
      <c r="W38" s="224"/>
      <c r="X38" s="23">
        <v>44713</v>
      </c>
      <c r="Y38" s="20" t="s">
        <v>197</v>
      </c>
      <c r="Z38" s="20"/>
      <c r="AA38" s="20"/>
      <c r="AB38" s="168"/>
    </row>
    <row r="39" spans="1:31" s="8" customFormat="1" x14ac:dyDescent="0.25">
      <c r="A39" s="208">
        <v>1</v>
      </c>
      <c r="B39" s="92" t="s">
        <v>200</v>
      </c>
      <c r="C39" s="90" t="str">
        <f>VLOOKUP($F39,Admin!$A$16:$E$19,2,FALSE)</f>
        <v>Alkalmazott (ipari) kutatás – Működési költség</v>
      </c>
      <c r="D39" s="161" t="s">
        <v>129</v>
      </c>
      <c r="E39" s="90" t="str">
        <f>VLOOKUP($F39,Admin!$A$16:$E$19,4,FALSE)</f>
        <v>54. Bérköltség - Kutató-fejlesztő munkatárs</v>
      </c>
      <c r="F39" s="90" t="s">
        <v>171</v>
      </c>
      <c r="G39" s="161" t="s">
        <v>174</v>
      </c>
      <c r="H39" s="161" t="s">
        <v>195</v>
      </c>
      <c r="I39" s="90" t="str">
        <f>VLOOKUP($F39,Admin!$A$16:$E$19,5,FALSE)</f>
        <v>K+F munkatárs</v>
      </c>
      <c r="J39" s="161" t="s">
        <v>46</v>
      </c>
      <c r="K39" s="161" t="str">
        <f t="shared" ref="K39:K41" si="93">J39</f>
        <v>2022.07</v>
      </c>
      <c r="L39" s="91" t="s">
        <v>8</v>
      </c>
      <c r="M39" s="92" t="s">
        <v>78</v>
      </c>
      <c r="N39" s="162">
        <v>552500</v>
      </c>
      <c r="O39" s="163">
        <f t="shared" ref="O39" si="94">ROUND(N39*V39,0)</f>
        <v>71825</v>
      </c>
      <c r="P39" s="161">
        <v>174</v>
      </c>
      <c r="Q39" s="161">
        <v>47</v>
      </c>
      <c r="R39" s="230">
        <f t="shared" ref="R39" si="95">Q39/P39</f>
        <v>0.27011494252873564</v>
      </c>
      <c r="S39" s="164">
        <f t="shared" ref="S39" si="96">ROUND(N39*Q39/P39,0)</f>
        <v>149239</v>
      </c>
      <c r="T39" s="165">
        <f t="shared" ref="T39" si="97">ROUND(S39*V39,0)</f>
        <v>19401</v>
      </c>
      <c r="U39" s="166">
        <f t="shared" ref="U39" si="98">Q39/P39-S39/N39</f>
        <v>-8.9457533675174616E-7</v>
      </c>
      <c r="V39" s="87">
        <v>0.13</v>
      </c>
      <c r="W39" s="224"/>
      <c r="X39" s="23">
        <v>44741</v>
      </c>
      <c r="Y39" s="20" t="s">
        <v>197</v>
      </c>
      <c r="Z39" s="20"/>
      <c r="AA39" s="20"/>
      <c r="AB39" s="168"/>
    </row>
    <row r="40" spans="1:31" s="8" customFormat="1" x14ac:dyDescent="0.25">
      <c r="A40" s="208">
        <v>1</v>
      </c>
      <c r="B40" s="92" t="s">
        <v>200</v>
      </c>
      <c r="C40" s="90" t="str">
        <f>VLOOKUP($F40,Admin!$A$16:$E$19,2,FALSE)</f>
        <v>Alkalmazott (ipari) kutatás – Működési költség</v>
      </c>
      <c r="D40" s="161" t="s">
        <v>129</v>
      </c>
      <c r="E40" s="90" t="str">
        <f>VLOOKUP($F40,Admin!$A$16:$E$19,4,FALSE)</f>
        <v>54. Bérköltség - Kutató-fejlesztő munkatárs</v>
      </c>
      <c r="F40" s="90" t="s">
        <v>171</v>
      </c>
      <c r="G40" s="161" t="s">
        <v>174</v>
      </c>
      <c r="H40" s="161" t="s">
        <v>195</v>
      </c>
      <c r="I40" s="90" t="str">
        <f>VLOOKUP($F40,Admin!$A$16:$E$19,5,FALSE)</f>
        <v>K+F munkatárs</v>
      </c>
      <c r="J40" s="161" t="s">
        <v>47</v>
      </c>
      <c r="K40" s="161" t="str">
        <f t="shared" si="93"/>
        <v>2022.08</v>
      </c>
      <c r="L40" s="91" t="s">
        <v>8</v>
      </c>
      <c r="M40" s="92" t="s">
        <v>78</v>
      </c>
      <c r="N40" s="162">
        <v>552500</v>
      </c>
      <c r="O40" s="163">
        <f t="shared" ref="O40:O41" si="99">ROUND(N40*V40,0)</f>
        <v>71825</v>
      </c>
      <c r="P40" s="161">
        <v>174</v>
      </c>
      <c r="Q40" s="161">
        <v>47</v>
      </c>
      <c r="R40" s="230">
        <f t="shared" ref="R40:R41" si="100">Q40/P40</f>
        <v>0.27011494252873564</v>
      </c>
      <c r="S40" s="164">
        <f t="shared" ref="S40:S41" si="101">ROUND(N40*Q40/P40,0)</f>
        <v>149239</v>
      </c>
      <c r="T40" s="165">
        <f t="shared" ref="T40:T41" si="102">ROUND(S40*V40,0)</f>
        <v>19401</v>
      </c>
      <c r="U40" s="166">
        <f t="shared" ref="U40:U41" si="103">Q40/P40-S40/N40</f>
        <v>-8.9457533675174616E-7</v>
      </c>
      <c r="V40" s="87">
        <v>0.13</v>
      </c>
      <c r="W40" s="224"/>
      <c r="X40" s="23">
        <v>44741</v>
      </c>
      <c r="Y40" s="20" t="s">
        <v>197</v>
      </c>
      <c r="Z40" s="20"/>
      <c r="AA40" s="20"/>
      <c r="AB40" s="168"/>
    </row>
    <row r="41" spans="1:31" s="8" customFormat="1" x14ac:dyDescent="0.25">
      <c r="A41" s="208">
        <v>1</v>
      </c>
      <c r="B41" s="92" t="s">
        <v>200</v>
      </c>
      <c r="C41" s="90" t="str">
        <f>VLOOKUP($F41,Admin!$A$16:$E$19,2,FALSE)</f>
        <v>Alkalmazott (ipari) kutatás – Működési költség</v>
      </c>
      <c r="D41" s="161" t="s">
        <v>129</v>
      </c>
      <c r="E41" s="90" t="str">
        <f>VLOOKUP($F41,Admin!$A$16:$E$19,4,FALSE)</f>
        <v>54. Bérköltség - Kutató-fejlesztő munkatárs</v>
      </c>
      <c r="F41" s="90" t="s">
        <v>171</v>
      </c>
      <c r="G41" s="161" t="s">
        <v>174</v>
      </c>
      <c r="H41" s="161" t="s">
        <v>195</v>
      </c>
      <c r="I41" s="90" t="str">
        <f>VLOOKUP($F41,Admin!$A$16:$E$19,5,FALSE)</f>
        <v>K+F munkatárs</v>
      </c>
      <c r="J41" s="161" t="s">
        <v>48</v>
      </c>
      <c r="K41" s="161" t="str">
        <f t="shared" si="93"/>
        <v>2022.09</v>
      </c>
      <c r="L41" s="91" t="s">
        <v>8</v>
      </c>
      <c r="M41" s="92" t="s">
        <v>78</v>
      </c>
      <c r="N41" s="162">
        <v>552500</v>
      </c>
      <c r="O41" s="163">
        <f t="shared" si="99"/>
        <v>71825</v>
      </c>
      <c r="P41" s="161">
        <v>174</v>
      </c>
      <c r="Q41" s="161">
        <v>47</v>
      </c>
      <c r="R41" s="230">
        <f t="shared" si="100"/>
        <v>0.27011494252873564</v>
      </c>
      <c r="S41" s="164">
        <f t="shared" si="101"/>
        <v>149239</v>
      </c>
      <c r="T41" s="165">
        <f t="shared" si="102"/>
        <v>19401</v>
      </c>
      <c r="U41" s="166">
        <f t="shared" si="103"/>
        <v>-8.9457533675174616E-7</v>
      </c>
      <c r="V41" s="87">
        <v>0.13</v>
      </c>
      <c r="W41" s="224"/>
      <c r="X41" s="23">
        <v>44741</v>
      </c>
      <c r="Y41" s="20" t="s">
        <v>197</v>
      </c>
      <c r="Z41" s="20"/>
      <c r="AA41" s="20"/>
      <c r="AB41" s="168"/>
    </row>
    <row r="42" spans="1:31" s="8" customFormat="1" x14ac:dyDescent="0.25">
      <c r="A42" s="189"/>
      <c r="B42" s="92" t="s">
        <v>200</v>
      </c>
      <c r="C42" s="90" t="str">
        <f>VLOOKUP($F42,Admin!$A$16:$E$19,2,FALSE)</f>
        <v>Alkalmazott (ipari) kutatás – Működési költség</v>
      </c>
      <c r="D42" s="161" t="s">
        <v>129</v>
      </c>
      <c r="E42" s="90" t="str">
        <f>VLOOKUP($F42,Admin!$A$16:$E$19,4,FALSE)</f>
        <v>54. Bérköltség - Kutató-fejlesztő munkatárs</v>
      </c>
      <c r="F42" s="90" t="s">
        <v>171</v>
      </c>
      <c r="G42" s="161" t="s">
        <v>174</v>
      </c>
      <c r="H42" s="161" t="s">
        <v>195</v>
      </c>
      <c r="I42" s="90" t="str">
        <f>VLOOKUP($F42,Admin!$A$16:$E$19,5,FALSE)</f>
        <v>K+F munkatárs</v>
      </c>
      <c r="J42" s="161" t="s">
        <v>49</v>
      </c>
      <c r="K42" s="161" t="str">
        <f t="shared" ref="K42:K44" si="104">J42</f>
        <v>2022.10</v>
      </c>
      <c r="L42" s="91" t="s">
        <v>8</v>
      </c>
      <c r="M42" s="92" t="s">
        <v>78</v>
      </c>
      <c r="N42" s="162">
        <v>427500</v>
      </c>
      <c r="O42" s="163">
        <f t="shared" ref="O42" si="105">ROUND(N42*V42,0)</f>
        <v>55575</v>
      </c>
      <c r="P42" s="161">
        <v>174</v>
      </c>
      <c r="Q42" s="161">
        <v>62</v>
      </c>
      <c r="R42" s="230">
        <f t="shared" ref="R42" si="106">Q42/P42</f>
        <v>0.35632183908045978</v>
      </c>
      <c r="S42" s="164">
        <f t="shared" ref="S42" si="107">ROUND(N42*Q42/P42,0)</f>
        <v>152328</v>
      </c>
      <c r="T42" s="165">
        <f t="shared" ref="T42" si="108">ROUND(S42*V42,0)</f>
        <v>19803</v>
      </c>
      <c r="U42" s="166">
        <f t="shared" ref="U42" si="109">Q42/P42-S42/N42</f>
        <v>-9.679370840953716E-7</v>
      </c>
      <c r="V42" s="87">
        <v>0.13</v>
      </c>
      <c r="W42" s="224"/>
      <c r="X42" s="23">
        <v>44830</v>
      </c>
      <c r="Y42" s="20" t="s">
        <v>197</v>
      </c>
      <c r="Z42" s="20"/>
      <c r="AA42" s="20"/>
      <c r="AB42" s="168"/>
    </row>
    <row r="43" spans="1:31" s="8" customFormat="1" x14ac:dyDescent="0.25">
      <c r="A43" s="189"/>
      <c r="B43" s="92" t="s">
        <v>200</v>
      </c>
      <c r="C43" s="90" t="str">
        <f>VLOOKUP($F43,Admin!$A$16:$E$19,2,FALSE)</f>
        <v>Alkalmazott (ipari) kutatás – Működési költség</v>
      </c>
      <c r="D43" s="161" t="s">
        <v>129</v>
      </c>
      <c r="E43" s="90" t="str">
        <f>VLOOKUP($F43,Admin!$A$16:$E$19,4,FALSE)</f>
        <v>54. Bérköltség - Kutató-fejlesztő munkatárs</v>
      </c>
      <c r="F43" s="90" t="s">
        <v>171</v>
      </c>
      <c r="G43" s="161" t="s">
        <v>174</v>
      </c>
      <c r="H43" s="161" t="s">
        <v>195</v>
      </c>
      <c r="I43" s="90" t="str">
        <f>VLOOKUP($F43,Admin!$A$16:$E$19,5,FALSE)</f>
        <v>K+F munkatárs</v>
      </c>
      <c r="J43" s="161" t="s">
        <v>50</v>
      </c>
      <c r="K43" s="161" t="str">
        <f t="shared" si="104"/>
        <v>2022.11</v>
      </c>
      <c r="L43" s="91" t="s">
        <v>8</v>
      </c>
      <c r="M43" s="92" t="s">
        <v>78</v>
      </c>
      <c r="N43" s="162">
        <v>427500</v>
      </c>
      <c r="O43" s="163">
        <f t="shared" ref="O43:O44" si="110">ROUND(N43*V43,0)</f>
        <v>55575</v>
      </c>
      <c r="P43" s="161">
        <v>174</v>
      </c>
      <c r="Q43" s="161">
        <v>62</v>
      </c>
      <c r="R43" s="230">
        <f t="shared" ref="R43:R44" si="111">Q43/P43</f>
        <v>0.35632183908045978</v>
      </c>
      <c r="S43" s="164">
        <f t="shared" ref="S43:S44" si="112">ROUND(N43*Q43/P43,0)</f>
        <v>152328</v>
      </c>
      <c r="T43" s="165">
        <f t="shared" ref="T43:T44" si="113">ROUND(S43*V43,0)</f>
        <v>19803</v>
      </c>
      <c r="U43" s="166">
        <f t="shared" ref="U43:U44" si="114">Q43/P43-S43/N43</f>
        <v>-9.679370840953716E-7</v>
      </c>
      <c r="V43" s="87">
        <v>0.13</v>
      </c>
      <c r="W43" s="224" t="s">
        <v>222</v>
      </c>
      <c r="X43" s="23">
        <v>44830</v>
      </c>
      <c r="Y43" s="20" t="s">
        <v>197</v>
      </c>
      <c r="Z43" s="20"/>
      <c r="AA43" s="20"/>
      <c r="AB43" s="168"/>
      <c r="AC43" s="211" t="e">
        <v>#N/A</v>
      </c>
      <c r="AD43" s="211" t="e">
        <v>#N/A</v>
      </c>
      <c r="AE43" s="211" t="e">
        <v>#N/A</v>
      </c>
    </row>
    <row r="44" spans="1:31" s="8" customFormat="1" x14ac:dyDescent="0.25">
      <c r="A44" s="189"/>
      <c r="B44" s="92" t="s">
        <v>200</v>
      </c>
      <c r="C44" s="90" t="str">
        <f>VLOOKUP($F44,Admin!$A$16:$E$19,2,FALSE)</f>
        <v>Alkalmazott (ipari) kutatás – Működési költség</v>
      </c>
      <c r="D44" s="161" t="s">
        <v>129</v>
      </c>
      <c r="E44" s="90" t="str">
        <f>VLOOKUP($F44,Admin!$A$16:$E$19,4,FALSE)</f>
        <v>54. Bérköltség - Kutató-fejlesztő munkatárs</v>
      </c>
      <c r="F44" s="90" t="s">
        <v>171</v>
      </c>
      <c r="G44" s="161" t="s">
        <v>174</v>
      </c>
      <c r="H44" s="161" t="s">
        <v>195</v>
      </c>
      <c r="I44" s="90" t="str">
        <f>VLOOKUP($F44,Admin!$A$16:$E$19,5,FALSE)</f>
        <v>K+F munkatárs</v>
      </c>
      <c r="J44" s="161" t="s">
        <v>51</v>
      </c>
      <c r="K44" s="161" t="str">
        <f t="shared" si="104"/>
        <v>2022.12</v>
      </c>
      <c r="L44" s="91" t="s">
        <v>8</v>
      </c>
      <c r="M44" s="92" t="s">
        <v>78</v>
      </c>
      <c r="N44" s="162">
        <v>427500</v>
      </c>
      <c r="O44" s="163">
        <f t="shared" si="110"/>
        <v>55575</v>
      </c>
      <c r="P44" s="161">
        <v>174</v>
      </c>
      <c r="Q44" s="161">
        <v>62</v>
      </c>
      <c r="R44" s="230">
        <f t="shared" si="111"/>
        <v>0.35632183908045978</v>
      </c>
      <c r="S44" s="164">
        <f t="shared" si="112"/>
        <v>152328</v>
      </c>
      <c r="T44" s="165">
        <f t="shared" si="113"/>
        <v>19803</v>
      </c>
      <c r="U44" s="166">
        <f t="shared" si="114"/>
        <v>-9.679370840953716E-7</v>
      </c>
      <c r="V44" s="87">
        <v>0.13</v>
      </c>
      <c r="W44" s="224" t="s">
        <v>222</v>
      </c>
      <c r="X44" s="23">
        <v>44830</v>
      </c>
      <c r="Y44" s="20" t="s">
        <v>197</v>
      </c>
      <c r="Z44" s="20"/>
      <c r="AA44" s="20"/>
      <c r="AB44" s="168"/>
      <c r="AC44" s="211" t="s">
        <v>248</v>
      </c>
      <c r="AD44" s="211" t="s">
        <v>249</v>
      </c>
      <c r="AE44" s="211" t="s">
        <v>249</v>
      </c>
    </row>
    <row r="45" spans="1:31" s="8" customFormat="1" x14ac:dyDescent="0.25">
      <c r="A45" s="189"/>
      <c r="B45" s="92" t="s">
        <v>200</v>
      </c>
      <c r="C45" s="90" t="str">
        <f>VLOOKUP($F45,Admin!$A$16:$E$19,2,FALSE)</f>
        <v>Alkalmazott (ipari) kutatás – Működési költség</v>
      </c>
      <c r="D45" s="161" t="s">
        <v>129</v>
      </c>
      <c r="E45" s="90" t="str">
        <f>VLOOKUP($F45,Admin!$A$16:$E$19,4,FALSE)</f>
        <v>54. Bérköltség - Kutató-fejlesztő munkatárs</v>
      </c>
      <c r="F45" s="90" t="s">
        <v>171</v>
      </c>
      <c r="G45" s="161" t="s">
        <v>174</v>
      </c>
      <c r="H45" s="161" t="s">
        <v>195</v>
      </c>
      <c r="I45" s="90" t="str">
        <f>VLOOKUP($F45,Admin!$A$16:$E$19,5,FALSE)</f>
        <v>K+F munkatárs</v>
      </c>
      <c r="J45" s="161" t="s">
        <v>64</v>
      </c>
      <c r="K45" s="161" t="str">
        <f t="shared" ref="K45:K47" si="115">J45</f>
        <v>2023.01</v>
      </c>
      <c r="L45" s="91" t="s">
        <v>8</v>
      </c>
      <c r="M45" s="92" t="s">
        <v>78</v>
      </c>
      <c r="N45" s="162">
        <v>491599</v>
      </c>
      <c r="O45" s="163">
        <f t="shared" ref="O45" si="116">ROUND(N45*V45,0)</f>
        <v>63908</v>
      </c>
      <c r="P45" s="161">
        <v>174</v>
      </c>
      <c r="Q45" s="161">
        <v>53</v>
      </c>
      <c r="R45" s="230">
        <f t="shared" ref="R45" si="117">Q45/P45</f>
        <v>0.3045977011494253</v>
      </c>
      <c r="S45" s="164">
        <f t="shared" ref="S45" si="118">ROUND(N45*Q45/P45,0)</f>
        <v>149740</v>
      </c>
      <c r="T45" s="165">
        <f t="shared" ref="T45" si="119">ROUND(S45*V45,0)</f>
        <v>19466</v>
      </c>
      <c r="U45" s="166">
        <f t="shared" ref="U45" si="120">Q45/P45-S45/N45</f>
        <v>-1.5197883573847548E-7</v>
      </c>
      <c r="V45" s="87">
        <v>0.13</v>
      </c>
      <c r="W45" s="224" t="s">
        <v>222</v>
      </c>
      <c r="X45" s="23">
        <v>44936</v>
      </c>
      <c r="Y45" s="20" t="s">
        <v>197</v>
      </c>
      <c r="Z45" s="20"/>
      <c r="AA45" s="20"/>
      <c r="AB45" s="168"/>
      <c r="AC45" s="211" t="s">
        <v>248</v>
      </c>
      <c r="AD45" s="211">
        <v>0</v>
      </c>
      <c r="AE45" s="211">
        <v>0</v>
      </c>
    </row>
    <row r="46" spans="1:31" s="8" customFormat="1" x14ac:dyDescent="0.25">
      <c r="A46" s="189"/>
      <c r="B46" s="92" t="s">
        <v>200</v>
      </c>
      <c r="C46" s="90" t="str">
        <f>VLOOKUP($F46,Admin!$A$16:$E$19,2,FALSE)</f>
        <v>Alkalmazott (ipari) kutatás – Működési költség</v>
      </c>
      <c r="D46" s="161" t="s">
        <v>129</v>
      </c>
      <c r="E46" s="90" t="str">
        <f>VLOOKUP($F46,Admin!$A$16:$E$19,4,FALSE)</f>
        <v>54. Bérköltség - Kutató-fejlesztő munkatárs</v>
      </c>
      <c r="F46" s="90" t="s">
        <v>171</v>
      </c>
      <c r="G46" s="161" t="s">
        <v>174</v>
      </c>
      <c r="H46" s="161" t="s">
        <v>195</v>
      </c>
      <c r="I46" s="90" t="str">
        <f>VLOOKUP($F46,Admin!$A$16:$E$19,5,FALSE)</f>
        <v>K+F munkatárs</v>
      </c>
      <c r="J46" s="161" t="s">
        <v>65</v>
      </c>
      <c r="K46" s="161" t="str">
        <f t="shared" si="115"/>
        <v>2023.02</v>
      </c>
      <c r="L46" s="91" t="s">
        <v>8</v>
      </c>
      <c r="M46" s="92" t="s">
        <v>78</v>
      </c>
      <c r="N46" s="162">
        <v>491600</v>
      </c>
      <c r="O46" s="163">
        <f t="shared" ref="O46:O47" si="121">ROUND(N46*V46,0)</f>
        <v>63908</v>
      </c>
      <c r="P46" s="161">
        <v>174</v>
      </c>
      <c r="Q46" s="161">
        <v>53</v>
      </c>
      <c r="R46" s="230">
        <f t="shared" ref="R46:R47" si="122">Q46/P46</f>
        <v>0.3045977011494253</v>
      </c>
      <c r="S46" s="164">
        <f t="shared" ref="S46:S47" si="123">ROUND(N46*Q46/P46,0)</f>
        <v>149740</v>
      </c>
      <c r="T46" s="165">
        <f t="shared" ref="T46:T47" si="124">ROUND(S46*V46,0)</f>
        <v>19466</v>
      </c>
      <c r="U46" s="166">
        <f t="shared" ref="U46:U47" si="125">Q46/P46-S46/N46</f>
        <v>4.6762623573393114E-7</v>
      </c>
      <c r="V46" s="87">
        <v>0.13</v>
      </c>
      <c r="W46" s="224" t="s">
        <v>222</v>
      </c>
      <c r="X46" s="23">
        <v>44936</v>
      </c>
      <c r="Y46" s="20" t="s">
        <v>197</v>
      </c>
      <c r="Z46" s="20"/>
      <c r="AA46" s="20"/>
      <c r="AB46" s="168"/>
      <c r="AC46" s="8" t="s">
        <v>248</v>
      </c>
      <c r="AD46" s="8">
        <v>108400</v>
      </c>
      <c r="AE46" s="8">
        <v>25207</v>
      </c>
    </row>
    <row r="47" spans="1:31" s="8" customFormat="1" x14ac:dyDescent="0.25">
      <c r="A47" s="189"/>
      <c r="B47" s="92" t="s">
        <v>200</v>
      </c>
      <c r="C47" s="90" t="str">
        <f>VLOOKUP($F47,Admin!$A$16:$E$19,2,FALSE)</f>
        <v>Alkalmazott (ipari) kutatás – Működési költség</v>
      </c>
      <c r="D47" s="161" t="s">
        <v>129</v>
      </c>
      <c r="E47" s="90" t="str">
        <f>VLOOKUP($F47,Admin!$A$16:$E$19,4,FALSE)</f>
        <v>54. Bérköltség - Kutató-fejlesztő munkatárs</v>
      </c>
      <c r="F47" s="90" t="s">
        <v>171</v>
      </c>
      <c r="G47" s="161" t="s">
        <v>174</v>
      </c>
      <c r="H47" s="161" t="s">
        <v>195</v>
      </c>
      <c r="I47" s="90" t="str">
        <f>VLOOKUP($F47,Admin!$A$16:$E$19,5,FALSE)</f>
        <v>K+F munkatárs</v>
      </c>
      <c r="J47" s="161" t="s">
        <v>66</v>
      </c>
      <c r="K47" s="161" t="str">
        <f t="shared" si="115"/>
        <v>2023.03</v>
      </c>
      <c r="L47" s="91" t="s">
        <v>8</v>
      </c>
      <c r="M47" s="92" t="s">
        <v>78</v>
      </c>
      <c r="N47" s="162">
        <v>600000</v>
      </c>
      <c r="O47" s="163">
        <f t="shared" si="121"/>
        <v>78000</v>
      </c>
      <c r="P47" s="161">
        <v>174</v>
      </c>
      <c r="Q47" s="161">
        <v>58</v>
      </c>
      <c r="R47" s="230">
        <f t="shared" si="122"/>
        <v>0.33333333333333331</v>
      </c>
      <c r="S47" s="164">
        <f t="shared" si="123"/>
        <v>200000</v>
      </c>
      <c r="T47" s="165">
        <f t="shared" si="124"/>
        <v>26000</v>
      </c>
      <c r="U47" s="166">
        <f t="shared" si="125"/>
        <v>0</v>
      </c>
      <c r="V47" s="87">
        <v>0.13</v>
      </c>
      <c r="W47" s="224" t="s">
        <v>222</v>
      </c>
      <c r="X47" s="23">
        <v>44980</v>
      </c>
      <c r="Y47" s="20" t="s">
        <v>197</v>
      </c>
      <c r="Z47" s="20"/>
      <c r="AA47" s="20"/>
      <c r="AB47" s="168"/>
      <c r="AC47" s="8" t="s">
        <v>248</v>
      </c>
      <c r="AD47" s="8">
        <v>0</v>
      </c>
      <c r="AE47" s="8">
        <v>11115</v>
      </c>
    </row>
    <row r="48" spans="1:31" s="8" customFormat="1" x14ac:dyDescent="0.25">
      <c r="A48" s="189"/>
      <c r="B48" s="92" t="s">
        <v>200</v>
      </c>
      <c r="C48" s="90" t="str">
        <f>VLOOKUP($F48,Admin!$A$16:$E$19,2,FALSE)</f>
        <v>Alkalmazott (ipari) kutatás – Működési költség</v>
      </c>
      <c r="D48" s="161" t="s">
        <v>129</v>
      </c>
      <c r="E48" s="90" t="str">
        <f>VLOOKUP($F48,Admin!$A$16:$E$19,4,FALSE)</f>
        <v>54. Bérköltség - Kutató-fejlesztő munkatárs</v>
      </c>
      <c r="F48" s="90" t="s">
        <v>171</v>
      </c>
      <c r="G48" s="161" t="s">
        <v>174</v>
      </c>
      <c r="H48" s="161" t="s">
        <v>195</v>
      </c>
      <c r="I48" s="90" t="str">
        <f>VLOOKUP($F48,Admin!$A$16:$E$19,5,FALSE)</f>
        <v>K+F munkatárs</v>
      </c>
      <c r="J48" s="161" t="s">
        <v>67</v>
      </c>
      <c r="K48" s="161" t="str">
        <f t="shared" ref="K48:K53" si="126">J48</f>
        <v>2023.04</v>
      </c>
      <c r="L48" s="91" t="s">
        <v>8</v>
      </c>
      <c r="M48" s="92" t="s">
        <v>78</v>
      </c>
      <c r="N48" s="162">
        <v>600000</v>
      </c>
      <c r="O48" s="163">
        <f t="shared" ref="O48:O53" si="127">ROUND(N48*V48,0)</f>
        <v>78000</v>
      </c>
      <c r="P48" s="161">
        <v>174</v>
      </c>
      <c r="Q48" s="161">
        <v>58</v>
      </c>
      <c r="R48" s="230">
        <f t="shared" ref="R48:R53" si="128">Q48/P48</f>
        <v>0.33333333333333331</v>
      </c>
      <c r="S48" s="164">
        <f t="shared" ref="S48:S53" si="129">ROUND(N48*Q48/P48,0)</f>
        <v>200000</v>
      </c>
      <c r="T48" s="165">
        <f t="shared" ref="T48:T53" si="130">ROUND(S48*V48,0)</f>
        <v>26000</v>
      </c>
      <c r="U48" s="166">
        <f t="shared" ref="U48:U53" si="131">Q48/P48-S48/N48</f>
        <v>0</v>
      </c>
      <c r="V48" s="87">
        <v>0.13</v>
      </c>
      <c r="W48" s="224" t="s">
        <v>222</v>
      </c>
      <c r="X48" s="23">
        <v>44980</v>
      </c>
      <c r="Y48" s="20" t="s">
        <v>197</v>
      </c>
      <c r="Z48" s="20"/>
      <c r="AA48" s="20"/>
      <c r="AB48" s="168"/>
      <c r="AC48" s="8" t="s">
        <v>248</v>
      </c>
      <c r="AD48" s="8">
        <v>0</v>
      </c>
      <c r="AE48" s="235">
        <v>11115</v>
      </c>
    </row>
    <row r="49" spans="1:28" s="8" customFormat="1" x14ac:dyDescent="0.25">
      <c r="A49" s="189"/>
      <c r="B49" s="92" t="s">
        <v>200</v>
      </c>
      <c r="C49" s="90" t="str">
        <f>VLOOKUP($F49,Admin!$A$16:$E$19,2,FALSE)</f>
        <v>Alkalmazott (ipari) kutatás – Működési költség</v>
      </c>
      <c r="D49" s="161" t="s">
        <v>129</v>
      </c>
      <c r="E49" s="90" t="str">
        <f>VLOOKUP($F49,Admin!$A$16:$E$19,4,FALSE)</f>
        <v>54. Bérköltség - Kutató-fejlesztő munkatárs</v>
      </c>
      <c r="F49" s="90" t="s">
        <v>171</v>
      </c>
      <c r="G49" s="161" t="s">
        <v>174</v>
      </c>
      <c r="H49" s="161" t="s">
        <v>195</v>
      </c>
      <c r="I49" s="90" t="str">
        <f>VLOOKUP($F49,Admin!$A$16:$E$19,5,FALSE)</f>
        <v>K+F munkatárs</v>
      </c>
      <c r="J49" s="161" t="s">
        <v>68</v>
      </c>
      <c r="K49" s="161" t="str">
        <f t="shared" si="126"/>
        <v>2023.05</v>
      </c>
      <c r="L49" s="91" t="s">
        <v>9</v>
      </c>
      <c r="M49" s="92" t="s">
        <v>78</v>
      </c>
      <c r="N49" s="162">
        <v>600000</v>
      </c>
      <c r="O49" s="163">
        <f t="shared" si="127"/>
        <v>78000</v>
      </c>
      <c r="P49" s="161">
        <v>174</v>
      </c>
      <c r="Q49" s="161">
        <v>58</v>
      </c>
      <c r="R49" s="230">
        <f t="shared" si="128"/>
        <v>0.33333333333333331</v>
      </c>
      <c r="S49" s="164">
        <f t="shared" si="129"/>
        <v>200000</v>
      </c>
      <c r="T49" s="165">
        <f t="shared" si="130"/>
        <v>26000</v>
      </c>
      <c r="U49" s="166">
        <f t="shared" si="131"/>
        <v>0</v>
      </c>
      <c r="V49" s="87">
        <v>0.13</v>
      </c>
      <c r="W49" s="224" t="s">
        <v>222</v>
      </c>
      <c r="X49" s="23">
        <v>44980</v>
      </c>
      <c r="Y49" s="20" t="s">
        <v>197</v>
      </c>
      <c r="Z49" s="20"/>
      <c r="AA49" s="20"/>
      <c r="AB49" s="168"/>
    </row>
    <row r="50" spans="1:28" s="8" customFormat="1" x14ac:dyDescent="0.25">
      <c r="A50" s="189"/>
      <c r="B50" s="92" t="s">
        <v>200</v>
      </c>
      <c r="C50" s="90" t="str">
        <f>VLOOKUP($F50,Admin!$A$16:$E$19,2,FALSE)</f>
        <v>Alkalmazott (ipari) kutatás – Működési költség</v>
      </c>
      <c r="D50" s="161" t="s">
        <v>129</v>
      </c>
      <c r="E50" s="90" t="str">
        <f>VLOOKUP($F50,Admin!$A$16:$E$19,4,FALSE)</f>
        <v>54. Bérköltség - Kutató-fejlesztő munkatárs</v>
      </c>
      <c r="F50" s="90" t="s">
        <v>171</v>
      </c>
      <c r="G50" s="161" t="s">
        <v>174</v>
      </c>
      <c r="H50" s="161" t="s">
        <v>195</v>
      </c>
      <c r="I50" s="90" t="str">
        <f>VLOOKUP($F50,Admin!$A$16:$E$19,5,FALSE)</f>
        <v>K+F munkatárs</v>
      </c>
      <c r="J50" s="161" t="s">
        <v>69</v>
      </c>
      <c r="K50" s="161" t="str">
        <f t="shared" si="126"/>
        <v>2023.06</v>
      </c>
      <c r="L50" s="91" t="s">
        <v>9</v>
      </c>
      <c r="M50" s="92" t="s">
        <v>78</v>
      </c>
      <c r="N50" s="162">
        <v>600000</v>
      </c>
      <c r="O50" s="163">
        <f t="shared" si="127"/>
        <v>78000</v>
      </c>
      <c r="P50" s="161">
        <v>174</v>
      </c>
      <c r="Q50" s="161">
        <v>58</v>
      </c>
      <c r="R50" s="230">
        <f t="shared" si="128"/>
        <v>0.33333333333333331</v>
      </c>
      <c r="S50" s="164">
        <f t="shared" si="129"/>
        <v>200000</v>
      </c>
      <c r="T50" s="165">
        <f t="shared" si="130"/>
        <v>26000</v>
      </c>
      <c r="U50" s="166">
        <f t="shared" si="131"/>
        <v>0</v>
      </c>
      <c r="V50" s="87">
        <v>0.13</v>
      </c>
      <c r="W50" s="224" t="s">
        <v>222</v>
      </c>
      <c r="X50" s="23">
        <v>44980</v>
      </c>
      <c r="Y50" s="20" t="s">
        <v>197</v>
      </c>
      <c r="Z50" s="20"/>
      <c r="AA50" s="20"/>
      <c r="AB50" s="168"/>
    </row>
    <row r="51" spans="1:28" s="8" customFormat="1" x14ac:dyDescent="0.25">
      <c r="A51" s="189"/>
      <c r="B51" s="92" t="s">
        <v>200</v>
      </c>
      <c r="C51" s="90" t="str">
        <f>VLOOKUP($F51,Admin!$A$16:$E$19,2,FALSE)</f>
        <v>Alkalmazott (ipari) kutatás – Működési költség</v>
      </c>
      <c r="D51" s="161" t="s">
        <v>129</v>
      </c>
      <c r="E51" s="90" t="str">
        <f>VLOOKUP($F51,Admin!$A$16:$E$19,4,FALSE)</f>
        <v>54. Bérköltség - Kutató-fejlesztő munkatárs</v>
      </c>
      <c r="F51" s="90" t="s">
        <v>171</v>
      </c>
      <c r="G51" s="161" t="s">
        <v>174</v>
      </c>
      <c r="H51" s="161" t="s">
        <v>195</v>
      </c>
      <c r="I51" s="90" t="str">
        <f>VLOOKUP($F51,Admin!$A$16:$E$19,5,FALSE)</f>
        <v>K+F munkatárs</v>
      </c>
      <c r="J51" s="161" t="s">
        <v>70</v>
      </c>
      <c r="K51" s="161" t="str">
        <f t="shared" si="126"/>
        <v>2023.07</v>
      </c>
      <c r="L51" s="91" t="s">
        <v>9</v>
      </c>
      <c r="M51" s="92" t="s">
        <v>78</v>
      </c>
      <c r="N51" s="162">
        <v>600000</v>
      </c>
      <c r="O51" s="163">
        <f t="shared" si="127"/>
        <v>78000</v>
      </c>
      <c r="P51" s="161">
        <v>174</v>
      </c>
      <c r="Q51" s="161">
        <v>58</v>
      </c>
      <c r="R51" s="230">
        <f t="shared" si="128"/>
        <v>0.33333333333333331</v>
      </c>
      <c r="S51" s="164">
        <f t="shared" si="129"/>
        <v>200000</v>
      </c>
      <c r="T51" s="165">
        <f t="shared" si="130"/>
        <v>26000</v>
      </c>
      <c r="U51" s="166">
        <f t="shared" si="131"/>
        <v>0</v>
      </c>
      <c r="V51" s="87">
        <v>0.13</v>
      </c>
      <c r="W51" s="224" t="s">
        <v>222</v>
      </c>
      <c r="X51" s="23">
        <v>44980</v>
      </c>
      <c r="Y51" s="20" t="s">
        <v>197</v>
      </c>
      <c r="Z51" s="20"/>
      <c r="AA51" s="20"/>
      <c r="AB51" s="168"/>
    </row>
    <row r="52" spans="1:28" s="8" customFormat="1" x14ac:dyDescent="0.25">
      <c r="A52" s="189"/>
      <c r="B52" s="92" t="s">
        <v>200</v>
      </c>
      <c r="C52" s="90" t="str">
        <f>VLOOKUP($F52,Admin!$A$16:$E$19,2,FALSE)</f>
        <v>Alkalmazott (ipari) kutatás – Működési költség</v>
      </c>
      <c r="D52" s="161" t="s">
        <v>129</v>
      </c>
      <c r="E52" s="90" t="str">
        <f>VLOOKUP($F52,Admin!$A$16:$E$19,4,FALSE)</f>
        <v>54. Bérköltség - Kutató-fejlesztő munkatárs</v>
      </c>
      <c r="F52" s="90" t="s">
        <v>171</v>
      </c>
      <c r="G52" s="161" t="s">
        <v>174</v>
      </c>
      <c r="H52" s="161" t="s">
        <v>195</v>
      </c>
      <c r="I52" s="90" t="str">
        <f>VLOOKUP($F52,Admin!$A$16:$E$19,5,FALSE)</f>
        <v>K+F munkatárs</v>
      </c>
      <c r="J52" s="161" t="s">
        <v>71</v>
      </c>
      <c r="K52" s="161" t="str">
        <f t="shared" si="126"/>
        <v>2023.08</v>
      </c>
      <c r="L52" s="91" t="s">
        <v>9</v>
      </c>
      <c r="M52" s="92" t="s">
        <v>78</v>
      </c>
      <c r="N52" s="162">
        <v>600000</v>
      </c>
      <c r="O52" s="163">
        <f t="shared" si="127"/>
        <v>78000</v>
      </c>
      <c r="P52" s="161">
        <v>174</v>
      </c>
      <c r="Q52" s="161">
        <v>58</v>
      </c>
      <c r="R52" s="230">
        <f t="shared" si="128"/>
        <v>0.33333333333333331</v>
      </c>
      <c r="S52" s="164">
        <f t="shared" si="129"/>
        <v>200000</v>
      </c>
      <c r="T52" s="165">
        <f t="shared" si="130"/>
        <v>26000</v>
      </c>
      <c r="U52" s="166">
        <f t="shared" si="131"/>
        <v>0</v>
      </c>
      <c r="V52" s="87">
        <v>0.13</v>
      </c>
      <c r="W52" s="224" t="s">
        <v>222</v>
      </c>
      <c r="X52" s="23">
        <v>44980</v>
      </c>
      <c r="Y52" s="20" t="s">
        <v>197</v>
      </c>
      <c r="Z52" s="20"/>
      <c r="AA52" s="20"/>
      <c r="AB52" s="168"/>
    </row>
    <row r="53" spans="1:28" s="8" customFormat="1" x14ac:dyDescent="0.25">
      <c r="A53" s="189"/>
      <c r="B53" s="92" t="s">
        <v>200</v>
      </c>
      <c r="C53" s="90" t="str">
        <f>VLOOKUP($F53,Admin!$A$16:$E$19,2,FALSE)</f>
        <v>Alkalmazott (ipari) kutatás – Működési költség</v>
      </c>
      <c r="D53" s="161" t="s">
        <v>129</v>
      </c>
      <c r="E53" s="90" t="str">
        <f>VLOOKUP($F53,Admin!$A$16:$E$19,4,FALSE)</f>
        <v>54. Bérköltség - Kutató-fejlesztő munkatárs</v>
      </c>
      <c r="F53" s="90" t="s">
        <v>171</v>
      </c>
      <c r="G53" s="161" t="s">
        <v>174</v>
      </c>
      <c r="H53" s="161" t="s">
        <v>195</v>
      </c>
      <c r="I53" s="90" t="str">
        <f>VLOOKUP($F53,Admin!$A$16:$E$19,5,FALSE)</f>
        <v>K+F munkatárs</v>
      </c>
      <c r="J53" s="161" t="s">
        <v>72</v>
      </c>
      <c r="K53" s="161" t="str">
        <f t="shared" si="126"/>
        <v>2023.09</v>
      </c>
      <c r="L53" s="91" t="s">
        <v>9</v>
      </c>
      <c r="M53" s="92" t="s">
        <v>78</v>
      </c>
      <c r="N53" s="162">
        <v>600000</v>
      </c>
      <c r="O53" s="163">
        <f t="shared" si="127"/>
        <v>78000</v>
      </c>
      <c r="P53" s="161">
        <v>174</v>
      </c>
      <c r="Q53" s="161">
        <v>58</v>
      </c>
      <c r="R53" s="230">
        <f t="shared" si="128"/>
        <v>0.33333333333333331</v>
      </c>
      <c r="S53" s="164">
        <f t="shared" si="129"/>
        <v>200000</v>
      </c>
      <c r="T53" s="165">
        <f t="shared" si="130"/>
        <v>26000</v>
      </c>
      <c r="U53" s="166">
        <f t="shared" si="131"/>
        <v>0</v>
      </c>
      <c r="V53" s="87">
        <v>0.13</v>
      </c>
      <c r="W53" s="224" t="s">
        <v>222</v>
      </c>
      <c r="X53" s="23">
        <v>44980</v>
      </c>
      <c r="Y53" s="20" t="s">
        <v>197</v>
      </c>
      <c r="Z53" s="20"/>
      <c r="AA53" s="20"/>
      <c r="AB53" s="168"/>
    </row>
    <row r="54" spans="1:28" s="8" customFormat="1" x14ac:dyDescent="0.25">
      <c r="A54" s="208">
        <v>1</v>
      </c>
      <c r="B54" s="92" t="s">
        <v>189</v>
      </c>
      <c r="C54" s="90" t="str">
        <f>VLOOKUP($F54,Admin!$A$16:$E$19,2,FALSE)</f>
        <v>Alkalmazott (ipari) kutatás – Működési költség</v>
      </c>
      <c r="D54" s="161" t="s">
        <v>129</v>
      </c>
      <c r="E54" s="90" t="str">
        <f>VLOOKUP($F54,Admin!$A$16:$E$19,4,FALSE)</f>
        <v>54. Bérköltség - Kutató-fejlesztő munkatárs</v>
      </c>
      <c r="F54" s="90" t="s">
        <v>171</v>
      </c>
      <c r="G54" s="161" t="s">
        <v>174</v>
      </c>
      <c r="H54" s="161" t="s">
        <v>193</v>
      </c>
      <c r="I54" s="90" t="str">
        <f>VLOOKUP($F54,Admin!$A$16:$E$19,5,FALSE)</f>
        <v>K+F munkatárs</v>
      </c>
      <c r="J54" s="161" t="s">
        <v>38</v>
      </c>
      <c r="K54" s="161" t="str">
        <f t="shared" ref="K54" si="132">J54</f>
        <v>2021.11</v>
      </c>
      <c r="L54" s="91" t="s">
        <v>8</v>
      </c>
      <c r="M54" s="92" t="s">
        <v>78</v>
      </c>
      <c r="N54" s="162">
        <v>1081000</v>
      </c>
      <c r="O54" s="163">
        <f t="shared" si="83"/>
        <v>167555</v>
      </c>
      <c r="P54" s="161">
        <v>174</v>
      </c>
      <c r="Q54" s="161">
        <v>15</v>
      </c>
      <c r="R54" s="230">
        <f t="shared" ref="R54" si="133">Q54/P54</f>
        <v>8.6206896551724144E-2</v>
      </c>
      <c r="S54" s="164">
        <f t="shared" ref="S54" si="134">ROUND(N54*Q54/P54,0)</f>
        <v>93190</v>
      </c>
      <c r="T54" s="165">
        <f t="shared" ref="T54" si="135">ROUND(S54*V54,0)</f>
        <v>14444</v>
      </c>
      <c r="U54" s="166">
        <f t="shared" ref="U54" si="136">Q54/P54-S54/N54</f>
        <v>-3.1898944144459485E-7</v>
      </c>
      <c r="V54" s="87">
        <v>0.155</v>
      </c>
      <c r="W54" s="224"/>
      <c r="X54" s="23">
        <v>44511</v>
      </c>
      <c r="Y54" s="20" t="s">
        <v>197</v>
      </c>
      <c r="Z54" s="20"/>
      <c r="AA54" s="20"/>
      <c r="AB54" s="168"/>
    </row>
    <row r="55" spans="1:28" s="8" customFormat="1" x14ac:dyDescent="0.25">
      <c r="A55" s="208">
        <v>1</v>
      </c>
      <c r="B55" s="92" t="s">
        <v>189</v>
      </c>
      <c r="C55" s="90" t="str">
        <f>VLOOKUP($F55,Admin!$A$16:$E$19,2,FALSE)</f>
        <v>Alkalmazott (ipari) kutatás – Működési költség</v>
      </c>
      <c r="D55" s="161" t="s">
        <v>129</v>
      </c>
      <c r="E55" s="90" t="str">
        <f>VLOOKUP($F55,Admin!$A$16:$E$19,4,FALSE)</f>
        <v>54. Bérköltség - Kutató-fejlesztő munkatárs</v>
      </c>
      <c r="F55" s="90" t="s">
        <v>171</v>
      </c>
      <c r="G55" s="161" t="s">
        <v>174</v>
      </c>
      <c r="H55" s="161" t="s">
        <v>193</v>
      </c>
      <c r="I55" s="90" t="str">
        <f>VLOOKUP($F55,Admin!$A$16:$E$19,5,FALSE)</f>
        <v>K+F munkatárs</v>
      </c>
      <c r="J55" s="161" t="s">
        <v>39</v>
      </c>
      <c r="K55" s="161" t="str">
        <f t="shared" ref="K55:K253" si="137">J55</f>
        <v>2021.12</v>
      </c>
      <c r="L55" s="91" t="s">
        <v>8</v>
      </c>
      <c r="M55" s="92" t="s">
        <v>78</v>
      </c>
      <c r="N55" s="162">
        <v>1081000</v>
      </c>
      <c r="O55" s="163">
        <f t="shared" ref="O55:O248" si="138">ROUND(N55*V55,0)</f>
        <v>167555</v>
      </c>
      <c r="P55" s="161">
        <v>174</v>
      </c>
      <c r="Q55" s="161">
        <v>15</v>
      </c>
      <c r="R55" s="230">
        <f t="shared" ref="R55:R248" si="139">Q55/P55</f>
        <v>8.6206896551724144E-2</v>
      </c>
      <c r="S55" s="164">
        <f t="shared" ref="S55:S248" si="140">ROUND(N55*Q55/P55,0)</f>
        <v>93190</v>
      </c>
      <c r="T55" s="165">
        <f t="shared" ref="T55:T248" si="141">ROUND(S55*V55,0)</f>
        <v>14444</v>
      </c>
      <c r="U55" s="166">
        <f t="shared" ref="U55:U248" si="142">Q55/P55-S55/N55</f>
        <v>-3.1898944144459485E-7</v>
      </c>
      <c r="V55" s="87">
        <v>0.155</v>
      </c>
      <c r="W55" s="224"/>
      <c r="X55" s="23">
        <v>44511</v>
      </c>
      <c r="Y55" s="20" t="s">
        <v>197</v>
      </c>
      <c r="Z55" s="20"/>
      <c r="AA55" s="20"/>
      <c r="AB55" s="168"/>
    </row>
    <row r="56" spans="1:28" s="8" customFormat="1" x14ac:dyDescent="0.25">
      <c r="A56" s="208">
        <v>1</v>
      </c>
      <c r="B56" s="92" t="s">
        <v>189</v>
      </c>
      <c r="C56" s="90" t="str">
        <f>VLOOKUP($F56,Admin!$A$16:$E$19,2,FALSE)</f>
        <v>Alkalmazott (ipari) kutatás – Működési költség</v>
      </c>
      <c r="D56" s="161" t="s">
        <v>129</v>
      </c>
      <c r="E56" s="90" t="str">
        <f>VLOOKUP($F56,Admin!$A$16:$E$19,4,FALSE)</f>
        <v>54. Bérköltség - Kutató-fejlesztő munkatárs</v>
      </c>
      <c r="F56" s="90" t="s">
        <v>171</v>
      </c>
      <c r="G56" s="161" t="s">
        <v>174</v>
      </c>
      <c r="H56" s="161" t="s">
        <v>193</v>
      </c>
      <c r="I56" s="90" t="str">
        <f>VLOOKUP($F56,Admin!$A$16:$E$19,5,FALSE)</f>
        <v>K+F munkatárs</v>
      </c>
      <c r="J56" s="161" t="s">
        <v>40</v>
      </c>
      <c r="K56" s="161" t="str">
        <f t="shared" si="137"/>
        <v>2022.01</v>
      </c>
      <c r="L56" s="91" t="s">
        <v>8</v>
      </c>
      <c r="M56" s="92" t="s">
        <v>78</v>
      </c>
      <c r="N56" s="162">
        <v>1201900</v>
      </c>
      <c r="O56" s="163">
        <f t="shared" si="138"/>
        <v>156247</v>
      </c>
      <c r="P56" s="161">
        <v>174</v>
      </c>
      <c r="Q56" s="161">
        <v>15</v>
      </c>
      <c r="R56" s="230">
        <f t="shared" si="139"/>
        <v>8.6206896551724144E-2</v>
      </c>
      <c r="S56" s="164">
        <f t="shared" si="140"/>
        <v>103612</v>
      </c>
      <c r="T56" s="165">
        <f t="shared" si="141"/>
        <v>13470</v>
      </c>
      <c r="U56" s="166">
        <f t="shared" si="142"/>
        <v>5.7380412060714647E-8</v>
      </c>
      <c r="V56" s="87">
        <v>0.13</v>
      </c>
      <c r="W56" s="224"/>
      <c r="X56" s="23">
        <v>44511</v>
      </c>
      <c r="Y56" s="20" t="s">
        <v>197</v>
      </c>
      <c r="Z56" s="20"/>
      <c r="AA56" s="20"/>
      <c r="AB56" s="168"/>
    </row>
    <row r="57" spans="1:28" s="8" customFormat="1" x14ac:dyDescent="0.25">
      <c r="A57" s="208">
        <v>1</v>
      </c>
      <c r="B57" s="92" t="s">
        <v>189</v>
      </c>
      <c r="C57" s="90" t="str">
        <f>VLOOKUP($F57,Admin!$A$16:$E$19,2,FALSE)</f>
        <v>Alkalmazott (ipari) kutatás – Működési költség</v>
      </c>
      <c r="D57" s="161" t="s">
        <v>129</v>
      </c>
      <c r="E57" s="90" t="str">
        <f>VLOOKUP($F57,Admin!$A$16:$E$19,4,FALSE)</f>
        <v>54. Bérköltség - Kutató-fejlesztő munkatárs</v>
      </c>
      <c r="F57" s="90" t="s">
        <v>171</v>
      </c>
      <c r="G57" s="161" t="s">
        <v>174</v>
      </c>
      <c r="H57" s="161" t="s">
        <v>193</v>
      </c>
      <c r="I57" s="90" t="str">
        <f>VLOOKUP($F57,Admin!$A$16:$E$19,5,FALSE)</f>
        <v>K+F munkatárs</v>
      </c>
      <c r="J57" s="161" t="s">
        <v>41</v>
      </c>
      <c r="K57" s="161" t="str">
        <f t="shared" si="137"/>
        <v>2022.02</v>
      </c>
      <c r="L57" s="91" t="s">
        <v>8</v>
      </c>
      <c r="M57" s="92" t="s">
        <v>78</v>
      </c>
      <c r="N57" s="162">
        <v>1111000</v>
      </c>
      <c r="O57" s="163">
        <f t="shared" si="138"/>
        <v>144430</v>
      </c>
      <c r="P57" s="161">
        <v>174</v>
      </c>
      <c r="Q57" s="161">
        <v>20</v>
      </c>
      <c r="R57" s="230">
        <f t="shared" si="139"/>
        <v>0.11494252873563218</v>
      </c>
      <c r="S57" s="164">
        <f t="shared" si="140"/>
        <v>127701</v>
      </c>
      <c r="T57" s="165">
        <f t="shared" si="141"/>
        <v>16601</v>
      </c>
      <c r="U57" s="166">
        <f t="shared" si="142"/>
        <v>1.3449620824002029E-7</v>
      </c>
      <c r="V57" s="87">
        <v>0.13</v>
      </c>
      <c r="W57" s="224"/>
      <c r="X57" s="23">
        <v>44589</v>
      </c>
      <c r="Y57" s="20" t="s">
        <v>197</v>
      </c>
      <c r="Z57" s="20"/>
      <c r="AA57" s="20"/>
      <c r="AB57" s="168"/>
    </row>
    <row r="58" spans="1:28" s="8" customFormat="1" x14ac:dyDescent="0.25">
      <c r="A58" s="208">
        <v>1</v>
      </c>
      <c r="B58" s="92" t="s">
        <v>189</v>
      </c>
      <c r="C58" s="90" t="str">
        <f>VLOOKUP($F58,Admin!$A$16:$E$19,2,FALSE)</f>
        <v>Alkalmazott (ipari) kutatás – Működési költség</v>
      </c>
      <c r="D58" s="161" t="s">
        <v>129</v>
      </c>
      <c r="E58" s="90" t="str">
        <f>VLOOKUP($F58,Admin!$A$16:$E$19,4,FALSE)</f>
        <v>54. Bérköltség - Kutató-fejlesztő munkatárs</v>
      </c>
      <c r="F58" s="90" t="s">
        <v>171</v>
      </c>
      <c r="G58" s="161" t="s">
        <v>174</v>
      </c>
      <c r="H58" s="161" t="s">
        <v>193</v>
      </c>
      <c r="I58" s="90" t="str">
        <f>VLOOKUP($F58,Admin!$A$16:$E$19,5,FALSE)</f>
        <v>K+F munkatárs</v>
      </c>
      <c r="J58" s="161" t="s">
        <v>42</v>
      </c>
      <c r="K58" s="161" t="str">
        <f t="shared" si="137"/>
        <v>2022.03</v>
      </c>
      <c r="L58" s="91" t="s">
        <v>8</v>
      </c>
      <c r="M58" s="92" t="s">
        <v>78</v>
      </c>
      <c r="N58" s="162">
        <v>1110999</v>
      </c>
      <c r="O58" s="163">
        <f t="shared" si="138"/>
        <v>144430</v>
      </c>
      <c r="P58" s="161">
        <v>174</v>
      </c>
      <c r="Q58" s="161">
        <v>69</v>
      </c>
      <c r="R58" s="230">
        <f t="shared" si="139"/>
        <v>0.39655172413793105</v>
      </c>
      <c r="S58" s="164">
        <f t="shared" si="140"/>
        <v>440569</v>
      </c>
      <c r="T58" s="165">
        <f t="shared" si="141"/>
        <v>57274</v>
      </c>
      <c r="U58" s="166">
        <f t="shared" si="142"/>
        <v>-3.8797018064862243E-7</v>
      </c>
      <c r="V58" s="87">
        <v>0.13</v>
      </c>
      <c r="W58" s="224"/>
      <c r="X58" s="23">
        <v>44615</v>
      </c>
      <c r="Y58" s="20" t="s">
        <v>197</v>
      </c>
      <c r="Z58" s="20"/>
      <c r="AA58" s="20"/>
      <c r="AB58" s="168"/>
    </row>
    <row r="59" spans="1:28" s="8" customFormat="1" x14ac:dyDescent="0.25">
      <c r="A59" s="208">
        <v>1</v>
      </c>
      <c r="B59" s="92" t="s">
        <v>189</v>
      </c>
      <c r="C59" s="90" t="str">
        <f>VLOOKUP($F59,Admin!$A$16:$E$19,2,FALSE)</f>
        <v>Alkalmazott (ipari) kutatás – Működési költség</v>
      </c>
      <c r="D59" s="161" t="s">
        <v>129</v>
      </c>
      <c r="E59" s="90" t="str">
        <f>VLOOKUP($F59,Admin!$A$16:$E$19,4,FALSE)</f>
        <v>54. Bérköltség - Kutató-fejlesztő munkatárs</v>
      </c>
      <c r="F59" s="90" t="s">
        <v>171</v>
      </c>
      <c r="G59" s="161" t="s">
        <v>174</v>
      </c>
      <c r="H59" s="161" t="s">
        <v>193</v>
      </c>
      <c r="I59" s="90" t="str">
        <f>VLOOKUP($F59,Admin!$A$16:$E$19,5,FALSE)</f>
        <v>K+F munkatárs</v>
      </c>
      <c r="J59" s="161" t="s">
        <v>43</v>
      </c>
      <c r="K59" s="161" t="str">
        <f t="shared" si="137"/>
        <v>2022.04</v>
      </c>
      <c r="L59" s="91" t="s">
        <v>8</v>
      </c>
      <c r="M59" s="92" t="s">
        <v>78</v>
      </c>
      <c r="N59" s="162">
        <v>1111000</v>
      </c>
      <c r="O59" s="163">
        <f t="shared" ref="O59" si="143">ROUND(N59*V59,0)</f>
        <v>144430</v>
      </c>
      <c r="P59" s="161">
        <v>174</v>
      </c>
      <c r="Q59" s="161">
        <v>69</v>
      </c>
      <c r="R59" s="230">
        <f t="shared" ref="R59" si="144">Q59/P59</f>
        <v>0.39655172413793105</v>
      </c>
      <c r="S59" s="164">
        <f t="shared" ref="S59" si="145">ROUND(N59*Q59/P59,0)</f>
        <v>440569</v>
      </c>
      <c r="T59" s="165">
        <f t="shared" ref="T59" si="146">ROUND(S59*V59,0)</f>
        <v>57274</v>
      </c>
      <c r="U59" s="166">
        <f t="shared" ref="U59" si="147">Q59/P59-S59/N59</f>
        <v>-3.1037586500914927E-8</v>
      </c>
      <c r="V59" s="87">
        <v>0.13</v>
      </c>
      <c r="W59" s="224"/>
      <c r="X59" s="23">
        <v>44642</v>
      </c>
      <c r="Y59" s="20" t="s">
        <v>197</v>
      </c>
      <c r="Z59" s="20"/>
      <c r="AA59" s="20"/>
      <c r="AB59" s="168"/>
    </row>
    <row r="60" spans="1:28" s="8" customFormat="1" x14ac:dyDescent="0.25">
      <c r="A60" s="208">
        <v>1</v>
      </c>
      <c r="B60" s="92" t="s">
        <v>189</v>
      </c>
      <c r="C60" s="90" t="str">
        <f>VLOOKUP($F60,Admin!$A$16:$E$19,2,FALSE)</f>
        <v>Alkalmazott (ipari) kutatás – Működési költség</v>
      </c>
      <c r="D60" s="161" t="s">
        <v>129</v>
      </c>
      <c r="E60" s="90" t="str">
        <f>VLOOKUP($F60,Admin!$A$16:$E$19,4,FALSE)</f>
        <v>54. Bérköltség - Kutató-fejlesztő munkatárs</v>
      </c>
      <c r="F60" s="90" t="s">
        <v>171</v>
      </c>
      <c r="G60" s="161" t="s">
        <v>174</v>
      </c>
      <c r="H60" s="161" t="s">
        <v>193</v>
      </c>
      <c r="I60" s="90" t="str">
        <f>VLOOKUP($F60,Admin!$A$16:$E$19,5,FALSE)</f>
        <v>K+F munkatárs</v>
      </c>
      <c r="J60" s="161" t="s">
        <v>44</v>
      </c>
      <c r="K60" s="161" t="str">
        <f t="shared" si="137"/>
        <v>2022.05</v>
      </c>
      <c r="L60" s="91" t="s">
        <v>8</v>
      </c>
      <c r="M60" s="92" t="s">
        <v>78</v>
      </c>
      <c r="N60" s="162">
        <v>1111000</v>
      </c>
      <c r="O60" s="163">
        <f t="shared" ref="O60:O61" si="148">ROUND(N60*V60,0)</f>
        <v>144430</v>
      </c>
      <c r="P60" s="161">
        <v>174</v>
      </c>
      <c r="Q60" s="161">
        <v>69</v>
      </c>
      <c r="R60" s="230">
        <f t="shared" ref="R60:R61" si="149">Q60/P60</f>
        <v>0.39655172413793105</v>
      </c>
      <c r="S60" s="164">
        <f t="shared" ref="S60:S61" si="150">ROUND(N60*Q60/P60,0)</f>
        <v>440569</v>
      </c>
      <c r="T60" s="165">
        <f t="shared" ref="T60:T61" si="151">ROUND(S60*V60,0)</f>
        <v>57274</v>
      </c>
      <c r="U60" s="166">
        <f t="shared" ref="U60:U61" si="152">Q60/P60-S60/N60</f>
        <v>-3.1037586500914927E-8</v>
      </c>
      <c r="V60" s="87">
        <v>0.13</v>
      </c>
      <c r="W60" s="224"/>
      <c r="X60" s="23">
        <v>44642</v>
      </c>
      <c r="Y60" s="20" t="s">
        <v>197</v>
      </c>
      <c r="Z60" s="20"/>
      <c r="AA60" s="20"/>
      <c r="AB60" s="168"/>
    </row>
    <row r="61" spans="1:28" s="8" customFormat="1" x14ac:dyDescent="0.25">
      <c r="A61" s="208">
        <v>1</v>
      </c>
      <c r="B61" s="92" t="s">
        <v>189</v>
      </c>
      <c r="C61" s="90" t="str">
        <f>VLOOKUP($F61,Admin!$A$16:$E$19,2,FALSE)</f>
        <v>Alkalmazott (ipari) kutatás – Működési költség</v>
      </c>
      <c r="D61" s="161" t="s">
        <v>129</v>
      </c>
      <c r="E61" s="90" t="str">
        <f>VLOOKUP($F61,Admin!$A$16:$E$19,4,FALSE)</f>
        <v>54. Bérköltség - Kutató-fejlesztő munkatárs</v>
      </c>
      <c r="F61" s="90" t="s">
        <v>171</v>
      </c>
      <c r="G61" s="161" t="s">
        <v>174</v>
      </c>
      <c r="H61" s="161" t="s">
        <v>193</v>
      </c>
      <c r="I61" s="90" t="str">
        <f>VLOOKUP($F61,Admin!$A$16:$E$19,5,FALSE)</f>
        <v>K+F munkatárs</v>
      </c>
      <c r="J61" s="161" t="s">
        <v>45</v>
      </c>
      <c r="K61" s="161" t="str">
        <f t="shared" si="137"/>
        <v>2022.06</v>
      </c>
      <c r="L61" s="91" t="s">
        <v>8</v>
      </c>
      <c r="M61" s="92" t="s">
        <v>78</v>
      </c>
      <c r="N61" s="162">
        <v>1111000</v>
      </c>
      <c r="O61" s="163">
        <f t="shared" si="148"/>
        <v>144430</v>
      </c>
      <c r="P61" s="161">
        <v>174</v>
      </c>
      <c r="Q61" s="161">
        <v>69</v>
      </c>
      <c r="R61" s="230">
        <f t="shared" si="149"/>
        <v>0.39655172413793105</v>
      </c>
      <c r="S61" s="164">
        <f t="shared" si="150"/>
        <v>440569</v>
      </c>
      <c r="T61" s="165">
        <f t="shared" si="151"/>
        <v>57274</v>
      </c>
      <c r="U61" s="166">
        <f t="shared" si="152"/>
        <v>-3.1037586500914927E-8</v>
      </c>
      <c r="V61" s="87">
        <v>0.13</v>
      </c>
      <c r="W61" s="224"/>
      <c r="X61" s="23">
        <v>44642</v>
      </c>
      <c r="Y61" s="20" t="s">
        <v>197</v>
      </c>
      <c r="Z61" s="20"/>
      <c r="AA61" s="20"/>
      <c r="AB61" s="168"/>
    </row>
    <row r="62" spans="1:28" s="8" customFormat="1" x14ac:dyDescent="0.25">
      <c r="A62" s="208">
        <v>1</v>
      </c>
      <c r="B62" s="92" t="s">
        <v>189</v>
      </c>
      <c r="C62" s="90" t="str">
        <f>VLOOKUP($F62,Admin!$A$16:$E$19,2,FALSE)</f>
        <v>Alkalmazott (ipari) kutatás – Működési költség</v>
      </c>
      <c r="D62" s="161" t="s">
        <v>129</v>
      </c>
      <c r="E62" s="90" t="str">
        <f>VLOOKUP($F62,Admin!$A$16:$E$19,4,FALSE)</f>
        <v>54. Bérköltség - Kutató-fejlesztő munkatárs</v>
      </c>
      <c r="F62" s="90" t="s">
        <v>171</v>
      </c>
      <c r="G62" s="161" t="s">
        <v>174</v>
      </c>
      <c r="H62" s="161" t="s">
        <v>193</v>
      </c>
      <c r="I62" s="90" t="str">
        <f>VLOOKUP($F62,Admin!$A$16:$E$19,5,FALSE)</f>
        <v>K+F munkatárs</v>
      </c>
      <c r="J62" s="161" t="s">
        <v>46</v>
      </c>
      <c r="K62" s="161" t="str">
        <f t="shared" ref="K62:K63" si="153">J62</f>
        <v>2022.07</v>
      </c>
      <c r="L62" s="91" t="s">
        <v>8</v>
      </c>
      <c r="M62" s="92" t="s">
        <v>78</v>
      </c>
      <c r="N62" s="162">
        <v>1250000</v>
      </c>
      <c r="O62" s="163">
        <f t="shared" ref="O62" si="154">ROUND(N62*V62,0)</f>
        <v>162500</v>
      </c>
      <c r="P62" s="161">
        <v>174</v>
      </c>
      <c r="Q62" s="161">
        <v>25</v>
      </c>
      <c r="R62" s="230">
        <f t="shared" ref="R62" si="155">Q62/P62</f>
        <v>0.14367816091954022</v>
      </c>
      <c r="S62" s="164">
        <f t="shared" ref="S62" si="156">ROUND(N62*Q62/P62,0)</f>
        <v>179598</v>
      </c>
      <c r="T62" s="165">
        <f t="shared" ref="T62" si="157">ROUND(S62*V62,0)</f>
        <v>23348</v>
      </c>
      <c r="U62" s="166">
        <f t="shared" ref="U62" si="158">Q62/P62-S62/N62</f>
        <v>-2.3908045979070813E-7</v>
      </c>
      <c r="V62" s="87">
        <v>0.13</v>
      </c>
      <c r="W62" s="224"/>
      <c r="X62" s="23">
        <v>44739</v>
      </c>
      <c r="Y62" s="20" t="s">
        <v>197</v>
      </c>
      <c r="Z62" s="20"/>
      <c r="AA62" s="20"/>
      <c r="AB62" s="168"/>
    </row>
    <row r="63" spans="1:28" s="8" customFormat="1" x14ac:dyDescent="0.25">
      <c r="A63" s="208">
        <v>1</v>
      </c>
      <c r="B63" s="92" t="s">
        <v>189</v>
      </c>
      <c r="C63" s="90" t="str">
        <f>VLOOKUP($F63,Admin!$A$16:$E$19,2,FALSE)</f>
        <v>Alkalmazott (ipari) kutatás – Működési költség</v>
      </c>
      <c r="D63" s="161" t="s">
        <v>129</v>
      </c>
      <c r="E63" s="90" t="str">
        <f>VLOOKUP($F63,Admin!$A$16:$E$19,4,FALSE)</f>
        <v>54. Bérköltség - Kutató-fejlesztő munkatárs</v>
      </c>
      <c r="F63" s="90" t="s">
        <v>171</v>
      </c>
      <c r="G63" s="161" t="s">
        <v>174</v>
      </c>
      <c r="H63" s="161" t="s">
        <v>193</v>
      </c>
      <c r="I63" s="90" t="str">
        <f>VLOOKUP($F63,Admin!$A$16:$E$19,5,FALSE)</f>
        <v>K+F munkatárs</v>
      </c>
      <c r="J63" s="161" t="s">
        <v>47</v>
      </c>
      <c r="K63" s="161" t="str">
        <f t="shared" si="153"/>
        <v>2022.08</v>
      </c>
      <c r="L63" s="91" t="s">
        <v>8</v>
      </c>
      <c r="M63" s="92" t="s">
        <v>78</v>
      </c>
      <c r="N63" s="162">
        <v>1250000</v>
      </c>
      <c r="O63" s="163">
        <f t="shared" ref="O63" si="159">ROUND(N63*V63,0)</f>
        <v>162500</v>
      </c>
      <c r="P63" s="161">
        <v>174</v>
      </c>
      <c r="Q63" s="161">
        <v>25</v>
      </c>
      <c r="R63" s="230">
        <f t="shared" ref="R63" si="160">Q63/P63</f>
        <v>0.14367816091954022</v>
      </c>
      <c r="S63" s="164">
        <f t="shared" ref="S63" si="161">ROUND(N63*Q63/P63,0)</f>
        <v>179598</v>
      </c>
      <c r="T63" s="165">
        <f t="shared" ref="T63" si="162">ROUND(S63*V63,0)</f>
        <v>23348</v>
      </c>
      <c r="U63" s="166">
        <f t="shared" ref="U63" si="163">Q63/P63-S63/N63</f>
        <v>-2.3908045979070813E-7</v>
      </c>
      <c r="V63" s="87">
        <v>0.13</v>
      </c>
      <c r="W63" s="224"/>
      <c r="X63" s="23">
        <v>44739</v>
      </c>
      <c r="Y63" s="20" t="s">
        <v>197</v>
      </c>
      <c r="Z63" s="20"/>
      <c r="AA63" s="20"/>
      <c r="AB63" s="168"/>
    </row>
    <row r="64" spans="1:28" s="8" customFormat="1" x14ac:dyDescent="0.25">
      <c r="A64" s="208">
        <v>1</v>
      </c>
      <c r="B64" s="92" t="s">
        <v>189</v>
      </c>
      <c r="C64" s="90" t="str">
        <f>VLOOKUP($F64,Admin!$A$16:$E$19,2,FALSE)</f>
        <v>Alkalmazott (ipari) kutatás – Működési költség</v>
      </c>
      <c r="D64" s="161" t="s">
        <v>129</v>
      </c>
      <c r="E64" s="90" t="str">
        <f>VLOOKUP($F64,Admin!$A$16:$E$19,4,FALSE)</f>
        <v>54. Bérköltség - Kutató-fejlesztő munkatárs</v>
      </c>
      <c r="F64" s="90" t="s">
        <v>171</v>
      </c>
      <c r="G64" s="161" t="s">
        <v>174</v>
      </c>
      <c r="H64" s="161" t="s">
        <v>193</v>
      </c>
      <c r="I64" s="90" t="str">
        <f>VLOOKUP($F64,Admin!$A$16:$E$19,5,FALSE)</f>
        <v>K+F munkatárs</v>
      </c>
      <c r="J64" s="161" t="s">
        <v>48</v>
      </c>
      <c r="K64" s="161" t="str">
        <f t="shared" ref="K64:K67" si="164">J64</f>
        <v>2022.09</v>
      </c>
      <c r="L64" s="91" t="s">
        <v>8</v>
      </c>
      <c r="M64" s="92" t="s">
        <v>78</v>
      </c>
      <c r="N64" s="162">
        <v>1250000</v>
      </c>
      <c r="O64" s="163">
        <f t="shared" ref="O64" si="165">ROUND(N64*V64,0)</f>
        <v>162500</v>
      </c>
      <c r="P64" s="161">
        <v>174</v>
      </c>
      <c r="Q64" s="161">
        <v>25</v>
      </c>
      <c r="R64" s="230">
        <f t="shared" ref="R64" si="166">Q64/P64</f>
        <v>0.14367816091954022</v>
      </c>
      <c r="S64" s="164">
        <f t="shared" ref="S64" si="167">ROUND(N64*Q64/P64,0)</f>
        <v>179598</v>
      </c>
      <c r="T64" s="165">
        <f t="shared" ref="T64" si="168">ROUND(S64*V64,0)</f>
        <v>23348</v>
      </c>
      <c r="U64" s="166">
        <f t="shared" ref="U64" si="169">Q64/P64-S64/N64</f>
        <v>-2.3908045979070813E-7</v>
      </c>
      <c r="V64" s="87">
        <v>0.13</v>
      </c>
      <c r="W64" s="224"/>
      <c r="X64" s="23">
        <v>44803</v>
      </c>
      <c r="Y64" s="20" t="s">
        <v>197</v>
      </c>
      <c r="Z64" s="20"/>
      <c r="AA64" s="20"/>
      <c r="AB64" s="168"/>
    </row>
    <row r="65" spans="1:31" s="8" customFormat="1" x14ac:dyDescent="0.25">
      <c r="A65" s="189"/>
      <c r="B65" s="92" t="s">
        <v>189</v>
      </c>
      <c r="C65" s="90" t="str">
        <f>VLOOKUP($F65,Admin!$A$16:$E$19,2,FALSE)</f>
        <v>Alkalmazott (ipari) kutatás – Működési költség</v>
      </c>
      <c r="D65" s="161" t="s">
        <v>129</v>
      </c>
      <c r="E65" s="90" t="str">
        <f>VLOOKUP($F65,Admin!$A$16:$E$19,4,FALSE)</f>
        <v>54. Bérköltség - Kutató-fejlesztő munkatárs</v>
      </c>
      <c r="F65" s="90" t="s">
        <v>171</v>
      </c>
      <c r="G65" s="161" t="s">
        <v>174</v>
      </c>
      <c r="H65" s="161" t="s">
        <v>193</v>
      </c>
      <c r="I65" s="90" t="str">
        <f>VLOOKUP($F65,Admin!$A$16:$E$19,5,FALSE)</f>
        <v>K+F munkatárs</v>
      </c>
      <c r="J65" s="161" t="s">
        <v>49</v>
      </c>
      <c r="K65" s="161" t="str">
        <f t="shared" si="164"/>
        <v>2022.10</v>
      </c>
      <c r="L65" s="91" t="s">
        <v>8</v>
      </c>
      <c r="M65" s="92" t="s">
        <v>78</v>
      </c>
      <c r="N65" s="162">
        <v>1139998</v>
      </c>
      <c r="O65" s="163">
        <f t="shared" ref="O65" si="170">ROUND(N65*V65,0)</f>
        <v>148200</v>
      </c>
      <c r="P65" s="161">
        <v>174</v>
      </c>
      <c r="Q65" s="161">
        <v>25</v>
      </c>
      <c r="R65" s="230">
        <f t="shared" ref="R65" si="171">Q65/P65</f>
        <v>0.14367816091954022</v>
      </c>
      <c r="S65" s="164">
        <f t="shared" ref="S65" si="172">ROUND(N65*Q65/P65,0)</f>
        <v>163793</v>
      </c>
      <c r="T65" s="165">
        <f t="shared" ref="T65" si="173">ROUND(S65*V65,0)</f>
        <v>21293</v>
      </c>
      <c r="U65" s="166">
        <f t="shared" ref="U65" si="174">Q65/P65-S65/N65</f>
        <v>-1.6132313038208501E-7</v>
      </c>
      <c r="V65" s="87">
        <v>0.13</v>
      </c>
      <c r="W65" s="224"/>
      <c r="X65" s="23">
        <v>44838</v>
      </c>
      <c r="Y65" s="20" t="s">
        <v>197</v>
      </c>
      <c r="Z65" s="20"/>
      <c r="AA65" s="20"/>
      <c r="AB65" s="168"/>
    </row>
    <row r="66" spans="1:31" s="8" customFormat="1" x14ac:dyDescent="0.25">
      <c r="A66" s="189"/>
      <c r="B66" s="92" t="s">
        <v>189</v>
      </c>
      <c r="C66" s="90" t="str">
        <f>VLOOKUP($F66,Admin!$A$16:$E$19,2,FALSE)</f>
        <v>Alkalmazott (ipari) kutatás – Működési költség</v>
      </c>
      <c r="D66" s="161" t="s">
        <v>129</v>
      </c>
      <c r="E66" s="90" t="str">
        <f>VLOOKUP($F66,Admin!$A$16:$E$19,4,FALSE)</f>
        <v>54. Bérköltség - Kutató-fejlesztő munkatárs</v>
      </c>
      <c r="F66" s="90" t="s">
        <v>171</v>
      </c>
      <c r="G66" s="161" t="s">
        <v>174</v>
      </c>
      <c r="H66" s="161" t="s">
        <v>193</v>
      </c>
      <c r="I66" s="90" t="str">
        <f>VLOOKUP($F66,Admin!$A$16:$E$19,5,FALSE)</f>
        <v>K+F munkatárs</v>
      </c>
      <c r="J66" s="161" t="s">
        <v>50</v>
      </c>
      <c r="K66" s="161" t="str">
        <f t="shared" si="164"/>
        <v>2022.11</v>
      </c>
      <c r="L66" s="91" t="s">
        <v>8</v>
      </c>
      <c r="M66" s="92" t="s">
        <v>78</v>
      </c>
      <c r="N66" s="162">
        <v>1140000</v>
      </c>
      <c r="O66" s="163">
        <f t="shared" ref="O66:O67" si="175">ROUND(N66*V66,0)</f>
        <v>148200</v>
      </c>
      <c r="P66" s="161">
        <v>174</v>
      </c>
      <c r="Q66" s="161">
        <v>25</v>
      </c>
      <c r="R66" s="230">
        <f t="shared" ref="R66:R67" si="176">Q66/P66</f>
        <v>0.14367816091954022</v>
      </c>
      <c r="S66" s="164">
        <f t="shared" ref="S66:S67" si="177">ROUND(N66*Q66/P66,0)</f>
        <v>163793</v>
      </c>
      <c r="T66" s="165">
        <f t="shared" ref="T66:T67" si="178">ROUND(S66*V66,0)</f>
        <v>21293</v>
      </c>
      <c r="U66" s="166">
        <f t="shared" ref="U66:U67" si="179">Q66/P66-S66/N66</f>
        <v>9.0744101621798023E-8</v>
      </c>
      <c r="V66" s="87">
        <v>0.13</v>
      </c>
      <c r="W66" s="224" t="s">
        <v>223</v>
      </c>
      <c r="X66" s="23">
        <v>44838</v>
      </c>
      <c r="Y66" s="20" t="s">
        <v>197</v>
      </c>
      <c r="Z66" s="20"/>
      <c r="AA66" s="20"/>
      <c r="AB66" s="168"/>
      <c r="AC66" s="211" t="e">
        <v>#N/A</v>
      </c>
      <c r="AD66" s="212" t="e">
        <v>#N/A</v>
      </c>
      <c r="AE66" s="211" t="e">
        <v>#N/A</v>
      </c>
    </row>
    <row r="67" spans="1:31" s="8" customFormat="1" x14ac:dyDescent="0.25">
      <c r="A67" s="189"/>
      <c r="B67" s="92" t="s">
        <v>189</v>
      </c>
      <c r="C67" s="90" t="str">
        <f>VLOOKUP($F67,Admin!$A$16:$E$19,2,FALSE)</f>
        <v>Alkalmazott (ipari) kutatás – Működési költség</v>
      </c>
      <c r="D67" s="161" t="s">
        <v>129</v>
      </c>
      <c r="E67" s="90" t="str">
        <f>VLOOKUP($F67,Admin!$A$16:$E$19,4,FALSE)</f>
        <v>54. Bérköltség - Kutató-fejlesztő munkatárs</v>
      </c>
      <c r="F67" s="90" t="s">
        <v>171</v>
      </c>
      <c r="G67" s="161" t="s">
        <v>174</v>
      </c>
      <c r="H67" s="161" t="s">
        <v>193</v>
      </c>
      <c r="I67" s="90" t="str">
        <f>VLOOKUP($F67,Admin!$A$16:$E$19,5,FALSE)</f>
        <v>K+F munkatárs</v>
      </c>
      <c r="J67" s="161" t="s">
        <v>51</v>
      </c>
      <c r="K67" s="161" t="str">
        <f t="shared" si="164"/>
        <v>2022.12</v>
      </c>
      <c r="L67" s="91" t="s">
        <v>8</v>
      </c>
      <c r="M67" s="92" t="s">
        <v>78</v>
      </c>
      <c r="N67" s="162">
        <v>1139999</v>
      </c>
      <c r="O67" s="163">
        <f t="shared" si="175"/>
        <v>148200</v>
      </c>
      <c r="P67" s="161">
        <v>174</v>
      </c>
      <c r="Q67" s="161">
        <v>25</v>
      </c>
      <c r="R67" s="230">
        <f t="shared" si="176"/>
        <v>0.14367816091954022</v>
      </c>
      <c r="S67" s="164">
        <f t="shared" si="177"/>
        <v>163793</v>
      </c>
      <c r="T67" s="165">
        <f t="shared" si="178"/>
        <v>21293</v>
      </c>
      <c r="U67" s="166">
        <f t="shared" si="179"/>
        <v>-3.5289403815808029E-8</v>
      </c>
      <c r="V67" s="87">
        <v>0.13</v>
      </c>
      <c r="W67" s="224" t="s">
        <v>223</v>
      </c>
      <c r="X67" s="23">
        <v>44838</v>
      </c>
      <c r="Y67" s="20" t="s">
        <v>197</v>
      </c>
      <c r="Z67" s="20"/>
      <c r="AA67" s="20"/>
      <c r="AB67" s="168"/>
      <c r="AC67" s="211" t="s">
        <v>248</v>
      </c>
      <c r="AD67" s="211" t="s">
        <v>249</v>
      </c>
      <c r="AE67" s="211" t="s">
        <v>249</v>
      </c>
    </row>
    <row r="68" spans="1:31" s="8" customFormat="1" x14ac:dyDescent="0.25">
      <c r="A68" s="189"/>
      <c r="B68" s="92" t="s">
        <v>189</v>
      </c>
      <c r="C68" s="90" t="str">
        <f>VLOOKUP($F68,Admin!$A$16:$E$19,2,FALSE)</f>
        <v>Alkalmazott (ipari) kutatás – Működési költség</v>
      </c>
      <c r="D68" s="161" t="s">
        <v>129</v>
      </c>
      <c r="E68" s="90" t="str">
        <f>VLOOKUP($F68,Admin!$A$16:$E$19,4,FALSE)</f>
        <v>54. Bérköltség - Kutató-fejlesztő munkatárs</v>
      </c>
      <c r="F68" s="90" t="s">
        <v>171</v>
      </c>
      <c r="G68" s="161" t="s">
        <v>174</v>
      </c>
      <c r="H68" s="161" t="s">
        <v>193</v>
      </c>
      <c r="I68" s="90" t="str">
        <f>VLOOKUP($F68,Admin!$A$16:$E$19,5,FALSE)</f>
        <v>K+F munkatárs</v>
      </c>
      <c r="J68" s="161" t="s">
        <v>64</v>
      </c>
      <c r="K68" s="161" t="str">
        <f t="shared" ref="K68:K70" si="180">J68</f>
        <v>2023.01</v>
      </c>
      <c r="L68" s="91" t="s">
        <v>8</v>
      </c>
      <c r="M68" s="92" t="s">
        <v>78</v>
      </c>
      <c r="N68" s="162">
        <v>890000</v>
      </c>
      <c r="O68" s="163">
        <f t="shared" ref="O68" si="181">ROUND(N68*V68,0)</f>
        <v>115700</v>
      </c>
      <c r="P68" s="161">
        <v>174</v>
      </c>
      <c r="Q68" s="161">
        <v>86</v>
      </c>
      <c r="R68" s="230">
        <f t="shared" ref="R68" si="182">Q68/P68</f>
        <v>0.4942528735632184</v>
      </c>
      <c r="S68" s="164">
        <f t="shared" ref="S68" si="183">ROUND(N68*Q68/P68,0)</f>
        <v>439885</v>
      </c>
      <c r="T68" s="165">
        <f t="shared" ref="T68" si="184">ROUND(S68*V68,0)</f>
        <v>57185</v>
      </c>
      <c r="U68" s="166">
        <f t="shared" ref="U68" si="185">Q68/P68-S68/N68</f>
        <v>6.4574454339272336E-8</v>
      </c>
      <c r="V68" s="87">
        <v>0.13</v>
      </c>
      <c r="W68" s="224" t="s">
        <v>223</v>
      </c>
      <c r="X68" s="23">
        <v>44936</v>
      </c>
      <c r="Y68" s="20" t="s">
        <v>197</v>
      </c>
      <c r="Z68" s="20"/>
      <c r="AA68" s="20"/>
      <c r="AB68" s="168"/>
      <c r="AC68" s="211" t="s">
        <v>248</v>
      </c>
      <c r="AD68" s="211">
        <v>0</v>
      </c>
      <c r="AE68" s="211">
        <v>0</v>
      </c>
    </row>
    <row r="69" spans="1:31" s="8" customFormat="1" x14ac:dyDescent="0.25">
      <c r="A69" s="189"/>
      <c r="B69" s="92" t="s">
        <v>189</v>
      </c>
      <c r="C69" s="90" t="str">
        <f>VLOOKUP($F69,Admin!$A$16:$E$19,2,FALSE)</f>
        <v>Alkalmazott (ipari) kutatás – Működési költség</v>
      </c>
      <c r="D69" s="161" t="s">
        <v>129</v>
      </c>
      <c r="E69" s="90" t="str">
        <f>VLOOKUP($F69,Admin!$A$16:$E$19,4,FALSE)</f>
        <v>54. Bérköltség - Kutató-fejlesztő munkatárs</v>
      </c>
      <c r="F69" s="90" t="s">
        <v>171</v>
      </c>
      <c r="G69" s="161" t="s">
        <v>174</v>
      </c>
      <c r="H69" s="161" t="s">
        <v>193</v>
      </c>
      <c r="I69" s="90" t="str">
        <f>VLOOKUP($F69,Admin!$A$16:$E$19,5,FALSE)</f>
        <v>K+F munkatárs</v>
      </c>
      <c r="J69" s="161" t="s">
        <v>65</v>
      </c>
      <c r="K69" s="161" t="str">
        <f t="shared" si="180"/>
        <v>2023.02</v>
      </c>
      <c r="L69" s="91" t="s">
        <v>8</v>
      </c>
      <c r="M69" s="92" t="s">
        <v>78</v>
      </c>
      <c r="N69" s="162">
        <v>890000</v>
      </c>
      <c r="O69" s="163">
        <f t="shared" ref="O69:O70" si="186">ROUND(N69*V69,0)</f>
        <v>115700</v>
      </c>
      <c r="P69" s="161">
        <v>174</v>
      </c>
      <c r="Q69" s="161">
        <v>86</v>
      </c>
      <c r="R69" s="230">
        <f t="shared" ref="R69:R70" si="187">Q69/P69</f>
        <v>0.4942528735632184</v>
      </c>
      <c r="S69" s="164">
        <f t="shared" ref="S69:S70" si="188">ROUND(N69*Q69/P69,0)</f>
        <v>439885</v>
      </c>
      <c r="T69" s="165">
        <f t="shared" ref="T69:T70" si="189">ROUND(S69*V69,0)</f>
        <v>57185</v>
      </c>
      <c r="U69" s="166">
        <f t="shared" ref="U69:U70" si="190">Q69/P69-S69/N69</f>
        <v>6.4574454339272336E-8</v>
      </c>
      <c r="V69" s="87">
        <v>0.13</v>
      </c>
      <c r="W69" s="224" t="s">
        <v>223</v>
      </c>
      <c r="X69" s="23">
        <v>44936</v>
      </c>
      <c r="Y69" s="20" t="s">
        <v>197</v>
      </c>
      <c r="Z69" s="20"/>
      <c r="AA69" s="20"/>
      <c r="AB69" s="168"/>
      <c r="AC69" s="8" t="s">
        <v>248</v>
      </c>
      <c r="AD69" s="8">
        <v>320000</v>
      </c>
      <c r="AE69" s="8">
        <v>59384</v>
      </c>
    </row>
    <row r="70" spans="1:31" s="8" customFormat="1" x14ac:dyDescent="0.25">
      <c r="A70" s="189"/>
      <c r="B70" s="92" t="s">
        <v>189</v>
      </c>
      <c r="C70" s="90" t="str">
        <f>VLOOKUP($F70,Admin!$A$16:$E$19,2,FALSE)</f>
        <v>Alkalmazott (ipari) kutatás – Működési költség</v>
      </c>
      <c r="D70" s="161" t="s">
        <v>129</v>
      </c>
      <c r="E70" s="90" t="str">
        <f>VLOOKUP($F70,Admin!$A$16:$E$19,4,FALSE)</f>
        <v>54. Bérköltség - Kutató-fejlesztő munkatárs</v>
      </c>
      <c r="F70" s="90" t="s">
        <v>171</v>
      </c>
      <c r="G70" s="161" t="s">
        <v>174</v>
      </c>
      <c r="H70" s="161" t="s">
        <v>193</v>
      </c>
      <c r="I70" s="90" t="str">
        <f>VLOOKUP($F70,Admin!$A$16:$E$19,5,FALSE)</f>
        <v>K+F munkatárs</v>
      </c>
      <c r="J70" s="161" t="s">
        <v>66</v>
      </c>
      <c r="K70" s="161" t="str">
        <f t="shared" si="180"/>
        <v>2023.03</v>
      </c>
      <c r="L70" s="91" t="s">
        <v>8</v>
      </c>
      <c r="M70" s="92" t="s">
        <v>78</v>
      </c>
      <c r="N70" s="162">
        <v>890000</v>
      </c>
      <c r="O70" s="163">
        <f t="shared" si="186"/>
        <v>115700</v>
      </c>
      <c r="P70" s="161">
        <v>174</v>
      </c>
      <c r="Q70" s="161">
        <v>86</v>
      </c>
      <c r="R70" s="230">
        <f t="shared" si="187"/>
        <v>0.4942528735632184</v>
      </c>
      <c r="S70" s="164">
        <f t="shared" si="188"/>
        <v>439885</v>
      </c>
      <c r="T70" s="165">
        <f t="shared" si="189"/>
        <v>57185</v>
      </c>
      <c r="U70" s="166">
        <f t="shared" si="190"/>
        <v>6.4574454339272336E-8</v>
      </c>
      <c r="V70" s="87">
        <v>0.13</v>
      </c>
      <c r="W70" s="224" t="s">
        <v>223</v>
      </c>
      <c r="X70" s="23">
        <v>44936</v>
      </c>
      <c r="Y70" s="20" t="s">
        <v>197</v>
      </c>
      <c r="Z70" s="20"/>
      <c r="AA70" s="20"/>
      <c r="AB70" s="168"/>
      <c r="AC70" s="8" t="s">
        <v>248</v>
      </c>
      <c r="AD70" s="8">
        <v>320000</v>
      </c>
      <c r="AE70" s="8">
        <v>59384</v>
      </c>
    </row>
    <row r="71" spans="1:31" s="8" customFormat="1" x14ac:dyDescent="0.25">
      <c r="A71" s="189"/>
      <c r="B71" s="92" t="s">
        <v>189</v>
      </c>
      <c r="C71" s="90" t="str">
        <f>VLOOKUP($F71,Admin!$A$16:$E$19,2,FALSE)</f>
        <v>Alkalmazott (ipari) kutatás – Működési költség</v>
      </c>
      <c r="D71" s="161" t="s">
        <v>129</v>
      </c>
      <c r="E71" s="90" t="str">
        <f>VLOOKUP($F71,Admin!$A$16:$E$19,4,FALSE)</f>
        <v>54. Bérköltség - Kutató-fejlesztő munkatárs</v>
      </c>
      <c r="F71" s="90" t="s">
        <v>171</v>
      </c>
      <c r="G71" s="161" t="s">
        <v>174</v>
      </c>
      <c r="H71" s="161" t="s">
        <v>193</v>
      </c>
      <c r="I71" s="90" t="str">
        <f>VLOOKUP($F71,Admin!$A$16:$E$19,5,FALSE)</f>
        <v>K+F munkatárs</v>
      </c>
      <c r="J71" s="161" t="s">
        <v>67</v>
      </c>
      <c r="K71" s="161" t="str">
        <f t="shared" ref="K71:K73" si="191">J71</f>
        <v>2023.04</v>
      </c>
      <c r="L71" s="91" t="s">
        <v>8</v>
      </c>
      <c r="M71" s="92" t="s">
        <v>78</v>
      </c>
      <c r="N71" s="162">
        <v>1210000</v>
      </c>
      <c r="O71" s="163">
        <f t="shared" ref="O71" si="192">ROUND(N71*V71,0)</f>
        <v>157300</v>
      </c>
      <c r="P71" s="161">
        <v>174</v>
      </c>
      <c r="Q71" s="161">
        <v>91</v>
      </c>
      <c r="R71" s="230">
        <f t="shared" ref="R71" si="193">Q71/P71</f>
        <v>0.52298850574712641</v>
      </c>
      <c r="S71" s="164">
        <f t="shared" ref="S71" si="194">ROUND(N71*Q71/P71,0)</f>
        <v>632816</v>
      </c>
      <c r="T71" s="165">
        <f t="shared" ref="T71" si="195">ROUND(S71*V71,0)</f>
        <v>82266</v>
      </c>
      <c r="U71" s="166">
        <f t="shared" ref="U71" si="196">Q71/P71-S71/N71</f>
        <v>7.5995060244693491E-8</v>
      </c>
      <c r="V71" s="87">
        <v>0.13</v>
      </c>
      <c r="W71" s="224" t="s">
        <v>223</v>
      </c>
      <c r="X71" s="23">
        <v>45002</v>
      </c>
      <c r="Y71" s="20" t="s">
        <v>197</v>
      </c>
      <c r="Z71" s="20"/>
      <c r="AA71" s="20"/>
      <c r="AB71" s="168"/>
      <c r="AC71" s="8" t="s">
        <v>248</v>
      </c>
      <c r="AD71" s="8">
        <v>0</v>
      </c>
      <c r="AE71" s="235">
        <v>17784</v>
      </c>
    </row>
    <row r="72" spans="1:31" s="8" customFormat="1" x14ac:dyDescent="0.25">
      <c r="A72" s="189"/>
      <c r="B72" s="92" t="s">
        <v>189</v>
      </c>
      <c r="C72" s="90" t="str">
        <f>VLOOKUP($F72,Admin!$A$16:$E$19,2,FALSE)</f>
        <v>Alkalmazott (ipari) kutatás – Működési költség</v>
      </c>
      <c r="D72" s="161" t="s">
        <v>129</v>
      </c>
      <c r="E72" s="90" t="str">
        <f>VLOOKUP($F72,Admin!$A$16:$E$19,4,FALSE)</f>
        <v>54. Bérköltség - Kutató-fejlesztő munkatárs</v>
      </c>
      <c r="F72" s="90" t="s">
        <v>171</v>
      </c>
      <c r="G72" s="161" t="s">
        <v>174</v>
      </c>
      <c r="H72" s="161" t="s">
        <v>193</v>
      </c>
      <c r="I72" s="90" t="str">
        <f>VLOOKUP($F72,Admin!$A$16:$E$19,5,FALSE)</f>
        <v>K+F munkatárs</v>
      </c>
      <c r="J72" s="161" t="s">
        <v>68</v>
      </c>
      <c r="K72" s="161" t="str">
        <f t="shared" si="191"/>
        <v>2023.05</v>
      </c>
      <c r="L72" s="91" t="s">
        <v>9</v>
      </c>
      <c r="M72" s="92" t="s">
        <v>78</v>
      </c>
      <c r="N72" s="162">
        <v>1250000</v>
      </c>
      <c r="O72" s="163">
        <f t="shared" ref="O72:O73" si="197">ROUND(N72*V72,0)</f>
        <v>162500</v>
      </c>
      <c r="P72" s="161">
        <v>174</v>
      </c>
      <c r="Q72" s="161">
        <v>91</v>
      </c>
      <c r="R72" s="230">
        <f t="shared" ref="R72:R73" si="198">Q72/P72</f>
        <v>0.52298850574712641</v>
      </c>
      <c r="S72" s="164">
        <f t="shared" ref="S72:S73" si="199">ROUND(N72*Q72/P72,0)</f>
        <v>653736</v>
      </c>
      <c r="T72" s="165">
        <f t="shared" ref="T72:T73" si="200">ROUND(S72*V72,0)</f>
        <v>84986</v>
      </c>
      <c r="U72" s="166">
        <f t="shared" ref="U72:U73" si="201">Q72/P72-S72/N72</f>
        <v>-2.9425287362272456E-7</v>
      </c>
      <c r="V72" s="87">
        <v>0.13</v>
      </c>
      <c r="W72" s="224" t="s">
        <v>223</v>
      </c>
      <c r="X72" s="23">
        <v>45002</v>
      </c>
      <c r="Y72" s="20" t="s">
        <v>197</v>
      </c>
      <c r="Z72" s="20"/>
      <c r="AA72" s="20"/>
      <c r="AB72" s="168"/>
    </row>
    <row r="73" spans="1:31" s="8" customFormat="1" x14ac:dyDescent="0.25">
      <c r="A73" s="189"/>
      <c r="B73" s="92" t="s">
        <v>189</v>
      </c>
      <c r="C73" s="90" t="str">
        <f>VLOOKUP($F73,Admin!$A$16:$E$19,2,FALSE)</f>
        <v>Alkalmazott (ipari) kutatás – Működési költség</v>
      </c>
      <c r="D73" s="161" t="s">
        <v>129</v>
      </c>
      <c r="E73" s="90" t="str">
        <f>VLOOKUP($F73,Admin!$A$16:$E$19,4,FALSE)</f>
        <v>54. Bérköltség - Kutató-fejlesztő munkatárs</v>
      </c>
      <c r="F73" s="90" t="s">
        <v>171</v>
      </c>
      <c r="G73" s="161" t="s">
        <v>174</v>
      </c>
      <c r="H73" s="161" t="s">
        <v>193</v>
      </c>
      <c r="I73" s="90" t="str">
        <f>VLOOKUP($F73,Admin!$A$16:$E$19,5,FALSE)</f>
        <v>K+F munkatárs</v>
      </c>
      <c r="J73" s="161" t="s">
        <v>69</v>
      </c>
      <c r="K73" s="161" t="str">
        <f t="shared" si="191"/>
        <v>2023.06</v>
      </c>
      <c r="L73" s="91" t="s">
        <v>9</v>
      </c>
      <c r="M73" s="92" t="s">
        <v>78</v>
      </c>
      <c r="N73" s="162">
        <v>1250000</v>
      </c>
      <c r="O73" s="163">
        <f t="shared" si="197"/>
        <v>162500</v>
      </c>
      <c r="P73" s="161">
        <v>174</v>
      </c>
      <c r="Q73" s="161">
        <v>91</v>
      </c>
      <c r="R73" s="230">
        <f t="shared" si="198"/>
        <v>0.52298850574712641</v>
      </c>
      <c r="S73" s="164">
        <f t="shared" si="199"/>
        <v>653736</v>
      </c>
      <c r="T73" s="165">
        <f t="shared" si="200"/>
        <v>84986</v>
      </c>
      <c r="U73" s="166">
        <f t="shared" si="201"/>
        <v>-2.9425287362272456E-7</v>
      </c>
      <c r="V73" s="87">
        <v>0.13</v>
      </c>
      <c r="W73" s="224" t="s">
        <v>223</v>
      </c>
      <c r="X73" s="23">
        <v>45002</v>
      </c>
      <c r="Y73" s="20" t="s">
        <v>197</v>
      </c>
      <c r="Z73" s="20"/>
      <c r="AA73" s="20"/>
      <c r="AB73" s="168"/>
    </row>
    <row r="74" spans="1:31" s="8" customFormat="1" x14ac:dyDescent="0.25">
      <c r="A74" s="189"/>
      <c r="B74" s="92" t="s">
        <v>189</v>
      </c>
      <c r="C74" s="90" t="str">
        <f>VLOOKUP($F74,Admin!$A$16:$E$19,2,FALSE)</f>
        <v>Alkalmazott (ipari) kutatás – Működési költség</v>
      </c>
      <c r="D74" s="161" t="s">
        <v>129</v>
      </c>
      <c r="E74" s="90" t="str">
        <f>VLOOKUP($F74,Admin!$A$16:$E$19,4,FALSE)</f>
        <v>54. Bérköltség - Kutató-fejlesztő munkatárs</v>
      </c>
      <c r="F74" s="90" t="s">
        <v>171</v>
      </c>
      <c r="G74" s="161" t="s">
        <v>174</v>
      </c>
      <c r="H74" s="161" t="s">
        <v>193</v>
      </c>
      <c r="I74" s="90" t="str">
        <f>VLOOKUP($F74,Admin!$A$16:$E$19,5,FALSE)</f>
        <v>K+F munkatárs</v>
      </c>
      <c r="J74" s="161" t="s">
        <v>70</v>
      </c>
      <c r="K74" s="161" t="str">
        <f t="shared" ref="K74:K78" si="202">J74</f>
        <v>2023.07</v>
      </c>
      <c r="L74" s="91" t="s">
        <v>9</v>
      </c>
      <c r="M74" s="92" t="s">
        <v>78</v>
      </c>
      <c r="N74" s="162">
        <v>1210000</v>
      </c>
      <c r="O74" s="163">
        <f t="shared" ref="O74" si="203">ROUND(N74*V74,0)</f>
        <v>157300</v>
      </c>
      <c r="P74" s="161">
        <v>174</v>
      </c>
      <c r="Q74" s="161">
        <v>91</v>
      </c>
      <c r="R74" s="230">
        <f t="shared" ref="R74" si="204">Q74/P74</f>
        <v>0.52298850574712641</v>
      </c>
      <c r="S74" s="164">
        <f t="shared" ref="S74" si="205">ROUND(N74*Q74/P74,0)</f>
        <v>632816</v>
      </c>
      <c r="T74" s="165">
        <f t="shared" ref="T74" si="206">ROUND(S74*V74,0)</f>
        <v>82266</v>
      </c>
      <c r="U74" s="166">
        <f t="shared" ref="U74" si="207">Q74/P74-S74/N74</f>
        <v>7.5995060244693491E-8</v>
      </c>
      <c r="V74" s="87">
        <v>0.13</v>
      </c>
      <c r="W74" s="224" t="s">
        <v>223</v>
      </c>
      <c r="X74" s="23">
        <v>45082</v>
      </c>
      <c r="Y74" s="20"/>
      <c r="Z74" s="20"/>
      <c r="AA74" s="20"/>
      <c r="AB74" s="168"/>
    </row>
    <row r="75" spans="1:31" s="8" customFormat="1" x14ac:dyDescent="0.25">
      <c r="A75" s="189"/>
      <c r="B75" s="92" t="s">
        <v>189</v>
      </c>
      <c r="C75" s="90" t="str">
        <f>VLOOKUP($F75,Admin!$A$16:$E$19,2,FALSE)</f>
        <v>Alkalmazott (ipari) kutatás – Működési költség</v>
      </c>
      <c r="D75" s="161" t="s">
        <v>129</v>
      </c>
      <c r="E75" s="90" t="str">
        <f>VLOOKUP($F75,Admin!$A$16:$E$19,4,FALSE)</f>
        <v>54. Bérköltség - Kutató-fejlesztő munkatárs</v>
      </c>
      <c r="F75" s="90" t="s">
        <v>171</v>
      </c>
      <c r="G75" s="161" t="s">
        <v>174</v>
      </c>
      <c r="H75" s="161" t="s">
        <v>193</v>
      </c>
      <c r="I75" s="90" t="str">
        <f>VLOOKUP($F75,Admin!$A$16:$E$19,5,FALSE)</f>
        <v>K+F munkatárs</v>
      </c>
      <c r="J75" s="161" t="s">
        <v>71</v>
      </c>
      <c r="K75" s="161" t="str">
        <f t="shared" si="202"/>
        <v>2023.08</v>
      </c>
      <c r="L75" s="91" t="s">
        <v>9</v>
      </c>
      <c r="M75" s="92" t="s">
        <v>78</v>
      </c>
      <c r="N75" s="162">
        <v>1210000</v>
      </c>
      <c r="O75" s="163">
        <f t="shared" ref="O75:O78" si="208">ROUND(N75*V75,0)</f>
        <v>157300</v>
      </c>
      <c r="P75" s="161">
        <v>174</v>
      </c>
      <c r="Q75" s="161">
        <v>91</v>
      </c>
      <c r="R75" s="230">
        <f t="shared" ref="R75:R78" si="209">Q75/P75</f>
        <v>0.52298850574712641</v>
      </c>
      <c r="S75" s="164">
        <f t="shared" ref="S75:S78" si="210">ROUND(N75*Q75/P75,0)</f>
        <v>632816</v>
      </c>
      <c r="T75" s="165">
        <f t="shared" ref="T75:T78" si="211">ROUND(S75*V75,0)</f>
        <v>82266</v>
      </c>
      <c r="U75" s="166">
        <f t="shared" ref="U75:U78" si="212">Q75/P75-S75/N75</f>
        <v>7.5995060244693491E-8</v>
      </c>
      <c r="V75" s="87">
        <v>0.13</v>
      </c>
      <c r="W75" s="224" t="s">
        <v>223</v>
      </c>
      <c r="X75" s="23">
        <v>45082</v>
      </c>
      <c r="Y75" s="20"/>
      <c r="Z75" s="20"/>
      <c r="AA75" s="20"/>
      <c r="AB75" s="168"/>
    </row>
    <row r="76" spans="1:31" s="8" customFormat="1" x14ac:dyDescent="0.25">
      <c r="A76" s="189"/>
      <c r="B76" s="92" t="s">
        <v>189</v>
      </c>
      <c r="C76" s="90" t="str">
        <f>VLOOKUP($F76,Admin!$A$16:$E$19,2,FALSE)</f>
        <v>Alkalmazott (ipari) kutatás – Működési költség</v>
      </c>
      <c r="D76" s="161" t="s">
        <v>129</v>
      </c>
      <c r="E76" s="90" t="str">
        <f>VLOOKUP($F76,Admin!$A$16:$E$19,4,FALSE)</f>
        <v>54. Bérköltség - Kutató-fejlesztő munkatárs</v>
      </c>
      <c r="F76" s="90" t="s">
        <v>171</v>
      </c>
      <c r="G76" s="161" t="s">
        <v>174</v>
      </c>
      <c r="H76" s="161" t="s">
        <v>193</v>
      </c>
      <c r="I76" s="90" t="str">
        <f>VLOOKUP($F76,Admin!$A$16:$E$19,5,FALSE)</f>
        <v>K+F munkatárs</v>
      </c>
      <c r="J76" s="161" t="s">
        <v>72</v>
      </c>
      <c r="K76" s="161" t="str">
        <f t="shared" si="202"/>
        <v>2023.09</v>
      </c>
      <c r="L76" s="91" t="s">
        <v>9</v>
      </c>
      <c r="M76" s="92" t="s">
        <v>78</v>
      </c>
      <c r="N76" s="162">
        <v>1210000</v>
      </c>
      <c r="O76" s="163">
        <f t="shared" si="208"/>
        <v>157300</v>
      </c>
      <c r="P76" s="161">
        <v>174</v>
      </c>
      <c r="Q76" s="161">
        <v>91</v>
      </c>
      <c r="R76" s="230">
        <f t="shared" si="209"/>
        <v>0.52298850574712641</v>
      </c>
      <c r="S76" s="164">
        <f t="shared" si="210"/>
        <v>632816</v>
      </c>
      <c r="T76" s="165">
        <f t="shared" si="211"/>
        <v>82266</v>
      </c>
      <c r="U76" s="166">
        <f t="shared" si="212"/>
        <v>7.5995060244693491E-8</v>
      </c>
      <c r="V76" s="87">
        <v>0.13</v>
      </c>
      <c r="W76" s="224" t="s">
        <v>223</v>
      </c>
      <c r="X76" s="23">
        <v>45082</v>
      </c>
      <c r="Y76" s="20"/>
      <c r="Z76" s="20"/>
      <c r="AA76" s="20"/>
      <c r="AB76" s="168"/>
    </row>
    <row r="77" spans="1:31" s="8" customFormat="1" x14ac:dyDescent="0.25">
      <c r="A77" s="189"/>
      <c r="B77" s="92" t="s">
        <v>189</v>
      </c>
      <c r="C77" s="90" t="str">
        <f>VLOOKUP($F77,Admin!$A$16:$E$19,2,FALSE)</f>
        <v>Alkalmazott (ipari) kutatás – Működési költség</v>
      </c>
      <c r="D77" s="161" t="s">
        <v>129</v>
      </c>
      <c r="E77" s="90" t="str">
        <f>VLOOKUP($F77,Admin!$A$16:$E$19,4,FALSE)</f>
        <v>54. Bérköltség - Kutató-fejlesztő munkatárs</v>
      </c>
      <c r="F77" s="90" t="s">
        <v>171</v>
      </c>
      <c r="G77" s="161" t="s">
        <v>174</v>
      </c>
      <c r="H77" s="161" t="s">
        <v>193</v>
      </c>
      <c r="I77" s="90" t="str">
        <f>VLOOKUP($F77,Admin!$A$16:$E$19,5,FALSE)</f>
        <v>K+F munkatárs</v>
      </c>
      <c r="J77" s="161" t="s">
        <v>73</v>
      </c>
      <c r="K77" s="161" t="str">
        <f t="shared" si="202"/>
        <v>2023.10</v>
      </c>
      <c r="L77" s="91" t="s">
        <v>9</v>
      </c>
      <c r="M77" s="92" t="s">
        <v>78</v>
      </c>
      <c r="N77" s="162">
        <v>1210000</v>
      </c>
      <c r="O77" s="163">
        <f t="shared" si="208"/>
        <v>157300</v>
      </c>
      <c r="P77" s="161">
        <v>174</v>
      </c>
      <c r="Q77" s="161">
        <v>91</v>
      </c>
      <c r="R77" s="230">
        <f t="shared" si="209"/>
        <v>0.52298850574712641</v>
      </c>
      <c r="S77" s="164">
        <f t="shared" si="210"/>
        <v>632816</v>
      </c>
      <c r="T77" s="165">
        <f t="shared" si="211"/>
        <v>82266</v>
      </c>
      <c r="U77" s="166">
        <f t="shared" si="212"/>
        <v>7.5995060244693491E-8</v>
      </c>
      <c r="V77" s="87">
        <v>0.13</v>
      </c>
      <c r="W77" s="224" t="s">
        <v>223</v>
      </c>
      <c r="X77" s="23">
        <v>45082</v>
      </c>
      <c r="Y77" s="20"/>
      <c r="Z77" s="20"/>
      <c r="AA77" s="20"/>
      <c r="AB77" s="168"/>
    </row>
    <row r="78" spans="1:31" s="8" customFormat="1" x14ac:dyDescent="0.25">
      <c r="A78" s="189"/>
      <c r="B78" s="92" t="s">
        <v>189</v>
      </c>
      <c r="C78" s="90" t="str">
        <f>VLOOKUP($F78,Admin!$A$16:$E$19,2,FALSE)</f>
        <v>Alkalmazott (ipari) kutatás – Működési költség</v>
      </c>
      <c r="D78" s="161" t="s">
        <v>129</v>
      </c>
      <c r="E78" s="90" t="str">
        <f>VLOOKUP($F78,Admin!$A$16:$E$19,4,FALSE)</f>
        <v>54. Bérköltség - Kutató-fejlesztő munkatárs</v>
      </c>
      <c r="F78" s="90" t="s">
        <v>171</v>
      </c>
      <c r="G78" s="161" t="s">
        <v>174</v>
      </c>
      <c r="H78" s="161" t="s">
        <v>193</v>
      </c>
      <c r="I78" s="90" t="str">
        <f>VLOOKUP($F78,Admin!$A$16:$E$19,5,FALSE)</f>
        <v>K+F munkatárs</v>
      </c>
      <c r="J78" s="161" t="s">
        <v>74</v>
      </c>
      <c r="K78" s="161" t="str">
        <f t="shared" si="202"/>
        <v>2023.11</v>
      </c>
      <c r="L78" s="91" t="s">
        <v>9</v>
      </c>
      <c r="M78" s="92" t="s">
        <v>78</v>
      </c>
      <c r="N78" s="162">
        <v>1210000</v>
      </c>
      <c r="O78" s="163">
        <f t="shared" si="208"/>
        <v>157300</v>
      </c>
      <c r="P78" s="161">
        <v>174</v>
      </c>
      <c r="Q78" s="161">
        <v>91</v>
      </c>
      <c r="R78" s="230">
        <f t="shared" si="209"/>
        <v>0.52298850574712641</v>
      </c>
      <c r="S78" s="164">
        <f t="shared" si="210"/>
        <v>632816</v>
      </c>
      <c r="T78" s="165">
        <f t="shared" si="211"/>
        <v>82266</v>
      </c>
      <c r="U78" s="166">
        <f t="shared" si="212"/>
        <v>7.5995060244693491E-8</v>
      </c>
      <c r="V78" s="87">
        <v>0.13</v>
      </c>
      <c r="W78" s="224" t="s">
        <v>223</v>
      </c>
      <c r="X78" s="23">
        <v>45082</v>
      </c>
      <c r="Y78" s="20"/>
      <c r="Z78" s="20"/>
      <c r="AA78" s="20"/>
      <c r="AB78" s="168"/>
    </row>
    <row r="79" spans="1:31" s="8" customFormat="1" x14ac:dyDescent="0.25">
      <c r="A79" s="208">
        <v>1</v>
      </c>
      <c r="B79" s="92" t="s">
        <v>190</v>
      </c>
      <c r="C79" s="90" t="str">
        <f>VLOOKUP($F79,Admin!$A$16:$E$19,2,FALSE)</f>
        <v>Alkalmazott (ipari) kutatás – Működési költség</v>
      </c>
      <c r="D79" s="161" t="s">
        <v>129</v>
      </c>
      <c r="E79" s="90" t="str">
        <f>VLOOKUP($F79,Admin!$A$16:$E$19,4,FALSE)</f>
        <v>54. Bérköltség - Kutató-fejlesztő munkatárs</v>
      </c>
      <c r="F79" s="90" t="s">
        <v>171</v>
      </c>
      <c r="G79" s="161" t="s">
        <v>174</v>
      </c>
      <c r="H79" s="161" t="s">
        <v>194</v>
      </c>
      <c r="I79" s="90" t="str">
        <f>VLOOKUP($F79,Admin!$A$16:$E$19,5,FALSE)</f>
        <v>K+F munkatárs</v>
      </c>
      <c r="J79" s="161" t="s">
        <v>37</v>
      </c>
      <c r="K79" s="161" t="str">
        <f t="shared" si="137"/>
        <v>2021.10</v>
      </c>
      <c r="L79" s="91" t="s">
        <v>8</v>
      </c>
      <c r="M79" s="92" t="s">
        <v>78</v>
      </c>
      <c r="N79" s="162">
        <v>1579999</v>
      </c>
      <c r="O79" s="163">
        <f t="shared" si="138"/>
        <v>244900</v>
      </c>
      <c r="P79" s="161">
        <v>174</v>
      </c>
      <c r="Q79" s="161">
        <v>30</v>
      </c>
      <c r="R79" s="230">
        <f t="shared" si="139"/>
        <v>0.17241379310344829</v>
      </c>
      <c r="S79" s="164">
        <f t="shared" si="140"/>
        <v>272414</v>
      </c>
      <c r="T79" s="165">
        <f t="shared" si="141"/>
        <v>42224</v>
      </c>
      <c r="U79" s="166">
        <f t="shared" si="142"/>
        <v>-2.4006999044257071E-7</v>
      </c>
      <c r="V79" s="87">
        <v>0.155</v>
      </c>
      <c r="W79" s="224"/>
      <c r="X79" s="23">
        <v>44470</v>
      </c>
      <c r="Y79" s="20" t="s">
        <v>197</v>
      </c>
      <c r="Z79" s="20"/>
      <c r="AA79" s="20"/>
      <c r="AB79" s="168"/>
    </row>
    <row r="80" spans="1:31" s="8" customFormat="1" x14ac:dyDescent="0.25">
      <c r="A80" s="208">
        <v>1</v>
      </c>
      <c r="B80" s="92" t="s">
        <v>190</v>
      </c>
      <c r="C80" s="90" t="str">
        <f>VLOOKUP($F80,Admin!$A$16:$E$19,2,FALSE)</f>
        <v>Alkalmazott (ipari) kutatás – Működési költség</v>
      </c>
      <c r="D80" s="161" t="s">
        <v>129</v>
      </c>
      <c r="E80" s="90" t="str">
        <f>VLOOKUP($F80,Admin!$A$16:$E$19,4,FALSE)</f>
        <v>54. Bérköltség - Kutató-fejlesztő munkatárs</v>
      </c>
      <c r="F80" s="90" t="s">
        <v>171</v>
      </c>
      <c r="G80" s="161" t="s">
        <v>174</v>
      </c>
      <c r="H80" s="161" t="s">
        <v>194</v>
      </c>
      <c r="I80" s="90" t="str">
        <f>VLOOKUP($F80,Admin!$A$16:$E$19,5,FALSE)</f>
        <v>K+F munkatárs</v>
      </c>
      <c r="J80" s="161" t="s">
        <v>38</v>
      </c>
      <c r="K80" s="161" t="str">
        <f t="shared" si="137"/>
        <v>2021.11</v>
      </c>
      <c r="L80" s="91" t="s">
        <v>8</v>
      </c>
      <c r="M80" s="92" t="s">
        <v>78</v>
      </c>
      <c r="N80" s="162">
        <v>1610000</v>
      </c>
      <c r="O80" s="163">
        <f t="shared" si="138"/>
        <v>249550</v>
      </c>
      <c r="P80" s="161">
        <v>174</v>
      </c>
      <c r="Q80" s="161">
        <v>30</v>
      </c>
      <c r="R80" s="230">
        <f t="shared" si="139"/>
        <v>0.17241379310344829</v>
      </c>
      <c r="S80" s="195">
        <v>241379</v>
      </c>
      <c r="T80" s="165">
        <f t="shared" si="141"/>
        <v>37414</v>
      </c>
      <c r="U80" s="166">
        <f t="shared" si="142"/>
        <v>2.2488948382951401E-2</v>
      </c>
      <c r="V80" s="87">
        <v>0.155</v>
      </c>
      <c r="W80" s="224"/>
      <c r="X80" s="23">
        <v>44509</v>
      </c>
      <c r="Y80" s="20" t="s">
        <v>197</v>
      </c>
      <c r="Z80" s="20"/>
      <c r="AA80" s="20"/>
      <c r="AB80" s="168"/>
    </row>
    <row r="81" spans="1:31" s="8" customFormat="1" x14ac:dyDescent="0.25">
      <c r="A81" s="208">
        <v>1</v>
      </c>
      <c r="B81" s="92" t="s">
        <v>190</v>
      </c>
      <c r="C81" s="90" t="str">
        <f>VLOOKUP($F81,Admin!$A$16:$E$19,2,FALSE)</f>
        <v>Alkalmazott (ipari) kutatás – Működési költség</v>
      </c>
      <c r="D81" s="161" t="s">
        <v>129</v>
      </c>
      <c r="E81" s="90" t="str">
        <f>VLOOKUP($F81,Admin!$A$16:$E$19,4,FALSE)</f>
        <v>54. Bérköltség - Kutató-fejlesztő munkatárs</v>
      </c>
      <c r="F81" s="90" t="s">
        <v>171</v>
      </c>
      <c r="G81" s="161" t="s">
        <v>174</v>
      </c>
      <c r="H81" s="161" t="s">
        <v>194</v>
      </c>
      <c r="I81" s="90" t="str">
        <f>VLOOKUP($F81,Admin!$A$16:$E$19,5,FALSE)</f>
        <v>K+F munkatárs</v>
      </c>
      <c r="J81" s="161" t="s">
        <v>39</v>
      </c>
      <c r="K81" s="161" t="str">
        <f t="shared" si="137"/>
        <v>2021.12</v>
      </c>
      <c r="L81" s="91" t="s">
        <v>8</v>
      </c>
      <c r="M81" s="92" t="s">
        <v>78</v>
      </c>
      <c r="N81" s="162">
        <v>1610000</v>
      </c>
      <c r="O81" s="163">
        <f t="shared" si="138"/>
        <v>249550</v>
      </c>
      <c r="P81" s="161">
        <v>174</v>
      </c>
      <c r="Q81" s="161">
        <v>30</v>
      </c>
      <c r="R81" s="230">
        <f t="shared" si="139"/>
        <v>0.17241379310344829</v>
      </c>
      <c r="S81" s="195">
        <v>241379</v>
      </c>
      <c r="T81" s="165">
        <f t="shared" si="141"/>
        <v>37414</v>
      </c>
      <c r="U81" s="166">
        <f t="shared" si="142"/>
        <v>2.2488948382951401E-2</v>
      </c>
      <c r="V81" s="87">
        <v>0.155</v>
      </c>
      <c r="W81" s="224"/>
      <c r="X81" s="23">
        <v>44509</v>
      </c>
      <c r="Y81" s="20" t="s">
        <v>197</v>
      </c>
      <c r="Z81" s="20"/>
      <c r="AA81" s="20"/>
      <c r="AB81" s="168"/>
    </row>
    <row r="82" spans="1:31" s="8" customFormat="1" x14ac:dyDescent="0.25">
      <c r="A82" s="208">
        <v>1</v>
      </c>
      <c r="B82" s="92" t="s">
        <v>190</v>
      </c>
      <c r="C82" s="90" t="str">
        <f>VLOOKUP($F82,Admin!$A$16:$E$19,2,FALSE)</f>
        <v>Alkalmazott (ipari) kutatás – Működési költség</v>
      </c>
      <c r="D82" s="161" t="s">
        <v>129</v>
      </c>
      <c r="E82" s="90" t="str">
        <f>VLOOKUP($F82,Admin!$A$16:$E$19,4,FALSE)</f>
        <v>54. Bérköltség - Kutató-fejlesztő munkatárs</v>
      </c>
      <c r="F82" s="90" t="s">
        <v>171</v>
      </c>
      <c r="G82" s="161" t="s">
        <v>174</v>
      </c>
      <c r="H82" s="161" t="s">
        <v>194</v>
      </c>
      <c r="I82" s="90" t="str">
        <f>VLOOKUP($F82,Admin!$A$16:$E$19,5,FALSE)</f>
        <v>K+F munkatárs</v>
      </c>
      <c r="J82" s="161" t="s">
        <v>40</v>
      </c>
      <c r="K82" s="161" t="str">
        <f t="shared" si="137"/>
        <v>2022.01</v>
      </c>
      <c r="L82" s="91" t="s">
        <v>8</v>
      </c>
      <c r="M82" s="92" t="s">
        <v>78</v>
      </c>
      <c r="N82" s="162">
        <v>1526000</v>
      </c>
      <c r="O82" s="163">
        <f t="shared" si="138"/>
        <v>198380</v>
      </c>
      <c r="P82" s="161">
        <v>174</v>
      </c>
      <c r="Q82" s="161">
        <v>29</v>
      </c>
      <c r="R82" s="230">
        <f t="shared" si="139"/>
        <v>0.16666666666666666</v>
      </c>
      <c r="S82" s="164">
        <f t="shared" si="140"/>
        <v>254333</v>
      </c>
      <c r="T82" s="165">
        <f t="shared" si="141"/>
        <v>33063</v>
      </c>
      <c r="U82" s="166">
        <f t="shared" si="142"/>
        <v>2.1843599823379023E-7</v>
      </c>
      <c r="V82" s="87">
        <v>0.13</v>
      </c>
      <c r="W82" s="224"/>
      <c r="X82" s="23">
        <v>44566</v>
      </c>
      <c r="Y82" s="20" t="s">
        <v>197</v>
      </c>
      <c r="Z82" s="20"/>
      <c r="AA82" s="20"/>
      <c r="AB82" s="168"/>
    </row>
    <row r="83" spans="1:31" s="8" customFormat="1" x14ac:dyDescent="0.25">
      <c r="A83" s="208">
        <v>1</v>
      </c>
      <c r="B83" s="92" t="s">
        <v>190</v>
      </c>
      <c r="C83" s="90" t="str">
        <f>VLOOKUP($F83,Admin!$A$16:$E$19,2,FALSE)</f>
        <v>Alkalmazott (ipari) kutatás – Működési költség</v>
      </c>
      <c r="D83" s="161" t="s">
        <v>129</v>
      </c>
      <c r="E83" s="90" t="str">
        <f>VLOOKUP($F83,Admin!$A$16:$E$19,4,FALSE)</f>
        <v>54. Bérköltség - Kutató-fejlesztő munkatárs</v>
      </c>
      <c r="F83" s="90" t="s">
        <v>171</v>
      </c>
      <c r="G83" s="161" t="s">
        <v>174</v>
      </c>
      <c r="H83" s="161" t="s">
        <v>194</v>
      </c>
      <c r="I83" s="90" t="str">
        <f>VLOOKUP($F83,Admin!$A$16:$E$19,5,FALSE)</f>
        <v>K+F munkatárs</v>
      </c>
      <c r="J83" s="161" t="s">
        <v>41</v>
      </c>
      <c r="K83" s="161" t="str">
        <f t="shared" si="137"/>
        <v>2022.02</v>
      </c>
      <c r="L83" s="91" t="s">
        <v>8</v>
      </c>
      <c r="M83" s="92" t="s">
        <v>78</v>
      </c>
      <c r="N83" s="162">
        <v>1526000</v>
      </c>
      <c r="O83" s="163">
        <f t="shared" si="138"/>
        <v>198380</v>
      </c>
      <c r="P83" s="161">
        <v>174</v>
      </c>
      <c r="Q83" s="161">
        <v>31</v>
      </c>
      <c r="R83" s="230">
        <f t="shared" si="139"/>
        <v>0.17816091954022989</v>
      </c>
      <c r="S83" s="164">
        <f t="shared" si="140"/>
        <v>271874</v>
      </c>
      <c r="T83" s="165">
        <f t="shared" si="141"/>
        <v>35344</v>
      </c>
      <c r="U83" s="166">
        <f t="shared" si="142"/>
        <v>-2.8622648046150445E-7</v>
      </c>
      <c r="V83" s="87">
        <v>0.13</v>
      </c>
      <c r="W83" s="224"/>
      <c r="X83" s="23">
        <v>44595</v>
      </c>
      <c r="Y83" s="20" t="s">
        <v>197</v>
      </c>
      <c r="Z83" s="20"/>
      <c r="AA83" s="20"/>
      <c r="AB83" s="168"/>
    </row>
    <row r="84" spans="1:31" s="8" customFormat="1" x14ac:dyDescent="0.25">
      <c r="A84" s="208">
        <v>1</v>
      </c>
      <c r="B84" s="92" t="s">
        <v>190</v>
      </c>
      <c r="C84" s="90" t="str">
        <f>VLOOKUP($F84,Admin!$A$16:$E$19,2,FALSE)</f>
        <v>Alkalmazott (ipari) kutatás – Működési költség</v>
      </c>
      <c r="D84" s="161" t="s">
        <v>129</v>
      </c>
      <c r="E84" s="90" t="str">
        <f>VLOOKUP($F84,Admin!$A$16:$E$19,4,FALSE)</f>
        <v>54. Bérköltség - Kutató-fejlesztő munkatárs</v>
      </c>
      <c r="F84" s="90" t="s">
        <v>171</v>
      </c>
      <c r="G84" s="161" t="s">
        <v>174</v>
      </c>
      <c r="H84" s="161" t="s">
        <v>194</v>
      </c>
      <c r="I84" s="90" t="str">
        <f>VLOOKUP($F84,Admin!$A$16:$E$19,5,FALSE)</f>
        <v>K+F munkatárs</v>
      </c>
      <c r="J84" s="161" t="s">
        <v>42</v>
      </c>
      <c r="K84" s="161" t="str">
        <f t="shared" si="137"/>
        <v>2022.03</v>
      </c>
      <c r="L84" s="91" t="s">
        <v>8</v>
      </c>
      <c r="M84" s="92" t="s">
        <v>78</v>
      </c>
      <c r="N84" s="162">
        <v>1566000</v>
      </c>
      <c r="O84" s="163">
        <f t="shared" si="138"/>
        <v>203580</v>
      </c>
      <c r="P84" s="161">
        <v>174</v>
      </c>
      <c r="Q84" s="161">
        <v>29</v>
      </c>
      <c r="R84" s="230">
        <f t="shared" si="139"/>
        <v>0.16666666666666666</v>
      </c>
      <c r="S84" s="164">
        <f t="shared" si="140"/>
        <v>261000</v>
      </c>
      <c r="T84" s="165">
        <f t="shared" si="141"/>
        <v>33930</v>
      </c>
      <c r="U84" s="166">
        <f t="shared" si="142"/>
        <v>0</v>
      </c>
      <c r="V84" s="87">
        <v>0.13</v>
      </c>
      <c r="W84" s="224"/>
      <c r="X84" s="23">
        <v>44615</v>
      </c>
      <c r="Y84" s="20" t="s">
        <v>197</v>
      </c>
      <c r="Z84" s="20"/>
      <c r="AA84" s="20"/>
      <c r="AB84" s="168"/>
    </row>
    <row r="85" spans="1:31" s="8" customFormat="1" x14ac:dyDescent="0.25">
      <c r="A85" s="208">
        <v>1</v>
      </c>
      <c r="B85" s="92" t="s">
        <v>190</v>
      </c>
      <c r="C85" s="90" t="str">
        <f>VLOOKUP($F85,Admin!$A$16:$E$19,2,FALSE)</f>
        <v>Alkalmazott (ipari) kutatás – Működési költség</v>
      </c>
      <c r="D85" s="161" t="s">
        <v>129</v>
      </c>
      <c r="E85" s="90" t="str">
        <f>VLOOKUP($F85,Admin!$A$16:$E$19,4,FALSE)</f>
        <v>54. Bérköltség - Kutató-fejlesztő munkatárs</v>
      </c>
      <c r="F85" s="90" t="s">
        <v>171</v>
      </c>
      <c r="G85" s="161" t="s">
        <v>174</v>
      </c>
      <c r="H85" s="161" t="s">
        <v>194</v>
      </c>
      <c r="I85" s="90" t="str">
        <f>VLOOKUP($F85,Admin!$A$16:$E$19,5,FALSE)</f>
        <v>K+F munkatárs</v>
      </c>
      <c r="J85" s="161" t="s">
        <v>43</v>
      </c>
      <c r="K85" s="161" t="str">
        <f t="shared" ref="K85:K87" si="213">J85</f>
        <v>2022.04</v>
      </c>
      <c r="L85" s="91" t="s">
        <v>8</v>
      </c>
      <c r="M85" s="92" t="s">
        <v>78</v>
      </c>
      <c r="N85" s="162">
        <v>1614000</v>
      </c>
      <c r="O85" s="163">
        <f t="shared" ref="O85" si="214">ROUND(N85*V85,0)</f>
        <v>209820</v>
      </c>
      <c r="P85" s="161">
        <v>174</v>
      </c>
      <c r="Q85" s="161">
        <v>55</v>
      </c>
      <c r="R85" s="230">
        <f t="shared" ref="R85" si="215">Q85/P85</f>
        <v>0.31609195402298851</v>
      </c>
      <c r="S85" s="164">
        <f t="shared" ref="S85" si="216">ROUND(N85*Q85/P85,0)</f>
        <v>510172</v>
      </c>
      <c r="T85" s="165">
        <f t="shared" ref="T85" si="217">ROUND(S85*V85,0)</f>
        <v>66322</v>
      </c>
      <c r="U85" s="166">
        <f t="shared" ref="U85" si="218">Q85/P85-S85/N85</f>
        <v>2.563773875419173E-7</v>
      </c>
      <c r="V85" s="87">
        <v>0.13</v>
      </c>
      <c r="W85" s="224"/>
      <c r="X85" s="23">
        <v>44651</v>
      </c>
      <c r="Y85" s="20" t="s">
        <v>197</v>
      </c>
      <c r="Z85" s="20"/>
      <c r="AA85" s="20"/>
      <c r="AB85" s="168"/>
    </row>
    <row r="86" spans="1:31" s="8" customFormat="1" x14ac:dyDescent="0.25">
      <c r="A86" s="208">
        <v>1</v>
      </c>
      <c r="B86" s="92" t="s">
        <v>190</v>
      </c>
      <c r="C86" s="90" t="str">
        <f>VLOOKUP($F86,Admin!$A$16:$E$19,2,FALSE)</f>
        <v>Alkalmazott (ipari) kutatás – Működési költség</v>
      </c>
      <c r="D86" s="161" t="s">
        <v>129</v>
      </c>
      <c r="E86" s="90" t="str">
        <f>VLOOKUP($F86,Admin!$A$16:$E$19,4,FALSE)</f>
        <v>54. Bérköltség - Kutató-fejlesztő munkatárs</v>
      </c>
      <c r="F86" s="90" t="s">
        <v>171</v>
      </c>
      <c r="G86" s="161" t="s">
        <v>174</v>
      </c>
      <c r="H86" s="161" t="s">
        <v>194</v>
      </c>
      <c r="I86" s="90" t="str">
        <f>VLOOKUP($F86,Admin!$A$16:$E$19,5,FALSE)</f>
        <v>K+F munkatárs</v>
      </c>
      <c r="J86" s="161" t="s">
        <v>44</v>
      </c>
      <c r="K86" s="161" t="str">
        <f t="shared" si="213"/>
        <v>2022.05</v>
      </c>
      <c r="L86" s="91" t="s">
        <v>8</v>
      </c>
      <c r="M86" s="92" t="s">
        <v>78</v>
      </c>
      <c r="N86" s="162">
        <v>1614000</v>
      </c>
      <c r="O86" s="163">
        <f t="shared" ref="O86:O87" si="219">ROUND(N86*V86,0)</f>
        <v>209820</v>
      </c>
      <c r="P86" s="161">
        <v>174</v>
      </c>
      <c r="Q86" s="161">
        <v>55</v>
      </c>
      <c r="R86" s="230">
        <f t="shared" ref="R86:R87" si="220">Q86/P86</f>
        <v>0.31609195402298851</v>
      </c>
      <c r="S86" s="164">
        <f t="shared" ref="S86:S87" si="221">ROUND(N86*Q86/P86,0)</f>
        <v>510172</v>
      </c>
      <c r="T86" s="165">
        <f t="shared" ref="T86:T87" si="222">ROUND(S86*V86,0)</f>
        <v>66322</v>
      </c>
      <c r="U86" s="166">
        <f t="shared" ref="U86:U87" si="223">Q86/P86-S86/N86</f>
        <v>2.563773875419173E-7</v>
      </c>
      <c r="V86" s="87">
        <v>0.13</v>
      </c>
      <c r="W86" s="224"/>
      <c r="X86" s="23">
        <v>44651</v>
      </c>
      <c r="Y86" s="20" t="s">
        <v>197</v>
      </c>
      <c r="Z86" s="20"/>
      <c r="AA86" s="20"/>
      <c r="AB86" s="168"/>
    </row>
    <row r="87" spans="1:31" s="8" customFormat="1" x14ac:dyDescent="0.25">
      <c r="A87" s="208">
        <v>1</v>
      </c>
      <c r="B87" s="92" t="s">
        <v>190</v>
      </c>
      <c r="C87" s="90" t="str">
        <f>VLOOKUP($F87,Admin!$A$16:$E$19,2,FALSE)</f>
        <v>Alkalmazott (ipari) kutatás – Működési költség</v>
      </c>
      <c r="D87" s="161" t="s">
        <v>129</v>
      </c>
      <c r="E87" s="90" t="str">
        <f>VLOOKUP($F87,Admin!$A$16:$E$19,4,FALSE)</f>
        <v>54. Bérköltség - Kutató-fejlesztő munkatárs</v>
      </c>
      <c r="F87" s="90" t="s">
        <v>171</v>
      </c>
      <c r="G87" s="161" t="s">
        <v>174</v>
      </c>
      <c r="H87" s="161" t="s">
        <v>194</v>
      </c>
      <c r="I87" s="90" t="str">
        <f>VLOOKUP($F87,Admin!$A$16:$E$19,5,FALSE)</f>
        <v>K+F munkatárs</v>
      </c>
      <c r="J87" s="161" t="s">
        <v>45</v>
      </c>
      <c r="K87" s="161" t="str">
        <f t="shared" si="213"/>
        <v>2022.06</v>
      </c>
      <c r="L87" s="91" t="s">
        <v>8</v>
      </c>
      <c r="M87" s="92" t="s">
        <v>78</v>
      </c>
      <c r="N87" s="162">
        <v>1547999</v>
      </c>
      <c r="O87" s="163">
        <f t="shared" si="219"/>
        <v>201240</v>
      </c>
      <c r="P87" s="161">
        <v>174</v>
      </c>
      <c r="Q87" s="161">
        <v>55</v>
      </c>
      <c r="R87" s="230">
        <f t="shared" si="220"/>
        <v>0.31609195402298851</v>
      </c>
      <c r="S87" s="164">
        <f t="shared" si="221"/>
        <v>489310</v>
      </c>
      <c r="T87" s="165">
        <f t="shared" si="222"/>
        <v>63610</v>
      </c>
      <c r="U87" s="166">
        <f t="shared" si="223"/>
        <v>1.8563081904954259E-8</v>
      </c>
      <c r="V87" s="87">
        <v>0.13</v>
      </c>
      <c r="W87" s="224"/>
      <c r="X87" s="23">
        <v>44713</v>
      </c>
      <c r="Y87" s="20" t="s">
        <v>197</v>
      </c>
      <c r="Z87" s="20"/>
      <c r="AA87" s="20"/>
      <c r="AB87" s="168"/>
    </row>
    <row r="88" spans="1:31" s="8" customFormat="1" x14ac:dyDescent="0.25">
      <c r="A88" s="208">
        <v>1</v>
      </c>
      <c r="B88" s="92" t="s">
        <v>190</v>
      </c>
      <c r="C88" s="90" t="str">
        <f>VLOOKUP($F88,Admin!$A$16:$E$19,2,FALSE)</f>
        <v>Alkalmazott (ipari) kutatás – Működési költség</v>
      </c>
      <c r="D88" s="161" t="s">
        <v>129</v>
      </c>
      <c r="E88" s="90" t="str">
        <f>VLOOKUP($F88,Admin!$A$16:$E$19,4,FALSE)</f>
        <v>54. Bérköltség - Kutató-fejlesztő munkatárs</v>
      </c>
      <c r="F88" s="90" t="s">
        <v>171</v>
      </c>
      <c r="G88" s="161" t="s">
        <v>174</v>
      </c>
      <c r="H88" s="161" t="s">
        <v>194</v>
      </c>
      <c r="I88" s="90" t="str">
        <f>VLOOKUP($F88,Admin!$A$16:$E$19,5,FALSE)</f>
        <v>K+F munkatárs</v>
      </c>
      <c r="J88" s="161" t="s">
        <v>46</v>
      </c>
      <c r="K88" s="161" t="str">
        <f t="shared" ref="K88:K90" si="224">J88</f>
        <v>2022.07</v>
      </c>
      <c r="L88" s="91" t="s">
        <v>8</v>
      </c>
      <c r="M88" s="92" t="s">
        <v>78</v>
      </c>
      <c r="N88" s="162">
        <v>1500000</v>
      </c>
      <c r="O88" s="163">
        <f t="shared" ref="O88" si="225">ROUND(N88*V88,0)</f>
        <v>195000</v>
      </c>
      <c r="P88" s="161">
        <v>174</v>
      </c>
      <c r="Q88" s="161">
        <v>60</v>
      </c>
      <c r="R88" s="230">
        <f t="shared" ref="R88:R90" si="226">Q88/P88</f>
        <v>0.34482758620689657</v>
      </c>
      <c r="S88" s="164">
        <f t="shared" ref="S88:S90" si="227">ROUND(N88*Q88/P88,0)</f>
        <v>517241</v>
      </c>
      <c r="T88" s="165">
        <f t="shared" ref="T88:T90" si="228">ROUND(S88*V88,0)</f>
        <v>67241</v>
      </c>
      <c r="U88" s="166">
        <f t="shared" ref="U88:U90" si="229">Q88/P88-S88/N88</f>
        <v>2.5287356325565113E-7</v>
      </c>
      <c r="V88" s="87">
        <v>0.13</v>
      </c>
      <c r="W88" s="224"/>
      <c r="X88" s="23"/>
      <c r="Y88" s="20" t="s">
        <v>197</v>
      </c>
      <c r="Z88" s="20"/>
      <c r="AA88" s="20"/>
      <c r="AB88" s="168"/>
    </row>
    <row r="89" spans="1:31" s="8" customFormat="1" x14ac:dyDescent="0.25">
      <c r="A89" s="208">
        <v>1</v>
      </c>
      <c r="B89" s="92" t="s">
        <v>190</v>
      </c>
      <c r="C89" s="90" t="str">
        <f>VLOOKUP($F89,Admin!$A$16:$E$19,2,FALSE)</f>
        <v>Alkalmazott (ipari) kutatás – Működési költség</v>
      </c>
      <c r="D89" s="161" t="s">
        <v>129</v>
      </c>
      <c r="E89" s="90" t="str">
        <f>VLOOKUP($F89,Admin!$A$16:$E$19,4,FALSE)</f>
        <v>54. Bérköltség - Kutató-fejlesztő munkatárs</v>
      </c>
      <c r="F89" s="90" t="s">
        <v>171</v>
      </c>
      <c r="G89" s="161" t="s">
        <v>174</v>
      </c>
      <c r="H89" s="161" t="s">
        <v>194</v>
      </c>
      <c r="I89" s="90" t="str">
        <f>VLOOKUP($F89,Admin!$A$16:$E$19,5,FALSE)</f>
        <v>K+F munkatárs</v>
      </c>
      <c r="J89" s="161" t="s">
        <v>47</v>
      </c>
      <c r="K89" s="161" t="str">
        <f t="shared" si="224"/>
        <v>2022.08</v>
      </c>
      <c r="L89" s="91" t="s">
        <v>8</v>
      </c>
      <c r="M89" s="92" t="s">
        <v>78</v>
      </c>
      <c r="N89" s="162">
        <v>1500000</v>
      </c>
      <c r="O89" s="163">
        <f t="shared" ref="O89:O90" si="230">ROUND(N89*V89,0)</f>
        <v>195000</v>
      </c>
      <c r="P89" s="161">
        <v>174</v>
      </c>
      <c r="Q89" s="161">
        <v>60</v>
      </c>
      <c r="R89" s="230">
        <f t="shared" si="226"/>
        <v>0.34482758620689657</v>
      </c>
      <c r="S89" s="164">
        <f t="shared" si="227"/>
        <v>517241</v>
      </c>
      <c r="T89" s="165">
        <f t="shared" si="228"/>
        <v>67241</v>
      </c>
      <c r="U89" s="166">
        <f t="shared" si="229"/>
        <v>2.5287356325565113E-7</v>
      </c>
      <c r="V89" s="87">
        <v>0.13</v>
      </c>
      <c r="W89" s="224"/>
      <c r="X89" s="23"/>
      <c r="Y89" s="20" t="s">
        <v>197</v>
      </c>
      <c r="Z89" s="20"/>
      <c r="AA89" s="20"/>
      <c r="AB89" s="168"/>
    </row>
    <row r="90" spans="1:31" s="8" customFormat="1" x14ac:dyDescent="0.25">
      <c r="A90" s="208">
        <v>1</v>
      </c>
      <c r="B90" s="92" t="s">
        <v>190</v>
      </c>
      <c r="C90" s="90" t="str">
        <f>VLOOKUP($F90,Admin!$A$16:$E$19,2,FALSE)</f>
        <v>Alkalmazott (ipari) kutatás – Működési költség</v>
      </c>
      <c r="D90" s="161" t="s">
        <v>129</v>
      </c>
      <c r="E90" s="90" t="str">
        <f>VLOOKUP($F90,Admin!$A$16:$E$19,4,FALSE)</f>
        <v>54. Bérköltség - Kutató-fejlesztő munkatárs</v>
      </c>
      <c r="F90" s="90" t="s">
        <v>171</v>
      </c>
      <c r="G90" s="161" t="s">
        <v>174</v>
      </c>
      <c r="H90" s="161" t="s">
        <v>194</v>
      </c>
      <c r="I90" s="90" t="str">
        <f>VLOOKUP($F90,Admin!$A$16:$E$19,5,FALSE)</f>
        <v>K+F munkatárs</v>
      </c>
      <c r="J90" s="161" t="s">
        <v>48</v>
      </c>
      <c r="K90" s="161" t="str">
        <f t="shared" si="224"/>
        <v>2022.09</v>
      </c>
      <c r="L90" s="91" t="s">
        <v>8</v>
      </c>
      <c r="M90" s="92" t="s">
        <v>78</v>
      </c>
      <c r="N90" s="162">
        <v>1500000</v>
      </c>
      <c r="O90" s="163">
        <f t="shared" si="230"/>
        <v>195000</v>
      </c>
      <c r="P90" s="161">
        <v>174</v>
      </c>
      <c r="Q90" s="161">
        <v>60</v>
      </c>
      <c r="R90" s="230">
        <f t="shared" si="226"/>
        <v>0.34482758620689657</v>
      </c>
      <c r="S90" s="164">
        <f t="shared" si="227"/>
        <v>517241</v>
      </c>
      <c r="T90" s="165">
        <f t="shared" si="228"/>
        <v>67241</v>
      </c>
      <c r="U90" s="166">
        <f t="shared" si="229"/>
        <v>2.5287356325565113E-7</v>
      </c>
      <c r="V90" s="87">
        <v>0.13</v>
      </c>
      <c r="W90" s="224"/>
      <c r="X90" s="23"/>
      <c r="Y90" s="20" t="s">
        <v>197</v>
      </c>
      <c r="Z90" s="20"/>
      <c r="AA90" s="20"/>
      <c r="AB90" s="168"/>
    </row>
    <row r="91" spans="1:31" s="8" customFormat="1" x14ac:dyDescent="0.25">
      <c r="A91" s="189"/>
      <c r="B91" s="92" t="s">
        <v>190</v>
      </c>
      <c r="C91" s="90" t="str">
        <f>VLOOKUP($F91,Admin!$A$16:$E$19,2,FALSE)</f>
        <v>Alkalmazott (ipari) kutatás – Működési költség</v>
      </c>
      <c r="D91" s="161" t="s">
        <v>129</v>
      </c>
      <c r="E91" s="90" t="str">
        <f>VLOOKUP($F91,Admin!$A$16:$E$19,4,FALSE)</f>
        <v>54. Bérköltség - Kutató-fejlesztő munkatárs</v>
      </c>
      <c r="F91" s="90" t="s">
        <v>171</v>
      </c>
      <c r="G91" s="161" t="s">
        <v>174</v>
      </c>
      <c r="H91" s="161" t="s">
        <v>194</v>
      </c>
      <c r="I91" s="90" t="str">
        <f>VLOOKUP($F91,Admin!$A$16:$E$19,5,FALSE)</f>
        <v>K+F munkatárs</v>
      </c>
      <c r="J91" s="161" t="s">
        <v>49</v>
      </c>
      <c r="K91" s="161" t="str">
        <f t="shared" ref="K91:K93" si="231">J91</f>
        <v>2022.10</v>
      </c>
      <c r="L91" s="91" t="s">
        <v>8</v>
      </c>
      <c r="M91" s="92" t="s">
        <v>78</v>
      </c>
      <c r="N91" s="162">
        <v>1375000</v>
      </c>
      <c r="O91" s="163">
        <f t="shared" ref="O91" si="232">ROUND(N91*V91,0)</f>
        <v>178750</v>
      </c>
      <c r="P91" s="161">
        <v>174</v>
      </c>
      <c r="Q91" s="161">
        <v>50</v>
      </c>
      <c r="R91" s="230">
        <f t="shared" ref="R91" si="233">Q91/P91</f>
        <v>0.28735632183908044</v>
      </c>
      <c r="S91" s="164">
        <f t="shared" ref="S91" si="234">ROUND(N91*Q91/P91,0)</f>
        <v>395115</v>
      </c>
      <c r="T91" s="165">
        <f t="shared" ref="T91" si="235">ROUND(S91*V91,0)</f>
        <v>51365</v>
      </c>
      <c r="U91" s="166">
        <f t="shared" ref="U91" si="236">Q91/P91-S91/N91</f>
        <v>-4.1797283190092571E-8</v>
      </c>
      <c r="V91" s="87">
        <v>0.13</v>
      </c>
      <c r="W91" s="224"/>
      <c r="X91" s="23">
        <v>44826</v>
      </c>
      <c r="Y91" s="20" t="s">
        <v>197</v>
      </c>
      <c r="Z91" s="20"/>
      <c r="AA91" s="20"/>
      <c r="AB91" s="168"/>
    </row>
    <row r="92" spans="1:31" s="8" customFormat="1" x14ac:dyDescent="0.25">
      <c r="A92" s="189"/>
      <c r="B92" s="92" t="s">
        <v>190</v>
      </c>
      <c r="C92" s="90" t="str">
        <f>VLOOKUP($F92,Admin!$A$16:$E$19,2,FALSE)</f>
        <v>Alkalmazott (ipari) kutatás – Működési költség</v>
      </c>
      <c r="D92" s="161" t="s">
        <v>129</v>
      </c>
      <c r="E92" s="90" t="str">
        <f>VLOOKUP($F92,Admin!$A$16:$E$19,4,FALSE)</f>
        <v>54. Bérköltség - Kutató-fejlesztő munkatárs</v>
      </c>
      <c r="F92" s="90" t="s">
        <v>171</v>
      </c>
      <c r="G92" s="161" t="s">
        <v>174</v>
      </c>
      <c r="H92" s="161" t="s">
        <v>194</v>
      </c>
      <c r="I92" s="90" t="str">
        <f>VLOOKUP($F92,Admin!$A$16:$E$19,5,FALSE)</f>
        <v>K+F munkatárs</v>
      </c>
      <c r="J92" s="161" t="s">
        <v>50</v>
      </c>
      <c r="K92" s="161" t="str">
        <f t="shared" si="231"/>
        <v>2022.11</v>
      </c>
      <c r="L92" s="91" t="s">
        <v>8</v>
      </c>
      <c r="M92" s="92" t="s">
        <v>78</v>
      </c>
      <c r="N92" s="162">
        <v>1375000</v>
      </c>
      <c r="O92" s="163">
        <f t="shared" ref="O92:O93" si="237">ROUND(N92*V92,0)</f>
        <v>178750</v>
      </c>
      <c r="P92" s="161">
        <v>174</v>
      </c>
      <c r="Q92" s="161">
        <v>50</v>
      </c>
      <c r="R92" s="230">
        <f t="shared" ref="R92:R93" si="238">Q92/P92</f>
        <v>0.28735632183908044</v>
      </c>
      <c r="S92" s="164">
        <f t="shared" ref="S92:S93" si="239">ROUND(N92*Q92/P92,0)</f>
        <v>395115</v>
      </c>
      <c r="T92" s="165">
        <f t="shared" ref="T92:T93" si="240">ROUND(S92*V92,0)</f>
        <v>51365</v>
      </c>
      <c r="U92" s="166">
        <f t="shared" ref="U92:U93" si="241">Q92/P92-S92/N92</f>
        <v>-4.1797283190092571E-8</v>
      </c>
      <c r="V92" s="87">
        <v>0.13</v>
      </c>
      <c r="W92" s="224" t="s">
        <v>224</v>
      </c>
      <c r="X92" s="23">
        <v>44826</v>
      </c>
      <c r="Y92" s="20" t="s">
        <v>197</v>
      </c>
      <c r="Z92" s="20"/>
      <c r="AA92" s="20"/>
      <c r="AB92" s="168"/>
      <c r="AC92" s="211" t="e">
        <v>#N/A</v>
      </c>
      <c r="AD92" s="211" t="e">
        <v>#N/A</v>
      </c>
      <c r="AE92" s="211" t="e">
        <v>#N/A</v>
      </c>
    </row>
    <row r="93" spans="1:31" s="8" customFormat="1" x14ac:dyDescent="0.25">
      <c r="A93" s="189"/>
      <c r="B93" s="92" t="s">
        <v>190</v>
      </c>
      <c r="C93" s="90" t="str">
        <f>VLOOKUP($F93,Admin!$A$16:$E$19,2,FALSE)</f>
        <v>Alkalmazott (ipari) kutatás – Működési költség</v>
      </c>
      <c r="D93" s="161" t="s">
        <v>129</v>
      </c>
      <c r="E93" s="90" t="str">
        <f>VLOOKUP($F93,Admin!$A$16:$E$19,4,FALSE)</f>
        <v>54. Bérköltség - Kutató-fejlesztő munkatárs</v>
      </c>
      <c r="F93" s="90" t="s">
        <v>171</v>
      </c>
      <c r="G93" s="161" t="s">
        <v>174</v>
      </c>
      <c r="H93" s="161" t="s">
        <v>194</v>
      </c>
      <c r="I93" s="90" t="str">
        <f>VLOOKUP($F93,Admin!$A$16:$E$19,5,FALSE)</f>
        <v>K+F munkatárs</v>
      </c>
      <c r="J93" s="161" t="s">
        <v>51</v>
      </c>
      <c r="K93" s="161" t="str">
        <f t="shared" si="231"/>
        <v>2022.12</v>
      </c>
      <c r="L93" s="91" t="s">
        <v>8</v>
      </c>
      <c r="M93" s="92" t="s">
        <v>78</v>
      </c>
      <c r="N93" s="162">
        <v>1374999</v>
      </c>
      <c r="O93" s="163">
        <f t="shared" si="237"/>
        <v>178750</v>
      </c>
      <c r="P93" s="161">
        <v>174</v>
      </c>
      <c r="Q93" s="161">
        <v>50</v>
      </c>
      <c r="R93" s="230">
        <f t="shared" si="238"/>
        <v>0.28735632183908044</v>
      </c>
      <c r="S93" s="164">
        <f t="shared" si="239"/>
        <v>395115</v>
      </c>
      <c r="T93" s="165">
        <f t="shared" si="240"/>
        <v>51365</v>
      </c>
      <c r="U93" s="166">
        <f t="shared" si="241"/>
        <v>-2.5078388143917607E-7</v>
      </c>
      <c r="V93" s="87">
        <v>0.13</v>
      </c>
      <c r="W93" s="224" t="s">
        <v>224</v>
      </c>
      <c r="X93" s="23">
        <v>44826</v>
      </c>
      <c r="Y93" s="20" t="s">
        <v>197</v>
      </c>
      <c r="Z93" s="20"/>
      <c r="AA93" s="20"/>
      <c r="AB93" s="168"/>
      <c r="AC93" s="211" t="s">
        <v>248</v>
      </c>
      <c r="AD93" s="211" t="s">
        <v>249</v>
      </c>
      <c r="AE93" s="219" t="s">
        <v>249</v>
      </c>
    </row>
    <row r="94" spans="1:31" s="8" customFormat="1" x14ac:dyDescent="0.25">
      <c r="A94" s="189"/>
      <c r="B94" s="92" t="s">
        <v>190</v>
      </c>
      <c r="C94" s="90" t="str">
        <f>VLOOKUP($F94,Admin!$A$16:$E$19,2,FALSE)</f>
        <v>Alkalmazott (ipari) kutatás – Működési költség</v>
      </c>
      <c r="D94" s="161" t="s">
        <v>129</v>
      </c>
      <c r="E94" s="90" t="str">
        <f>VLOOKUP($F94,Admin!$A$16:$E$19,4,FALSE)</f>
        <v>54. Bérköltség - Kutató-fejlesztő munkatárs</v>
      </c>
      <c r="F94" s="90" t="s">
        <v>171</v>
      </c>
      <c r="G94" s="161" t="s">
        <v>174</v>
      </c>
      <c r="H94" s="161" t="s">
        <v>194</v>
      </c>
      <c r="I94" s="90" t="str">
        <f>VLOOKUP($F94,Admin!$A$16:$E$19,5,FALSE)</f>
        <v>K+F munkatárs</v>
      </c>
      <c r="J94" s="161" t="s">
        <v>64</v>
      </c>
      <c r="K94" s="161" t="str">
        <f t="shared" ref="K94:K96" si="242">J94</f>
        <v>2023.01</v>
      </c>
      <c r="L94" s="91" t="s">
        <v>8</v>
      </c>
      <c r="M94" s="92" t="s">
        <v>78</v>
      </c>
      <c r="N94" s="162">
        <v>1425000</v>
      </c>
      <c r="O94" s="163">
        <f t="shared" ref="O94" si="243">ROUND(N94*V94,0)</f>
        <v>185250</v>
      </c>
      <c r="P94" s="161">
        <v>174</v>
      </c>
      <c r="Q94" s="161">
        <v>56</v>
      </c>
      <c r="R94" s="230">
        <f t="shared" ref="R94" si="244">Q94/P94</f>
        <v>0.32183908045977011</v>
      </c>
      <c r="S94" s="164">
        <f t="shared" ref="S94" si="245">ROUND(N94*Q94/P94,0)</f>
        <v>458621</v>
      </c>
      <c r="T94" s="165">
        <f t="shared" ref="T94" si="246">ROUND(S94*V94,0)</f>
        <v>59621</v>
      </c>
      <c r="U94" s="166">
        <f t="shared" ref="U94" si="247">Q94/P94-S94/N94</f>
        <v>-2.1778584391451972E-7</v>
      </c>
      <c r="V94" s="87">
        <v>0.13</v>
      </c>
      <c r="W94" s="224" t="s">
        <v>224</v>
      </c>
      <c r="X94" s="23">
        <v>44944</v>
      </c>
      <c r="Y94" s="20" t="s">
        <v>197</v>
      </c>
      <c r="Z94" s="20"/>
      <c r="AA94" s="20"/>
      <c r="AB94" s="168"/>
      <c r="AC94" s="211" t="s">
        <v>248</v>
      </c>
      <c r="AD94" s="211">
        <v>0</v>
      </c>
      <c r="AE94" s="211">
        <v>0</v>
      </c>
    </row>
    <row r="95" spans="1:31" s="8" customFormat="1" x14ac:dyDescent="0.25">
      <c r="A95" s="189"/>
      <c r="B95" s="92" t="s">
        <v>190</v>
      </c>
      <c r="C95" s="90" t="str">
        <f>VLOOKUP($F95,Admin!$A$16:$E$19,2,FALSE)</f>
        <v>Alkalmazott (ipari) kutatás – Működési költség</v>
      </c>
      <c r="D95" s="161" t="s">
        <v>129</v>
      </c>
      <c r="E95" s="90" t="str">
        <f>VLOOKUP($F95,Admin!$A$16:$E$19,4,FALSE)</f>
        <v>54. Bérköltség - Kutató-fejlesztő munkatárs</v>
      </c>
      <c r="F95" s="90" t="s">
        <v>171</v>
      </c>
      <c r="G95" s="161" t="s">
        <v>174</v>
      </c>
      <c r="H95" s="161" t="s">
        <v>194</v>
      </c>
      <c r="I95" s="90" t="str">
        <f>VLOOKUP($F95,Admin!$A$16:$E$19,5,FALSE)</f>
        <v>K+F munkatárs</v>
      </c>
      <c r="J95" s="161" t="s">
        <v>65</v>
      </c>
      <c r="K95" s="161" t="str">
        <f t="shared" si="242"/>
        <v>2023.02</v>
      </c>
      <c r="L95" s="91" t="s">
        <v>8</v>
      </c>
      <c r="M95" s="92" t="s">
        <v>78</v>
      </c>
      <c r="N95" s="162">
        <v>1425000</v>
      </c>
      <c r="O95" s="163">
        <f t="shared" ref="O95:O96" si="248">ROUND(N95*V95,0)</f>
        <v>185250</v>
      </c>
      <c r="P95" s="161">
        <v>174</v>
      </c>
      <c r="Q95" s="161">
        <v>56</v>
      </c>
      <c r="R95" s="230">
        <f t="shared" ref="R95:R96" si="249">Q95/P95</f>
        <v>0.32183908045977011</v>
      </c>
      <c r="S95" s="164">
        <f t="shared" ref="S95:S96" si="250">ROUND(N95*Q95/P95,0)</f>
        <v>458621</v>
      </c>
      <c r="T95" s="165">
        <f t="shared" ref="T95:T96" si="251">ROUND(S95*V95,0)</f>
        <v>59621</v>
      </c>
      <c r="U95" s="166">
        <f t="shared" ref="U95:U96" si="252">Q95/P95-S95/N95</f>
        <v>-2.1778584391451972E-7</v>
      </c>
      <c r="V95" s="87">
        <v>0.13</v>
      </c>
      <c r="W95" s="224" t="s">
        <v>224</v>
      </c>
      <c r="X95" s="23">
        <v>44944</v>
      </c>
      <c r="Y95" s="20" t="s">
        <v>197</v>
      </c>
      <c r="Z95" s="20"/>
      <c r="AA95" s="20"/>
      <c r="AB95" s="168"/>
      <c r="AC95" s="8" t="s">
        <v>248</v>
      </c>
      <c r="AD95" s="8">
        <v>150000</v>
      </c>
      <c r="AE95" s="8">
        <v>162500</v>
      </c>
    </row>
    <row r="96" spans="1:31" s="8" customFormat="1" x14ac:dyDescent="0.25">
      <c r="A96" s="189"/>
      <c r="B96" s="92" t="s">
        <v>190</v>
      </c>
      <c r="C96" s="90" t="str">
        <f>VLOOKUP($F96,Admin!$A$16:$E$19,2,FALSE)</f>
        <v>Alkalmazott (ipari) kutatás – Működési költség</v>
      </c>
      <c r="D96" s="161" t="s">
        <v>129</v>
      </c>
      <c r="E96" s="90" t="str">
        <f>VLOOKUP($F96,Admin!$A$16:$E$19,4,FALSE)</f>
        <v>54. Bérköltség - Kutató-fejlesztő munkatárs</v>
      </c>
      <c r="F96" s="90" t="s">
        <v>171</v>
      </c>
      <c r="G96" s="161" t="s">
        <v>174</v>
      </c>
      <c r="H96" s="161" t="s">
        <v>194</v>
      </c>
      <c r="I96" s="90" t="str">
        <f>VLOOKUP($F96,Admin!$A$16:$E$19,5,FALSE)</f>
        <v>K+F munkatárs</v>
      </c>
      <c r="J96" s="161" t="s">
        <v>66</v>
      </c>
      <c r="K96" s="161" t="str">
        <f t="shared" si="242"/>
        <v>2023.03</v>
      </c>
      <c r="L96" s="91" t="s">
        <v>8</v>
      </c>
      <c r="M96" s="92" t="s">
        <v>78</v>
      </c>
      <c r="N96" s="162">
        <v>1575000</v>
      </c>
      <c r="O96" s="163">
        <f t="shared" si="248"/>
        <v>204750</v>
      </c>
      <c r="P96" s="161">
        <v>174</v>
      </c>
      <c r="Q96" s="161">
        <v>50</v>
      </c>
      <c r="R96" s="230">
        <f t="shared" si="249"/>
        <v>0.28735632183908044</v>
      </c>
      <c r="S96" s="164">
        <f t="shared" si="250"/>
        <v>452586</v>
      </c>
      <c r="T96" s="165">
        <f t="shared" si="251"/>
        <v>58836</v>
      </c>
      <c r="U96" s="166">
        <f t="shared" si="252"/>
        <v>1.3136288995463374E-7</v>
      </c>
      <c r="V96" s="87">
        <v>0.13</v>
      </c>
      <c r="W96" s="224" t="s">
        <v>224</v>
      </c>
      <c r="X96" s="23">
        <v>44980</v>
      </c>
      <c r="Y96" s="20" t="s">
        <v>197</v>
      </c>
      <c r="Z96" s="20"/>
      <c r="AA96" s="20"/>
      <c r="AB96" s="168"/>
      <c r="AC96" s="8" t="s">
        <v>248</v>
      </c>
      <c r="AD96" s="235">
        <v>0</v>
      </c>
      <c r="AE96" s="8">
        <v>143000</v>
      </c>
    </row>
    <row r="97" spans="1:31" s="8" customFormat="1" x14ac:dyDescent="0.25">
      <c r="A97" s="189"/>
      <c r="B97" s="92" t="s">
        <v>190</v>
      </c>
      <c r="C97" s="90" t="str">
        <f>VLOOKUP($F97,Admin!$A$16:$E$19,2,FALSE)</f>
        <v>Alkalmazott (ipari) kutatás – Működési költség</v>
      </c>
      <c r="D97" s="161" t="s">
        <v>129</v>
      </c>
      <c r="E97" s="90" t="str">
        <f>VLOOKUP($F97,Admin!$A$16:$E$19,4,FALSE)</f>
        <v>54. Bérköltség - Kutató-fejlesztő munkatárs</v>
      </c>
      <c r="F97" s="90" t="s">
        <v>171</v>
      </c>
      <c r="G97" s="161" t="s">
        <v>174</v>
      </c>
      <c r="H97" s="161" t="s">
        <v>194</v>
      </c>
      <c r="I97" s="90" t="str">
        <f>VLOOKUP($F97,Admin!$A$16:$E$19,5,FALSE)</f>
        <v>K+F munkatárs</v>
      </c>
      <c r="J97" s="161" t="s">
        <v>67</v>
      </c>
      <c r="K97" s="161" t="str">
        <f t="shared" ref="K97:K101" si="253">J97</f>
        <v>2023.04</v>
      </c>
      <c r="L97" s="91" t="s">
        <v>8</v>
      </c>
      <c r="M97" s="92" t="s">
        <v>78</v>
      </c>
      <c r="N97" s="162">
        <v>1575000</v>
      </c>
      <c r="O97" s="163">
        <f t="shared" ref="O97:O101" si="254">ROUND(N97*V97,0)</f>
        <v>204750</v>
      </c>
      <c r="P97" s="161">
        <v>174</v>
      </c>
      <c r="Q97" s="161">
        <v>50</v>
      </c>
      <c r="R97" s="230">
        <f t="shared" ref="R97:R101" si="255">Q97/P97</f>
        <v>0.28735632183908044</v>
      </c>
      <c r="S97" s="164">
        <f t="shared" ref="S97:S101" si="256">ROUND(N97*Q97/P97,0)</f>
        <v>452586</v>
      </c>
      <c r="T97" s="165">
        <f t="shared" ref="T97:T101" si="257">ROUND(S97*V97,0)</f>
        <v>58836</v>
      </c>
      <c r="U97" s="166">
        <f t="shared" ref="U97:U101" si="258">Q97/P97-S97/N97</f>
        <v>1.3136288995463374E-7</v>
      </c>
      <c r="V97" s="87">
        <v>0.13</v>
      </c>
      <c r="W97" s="224" t="s">
        <v>224</v>
      </c>
      <c r="X97" s="23">
        <v>44980</v>
      </c>
      <c r="Y97" s="20" t="s">
        <v>197</v>
      </c>
      <c r="Z97" s="20"/>
      <c r="AA97" s="20"/>
      <c r="AB97" s="168"/>
      <c r="AC97" s="8" t="s">
        <v>248</v>
      </c>
      <c r="AD97" s="8">
        <v>0</v>
      </c>
      <c r="AE97" s="235">
        <v>143000</v>
      </c>
    </row>
    <row r="98" spans="1:31" s="8" customFormat="1" x14ac:dyDescent="0.25">
      <c r="A98" s="189"/>
      <c r="B98" s="92" t="s">
        <v>190</v>
      </c>
      <c r="C98" s="90" t="str">
        <f>VLOOKUP($F98,Admin!$A$16:$E$19,2,FALSE)</f>
        <v>Alkalmazott (ipari) kutatás – Működési költség</v>
      </c>
      <c r="D98" s="161" t="s">
        <v>129</v>
      </c>
      <c r="E98" s="90" t="str">
        <f>VLOOKUP($F98,Admin!$A$16:$E$19,4,FALSE)</f>
        <v>54. Bérköltség - Kutató-fejlesztő munkatárs</v>
      </c>
      <c r="F98" s="90" t="s">
        <v>171</v>
      </c>
      <c r="G98" s="161" t="s">
        <v>174</v>
      </c>
      <c r="H98" s="161" t="s">
        <v>194</v>
      </c>
      <c r="I98" s="90" t="str">
        <f>VLOOKUP($F98,Admin!$A$16:$E$19,5,FALSE)</f>
        <v>K+F munkatárs</v>
      </c>
      <c r="J98" s="161" t="s">
        <v>68</v>
      </c>
      <c r="K98" s="161" t="str">
        <f t="shared" si="253"/>
        <v>2023.05</v>
      </c>
      <c r="L98" s="91" t="s">
        <v>9</v>
      </c>
      <c r="M98" s="92" t="s">
        <v>78</v>
      </c>
      <c r="N98" s="162">
        <v>1575000</v>
      </c>
      <c r="O98" s="163">
        <f t="shared" si="254"/>
        <v>204750</v>
      </c>
      <c r="P98" s="161">
        <v>174</v>
      </c>
      <c r="Q98" s="161">
        <v>50</v>
      </c>
      <c r="R98" s="230">
        <f t="shared" si="255"/>
        <v>0.28735632183908044</v>
      </c>
      <c r="S98" s="164">
        <f t="shared" si="256"/>
        <v>452586</v>
      </c>
      <c r="T98" s="165">
        <f t="shared" si="257"/>
        <v>58836</v>
      </c>
      <c r="U98" s="166">
        <f t="shared" si="258"/>
        <v>1.3136288995463374E-7</v>
      </c>
      <c r="V98" s="87">
        <v>0.13</v>
      </c>
      <c r="W98" s="224" t="s">
        <v>224</v>
      </c>
      <c r="X98" s="23">
        <v>44980</v>
      </c>
      <c r="Y98" s="20" t="s">
        <v>197</v>
      </c>
      <c r="Z98" s="20"/>
      <c r="AA98" s="20"/>
      <c r="AB98" s="168"/>
      <c r="AC98" s="211"/>
      <c r="AD98" s="211"/>
      <c r="AE98" s="219"/>
    </row>
    <row r="99" spans="1:31" s="8" customFormat="1" x14ac:dyDescent="0.25">
      <c r="A99" s="189"/>
      <c r="B99" s="92" t="s">
        <v>190</v>
      </c>
      <c r="C99" s="90" t="str">
        <f>VLOOKUP($F99,Admin!$A$16:$E$19,2,FALSE)</f>
        <v>Alkalmazott (ipari) kutatás – Működési költség</v>
      </c>
      <c r="D99" s="161" t="s">
        <v>129</v>
      </c>
      <c r="E99" s="90" t="str">
        <f>VLOOKUP($F99,Admin!$A$16:$E$19,4,FALSE)</f>
        <v>54. Bérköltség - Kutató-fejlesztő munkatárs</v>
      </c>
      <c r="F99" s="90" t="s">
        <v>171</v>
      </c>
      <c r="G99" s="161" t="s">
        <v>174</v>
      </c>
      <c r="H99" s="161" t="s">
        <v>194</v>
      </c>
      <c r="I99" s="90" t="str">
        <f>VLOOKUP($F99,Admin!$A$16:$E$19,5,FALSE)</f>
        <v>K+F munkatárs</v>
      </c>
      <c r="J99" s="161" t="s">
        <v>69</v>
      </c>
      <c r="K99" s="161" t="str">
        <f t="shared" si="253"/>
        <v>2023.06</v>
      </c>
      <c r="L99" s="91" t="s">
        <v>9</v>
      </c>
      <c r="M99" s="92" t="s">
        <v>78</v>
      </c>
      <c r="N99" s="162">
        <v>1575000</v>
      </c>
      <c r="O99" s="163">
        <f t="shared" si="254"/>
        <v>204750</v>
      </c>
      <c r="P99" s="161">
        <v>174</v>
      </c>
      <c r="Q99" s="161">
        <v>50</v>
      </c>
      <c r="R99" s="230">
        <f t="shared" si="255"/>
        <v>0.28735632183908044</v>
      </c>
      <c r="S99" s="164">
        <f t="shared" si="256"/>
        <v>452586</v>
      </c>
      <c r="T99" s="165">
        <f t="shared" si="257"/>
        <v>58836</v>
      </c>
      <c r="U99" s="166">
        <f t="shared" si="258"/>
        <v>1.3136288995463374E-7</v>
      </c>
      <c r="V99" s="87">
        <v>0.13</v>
      </c>
      <c r="W99" s="224" t="s">
        <v>224</v>
      </c>
      <c r="X99" s="23">
        <v>44980</v>
      </c>
      <c r="Y99" s="20" t="s">
        <v>197</v>
      </c>
      <c r="Z99" s="20"/>
      <c r="AA99" s="20"/>
      <c r="AB99" s="168"/>
      <c r="AC99" s="211"/>
      <c r="AD99" s="211"/>
      <c r="AE99" s="219"/>
    </row>
    <row r="100" spans="1:31" s="8" customFormat="1" x14ac:dyDescent="0.25">
      <c r="A100" s="189"/>
      <c r="B100" s="92" t="s">
        <v>190</v>
      </c>
      <c r="C100" s="90" t="str">
        <f>VLOOKUP($F100,Admin!$A$16:$E$19,2,FALSE)</f>
        <v>Alkalmazott (ipari) kutatás – Működési költség</v>
      </c>
      <c r="D100" s="161" t="s">
        <v>129</v>
      </c>
      <c r="E100" s="90" t="str">
        <f>VLOOKUP($F100,Admin!$A$16:$E$19,4,FALSE)</f>
        <v>54. Bérköltség - Kutató-fejlesztő munkatárs</v>
      </c>
      <c r="F100" s="90" t="s">
        <v>171</v>
      </c>
      <c r="G100" s="161" t="s">
        <v>174</v>
      </c>
      <c r="H100" s="161" t="s">
        <v>194</v>
      </c>
      <c r="I100" s="90" t="str">
        <f>VLOOKUP($F100,Admin!$A$16:$E$19,5,FALSE)</f>
        <v>K+F munkatárs</v>
      </c>
      <c r="J100" s="161" t="s">
        <v>70</v>
      </c>
      <c r="K100" s="161" t="str">
        <f t="shared" si="253"/>
        <v>2023.07</v>
      </c>
      <c r="L100" s="91" t="s">
        <v>9</v>
      </c>
      <c r="M100" s="92" t="s">
        <v>78</v>
      </c>
      <c r="N100" s="162">
        <v>1575000</v>
      </c>
      <c r="O100" s="163">
        <f t="shared" si="254"/>
        <v>204750</v>
      </c>
      <c r="P100" s="161">
        <v>174</v>
      </c>
      <c r="Q100" s="161">
        <v>50</v>
      </c>
      <c r="R100" s="230">
        <f t="shared" si="255"/>
        <v>0.28735632183908044</v>
      </c>
      <c r="S100" s="164">
        <f t="shared" si="256"/>
        <v>452586</v>
      </c>
      <c r="T100" s="165">
        <f t="shared" si="257"/>
        <v>58836</v>
      </c>
      <c r="U100" s="166">
        <f t="shared" si="258"/>
        <v>1.3136288995463374E-7</v>
      </c>
      <c r="V100" s="87">
        <v>0.13</v>
      </c>
      <c r="W100" s="224" t="s">
        <v>224</v>
      </c>
      <c r="X100" s="23">
        <v>44980</v>
      </c>
      <c r="Y100" s="20" t="s">
        <v>197</v>
      </c>
      <c r="Z100" s="20"/>
      <c r="AA100" s="20"/>
      <c r="AB100" s="168"/>
      <c r="AC100" s="211"/>
      <c r="AD100" s="211"/>
      <c r="AE100" s="219"/>
    </row>
    <row r="101" spans="1:31" s="8" customFormat="1" x14ac:dyDescent="0.25">
      <c r="A101" s="189"/>
      <c r="B101" s="92" t="s">
        <v>190</v>
      </c>
      <c r="C101" s="90" t="str">
        <f>VLOOKUP($F101,Admin!$A$16:$E$19,2,FALSE)</f>
        <v>Alkalmazott (ipari) kutatás – Működési költség</v>
      </c>
      <c r="D101" s="161" t="s">
        <v>129</v>
      </c>
      <c r="E101" s="90" t="str">
        <f>VLOOKUP($F101,Admin!$A$16:$E$19,4,FALSE)</f>
        <v>54. Bérköltség - Kutató-fejlesztő munkatárs</v>
      </c>
      <c r="F101" s="90" t="s">
        <v>171</v>
      </c>
      <c r="G101" s="161" t="s">
        <v>174</v>
      </c>
      <c r="H101" s="161" t="s">
        <v>194</v>
      </c>
      <c r="I101" s="90" t="str">
        <f>VLOOKUP($F101,Admin!$A$16:$E$19,5,FALSE)</f>
        <v>K+F munkatárs</v>
      </c>
      <c r="J101" s="161" t="s">
        <v>71</v>
      </c>
      <c r="K101" s="161" t="str">
        <f t="shared" si="253"/>
        <v>2023.08</v>
      </c>
      <c r="L101" s="91" t="s">
        <v>9</v>
      </c>
      <c r="M101" s="92" t="s">
        <v>78</v>
      </c>
      <c r="N101" s="162">
        <v>1575000</v>
      </c>
      <c r="O101" s="163">
        <f t="shared" si="254"/>
        <v>204750</v>
      </c>
      <c r="P101" s="161">
        <v>174</v>
      </c>
      <c r="Q101" s="161">
        <v>50</v>
      </c>
      <c r="R101" s="230">
        <f t="shared" si="255"/>
        <v>0.28735632183908044</v>
      </c>
      <c r="S101" s="164">
        <f t="shared" si="256"/>
        <v>452586</v>
      </c>
      <c r="T101" s="165">
        <f t="shared" si="257"/>
        <v>58836</v>
      </c>
      <c r="U101" s="166">
        <f t="shared" si="258"/>
        <v>1.3136288995463374E-7</v>
      </c>
      <c r="V101" s="87">
        <v>0.13</v>
      </c>
      <c r="W101" s="224" t="s">
        <v>224</v>
      </c>
      <c r="X101" s="23">
        <v>44980</v>
      </c>
      <c r="Y101" s="20" t="s">
        <v>197</v>
      </c>
      <c r="Z101" s="20"/>
      <c r="AA101" s="20"/>
      <c r="AB101" s="168"/>
      <c r="AC101" s="211"/>
      <c r="AD101" s="211"/>
      <c r="AE101" s="219"/>
    </row>
    <row r="102" spans="1:31" s="8" customFormat="1" x14ac:dyDescent="0.25">
      <c r="A102" s="208">
        <v>1</v>
      </c>
      <c r="B102" s="92" t="s">
        <v>207</v>
      </c>
      <c r="C102" s="90" t="str">
        <f>VLOOKUP($F102,Admin!$A$16:$E$19,2,FALSE)</f>
        <v>Alkalmazott (ipari) kutatás – Működési költség</v>
      </c>
      <c r="D102" s="161" t="s">
        <v>129</v>
      </c>
      <c r="E102" s="90" t="str">
        <f>VLOOKUP($F102,Admin!$A$16:$E$19,4,FALSE)</f>
        <v>54. Bérköltség - Kutató-fejlesztő munkatárs</v>
      </c>
      <c r="F102" s="90" t="s">
        <v>171</v>
      </c>
      <c r="G102" s="161" t="s">
        <v>174</v>
      </c>
      <c r="H102" s="161" t="s">
        <v>206</v>
      </c>
      <c r="I102" s="90" t="str">
        <f>VLOOKUP($F102,Admin!$A$16:$E$19,5,FALSE)</f>
        <v>K+F munkatárs</v>
      </c>
      <c r="J102" s="161" t="s">
        <v>43</v>
      </c>
      <c r="K102" s="161" t="str">
        <f t="shared" ref="K102" si="259">J102</f>
        <v>2022.04</v>
      </c>
      <c r="L102" s="91" t="s">
        <v>8</v>
      </c>
      <c r="M102" s="92" t="s">
        <v>78</v>
      </c>
      <c r="N102" s="162">
        <v>610000</v>
      </c>
      <c r="O102" s="163">
        <f t="shared" ref="O102" si="260">ROUND(N102*V102,0)</f>
        <v>79300</v>
      </c>
      <c r="P102" s="161">
        <v>174</v>
      </c>
      <c r="Q102" s="161">
        <v>60</v>
      </c>
      <c r="R102" s="230">
        <f t="shared" ref="R102" si="261">Q102/P102</f>
        <v>0.34482758620689657</v>
      </c>
      <c r="S102" s="164">
        <v>210172</v>
      </c>
      <c r="T102" s="165">
        <f t="shared" ref="T102" si="262">ROUND(S102*V102,0)</f>
        <v>27322</v>
      </c>
      <c r="U102" s="166">
        <f t="shared" ref="U102" si="263">Q102/P102-S102/N102</f>
        <v>2.833239118146258E-4</v>
      </c>
      <c r="V102" s="87">
        <v>0.13</v>
      </c>
      <c r="W102" s="224"/>
      <c r="X102" s="23">
        <v>44650</v>
      </c>
      <c r="Y102" s="20" t="s">
        <v>197</v>
      </c>
      <c r="Z102" s="20"/>
      <c r="AA102" s="20"/>
      <c r="AB102" s="168"/>
    </row>
    <row r="103" spans="1:31" s="8" customFormat="1" x14ac:dyDescent="0.25">
      <c r="A103" s="208">
        <v>1</v>
      </c>
      <c r="B103" s="92" t="s">
        <v>207</v>
      </c>
      <c r="C103" s="90" t="str">
        <f>VLOOKUP($F103,Admin!$A$16:$E$19,2,FALSE)</f>
        <v>Alkalmazott (ipari) kutatás – Működési költség</v>
      </c>
      <c r="D103" s="161" t="s">
        <v>129</v>
      </c>
      <c r="E103" s="90" t="str">
        <f>VLOOKUP($F103,Admin!$A$16:$E$19,4,FALSE)</f>
        <v>54. Bérköltség - Kutató-fejlesztő munkatárs</v>
      </c>
      <c r="F103" s="90" t="s">
        <v>171</v>
      </c>
      <c r="G103" s="161" t="s">
        <v>174</v>
      </c>
      <c r="H103" s="161" t="s">
        <v>206</v>
      </c>
      <c r="I103" s="90" t="str">
        <f>VLOOKUP($F103,Admin!$A$16:$E$19,5,FALSE)</f>
        <v>K+F munkatárs</v>
      </c>
      <c r="J103" s="161" t="s">
        <v>44</v>
      </c>
      <c r="K103" s="161" t="str">
        <f t="shared" ref="K103:K104" si="264">J103</f>
        <v>2022.05</v>
      </c>
      <c r="L103" s="91" t="s">
        <v>8</v>
      </c>
      <c r="M103" s="92" t="s">
        <v>78</v>
      </c>
      <c r="N103" s="162">
        <v>610000</v>
      </c>
      <c r="O103" s="163">
        <f t="shared" ref="O103:O104" si="265">ROUND(N103*V103,0)</f>
        <v>79300</v>
      </c>
      <c r="P103" s="161">
        <v>174</v>
      </c>
      <c r="Q103" s="161">
        <v>60</v>
      </c>
      <c r="R103" s="230">
        <f t="shared" ref="R103:R104" si="266">Q103/P103</f>
        <v>0.34482758620689657</v>
      </c>
      <c r="S103" s="164">
        <v>210172</v>
      </c>
      <c r="T103" s="165">
        <f t="shared" ref="T103:T104" si="267">ROUND(S103*V103,0)</f>
        <v>27322</v>
      </c>
      <c r="U103" s="166">
        <f t="shared" ref="U103:U104" si="268">Q103/P103-S103/N103</f>
        <v>2.833239118146258E-4</v>
      </c>
      <c r="V103" s="87">
        <v>0.13</v>
      </c>
      <c r="W103" s="224"/>
      <c r="X103" s="23">
        <v>44650</v>
      </c>
      <c r="Y103" s="20" t="s">
        <v>197</v>
      </c>
      <c r="Z103" s="20"/>
      <c r="AA103" s="20"/>
      <c r="AB103" s="168"/>
    </row>
    <row r="104" spans="1:31" s="8" customFormat="1" x14ac:dyDescent="0.25">
      <c r="A104" s="208">
        <v>1</v>
      </c>
      <c r="B104" s="92" t="s">
        <v>207</v>
      </c>
      <c r="C104" s="90" t="str">
        <f>VLOOKUP($F104,Admin!$A$16:$E$19,2,FALSE)</f>
        <v>Alkalmazott (ipari) kutatás – Működési költség</v>
      </c>
      <c r="D104" s="161" t="s">
        <v>129</v>
      </c>
      <c r="E104" s="90" t="str">
        <f>VLOOKUP($F104,Admin!$A$16:$E$19,4,FALSE)</f>
        <v>54. Bérköltség - Kutató-fejlesztő munkatárs</v>
      </c>
      <c r="F104" s="90" t="s">
        <v>171</v>
      </c>
      <c r="G104" s="161" t="s">
        <v>174</v>
      </c>
      <c r="H104" s="161" t="s">
        <v>206</v>
      </c>
      <c r="I104" s="90" t="str">
        <f>VLOOKUP($F104,Admin!$A$16:$E$19,5,FALSE)</f>
        <v>K+F munkatárs</v>
      </c>
      <c r="J104" s="161" t="s">
        <v>45</v>
      </c>
      <c r="K104" s="161" t="str">
        <f t="shared" si="264"/>
        <v>2022.06</v>
      </c>
      <c r="L104" s="91" t="s">
        <v>8</v>
      </c>
      <c r="M104" s="92" t="s">
        <v>78</v>
      </c>
      <c r="N104" s="162">
        <v>610000</v>
      </c>
      <c r="O104" s="163">
        <f t="shared" si="265"/>
        <v>79300</v>
      </c>
      <c r="P104" s="161">
        <v>174</v>
      </c>
      <c r="Q104" s="161">
        <v>57</v>
      </c>
      <c r="R104" s="230">
        <f t="shared" si="266"/>
        <v>0.32758620689655171</v>
      </c>
      <c r="S104" s="164">
        <f t="shared" ref="S104" si="269">ROUND(N104*Q104/P104,0)</f>
        <v>199828</v>
      </c>
      <c r="T104" s="165">
        <f t="shared" si="267"/>
        <v>25978</v>
      </c>
      <c r="U104" s="166">
        <f t="shared" si="268"/>
        <v>-6.783493499140647E-7</v>
      </c>
      <c r="V104" s="87">
        <v>0.13</v>
      </c>
      <c r="W104" s="224"/>
      <c r="X104" s="23">
        <v>44712</v>
      </c>
      <c r="Y104" s="20" t="s">
        <v>197</v>
      </c>
      <c r="Z104" s="20"/>
      <c r="AA104" s="20"/>
      <c r="AB104" s="168"/>
    </row>
    <row r="105" spans="1:31" s="8" customFormat="1" x14ac:dyDescent="0.25">
      <c r="A105" s="208">
        <v>1</v>
      </c>
      <c r="B105" s="92" t="s">
        <v>207</v>
      </c>
      <c r="C105" s="90" t="str">
        <f>VLOOKUP($F105,Admin!$A$16:$E$19,2,FALSE)</f>
        <v>Alkalmazott (ipari) kutatás – Működési költség</v>
      </c>
      <c r="D105" s="161" t="s">
        <v>129</v>
      </c>
      <c r="E105" s="90" t="str">
        <f>VLOOKUP($F105,Admin!$A$16:$E$19,4,FALSE)</f>
        <v>54. Bérköltség - Kutató-fejlesztő munkatárs</v>
      </c>
      <c r="F105" s="90" t="s">
        <v>171</v>
      </c>
      <c r="G105" s="161" t="s">
        <v>174</v>
      </c>
      <c r="H105" s="161" t="s">
        <v>206</v>
      </c>
      <c r="I105" s="90" t="str">
        <f>VLOOKUP($F105,Admin!$A$16:$E$19,5,FALSE)</f>
        <v>K+F munkatárs</v>
      </c>
      <c r="J105" s="161" t="s">
        <v>46</v>
      </c>
      <c r="K105" s="161" t="str">
        <f t="shared" ref="K105:K107" si="270">J105</f>
        <v>2022.07</v>
      </c>
      <c r="L105" s="91" t="s">
        <v>8</v>
      </c>
      <c r="M105" s="92" t="s">
        <v>78</v>
      </c>
      <c r="N105" s="162">
        <v>610000</v>
      </c>
      <c r="O105" s="163">
        <f t="shared" ref="O105" si="271">ROUND(N105*V105,0)</f>
        <v>79300</v>
      </c>
      <c r="P105" s="161">
        <v>174</v>
      </c>
      <c r="Q105" s="161">
        <v>57</v>
      </c>
      <c r="R105" s="230">
        <f t="shared" ref="R105" si="272">Q105/P105</f>
        <v>0.32758620689655171</v>
      </c>
      <c r="S105" s="164">
        <f t="shared" ref="S105" si="273">ROUND(N105*Q105/P105,0)</f>
        <v>199828</v>
      </c>
      <c r="T105" s="165">
        <f t="shared" ref="T105" si="274">ROUND(S105*V105,0)</f>
        <v>25978</v>
      </c>
      <c r="U105" s="166">
        <f t="shared" ref="U105" si="275">Q105/P105-S105/N105</f>
        <v>-6.783493499140647E-7</v>
      </c>
      <c r="V105" s="87">
        <v>0.13</v>
      </c>
      <c r="W105" s="224"/>
      <c r="X105" s="23">
        <v>44734</v>
      </c>
      <c r="Y105" s="20" t="s">
        <v>197</v>
      </c>
      <c r="Z105" s="20"/>
      <c r="AA105" s="20"/>
      <c r="AB105" s="168"/>
    </row>
    <row r="106" spans="1:31" s="8" customFormat="1" x14ac:dyDescent="0.25">
      <c r="A106" s="208">
        <v>1</v>
      </c>
      <c r="B106" s="92" t="s">
        <v>207</v>
      </c>
      <c r="C106" s="90" t="str">
        <f>VLOOKUP($F106,Admin!$A$16:$E$19,2,FALSE)</f>
        <v>Alkalmazott (ipari) kutatás – Működési költség</v>
      </c>
      <c r="D106" s="161" t="s">
        <v>129</v>
      </c>
      <c r="E106" s="90" t="str">
        <f>VLOOKUP($F106,Admin!$A$16:$E$19,4,FALSE)</f>
        <v>54. Bérköltség - Kutató-fejlesztő munkatárs</v>
      </c>
      <c r="F106" s="90" t="s">
        <v>171</v>
      </c>
      <c r="G106" s="161" t="s">
        <v>174</v>
      </c>
      <c r="H106" s="161" t="s">
        <v>206</v>
      </c>
      <c r="I106" s="90" t="str">
        <f>VLOOKUP($F106,Admin!$A$16:$E$19,5,FALSE)</f>
        <v>K+F munkatárs</v>
      </c>
      <c r="J106" s="161" t="s">
        <v>47</v>
      </c>
      <c r="K106" s="161" t="str">
        <f t="shared" si="270"/>
        <v>2022.08</v>
      </c>
      <c r="L106" s="91" t="s">
        <v>8</v>
      </c>
      <c r="M106" s="92" t="s">
        <v>78</v>
      </c>
      <c r="N106" s="162">
        <v>477391</v>
      </c>
      <c r="O106" s="163">
        <f t="shared" ref="O106:O107" si="276">ROUND(N106*V106,0)</f>
        <v>62061</v>
      </c>
      <c r="P106" s="161">
        <v>174</v>
      </c>
      <c r="Q106" s="161">
        <v>57</v>
      </c>
      <c r="R106" s="230">
        <f t="shared" ref="R106:R107" si="277">Q106/P106</f>
        <v>0.32758620689655171</v>
      </c>
      <c r="S106" s="164">
        <f t="shared" ref="S106:S107" si="278">ROUND(N106*Q106/P106,0)</f>
        <v>156387</v>
      </c>
      <c r="T106" s="165">
        <f t="shared" ref="T106:T107" si="279">ROUND(S106*V106,0)</f>
        <v>20330</v>
      </c>
      <c r="U106" s="166">
        <f t="shared" ref="U106:U107" si="280">Q106/P106-S106/N106</f>
        <v>-6.1396936323898643E-7</v>
      </c>
      <c r="V106" s="87">
        <v>0.13</v>
      </c>
      <c r="W106" s="224"/>
      <c r="X106" s="23">
        <v>44734</v>
      </c>
      <c r="Y106" s="20" t="s">
        <v>197</v>
      </c>
      <c r="Z106" s="20"/>
      <c r="AA106" s="20"/>
      <c r="AB106" s="168"/>
    </row>
    <row r="107" spans="1:31" s="8" customFormat="1" x14ac:dyDescent="0.25">
      <c r="A107" s="208">
        <v>1</v>
      </c>
      <c r="B107" s="92" t="s">
        <v>207</v>
      </c>
      <c r="C107" s="90" t="str">
        <f>VLOOKUP($F107,Admin!$A$16:$E$19,2,FALSE)</f>
        <v>Alkalmazott (ipari) kutatás – Működési költség</v>
      </c>
      <c r="D107" s="161" t="s">
        <v>129</v>
      </c>
      <c r="E107" s="90" t="str">
        <f>VLOOKUP($F107,Admin!$A$16:$E$19,4,FALSE)</f>
        <v>54. Bérköltség - Kutató-fejlesztő munkatárs</v>
      </c>
      <c r="F107" s="90" t="s">
        <v>171</v>
      </c>
      <c r="G107" s="161" t="s">
        <v>174</v>
      </c>
      <c r="H107" s="161" t="s">
        <v>206</v>
      </c>
      <c r="I107" s="90" t="str">
        <f>VLOOKUP($F107,Admin!$A$16:$E$19,5,FALSE)</f>
        <v>K+F munkatárs</v>
      </c>
      <c r="J107" s="161" t="s">
        <v>48</v>
      </c>
      <c r="K107" s="161" t="str">
        <f t="shared" si="270"/>
        <v>2022.09</v>
      </c>
      <c r="L107" s="91" t="s">
        <v>8</v>
      </c>
      <c r="M107" s="92" t="s">
        <v>78</v>
      </c>
      <c r="N107" s="162">
        <v>610000</v>
      </c>
      <c r="O107" s="163">
        <f t="shared" si="276"/>
        <v>79300</v>
      </c>
      <c r="P107" s="161">
        <v>174</v>
      </c>
      <c r="Q107" s="161">
        <v>57</v>
      </c>
      <c r="R107" s="230">
        <f t="shared" si="277"/>
        <v>0.32758620689655171</v>
      </c>
      <c r="S107" s="164">
        <f t="shared" si="278"/>
        <v>199828</v>
      </c>
      <c r="T107" s="165">
        <f t="shared" si="279"/>
        <v>25978</v>
      </c>
      <c r="U107" s="166">
        <f t="shared" si="280"/>
        <v>-6.783493499140647E-7</v>
      </c>
      <c r="V107" s="87">
        <v>0.13</v>
      </c>
      <c r="W107" s="224"/>
      <c r="X107" s="23">
        <v>44734</v>
      </c>
      <c r="Y107" s="20" t="s">
        <v>197</v>
      </c>
      <c r="Z107" s="20"/>
      <c r="AA107" s="20"/>
      <c r="AB107" s="168"/>
    </row>
    <row r="108" spans="1:31" s="8" customFormat="1" x14ac:dyDescent="0.25">
      <c r="A108" s="189"/>
      <c r="B108" s="92" t="s">
        <v>207</v>
      </c>
      <c r="C108" s="90" t="str">
        <f>VLOOKUP($F108,Admin!$A$16:$E$19,2,FALSE)</f>
        <v>Alkalmazott (ipari) kutatás – Működési költség</v>
      </c>
      <c r="D108" s="161" t="s">
        <v>129</v>
      </c>
      <c r="E108" s="90" t="str">
        <f>VLOOKUP($F108,Admin!$A$16:$E$19,4,FALSE)</f>
        <v>54. Bérköltség - Kutató-fejlesztő munkatárs</v>
      </c>
      <c r="F108" s="90" t="s">
        <v>171</v>
      </c>
      <c r="G108" s="161" t="s">
        <v>174</v>
      </c>
      <c r="H108" s="161" t="s">
        <v>206</v>
      </c>
      <c r="I108" s="90" t="str">
        <f>VLOOKUP($F108,Admin!$A$16:$E$19,5,FALSE)</f>
        <v>K+F munkatárs</v>
      </c>
      <c r="J108" s="161" t="s">
        <v>49</v>
      </c>
      <c r="K108" s="161" t="str">
        <f t="shared" ref="K108:K110" si="281">J108</f>
        <v>2022.10</v>
      </c>
      <c r="L108" s="91" t="s">
        <v>8</v>
      </c>
      <c r="M108" s="92" t="s">
        <v>78</v>
      </c>
      <c r="N108" s="162">
        <v>660000</v>
      </c>
      <c r="O108" s="163">
        <f t="shared" ref="O108" si="282">ROUND(N108*V108,0)</f>
        <v>85800</v>
      </c>
      <c r="P108" s="161">
        <v>174</v>
      </c>
      <c r="Q108" s="161">
        <v>53</v>
      </c>
      <c r="R108" s="230">
        <f t="shared" ref="R108" si="283">Q108/P108</f>
        <v>0.3045977011494253</v>
      </c>
      <c r="S108" s="164">
        <f t="shared" ref="S108" si="284">ROUND(N108*Q108/P108,0)</f>
        <v>201034</v>
      </c>
      <c r="T108" s="165">
        <f t="shared" ref="T108" si="285">ROUND(S108*V108,0)</f>
        <v>26134</v>
      </c>
      <c r="U108" s="166">
        <f t="shared" ref="U108" si="286">Q108/P108-S108/N108</f>
        <v>7.3145245560457539E-7</v>
      </c>
      <c r="V108" s="87">
        <v>0.13</v>
      </c>
      <c r="W108" s="224"/>
      <c r="X108" s="23">
        <v>44832</v>
      </c>
      <c r="Y108" s="20" t="s">
        <v>197</v>
      </c>
      <c r="Z108" s="20"/>
      <c r="AA108" s="20"/>
      <c r="AB108" s="168"/>
    </row>
    <row r="109" spans="1:31" s="8" customFormat="1" x14ac:dyDescent="0.25">
      <c r="A109" s="189"/>
      <c r="B109" s="92" t="s">
        <v>207</v>
      </c>
      <c r="C109" s="90" t="str">
        <f>VLOOKUP($F109,Admin!$A$16:$E$19,2,FALSE)</f>
        <v>Alkalmazott (ipari) kutatás – Működési költség</v>
      </c>
      <c r="D109" s="161" t="s">
        <v>129</v>
      </c>
      <c r="E109" s="90" t="str">
        <f>VLOOKUP($F109,Admin!$A$16:$E$19,4,FALSE)</f>
        <v>54. Bérköltség - Kutató-fejlesztő munkatárs</v>
      </c>
      <c r="F109" s="90" t="s">
        <v>171</v>
      </c>
      <c r="G109" s="161" t="s">
        <v>174</v>
      </c>
      <c r="H109" s="161" t="s">
        <v>206</v>
      </c>
      <c r="I109" s="90" t="str">
        <f>VLOOKUP($F109,Admin!$A$16:$E$19,5,FALSE)</f>
        <v>K+F munkatárs</v>
      </c>
      <c r="J109" s="161" t="s">
        <v>50</v>
      </c>
      <c r="K109" s="161" t="str">
        <f t="shared" si="281"/>
        <v>2022.11</v>
      </c>
      <c r="L109" s="91" t="s">
        <v>8</v>
      </c>
      <c r="M109" s="92" t="s">
        <v>78</v>
      </c>
      <c r="N109" s="162">
        <v>660000</v>
      </c>
      <c r="O109" s="163">
        <f t="shared" ref="O109" si="287">ROUND(N109*V109,0)</f>
        <v>85800</v>
      </c>
      <c r="P109" s="161">
        <v>174</v>
      </c>
      <c r="Q109" s="161">
        <v>53</v>
      </c>
      <c r="R109" s="230">
        <f t="shared" ref="R109" si="288">Q109/P109</f>
        <v>0.3045977011494253</v>
      </c>
      <c r="S109" s="164">
        <f t="shared" ref="S109" si="289">ROUND(N109*Q109/P109,0)</f>
        <v>201034</v>
      </c>
      <c r="T109" s="165">
        <f t="shared" ref="T109" si="290">ROUND(S109*V109,0)</f>
        <v>26134</v>
      </c>
      <c r="U109" s="166">
        <f t="shared" ref="U109" si="291">Q109/P109-S109/N109</f>
        <v>7.3145245560457539E-7</v>
      </c>
      <c r="V109" s="87">
        <v>0.13</v>
      </c>
      <c r="W109" s="224" t="s">
        <v>225</v>
      </c>
      <c r="X109" s="23">
        <v>44875</v>
      </c>
      <c r="Y109" s="20" t="s">
        <v>197</v>
      </c>
      <c r="Z109" s="20"/>
      <c r="AA109" s="20"/>
      <c r="AB109" s="168"/>
      <c r="AC109" s="211" t="e">
        <v>#N/A</v>
      </c>
      <c r="AD109" s="212" t="e">
        <v>#N/A</v>
      </c>
      <c r="AE109" s="211" t="e">
        <v>#N/A</v>
      </c>
    </row>
    <row r="110" spans="1:31" s="8" customFormat="1" x14ac:dyDescent="0.25">
      <c r="A110" s="189"/>
      <c r="B110" s="92" t="s">
        <v>207</v>
      </c>
      <c r="C110" s="90" t="str">
        <f>VLOOKUP($F110,Admin!$A$16:$E$19,2,FALSE)</f>
        <v>Alkalmazott (ipari) kutatás – Működési költség</v>
      </c>
      <c r="D110" s="161" t="s">
        <v>129</v>
      </c>
      <c r="E110" s="90" t="str">
        <f>VLOOKUP($F110,Admin!$A$16:$E$19,4,FALSE)</f>
        <v>54. Bérköltség - Kutató-fejlesztő munkatárs</v>
      </c>
      <c r="F110" s="90" t="s">
        <v>171</v>
      </c>
      <c r="G110" s="161" t="s">
        <v>174</v>
      </c>
      <c r="H110" s="161" t="s">
        <v>206</v>
      </c>
      <c r="I110" s="90" t="str">
        <f>VLOOKUP($F110,Admin!$A$16:$E$19,5,FALSE)</f>
        <v>K+F munkatárs</v>
      </c>
      <c r="J110" s="161" t="s">
        <v>51</v>
      </c>
      <c r="K110" s="161" t="str">
        <f t="shared" si="281"/>
        <v>2022.12</v>
      </c>
      <c r="L110" s="91" t="s">
        <v>8</v>
      </c>
      <c r="M110" s="92" t="s">
        <v>78</v>
      </c>
      <c r="N110" s="162">
        <v>660000</v>
      </c>
      <c r="O110" s="163">
        <f t="shared" ref="O110" si="292">ROUND(N110*V110,0)</f>
        <v>85800</v>
      </c>
      <c r="P110" s="161">
        <v>174</v>
      </c>
      <c r="Q110" s="161">
        <v>53</v>
      </c>
      <c r="R110" s="230">
        <f t="shared" ref="R110" si="293">Q110/P110</f>
        <v>0.3045977011494253</v>
      </c>
      <c r="S110" s="164">
        <f t="shared" ref="S110" si="294">ROUND(N110*Q110/P110,0)</f>
        <v>201034</v>
      </c>
      <c r="T110" s="165">
        <f t="shared" ref="T110" si="295">ROUND(S110*V110,0)</f>
        <v>26134</v>
      </c>
      <c r="U110" s="166">
        <f t="shared" ref="U110" si="296">Q110/P110-S110/N110</f>
        <v>7.3145245560457539E-7</v>
      </c>
      <c r="V110" s="87">
        <v>0.13</v>
      </c>
      <c r="W110" s="224" t="s">
        <v>225</v>
      </c>
      <c r="X110" s="23">
        <v>44875</v>
      </c>
      <c r="Y110" s="20" t="s">
        <v>197</v>
      </c>
      <c r="Z110" s="20"/>
      <c r="AA110" s="20"/>
      <c r="AB110" s="168"/>
      <c r="AC110" s="211" t="s">
        <v>248</v>
      </c>
      <c r="AD110" s="211" t="s">
        <v>249</v>
      </c>
      <c r="AE110" s="211" t="s">
        <v>249</v>
      </c>
    </row>
    <row r="111" spans="1:31" s="8" customFormat="1" x14ac:dyDescent="0.25">
      <c r="A111" s="189"/>
      <c r="B111" s="92" t="s">
        <v>207</v>
      </c>
      <c r="C111" s="90" t="str">
        <f>VLOOKUP($F111,Admin!$A$16:$E$19,2,FALSE)</f>
        <v>Alkalmazott (ipari) kutatás – Működési költség</v>
      </c>
      <c r="D111" s="161" t="s">
        <v>129</v>
      </c>
      <c r="E111" s="90" t="str">
        <f>VLOOKUP($F111,Admin!$A$16:$E$19,4,FALSE)</f>
        <v>54. Bérköltség - Kutató-fejlesztő munkatárs</v>
      </c>
      <c r="F111" s="90" t="s">
        <v>171</v>
      </c>
      <c r="G111" s="161" t="s">
        <v>174</v>
      </c>
      <c r="H111" s="161" t="s">
        <v>206</v>
      </c>
      <c r="I111" s="90" t="str">
        <f>VLOOKUP($F111,Admin!$A$16:$E$19,5,FALSE)</f>
        <v>K+F munkatárs</v>
      </c>
      <c r="J111" s="161" t="s">
        <v>64</v>
      </c>
      <c r="K111" s="161" t="str">
        <f t="shared" ref="K111:K112" si="297">J111</f>
        <v>2023.01</v>
      </c>
      <c r="L111" s="91" t="s">
        <v>8</v>
      </c>
      <c r="M111" s="92" t="s">
        <v>78</v>
      </c>
      <c r="N111" s="162">
        <v>700000</v>
      </c>
      <c r="O111" s="163">
        <f t="shared" ref="O111" si="298">ROUND(N111*V111,0)</f>
        <v>91000</v>
      </c>
      <c r="P111" s="161">
        <v>174</v>
      </c>
      <c r="Q111" s="161">
        <v>50</v>
      </c>
      <c r="R111" s="230">
        <f t="shared" ref="R111" si="299">Q111/P111</f>
        <v>0.28735632183908044</v>
      </c>
      <c r="S111" s="164">
        <f t="shared" ref="S111" si="300">ROUND(N111*Q111/P111,0)</f>
        <v>201149</v>
      </c>
      <c r="T111" s="165">
        <f t="shared" ref="T111" si="301">ROUND(S111*V111,0)</f>
        <v>26149</v>
      </c>
      <c r="U111" s="166">
        <f t="shared" ref="U111" si="302">Q111/P111-S111/N111</f>
        <v>6.0755336617202005E-7</v>
      </c>
      <c r="V111" s="87">
        <v>0.13</v>
      </c>
      <c r="W111" s="224" t="s">
        <v>225</v>
      </c>
      <c r="X111" s="23">
        <v>44944</v>
      </c>
      <c r="Y111" s="20" t="s">
        <v>197</v>
      </c>
      <c r="Z111" s="20"/>
      <c r="AA111" s="20"/>
      <c r="AB111" s="168"/>
      <c r="AC111" s="211" t="s">
        <v>248</v>
      </c>
      <c r="AD111" s="211">
        <v>0</v>
      </c>
      <c r="AE111" s="211">
        <v>0</v>
      </c>
    </row>
    <row r="112" spans="1:31" s="8" customFormat="1" x14ac:dyDescent="0.25">
      <c r="A112" s="189"/>
      <c r="B112" s="92" t="s">
        <v>207</v>
      </c>
      <c r="C112" s="90" t="str">
        <f>VLOOKUP($F112,Admin!$A$16:$E$19,2,FALSE)</f>
        <v>Alkalmazott (ipari) kutatás – Működési költség</v>
      </c>
      <c r="D112" s="161" t="s">
        <v>129</v>
      </c>
      <c r="E112" s="90" t="str">
        <f>VLOOKUP($F112,Admin!$A$16:$E$19,4,FALSE)</f>
        <v>54. Bérköltség - Kutató-fejlesztő munkatárs</v>
      </c>
      <c r="F112" s="90" t="s">
        <v>171</v>
      </c>
      <c r="G112" s="161" t="s">
        <v>174</v>
      </c>
      <c r="H112" s="161" t="s">
        <v>206</v>
      </c>
      <c r="I112" s="90" t="str">
        <f>VLOOKUP($F112,Admin!$A$16:$E$19,5,FALSE)</f>
        <v>K+F munkatárs</v>
      </c>
      <c r="J112" s="161" t="s">
        <v>65</v>
      </c>
      <c r="K112" s="161" t="str">
        <f t="shared" si="297"/>
        <v>2023.02</v>
      </c>
      <c r="L112" s="91" t="s">
        <v>8</v>
      </c>
      <c r="M112" s="92" t="s">
        <v>78</v>
      </c>
      <c r="N112" s="162">
        <v>700000</v>
      </c>
      <c r="O112" s="163">
        <f t="shared" ref="O112" si="303">ROUND(N112*V112,0)</f>
        <v>91000</v>
      </c>
      <c r="P112" s="161">
        <v>174</v>
      </c>
      <c r="Q112" s="161">
        <v>50</v>
      </c>
      <c r="R112" s="230">
        <f t="shared" ref="R112" si="304">Q112/P112</f>
        <v>0.28735632183908044</v>
      </c>
      <c r="S112" s="164">
        <f t="shared" ref="S112" si="305">ROUND(N112*Q112/P112,0)</f>
        <v>201149</v>
      </c>
      <c r="T112" s="165">
        <f t="shared" ref="T112" si="306">ROUND(S112*V112,0)</f>
        <v>26149</v>
      </c>
      <c r="U112" s="166">
        <f t="shared" ref="U112" si="307">Q112/P112-S112/N112</f>
        <v>6.0755336617202005E-7</v>
      </c>
      <c r="V112" s="87">
        <v>0.13</v>
      </c>
      <c r="W112" s="224" t="s">
        <v>225</v>
      </c>
      <c r="X112" s="23">
        <v>44944</v>
      </c>
      <c r="Y112" s="20" t="s">
        <v>197</v>
      </c>
      <c r="Z112" s="20"/>
      <c r="AA112" s="20"/>
      <c r="AB112" s="168"/>
      <c r="AC112" s="8" t="s">
        <v>248</v>
      </c>
      <c r="AD112" s="8">
        <v>0</v>
      </c>
      <c r="AE112" s="8">
        <v>68640</v>
      </c>
    </row>
    <row r="113" spans="1:31" s="8" customFormat="1" x14ac:dyDescent="0.25">
      <c r="A113" s="189"/>
      <c r="B113" s="92" t="s">
        <v>207</v>
      </c>
      <c r="C113" s="90" t="str">
        <f>VLOOKUP($F113,Admin!$A$16:$E$19,2,FALSE)</f>
        <v>Alkalmazott (ipari) kutatás – Működési költség</v>
      </c>
      <c r="D113" s="161" t="s">
        <v>129</v>
      </c>
      <c r="E113" s="90" t="str">
        <f>VLOOKUP($F113,Admin!$A$16:$E$19,4,FALSE)</f>
        <v>54. Bérköltség - Kutató-fejlesztő munkatárs</v>
      </c>
      <c r="F113" s="90" t="s">
        <v>171</v>
      </c>
      <c r="G113" s="161" t="s">
        <v>174</v>
      </c>
      <c r="H113" s="161" t="s">
        <v>206</v>
      </c>
      <c r="I113" s="90" t="str">
        <f>VLOOKUP($F113,Admin!$A$16:$E$19,5,FALSE)</f>
        <v>K+F munkatárs</v>
      </c>
      <c r="J113" s="161" t="s">
        <v>66</v>
      </c>
      <c r="K113" s="161" t="str">
        <f t="shared" ref="K113" si="308">J113</f>
        <v>2023.03</v>
      </c>
      <c r="L113" s="91" t="s">
        <v>8</v>
      </c>
      <c r="M113" s="92" t="s">
        <v>78</v>
      </c>
      <c r="N113" s="162">
        <v>700000</v>
      </c>
      <c r="O113" s="163">
        <f t="shared" ref="O113" si="309">ROUND(N113*V113,0)</f>
        <v>91000</v>
      </c>
      <c r="P113" s="161">
        <v>174</v>
      </c>
      <c r="Q113" s="161">
        <v>50</v>
      </c>
      <c r="R113" s="230">
        <f t="shared" ref="R113" si="310">Q113/P113</f>
        <v>0.28735632183908044</v>
      </c>
      <c r="S113" s="164">
        <f t="shared" ref="S113" si="311">ROUND(N113*Q113/P113,0)</f>
        <v>201149</v>
      </c>
      <c r="T113" s="165">
        <f t="shared" ref="T113" si="312">ROUND(S113*V113,0)</f>
        <v>26149</v>
      </c>
      <c r="U113" s="166">
        <f t="shared" ref="U113" si="313">Q113/P113-S113/N113</f>
        <v>6.0755336617202005E-7</v>
      </c>
      <c r="V113" s="87">
        <v>0.13</v>
      </c>
      <c r="W113" s="224" t="s">
        <v>225</v>
      </c>
      <c r="X113" s="23">
        <v>44980</v>
      </c>
      <c r="Y113" s="20" t="s">
        <v>197</v>
      </c>
      <c r="Z113" s="20"/>
      <c r="AA113" s="20"/>
      <c r="AB113" s="168"/>
      <c r="AC113" s="8" t="s">
        <v>248</v>
      </c>
      <c r="AD113" s="8">
        <v>0</v>
      </c>
      <c r="AE113" s="8">
        <v>68640</v>
      </c>
    </row>
    <row r="114" spans="1:31" s="8" customFormat="1" x14ac:dyDescent="0.25">
      <c r="A114" s="189"/>
      <c r="B114" s="92" t="s">
        <v>207</v>
      </c>
      <c r="C114" s="90" t="str">
        <f>VLOOKUP($F114,Admin!$A$16:$E$19,2,FALSE)</f>
        <v>Alkalmazott (ipari) kutatás – Működési költség</v>
      </c>
      <c r="D114" s="161" t="s">
        <v>129</v>
      </c>
      <c r="E114" s="90" t="str">
        <f>VLOOKUP($F114,Admin!$A$16:$E$19,4,FALSE)</f>
        <v>54. Bérköltség - Kutató-fejlesztő munkatárs</v>
      </c>
      <c r="F114" s="90" t="s">
        <v>171</v>
      </c>
      <c r="G114" s="161" t="s">
        <v>174</v>
      </c>
      <c r="H114" s="161" t="s">
        <v>206</v>
      </c>
      <c r="I114" s="90" t="str">
        <f>VLOOKUP($F114,Admin!$A$16:$E$19,5,FALSE)</f>
        <v>K+F munkatárs</v>
      </c>
      <c r="J114" s="161" t="s">
        <v>67</v>
      </c>
      <c r="K114" s="161" t="str">
        <f t="shared" ref="K114:K116" si="314">J114</f>
        <v>2023.04</v>
      </c>
      <c r="L114" s="91" t="s">
        <v>8</v>
      </c>
      <c r="M114" s="92" t="s">
        <v>78</v>
      </c>
      <c r="N114" s="162">
        <v>700000</v>
      </c>
      <c r="O114" s="163">
        <f t="shared" ref="O114" si="315">ROUND(N114*V114,0)</f>
        <v>91000</v>
      </c>
      <c r="P114" s="161">
        <v>174</v>
      </c>
      <c r="Q114" s="161">
        <v>50</v>
      </c>
      <c r="R114" s="230">
        <f t="shared" ref="R114" si="316">Q114/P114</f>
        <v>0.28735632183908044</v>
      </c>
      <c r="S114" s="164">
        <f t="shared" ref="S114" si="317">ROUND(N114*Q114/P114,0)</f>
        <v>201149</v>
      </c>
      <c r="T114" s="165">
        <f t="shared" ref="T114" si="318">ROUND(S114*V114,0)</f>
        <v>26149</v>
      </c>
      <c r="U114" s="166">
        <f t="shared" ref="U114" si="319">Q114/P114-S114/N114</f>
        <v>6.0755336617202005E-7</v>
      </c>
      <c r="V114" s="87">
        <v>0.13</v>
      </c>
      <c r="W114" s="224" t="s">
        <v>225</v>
      </c>
      <c r="X114" s="23">
        <v>45002</v>
      </c>
      <c r="Y114" s="20" t="s">
        <v>197</v>
      </c>
      <c r="Z114" s="20"/>
      <c r="AA114" s="20"/>
      <c r="AB114" s="168"/>
      <c r="AC114" s="8" t="s">
        <v>248</v>
      </c>
      <c r="AD114" s="8">
        <v>0</v>
      </c>
      <c r="AE114" s="235">
        <v>68640</v>
      </c>
    </row>
    <row r="115" spans="1:31" s="8" customFormat="1" x14ac:dyDescent="0.25">
      <c r="A115" s="189"/>
      <c r="B115" s="92" t="s">
        <v>207</v>
      </c>
      <c r="C115" s="90" t="str">
        <f>VLOOKUP($F115,Admin!$A$16:$E$19,2,FALSE)</f>
        <v>Alkalmazott (ipari) kutatás – Működési költség</v>
      </c>
      <c r="D115" s="161" t="s">
        <v>129</v>
      </c>
      <c r="E115" s="90" t="str">
        <f>VLOOKUP($F115,Admin!$A$16:$E$19,4,FALSE)</f>
        <v>54. Bérköltség - Kutató-fejlesztő munkatárs</v>
      </c>
      <c r="F115" s="90" t="s">
        <v>171</v>
      </c>
      <c r="G115" s="161" t="s">
        <v>174</v>
      </c>
      <c r="H115" s="161" t="s">
        <v>206</v>
      </c>
      <c r="I115" s="90" t="str">
        <f>VLOOKUP($F115,Admin!$A$16:$E$19,5,FALSE)</f>
        <v>K+F munkatárs</v>
      </c>
      <c r="J115" s="161" t="s">
        <v>68</v>
      </c>
      <c r="K115" s="161" t="str">
        <f t="shared" si="314"/>
        <v>2023.05</v>
      </c>
      <c r="L115" s="91" t="s">
        <v>9</v>
      </c>
      <c r="M115" s="92" t="s">
        <v>78</v>
      </c>
      <c r="N115" s="162">
        <v>700000</v>
      </c>
      <c r="O115" s="163">
        <f t="shared" ref="O115:O116" si="320">ROUND(N115*V115,0)</f>
        <v>91000</v>
      </c>
      <c r="P115" s="161">
        <v>174</v>
      </c>
      <c r="Q115" s="161">
        <v>50</v>
      </c>
      <c r="R115" s="230">
        <f t="shared" ref="R115:R116" si="321">Q115/P115</f>
        <v>0.28735632183908044</v>
      </c>
      <c r="S115" s="164">
        <f t="shared" ref="S115:S116" si="322">ROUND(N115*Q115/P115,0)</f>
        <v>201149</v>
      </c>
      <c r="T115" s="165">
        <f t="shared" ref="T115:T116" si="323">ROUND(S115*V115,0)</f>
        <v>26149</v>
      </c>
      <c r="U115" s="166">
        <f t="shared" ref="U115:U116" si="324">Q115/P115-S115/N115</f>
        <v>6.0755336617202005E-7</v>
      </c>
      <c r="V115" s="87">
        <v>0.13</v>
      </c>
      <c r="W115" s="224" t="s">
        <v>225</v>
      </c>
      <c r="X115" s="23">
        <v>45002</v>
      </c>
      <c r="Y115" s="20" t="s">
        <v>197</v>
      </c>
      <c r="Z115" s="20"/>
      <c r="AA115" s="20"/>
      <c r="AB115" s="168"/>
      <c r="AC115" s="211"/>
      <c r="AD115" s="211"/>
      <c r="AE115" s="211"/>
    </row>
    <row r="116" spans="1:31" s="8" customFormat="1" x14ac:dyDescent="0.25">
      <c r="A116" s="189"/>
      <c r="B116" s="92" t="s">
        <v>207</v>
      </c>
      <c r="C116" s="90" t="str">
        <f>VLOOKUP($F116,Admin!$A$16:$E$19,2,FALSE)</f>
        <v>Alkalmazott (ipari) kutatás – Működési költség</v>
      </c>
      <c r="D116" s="161" t="s">
        <v>129</v>
      </c>
      <c r="E116" s="90" t="str">
        <f>VLOOKUP($F116,Admin!$A$16:$E$19,4,FALSE)</f>
        <v>54. Bérköltség - Kutató-fejlesztő munkatárs</v>
      </c>
      <c r="F116" s="90" t="s">
        <v>171</v>
      </c>
      <c r="G116" s="161" t="s">
        <v>174</v>
      </c>
      <c r="H116" s="161" t="s">
        <v>206</v>
      </c>
      <c r="I116" s="90" t="str">
        <f>VLOOKUP($F116,Admin!$A$16:$E$19,5,FALSE)</f>
        <v>K+F munkatárs</v>
      </c>
      <c r="J116" s="161" t="s">
        <v>69</v>
      </c>
      <c r="K116" s="161" t="str">
        <f t="shared" si="314"/>
        <v>2023.06</v>
      </c>
      <c r="L116" s="91" t="s">
        <v>9</v>
      </c>
      <c r="M116" s="92" t="s">
        <v>78</v>
      </c>
      <c r="N116" s="162">
        <v>700000</v>
      </c>
      <c r="O116" s="163">
        <f t="shared" si="320"/>
        <v>91000</v>
      </c>
      <c r="P116" s="161">
        <v>174</v>
      </c>
      <c r="Q116" s="161">
        <v>50</v>
      </c>
      <c r="R116" s="230">
        <f t="shared" si="321"/>
        <v>0.28735632183908044</v>
      </c>
      <c r="S116" s="164">
        <f t="shared" si="322"/>
        <v>201149</v>
      </c>
      <c r="T116" s="165">
        <f t="shared" si="323"/>
        <v>26149</v>
      </c>
      <c r="U116" s="166">
        <f t="shared" si="324"/>
        <v>6.0755336617202005E-7</v>
      </c>
      <c r="V116" s="87">
        <v>0.13</v>
      </c>
      <c r="W116" s="224" t="s">
        <v>225</v>
      </c>
      <c r="X116" s="23">
        <v>45002</v>
      </c>
      <c r="Y116" s="20" t="s">
        <v>197</v>
      </c>
      <c r="Z116" s="20"/>
      <c r="AA116" s="20"/>
      <c r="AB116" s="168"/>
      <c r="AC116" s="211"/>
      <c r="AD116" s="211"/>
      <c r="AE116" s="211"/>
    </row>
    <row r="117" spans="1:31" s="8" customFormat="1" x14ac:dyDescent="0.25">
      <c r="A117" s="208">
        <v>1</v>
      </c>
      <c r="B117" s="92" t="s">
        <v>202</v>
      </c>
      <c r="C117" s="90" t="str">
        <f>VLOOKUP($F117,Admin!$A$16:$E$19,2,FALSE)</f>
        <v>Alkalmazott (ipari) kutatás – Működési költség</v>
      </c>
      <c r="D117" s="161" t="s">
        <v>129</v>
      </c>
      <c r="E117" s="90" t="str">
        <f>VLOOKUP($F117,Admin!$A$16:$E$19,4,FALSE)</f>
        <v>54. Bérköltség - technikus segédszemélyzet</v>
      </c>
      <c r="F117" s="90" t="s">
        <v>173</v>
      </c>
      <c r="G117" s="161" t="s">
        <v>174</v>
      </c>
      <c r="H117" s="161" t="s">
        <v>203</v>
      </c>
      <c r="I117" s="90" t="str">
        <f>VLOOKUP($F117,Admin!$A$16:$E$19,5,FALSE)</f>
        <v>Technikus</v>
      </c>
      <c r="J117" s="161" t="s">
        <v>43</v>
      </c>
      <c r="K117" s="161" t="str">
        <f t="shared" si="137"/>
        <v>2022.04</v>
      </c>
      <c r="L117" s="91" t="s">
        <v>8</v>
      </c>
      <c r="M117" s="92" t="s">
        <v>78</v>
      </c>
      <c r="N117" s="162">
        <v>505000</v>
      </c>
      <c r="O117" s="163">
        <f t="shared" si="138"/>
        <v>65650</v>
      </c>
      <c r="P117" s="161">
        <v>174</v>
      </c>
      <c r="Q117" s="161">
        <v>69</v>
      </c>
      <c r="R117" s="230">
        <f t="shared" si="139"/>
        <v>0.39655172413793105</v>
      </c>
      <c r="S117" s="164">
        <f t="shared" si="140"/>
        <v>200259</v>
      </c>
      <c r="T117" s="165">
        <f t="shared" si="141"/>
        <v>26034</v>
      </c>
      <c r="U117" s="166">
        <f t="shared" si="142"/>
        <v>-7.5110959368851482E-7</v>
      </c>
      <c r="V117" s="87">
        <v>0.13</v>
      </c>
      <c r="W117" s="224"/>
      <c r="X117" s="23">
        <v>44648</v>
      </c>
      <c r="Y117" s="20" t="s">
        <v>197</v>
      </c>
      <c r="Z117" s="20"/>
      <c r="AA117" s="20"/>
      <c r="AB117" s="168"/>
    </row>
    <row r="118" spans="1:31" s="8" customFormat="1" x14ac:dyDescent="0.25">
      <c r="A118" s="208">
        <v>1</v>
      </c>
      <c r="B118" s="92" t="s">
        <v>202</v>
      </c>
      <c r="C118" s="90" t="str">
        <f>VLOOKUP($F118,Admin!$A$16:$E$19,2,FALSE)</f>
        <v>Alkalmazott (ipari) kutatás – Működési költség</v>
      </c>
      <c r="D118" s="161" t="s">
        <v>129</v>
      </c>
      <c r="E118" s="90" t="str">
        <f>VLOOKUP($F118,Admin!$A$16:$E$19,4,FALSE)</f>
        <v>54. Bérköltség - technikus segédszemélyzet</v>
      </c>
      <c r="F118" s="90" t="s">
        <v>173</v>
      </c>
      <c r="G118" s="161" t="s">
        <v>174</v>
      </c>
      <c r="H118" s="161" t="s">
        <v>203</v>
      </c>
      <c r="I118" s="90" t="str">
        <f>VLOOKUP($F118,Admin!$A$16:$E$19,5,FALSE)</f>
        <v>Technikus</v>
      </c>
      <c r="J118" s="161" t="s">
        <v>44</v>
      </c>
      <c r="K118" s="161" t="str">
        <f t="shared" si="137"/>
        <v>2022.05</v>
      </c>
      <c r="L118" s="91" t="s">
        <v>8</v>
      </c>
      <c r="M118" s="92" t="s">
        <v>78</v>
      </c>
      <c r="N118" s="162">
        <v>505000</v>
      </c>
      <c r="O118" s="163">
        <f t="shared" ref="O118:O119" si="325">ROUND(N118*V118,0)</f>
        <v>65650</v>
      </c>
      <c r="P118" s="161">
        <v>174</v>
      </c>
      <c r="Q118" s="161">
        <v>69</v>
      </c>
      <c r="R118" s="230">
        <f t="shared" ref="R118:R119" si="326">Q118/P118</f>
        <v>0.39655172413793105</v>
      </c>
      <c r="S118" s="164">
        <f t="shared" ref="S118:S119" si="327">ROUND(N118*Q118/P118,0)</f>
        <v>200259</v>
      </c>
      <c r="T118" s="165">
        <f t="shared" ref="T118:T119" si="328">ROUND(S118*V118,0)</f>
        <v>26034</v>
      </c>
      <c r="U118" s="166">
        <f t="shared" ref="U118:U119" si="329">Q118/P118-S118/N118</f>
        <v>-7.5110959368851482E-7</v>
      </c>
      <c r="V118" s="87">
        <v>0.13</v>
      </c>
      <c r="W118" s="224"/>
      <c r="X118" s="23">
        <v>44648</v>
      </c>
      <c r="Y118" s="20" t="s">
        <v>197</v>
      </c>
      <c r="Z118" s="20"/>
      <c r="AA118" s="20"/>
      <c r="AB118" s="168"/>
    </row>
    <row r="119" spans="1:31" s="8" customFormat="1" x14ac:dyDescent="0.25">
      <c r="A119" s="208">
        <v>1</v>
      </c>
      <c r="B119" s="92" t="s">
        <v>202</v>
      </c>
      <c r="C119" s="90" t="str">
        <f>VLOOKUP($F119,Admin!$A$16:$E$19,2,FALSE)</f>
        <v>Alkalmazott (ipari) kutatás – Működési költség</v>
      </c>
      <c r="D119" s="161" t="s">
        <v>129</v>
      </c>
      <c r="E119" s="90" t="str">
        <f>VLOOKUP($F119,Admin!$A$16:$E$19,4,FALSE)</f>
        <v>54. Bérköltség - technikus segédszemélyzet</v>
      </c>
      <c r="F119" s="90" t="s">
        <v>173</v>
      </c>
      <c r="G119" s="161" t="s">
        <v>174</v>
      </c>
      <c r="H119" s="161" t="s">
        <v>203</v>
      </c>
      <c r="I119" s="90" t="str">
        <f>VLOOKUP($F119,Admin!$A$16:$E$19,5,FALSE)</f>
        <v>Technikus</v>
      </c>
      <c r="J119" s="161" t="s">
        <v>45</v>
      </c>
      <c r="K119" s="161" t="str">
        <f t="shared" si="137"/>
        <v>2022.06</v>
      </c>
      <c r="L119" s="91" t="s">
        <v>8</v>
      </c>
      <c r="M119" s="92" t="s">
        <v>78</v>
      </c>
      <c r="N119" s="162">
        <v>505000</v>
      </c>
      <c r="O119" s="163">
        <f t="shared" si="325"/>
        <v>65650</v>
      </c>
      <c r="P119" s="161">
        <v>174</v>
      </c>
      <c r="Q119" s="161">
        <v>69</v>
      </c>
      <c r="R119" s="230">
        <f t="shared" si="326"/>
        <v>0.39655172413793105</v>
      </c>
      <c r="S119" s="164">
        <f t="shared" si="327"/>
        <v>200259</v>
      </c>
      <c r="T119" s="165">
        <f t="shared" si="328"/>
        <v>26034</v>
      </c>
      <c r="U119" s="166">
        <f t="shared" si="329"/>
        <v>-7.5110959368851482E-7</v>
      </c>
      <c r="V119" s="87">
        <v>0.13</v>
      </c>
      <c r="W119" s="224"/>
      <c r="X119" s="23">
        <v>44648</v>
      </c>
      <c r="Y119" s="20" t="s">
        <v>197</v>
      </c>
      <c r="Z119" s="20"/>
      <c r="AA119" s="20"/>
      <c r="AB119" s="168"/>
    </row>
    <row r="120" spans="1:31" s="8" customFormat="1" x14ac:dyDescent="0.25">
      <c r="A120" s="208">
        <v>1</v>
      </c>
      <c r="B120" s="92" t="s">
        <v>202</v>
      </c>
      <c r="C120" s="90" t="str">
        <f>VLOOKUP($F120,Admin!$A$16:$E$19,2,FALSE)</f>
        <v>Alkalmazott (ipari) kutatás – Működési költség</v>
      </c>
      <c r="D120" s="161" t="s">
        <v>129</v>
      </c>
      <c r="E120" s="90" t="str">
        <f>VLOOKUP($F120,Admin!$A$16:$E$19,4,FALSE)</f>
        <v>54. Bérköltség - technikus segédszemélyzet</v>
      </c>
      <c r="F120" s="90" t="s">
        <v>173</v>
      </c>
      <c r="G120" s="161" t="s">
        <v>174</v>
      </c>
      <c r="H120" s="161" t="s">
        <v>203</v>
      </c>
      <c r="I120" s="90" t="str">
        <f>VLOOKUP($F120,Admin!$A$16:$E$19,5,FALSE)</f>
        <v>Technikus</v>
      </c>
      <c r="J120" s="161" t="s">
        <v>46</v>
      </c>
      <c r="K120" s="161" t="str">
        <f t="shared" ref="K120:K122" si="330">J120</f>
        <v>2022.07</v>
      </c>
      <c r="L120" s="91" t="s">
        <v>8</v>
      </c>
      <c r="M120" s="92" t="s">
        <v>78</v>
      </c>
      <c r="N120" s="162">
        <v>505000</v>
      </c>
      <c r="O120" s="163">
        <f t="shared" ref="O120" si="331">ROUND(N120*V120,0)</f>
        <v>65650</v>
      </c>
      <c r="P120" s="161">
        <v>174</v>
      </c>
      <c r="Q120" s="161">
        <v>69</v>
      </c>
      <c r="R120" s="230">
        <f t="shared" ref="R120" si="332">Q120/P120</f>
        <v>0.39655172413793105</v>
      </c>
      <c r="S120" s="164">
        <f t="shared" ref="S120" si="333">ROUND(N120*Q120/P120,0)</f>
        <v>200259</v>
      </c>
      <c r="T120" s="165">
        <f t="shared" ref="T120" si="334">ROUND(S120*V120,0)</f>
        <v>26034</v>
      </c>
      <c r="U120" s="166">
        <f t="shared" ref="U120" si="335">Q120/P120-S120/N120</f>
        <v>-7.5110959368851482E-7</v>
      </c>
      <c r="V120" s="87">
        <v>0.13</v>
      </c>
      <c r="W120" s="224"/>
      <c r="X120" s="23">
        <v>44729</v>
      </c>
      <c r="Y120" s="20" t="s">
        <v>197</v>
      </c>
      <c r="Z120" s="20"/>
      <c r="AA120" s="20"/>
      <c r="AB120" s="168"/>
    </row>
    <row r="121" spans="1:31" s="8" customFormat="1" x14ac:dyDescent="0.25">
      <c r="A121" s="208">
        <v>1</v>
      </c>
      <c r="B121" s="92" t="s">
        <v>202</v>
      </c>
      <c r="C121" s="90" t="str">
        <f>VLOOKUP($F121,Admin!$A$16:$E$19,2,FALSE)</f>
        <v>Alkalmazott (ipari) kutatás – Működési költség</v>
      </c>
      <c r="D121" s="161" t="s">
        <v>129</v>
      </c>
      <c r="E121" s="90" t="str">
        <f>VLOOKUP($F121,Admin!$A$16:$E$19,4,FALSE)</f>
        <v>54. Bérköltség - technikus segédszemélyzet</v>
      </c>
      <c r="F121" s="90" t="s">
        <v>173</v>
      </c>
      <c r="G121" s="161" t="s">
        <v>174</v>
      </c>
      <c r="H121" s="161" t="s">
        <v>203</v>
      </c>
      <c r="I121" s="90" t="str">
        <f>VLOOKUP($F121,Admin!$A$16:$E$19,5,FALSE)</f>
        <v>Technikus</v>
      </c>
      <c r="J121" s="161" t="s">
        <v>47</v>
      </c>
      <c r="K121" s="161" t="str">
        <f t="shared" si="330"/>
        <v>2022.08</v>
      </c>
      <c r="L121" s="91" t="s">
        <v>8</v>
      </c>
      <c r="M121" s="92" t="s">
        <v>78</v>
      </c>
      <c r="N121" s="162">
        <v>395217</v>
      </c>
      <c r="O121" s="163">
        <f t="shared" ref="O121:O122" si="336">ROUND(N121*V121,0)</f>
        <v>51378</v>
      </c>
      <c r="P121" s="161">
        <v>174</v>
      </c>
      <c r="Q121" s="161">
        <v>69</v>
      </c>
      <c r="R121" s="230">
        <f t="shared" ref="R121:R122" si="337">Q121/P121</f>
        <v>0.39655172413793105</v>
      </c>
      <c r="S121" s="164">
        <f t="shared" ref="S121:S122" si="338">ROUND(N121*Q121/P121,0)</f>
        <v>156724</v>
      </c>
      <c r="T121" s="165">
        <f t="shared" ref="T121:T122" si="339">ROUND(S121*V121,0)</f>
        <v>20374</v>
      </c>
      <c r="U121" s="166">
        <f t="shared" ref="U121:U122" si="340">Q121/P121-S121/N121</f>
        <v>-4.3625095313970519E-8</v>
      </c>
      <c r="V121" s="87">
        <v>0.13</v>
      </c>
      <c r="W121" s="224"/>
      <c r="X121" s="23">
        <v>44729</v>
      </c>
      <c r="Y121" s="20" t="s">
        <v>197</v>
      </c>
      <c r="Z121" s="20"/>
      <c r="AA121" s="20"/>
      <c r="AB121" s="168"/>
    </row>
    <row r="122" spans="1:31" s="8" customFormat="1" x14ac:dyDescent="0.25">
      <c r="A122" s="208">
        <v>1</v>
      </c>
      <c r="B122" s="92" t="s">
        <v>202</v>
      </c>
      <c r="C122" s="90" t="str">
        <f>VLOOKUP($F122,Admin!$A$16:$E$19,2,FALSE)</f>
        <v>Alkalmazott (ipari) kutatás – Működési költség</v>
      </c>
      <c r="D122" s="161" t="s">
        <v>129</v>
      </c>
      <c r="E122" s="90" t="str">
        <f>VLOOKUP($F122,Admin!$A$16:$E$19,4,FALSE)</f>
        <v>54. Bérköltség - technikus segédszemélyzet</v>
      </c>
      <c r="F122" s="90" t="s">
        <v>173</v>
      </c>
      <c r="G122" s="161" t="s">
        <v>174</v>
      </c>
      <c r="H122" s="161" t="s">
        <v>203</v>
      </c>
      <c r="I122" s="90" t="str">
        <f>VLOOKUP($F122,Admin!$A$16:$E$19,5,FALSE)</f>
        <v>Technikus</v>
      </c>
      <c r="J122" s="161" t="s">
        <v>48</v>
      </c>
      <c r="K122" s="161" t="str">
        <f t="shared" si="330"/>
        <v>2022.09</v>
      </c>
      <c r="L122" s="91" t="s">
        <v>8</v>
      </c>
      <c r="M122" s="92" t="s">
        <v>78</v>
      </c>
      <c r="N122" s="162">
        <v>505000</v>
      </c>
      <c r="O122" s="163">
        <f t="shared" si="336"/>
        <v>65650</v>
      </c>
      <c r="P122" s="161">
        <v>174</v>
      </c>
      <c r="Q122" s="161">
        <v>69</v>
      </c>
      <c r="R122" s="230">
        <f t="shared" si="337"/>
        <v>0.39655172413793105</v>
      </c>
      <c r="S122" s="164">
        <f t="shared" si="338"/>
        <v>200259</v>
      </c>
      <c r="T122" s="165">
        <f t="shared" si="339"/>
        <v>26034</v>
      </c>
      <c r="U122" s="166">
        <f t="shared" si="340"/>
        <v>-7.5110959368851482E-7</v>
      </c>
      <c r="V122" s="87">
        <v>0.13</v>
      </c>
      <c r="W122" s="224"/>
      <c r="X122" s="23">
        <v>44729</v>
      </c>
      <c r="Y122" s="20" t="s">
        <v>197</v>
      </c>
      <c r="Z122" s="20"/>
      <c r="AA122" s="20"/>
      <c r="AB122" s="168"/>
    </row>
    <row r="123" spans="1:31" s="8" customFormat="1" x14ac:dyDescent="0.25">
      <c r="A123" s="189"/>
      <c r="B123" s="92" t="s">
        <v>202</v>
      </c>
      <c r="C123" s="90" t="str">
        <f>VLOOKUP($F123,Admin!$A$16:$E$19,2,FALSE)</f>
        <v>Alkalmazott (ipari) kutatás – Működési költség</v>
      </c>
      <c r="D123" s="161" t="s">
        <v>129</v>
      </c>
      <c r="E123" s="90" t="str">
        <f>VLOOKUP($F123,Admin!$A$16:$E$19,4,FALSE)</f>
        <v>54. Bérköltség - technikus segédszemélyzet</v>
      </c>
      <c r="F123" s="90" t="s">
        <v>173</v>
      </c>
      <c r="G123" s="161" t="s">
        <v>174</v>
      </c>
      <c r="H123" s="161" t="s">
        <v>203</v>
      </c>
      <c r="I123" s="90" t="str">
        <f>VLOOKUP($F123,Admin!$A$16:$E$19,5,FALSE)</f>
        <v>Technikus</v>
      </c>
      <c r="J123" s="161" t="s">
        <v>49</v>
      </c>
      <c r="K123" s="161" t="str">
        <f t="shared" ref="K123:K125" si="341">J123</f>
        <v>2022.10</v>
      </c>
      <c r="L123" s="91" t="s">
        <v>8</v>
      </c>
      <c r="M123" s="92" t="s">
        <v>78</v>
      </c>
      <c r="N123" s="162">
        <v>505000</v>
      </c>
      <c r="O123" s="163">
        <f t="shared" ref="O123" si="342">ROUND(N123*V123,0)</f>
        <v>65650</v>
      </c>
      <c r="P123" s="161">
        <v>174</v>
      </c>
      <c r="Q123" s="161">
        <v>69</v>
      </c>
      <c r="R123" s="230">
        <f t="shared" ref="R123" si="343">Q123/P123</f>
        <v>0.39655172413793105</v>
      </c>
      <c r="S123" s="164">
        <f t="shared" ref="S123" si="344">ROUND(N123*Q123/P123,0)</f>
        <v>200259</v>
      </c>
      <c r="T123" s="165">
        <f t="shared" ref="T123" si="345">ROUND(S123*V123,0)</f>
        <v>26034</v>
      </c>
      <c r="U123" s="166">
        <f t="shared" ref="U123" si="346">Q123/P123-S123/N123</f>
        <v>-7.5110959368851482E-7</v>
      </c>
      <c r="V123" s="87">
        <v>0.13</v>
      </c>
      <c r="W123" s="224"/>
      <c r="X123" s="23">
        <v>44830</v>
      </c>
      <c r="Y123" s="20" t="s">
        <v>197</v>
      </c>
      <c r="Z123" s="20"/>
      <c r="AA123" s="20"/>
      <c r="AB123" s="168"/>
    </row>
    <row r="124" spans="1:31" s="8" customFormat="1" x14ac:dyDescent="0.25">
      <c r="A124" s="189"/>
      <c r="B124" s="92" t="s">
        <v>202</v>
      </c>
      <c r="C124" s="90" t="str">
        <f>VLOOKUP($F124,Admin!$A$16:$E$19,2,FALSE)</f>
        <v>Alkalmazott (ipari) kutatás – Működési költség</v>
      </c>
      <c r="D124" s="161" t="s">
        <v>129</v>
      </c>
      <c r="E124" s="90" t="str">
        <f>VLOOKUP($F124,Admin!$A$16:$E$19,4,FALSE)</f>
        <v>54. Bérköltség - technikus segédszemélyzet</v>
      </c>
      <c r="F124" s="90" t="s">
        <v>173</v>
      </c>
      <c r="G124" s="161" t="s">
        <v>174</v>
      </c>
      <c r="H124" s="161" t="s">
        <v>203</v>
      </c>
      <c r="I124" s="90" t="str">
        <f>VLOOKUP($F124,Admin!$A$16:$E$19,5,FALSE)</f>
        <v>Technikus</v>
      </c>
      <c r="J124" s="161" t="s">
        <v>50</v>
      </c>
      <c r="K124" s="161" t="str">
        <f t="shared" si="341"/>
        <v>2022.11</v>
      </c>
      <c r="L124" s="91" t="s">
        <v>8</v>
      </c>
      <c r="M124" s="92" t="s">
        <v>78</v>
      </c>
      <c r="N124" s="162">
        <v>505000</v>
      </c>
      <c r="O124" s="163">
        <f t="shared" ref="O124:O125" si="347">ROUND(N124*V124,0)</f>
        <v>65650</v>
      </c>
      <c r="P124" s="161">
        <v>174</v>
      </c>
      <c r="Q124" s="161">
        <v>69</v>
      </c>
      <c r="R124" s="230">
        <f t="shared" ref="R124:R125" si="348">Q124/P124</f>
        <v>0.39655172413793105</v>
      </c>
      <c r="S124" s="164">
        <f t="shared" ref="S124:S125" si="349">ROUND(N124*Q124/P124,0)</f>
        <v>200259</v>
      </c>
      <c r="T124" s="165">
        <f t="shared" ref="T124:T125" si="350">ROUND(S124*V124,0)</f>
        <v>26034</v>
      </c>
      <c r="U124" s="166">
        <f t="shared" ref="U124:U125" si="351">Q124/P124-S124/N124</f>
        <v>-7.5110959368851482E-7</v>
      </c>
      <c r="V124" s="87">
        <v>0.13</v>
      </c>
      <c r="W124" s="224" t="s">
        <v>226</v>
      </c>
      <c r="X124" s="23">
        <v>44830</v>
      </c>
      <c r="Y124" s="20" t="s">
        <v>197</v>
      </c>
      <c r="Z124" s="20"/>
      <c r="AA124" s="20"/>
      <c r="AB124" s="168"/>
      <c r="AC124" s="211" t="e">
        <v>#N/A</v>
      </c>
      <c r="AD124" s="211" t="e">
        <v>#N/A</v>
      </c>
      <c r="AE124" s="211" t="e">
        <v>#N/A</v>
      </c>
    </row>
    <row r="125" spans="1:31" s="8" customFormat="1" x14ac:dyDescent="0.25">
      <c r="A125" s="189"/>
      <c r="B125" s="92" t="s">
        <v>202</v>
      </c>
      <c r="C125" s="90" t="str">
        <f>VLOOKUP($F125,Admin!$A$16:$E$19,2,FALSE)</f>
        <v>Alkalmazott (ipari) kutatás – Működési költség</v>
      </c>
      <c r="D125" s="161" t="s">
        <v>129</v>
      </c>
      <c r="E125" s="90" t="str">
        <f>VLOOKUP($F125,Admin!$A$16:$E$19,4,FALSE)</f>
        <v>54. Bérköltség - technikus segédszemélyzet</v>
      </c>
      <c r="F125" s="90" t="s">
        <v>173</v>
      </c>
      <c r="G125" s="161" t="s">
        <v>174</v>
      </c>
      <c r="H125" s="161" t="s">
        <v>203</v>
      </c>
      <c r="I125" s="90" t="str">
        <f>VLOOKUP($F125,Admin!$A$16:$E$19,5,FALSE)</f>
        <v>Technikus</v>
      </c>
      <c r="J125" s="161" t="s">
        <v>51</v>
      </c>
      <c r="K125" s="161" t="str">
        <f t="shared" si="341"/>
        <v>2022.12</v>
      </c>
      <c r="L125" s="91" t="s">
        <v>8</v>
      </c>
      <c r="M125" s="92" t="s">
        <v>78</v>
      </c>
      <c r="N125" s="162">
        <v>504999</v>
      </c>
      <c r="O125" s="163">
        <f t="shared" si="347"/>
        <v>65650</v>
      </c>
      <c r="P125" s="161">
        <v>174</v>
      </c>
      <c r="Q125" s="161">
        <v>69</v>
      </c>
      <c r="R125" s="230">
        <f t="shared" si="348"/>
        <v>0.39655172413793105</v>
      </c>
      <c r="S125" s="164">
        <f t="shared" si="349"/>
        <v>200258</v>
      </c>
      <c r="T125" s="165">
        <f t="shared" si="350"/>
        <v>26034</v>
      </c>
      <c r="U125" s="166">
        <f t="shared" si="351"/>
        <v>4.4383836611538996E-7</v>
      </c>
      <c r="V125" s="87">
        <v>0.13</v>
      </c>
      <c r="W125" s="224" t="s">
        <v>226</v>
      </c>
      <c r="X125" s="23">
        <v>44830</v>
      </c>
      <c r="Y125" s="20" t="s">
        <v>197</v>
      </c>
      <c r="Z125" s="20"/>
      <c r="AA125" s="20"/>
      <c r="AB125" s="168"/>
      <c r="AC125" s="211" t="s">
        <v>248</v>
      </c>
      <c r="AD125" s="211" t="s">
        <v>249</v>
      </c>
      <c r="AE125" s="219" t="s">
        <v>249</v>
      </c>
    </row>
    <row r="126" spans="1:31" s="8" customFormat="1" x14ac:dyDescent="0.25">
      <c r="A126" s="189"/>
      <c r="B126" s="92" t="s">
        <v>202</v>
      </c>
      <c r="C126" s="90" t="str">
        <f>VLOOKUP($F126,Admin!$A$16:$E$19,2,FALSE)</f>
        <v>Alkalmazott (ipari) kutatás – Működési költség</v>
      </c>
      <c r="D126" s="161" t="s">
        <v>129</v>
      </c>
      <c r="E126" s="90" t="str">
        <f>VLOOKUP($F126,Admin!$A$16:$E$19,4,FALSE)</f>
        <v>54. Bérköltség - technikus segédszemélyzet</v>
      </c>
      <c r="F126" s="90" t="s">
        <v>173</v>
      </c>
      <c r="G126" s="161" t="s">
        <v>174</v>
      </c>
      <c r="H126" s="161" t="s">
        <v>203</v>
      </c>
      <c r="I126" s="90" t="str">
        <f>VLOOKUP($F126,Admin!$A$16:$E$19,5,FALSE)</f>
        <v>Technikus</v>
      </c>
      <c r="J126" s="161" t="s">
        <v>64</v>
      </c>
      <c r="K126" s="161" t="str">
        <f t="shared" ref="K126:K128" si="352">J126</f>
        <v>2023.01</v>
      </c>
      <c r="L126" s="91" t="s">
        <v>8</v>
      </c>
      <c r="M126" s="92" t="s">
        <v>78</v>
      </c>
      <c r="N126" s="162">
        <v>555500</v>
      </c>
      <c r="O126" s="163">
        <f t="shared" ref="O126" si="353">ROUND(N126*V126,0)</f>
        <v>72215</v>
      </c>
      <c r="P126" s="161">
        <v>174</v>
      </c>
      <c r="Q126" s="161">
        <v>62</v>
      </c>
      <c r="R126" s="230">
        <f t="shared" ref="R126" si="354">Q126/P126</f>
        <v>0.35632183908045978</v>
      </c>
      <c r="S126" s="164">
        <f t="shared" ref="S126" si="355">ROUND(N126*Q126/P126,0)</f>
        <v>197937</v>
      </c>
      <c r="T126" s="165">
        <f t="shared" ref="T126" si="356">ROUND(S126*V126,0)</f>
        <v>25732</v>
      </c>
      <c r="U126" s="166">
        <f t="shared" ref="U126" si="357">Q126/P126-S126/N126</f>
        <v>-3.9314276256696701E-7</v>
      </c>
      <c r="V126" s="87">
        <v>0.13</v>
      </c>
      <c r="W126" s="224" t="s">
        <v>226</v>
      </c>
      <c r="X126" s="23">
        <v>44943</v>
      </c>
      <c r="Y126" s="20" t="s">
        <v>197</v>
      </c>
      <c r="Z126" s="20"/>
      <c r="AA126" s="20"/>
      <c r="AB126" s="168"/>
      <c r="AC126" s="211" t="s">
        <v>248</v>
      </c>
      <c r="AD126" s="211">
        <v>0</v>
      </c>
      <c r="AE126" s="211">
        <v>0</v>
      </c>
    </row>
    <row r="127" spans="1:31" s="8" customFormat="1" x14ac:dyDescent="0.25">
      <c r="A127" s="189"/>
      <c r="B127" s="92" t="s">
        <v>202</v>
      </c>
      <c r="C127" s="90" t="str">
        <f>VLOOKUP($F127,Admin!$A$16:$E$19,2,FALSE)</f>
        <v>Alkalmazott (ipari) kutatás – Működési költség</v>
      </c>
      <c r="D127" s="161" t="s">
        <v>129</v>
      </c>
      <c r="E127" s="90" t="str">
        <f>VLOOKUP($F127,Admin!$A$16:$E$19,4,FALSE)</f>
        <v>54. Bérköltség - technikus segédszemélyzet</v>
      </c>
      <c r="F127" s="90" t="s">
        <v>173</v>
      </c>
      <c r="G127" s="161" t="s">
        <v>174</v>
      </c>
      <c r="H127" s="161" t="s">
        <v>203</v>
      </c>
      <c r="I127" s="90" t="str">
        <f>VLOOKUP($F127,Admin!$A$16:$E$19,5,FALSE)</f>
        <v>Technikus</v>
      </c>
      <c r="J127" s="161" t="s">
        <v>65</v>
      </c>
      <c r="K127" s="161" t="str">
        <f t="shared" si="352"/>
        <v>2023.02</v>
      </c>
      <c r="L127" s="91" t="s">
        <v>8</v>
      </c>
      <c r="M127" s="92" t="s">
        <v>78</v>
      </c>
      <c r="N127" s="162">
        <v>555500</v>
      </c>
      <c r="O127" s="163">
        <f t="shared" ref="O127:O128" si="358">ROUND(N127*V127,0)</f>
        <v>72215</v>
      </c>
      <c r="P127" s="161">
        <v>174</v>
      </c>
      <c r="Q127" s="161">
        <v>62</v>
      </c>
      <c r="R127" s="230">
        <f t="shared" ref="R127:R128" si="359">Q127/P127</f>
        <v>0.35632183908045978</v>
      </c>
      <c r="S127" s="164">
        <f t="shared" ref="S127:S128" si="360">ROUND(N127*Q127/P127,0)</f>
        <v>197937</v>
      </c>
      <c r="T127" s="165">
        <f t="shared" ref="T127:T128" si="361">ROUND(S127*V127,0)</f>
        <v>25732</v>
      </c>
      <c r="U127" s="166">
        <f t="shared" ref="U127:U128" si="362">Q127/P127-S127/N127</f>
        <v>-3.9314276256696701E-7</v>
      </c>
      <c r="V127" s="87">
        <v>0.13</v>
      </c>
      <c r="W127" s="224" t="s">
        <v>226</v>
      </c>
      <c r="X127" s="23">
        <v>44943</v>
      </c>
      <c r="Y127" s="20" t="s">
        <v>197</v>
      </c>
      <c r="Z127" s="20"/>
      <c r="AA127" s="20"/>
      <c r="AB127" s="168"/>
      <c r="AC127" s="8" t="s">
        <v>248</v>
      </c>
      <c r="AD127" s="8">
        <v>0</v>
      </c>
      <c r="AE127" s="8">
        <v>52520</v>
      </c>
    </row>
    <row r="128" spans="1:31" s="8" customFormat="1" x14ac:dyDescent="0.25">
      <c r="A128" s="189"/>
      <c r="B128" s="92" t="s">
        <v>202</v>
      </c>
      <c r="C128" s="90" t="str">
        <f>VLOOKUP($F128,Admin!$A$16:$E$19,2,FALSE)</f>
        <v>Alkalmazott (ipari) kutatás – Működési költség</v>
      </c>
      <c r="D128" s="161" t="s">
        <v>129</v>
      </c>
      <c r="E128" s="90" t="str">
        <f>VLOOKUP($F128,Admin!$A$16:$E$19,4,FALSE)</f>
        <v>54. Bérköltség - technikus segédszemélyzet</v>
      </c>
      <c r="F128" s="90" t="s">
        <v>173</v>
      </c>
      <c r="G128" s="161" t="s">
        <v>174</v>
      </c>
      <c r="H128" s="161" t="s">
        <v>203</v>
      </c>
      <c r="I128" s="90" t="str">
        <f>VLOOKUP($F128,Admin!$A$16:$E$19,5,FALSE)</f>
        <v>Technikus</v>
      </c>
      <c r="J128" s="161" t="s">
        <v>66</v>
      </c>
      <c r="K128" s="161" t="str">
        <f t="shared" si="352"/>
        <v>2023.03</v>
      </c>
      <c r="L128" s="91" t="s">
        <v>8</v>
      </c>
      <c r="M128" s="92" t="s">
        <v>78</v>
      </c>
      <c r="N128" s="162">
        <v>555499</v>
      </c>
      <c r="O128" s="163">
        <f t="shared" si="358"/>
        <v>72215</v>
      </c>
      <c r="P128" s="161">
        <v>174</v>
      </c>
      <c r="Q128" s="161">
        <v>62</v>
      </c>
      <c r="R128" s="230">
        <f t="shared" si="359"/>
        <v>0.35632183908045978</v>
      </c>
      <c r="S128" s="164">
        <f t="shared" si="360"/>
        <v>197936</v>
      </c>
      <c r="T128" s="165">
        <f t="shared" si="361"/>
        <v>25732</v>
      </c>
      <c r="U128" s="166">
        <f t="shared" si="362"/>
        <v>7.6559517897534235E-7</v>
      </c>
      <c r="V128" s="87">
        <v>0.13</v>
      </c>
      <c r="W128" s="224" t="s">
        <v>226</v>
      </c>
      <c r="X128" s="23">
        <v>44943</v>
      </c>
      <c r="Y128" s="20" t="s">
        <v>197</v>
      </c>
      <c r="Z128" s="20"/>
      <c r="AA128" s="20"/>
      <c r="AB128" s="168"/>
      <c r="AC128" s="8" t="s">
        <v>248</v>
      </c>
      <c r="AD128" s="8">
        <v>1</v>
      </c>
      <c r="AE128" s="8">
        <v>52520</v>
      </c>
    </row>
    <row r="129" spans="1:31" s="8" customFormat="1" x14ac:dyDescent="0.25">
      <c r="A129" s="189"/>
      <c r="B129" s="92" t="s">
        <v>202</v>
      </c>
      <c r="C129" s="90" t="str">
        <f>VLOOKUP($F129,Admin!$A$16:$E$19,2,FALSE)</f>
        <v>Alkalmazott (ipari) kutatás – Működési költség</v>
      </c>
      <c r="D129" s="161" t="s">
        <v>129</v>
      </c>
      <c r="E129" s="90" t="str">
        <f>VLOOKUP($F129,Admin!$A$16:$E$19,4,FALSE)</f>
        <v>54. Bérköltség - technikus segédszemélyzet</v>
      </c>
      <c r="F129" s="90" t="s">
        <v>173</v>
      </c>
      <c r="G129" s="161" t="s">
        <v>174</v>
      </c>
      <c r="H129" s="161" t="s">
        <v>203</v>
      </c>
      <c r="I129" s="90" t="str">
        <f>VLOOKUP($F129,Admin!$A$16:$E$19,5,FALSE)</f>
        <v>Technikus</v>
      </c>
      <c r="J129" s="161" t="s">
        <v>67</v>
      </c>
      <c r="K129" s="161" t="str">
        <f t="shared" ref="K129:K131" si="363">J129</f>
        <v>2023.04</v>
      </c>
      <c r="L129" s="91" t="s">
        <v>8</v>
      </c>
      <c r="M129" s="92" t="s">
        <v>78</v>
      </c>
      <c r="N129" s="162">
        <v>555500</v>
      </c>
      <c r="O129" s="163">
        <f t="shared" ref="O129" si="364">ROUND(N129*V129,0)</f>
        <v>72215</v>
      </c>
      <c r="P129" s="161">
        <v>174</v>
      </c>
      <c r="Q129" s="161">
        <v>62</v>
      </c>
      <c r="R129" s="230">
        <f t="shared" ref="R129" si="365">Q129/P129</f>
        <v>0.35632183908045978</v>
      </c>
      <c r="S129" s="164">
        <f t="shared" ref="S129" si="366">ROUND(N129*Q129/P129,0)</f>
        <v>197937</v>
      </c>
      <c r="T129" s="165">
        <f t="shared" ref="T129" si="367">ROUND(S129*V129,0)</f>
        <v>25732</v>
      </c>
      <c r="U129" s="166">
        <f t="shared" ref="U129" si="368">Q129/P129-S129/N129</f>
        <v>-3.9314276256696701E-7</v>
      </c>
      <c r="V129" s="87">
        <v>0.13</v>
      </c>
      <c r="W129" s="224" t="s">
        <v>226</v>
      </c>
      <c r="X129" s="23">
        <v>44998</v>
      </c>
      <c r="Y129" s="20" t="s">
        <v>197</v>
      </c>
      <c r="Z129" s="20"/>
      <c r="AA129" s="20"/>
      <c r="AB129" s="168"/>
      <c r="AC129" s="8" t="s">
        <v>248</v>
      </c>
      <c r="AD129" s="8">
        <v>0</v>
      </c>
      <c r="AE129" s="235">
        <v>52520</v>
      </c>
    </row>
    <row r="130" spans="1:31" s="8" customFormat="1" x14ac:dyDescent="0.25">
      <c r="A130" s="189"/>
      <c r="B130" s="92" t="s">
        <v>202</v>
      </c>
      <c r="C130" s="90" t="str">
        <f>VLOOKUP($F130,Admin!$A$16:$E$19,2,FALSE)</f>
        <v>Alkalmazott (ipari) kutatás – Működési költség</v>
      </c>
      <c r="D130" s="161" t="s">
        <v>129</v>
      </c>
      <c r="E130" s="90" t="str">
        <f>VLOOKUP($F130,Admin!$A$16:$E$19,4,FALSE)</f>
        <v>54. Bérköltség - technikus segédszemélyzet</v>
      </c>
      <c r="F130" s="90" t="s">
        <v>173</v>
      </c>
      <c r="G130" s="161" t="s">
        <v>174</v>
      </c>
      <c r="H130" s="161" t="s">
        <v>203</v>
      </c>
      <c r="I130" s="90" t="str">
        <f>VLOOKUP($F130,Admin!$A$16:$E$19,5,FALSE)</f>
        <v>Technikus</v>
      </c>
      <c r="J130" s="161" t="s">
        <v>68</v>
      </c>
      <c r="K130" s="161" t="str">
        <f t="shared" si="363"/>
        <v>2023.05</v>
      </c>
      <c r="L130" s="91" t="s">
        <v>9</v>
      </c>
      <c r="M130" s="92" t="s">
        <v>78</v>
      </c>
      <c r="N130" s="162">
        <v>555500</v>
      </c>
      <c r="O130" s="163">
        <f t="shared" ref="O130:O131" si="369">ROUND(N130*V130,0)</f>
        <v>72215</v>
      </c>
      <c r="P130" s="161">
        <v>174</v>
      </c>
      <c r="Q130" s="161">
        <v>62</v>
      </c>
      <c r="R130" s="230">
        <f t="shared" ref="R130:R131" si="370">Q130/P130</f>
        <v>0.35632183908045978</v>
      </c>
      <c r="S130" s="164">
        <f t="shared" ref="S130:S131" si="371">ROUND(N130*Q130/P130,0)</f>
        <v>197937</v>
      </c>
      <c r="T130" s="165">
        <f t="shared" ref="T130:T131" si="372">ROUND(S130*V130,0)</f>
        <v>25732</v>
      </c>
      <c r="U130" s="166">
        <f t="shared" ref="U130:U131" si="373">Q130/P130-S130/N130</f>
        <v>-3.9314276256696701E-7</v>
      </c>
      <c r="V130" s="87">
        <v>0.13</v>
      </c>
      <c r="W130" s="224" t="s">
        <v>226</v>
      </c>
      <c r="X130" s="23">
        <v>44998</v>
      </c>
      <c r="Y130" s="20" t="s">
        <v>197</v>
      </c>
      <c r="Z130" s="20"/>
      <c r="AA130" s="20"/>
      <c r="AB130" s="168"/>
      <c r="AC130" s="211"/>
      <c r="AD130" s="211"/>
      <c r="AE130" s="219"/>
    </row>
    <row r="131" spans="1:31" s="8" customFormat="1" x14ac:dyDescent="0.25">
      <c r="A131" s="189"/>
      <c r="B131" s="92" t="s">
        <v>202</v>
      </c>
      <c r="C131" s="90" t="str">
        <f>VLOOKUP($F131,Admin!$A$16:$E$19,2,FALSE)</f>
        <v>Alkalmazott (ipari) kutatás – Működési költség</v>
      </c>
      <c r="D131" s="161" t="s">
        <v>129</v>
      </c>
      <c r="E131" s="90" t="str">
        <f>VLOOKUP($F131,Admin!$A$16:$E$19,4,FALSE)</f>
        <v>54. Bérköltség - technikus segédszemélyzet</v>
      </c>
      <c r="F131" s="90" t="s">
        <v>173</v>
      </c>
      <c r="G131" s="161" t="s">
        <v>174</v>
      </c>
      <c r="H131" s="161" t="s">
        <v>203</v>
      </c>
      <c r="I131" s="90" t="str">
        <f>VLOOKUP($F131,Admin!$A$16:$E$19,5,FALSE)</f>
        <v>Technikus</v>
      </c>
      <c r="J131" s="161" t="s">
        <v>69</v>
      </c>
      <c r="K131" s="161" t="str">
        <f t="shared" si="363"/>
        <v>2023.06</v>
      </c>
      <c r="L131" s="91" t="s">
        <v>9</v>
      </c>
      <c r="M131" s="92" t="s">
        <v>78</v>
      </c>
      <c r="N131" s="162">
        <v>555500</v>
      </c>
      <c r="O131" s="163">
        <f t="shared" si="369"/>
        <v>72215</v>
      </c>
      <c r="P131" s="161">
        <v>174</v>
      </c>
      <c r="Q131" s="161">
        <v>62</v>
      </c>
      <c r="R131" s="230">
        <f t="shared" si="370"/>
        <v>0.35632183908045978</v>
      </c>
      <c r="S131" s="164">
        <f t="shared" si="371"/>
        <v>197937</v>
      </c>
      <c r="T131" s="165">
        <f t="shared" si="372"/>
        <v>25732</v>
      </c>
      <c r="U131" s="166">
        <f t="shared" si="373"/>
        <v>-3.9314276256696701E-7</v>
      </c>
      <c r="V131" s="87">
        <v>0.13</v>
      </c>
      <c r="W131" s="224" t="s">
        <v>226</v>
      </c>
      <c r="X131" s="23">
        <v>44998</v>
      </c>
      <c r="Y131" s="20" t="s">
        <v>197</v>
      </c>
      <c r="Z131" s="20"/>
      <c r="AA131" s="20"/>
      <c r="AB131" s="168"/>
      <c r="AC131" s="211"/>
      <c r="AD131" s="211"/>
      <c r="AE131" s="219"/>
    </row>
    <row r="132" spans="1:31" s="8" customFormat="1" x14ac:dyDescent="0.25">
      <c r="A132" s="208">
        <v>1</v>
      </c>
      <c r="B132" s="92" t="s">
        <v>191</v>
      </c>
      <c r="C132" s="90" t="str">
        <f>VLOOKUP($F132,Admin!$A$16:$E$19,2,FALSE)</f>
        <v>Alkalmazott (ipari) kutatás – Működési költség</v>
      </c>
      <c r="D132" s="161" t="s">
        <v>129</v>
      </c>
      <c r="E132" s="90" t="str">
        <f>VLOOKUP($F132,Admin!$A$16:$E$19,4,FALSE)</f>
        <v>54. Bérköltség - Kutató-fejlesztő munkatárs</v>
      </c>
      <c r="F132" s="90" t="s">
        <v>171</v>
      </c>
      <c r="G132" s="161" t="s">
        <v>174</v>
      </c>
      <c r="H132" s="161" t="s">
        <v>195</v>
      </c>
      <c r="I132" s="90" t="str">
        <f>VLOOKUP($F132,Admin!$A$16:$E$19,5,FALSE)</f>
        <v>K+F munkatárs</v>
      </c>
      <c r="J132" s="194">
        <v>44578</v>
      </c>
      <c r="K132" s="194">
        <v>44592</v>
      </c>
      <c r="L132" s="91" t="s">
        <v>8</v>
      </c>
      <c r="M132" s="92" t="s">
        <v>78</v>
      </c>
      <c r="N132" s="162">
        <v>261905</v>
      </c>
      <c r="O132" s="163">
        <f t="shared" si="138"/>
        <v>34048</v>
      </c>
      <c r="P132" s="161">
        <v>87</v>
      </c>
      <c r="Q132" s="161">
        <v>87</v>
      </c>
      <c r="R132" s="230">
        <f t="shared" si="139"/>
        <v>1</v>
      </c>
      <c r="S132" s="164">
        <f t="shared" si="140"/>
        <v>261905</v>
      </c>
      <c r="T132" s="165">
        <f t="shared" si="141"/>
        <v>34048</v>
      </c>
      <c r="U132" s="166">
        <f t="shared" si="142"/>
        <v>0</v>
      </c>
      <c r="V132" s="87">
        <v>0.13</v>
      </c>
      <c r="W132" s="224"/>
      <c r="X132" s="23">
        <v>44564</v>
      </c>
      <c r="Y132" s="20" t="s">
        <v>197</v>
      </c>
      <c r="Z132" s="20"/>
      <c r="AA132" s="20"/>
      <c r="AB132" s="168"/>
    </row>
    <row r="133" spans="1:31" s="8" customFormat="1" x14ac:dyDescent="0.25">
      <c r="A133" s="208">
        <v>1</v>
      </c>
      <c r="B133" s="92" t="s">
        <v>191</v>
      </c>
      <c r="C133" s="90" t="str">
        <f>VLOOKUP($F133,Admin!$A$16:$E$19,2,FALSE)</f>
        <v>Alkalmazott (ipari) kutatás – Működési költség</v>
      </c>
      <c r="D133" s="161" t="s">
        <v>129</v>
      </c>
      <c r="E133" s="90" t="str">
        <f>VLOOKUP($F133,Admin!$A$16:$E$19,4,FALSE)</f>
        <v>54. Bérköltség - Kutató-fejlesztő munkatárs</v>
      </c>
      <c r="F133" s="90" t="s">
        <v>171</v>
      </c>
      <c r="G133" s="161" t="s">
        <v>174</v>
      </c>
      <c r="H133" s="161" t="s">
        <v>195</v>
      </c>
      <c r="I133" s="90" t="str">
        <f>VLOOKUP($F133,Admin!$A$16:$E$19,5,FALSE)</f>
        <v>K+F munkatárs</v>
      </c>
      <c r="J133" s="161" t="s">
        <v>41</v>
      </c>
      <c r="K133" s="161" t="str">
        <f t="shared" si="137"/>
        <v>2022.02</v>
      </c>
      <c r="L133" s="91" t="s">
        <v>8</v>
      </c>
      <c r="M133" s="92" t="s">
        <v>78</v>
      </c>
      <c r="N133" s="162">
        <v>500000</v>
      </c>
      <c r="O133" s="163">
        <f t="shared" si="138"/>
        <v>65000</v>
      </c>
      <c r="P133" s="161">
        <v>87</v>
      </c>
      <c r="Q133" s="161">
        <v>87</v>
      </c>
      <c r="R133" s="230">
        <f t="shared" si="139"/>
        <v>1</v>
      </c>
      <c r="S133" s="164">
        <f t="shared" si="140"/>
        <v>500000</v>
      </c>
      <c r="T133" s="165">
        <f t="shared" si="141"/>
        <v>65000</v>
      </c>
      <c r="U133" s="166">
        <f t="shared" si="142"/>
        <v>0</v>
      </c>
      <c r="V133" s="87">
        <v>0.13</v>
      </c>
      <c r="W133" s="224"/>
      <c r="X133" s="23">
        <v>44564</v>
      </c>
      <c r="Y133" s="20" t="s">
        <v>197</v>
      </c>
      <c r="Z133" s="20"/>
      <c r="AA133" s="20"/>
      <c r="AB133" s="168"/>
    </row>
    <row r="134" spans="1:31" s="8" customFormat="1" x14ac:dyDescent="0.25">
      <c r="A134" s="208">
        <v>1</v>
      </c>
      <c r="B134" s="92" t="s">
        <v>191</v>
      </c>
      <c r="C134" s="90" t="str">
        <f>VLOOKUP($F134,Admin!$A$16:$E$19,2,FALSE)</f>
        <v>Alkalmazott (ipari) kutatás – Működési költség</v>
      </c>
      <c r="D134" s="161" t="s">
        <v>129</v>
      </c>
      <c r="E134" s="90" t="str">
        <f>VLOOKUP($F134,Admin!$A$16:$E$19,4,FALSE)</f>
        <v>54. Bérköltség - Kutató-fejlesztő munkatárs</v>
      </c>
      <c r="F134" s="90" t="s">
        <v>171</v>
      </c>
      <c r="G134" s="161" t="s">
        <v>174</v>
      </c>
      <c r="H134" s="161" t="s">
        <v>195</v>
      </c>
      <c r="I134" s="90" t="str">
        <f>VLOOKUP($F134,Admin!$A$16:$E$19,5,FALSE)</f>
        <v>K+F munkatárs</v>
      </c>
      <c r="J134" s="161" t="s">
        <v>42</v>
      </c>
      <c r="K134" s="161" t="str">
        <f t="shared" si="137"/>
        <v>2022.03</v>
      </c>
      <c r="L134" s="91" t="s">
        <v>8</v>
      </c>
      <c r="M134" s="92" t="s">
        <v>78</v>
      </c>
      <c r="N134" s="162">
        <v>500000</v>
      </c>
      <c r="O134" s="163">
        <f t="shared" si="138"/>
        <v>65000</v>
      </c>
      <c r="P134" s="161">
        <v>87</v>
      </c>
      <c r="Q134" s="161">
        <v>87</v>
      </c>
      <c r="R134" s="230">
        <f t="shared" si="139"/>
        <v>1</v>
      </c>
      <c r="S134" s="164">
        <f t="shared" si="140"/>
        <v>500000</v>
      </c>
      <c r="T134" s="165">
        <f t="shared" si="141"/>
        <v>65000</v>
      </c>
      <c r="U134" s="166">
        <f t="shared" si="142"/>
        <v>0</v>
      </c>
      <c r="V134" s="87">
        <v>0.13</v>
      </c>
      <c r="W134" s="224"/>
      <c r="X134" s="23">
        <v>44564</v>
      </c>
      <c r="Y134" s="20" t="s">
        <v>197</v>
      </c>
      <c r="Z134" s="20"/>
      <c r="AA134" s="20"/>
      <c r="AB134" s="168"/>
    </row>
    <row r="135" spans="1:31" s="8" customFormat="1" x14ac:dyDescent="0.25">
      <c r="A135" s="208">
        <v>1</v>
      </c>
      <c r="B135" s="92" t="s">
        <v>191</v>
      </c>
      <c r="C135" s="90" t="str">
        <f>VLOOKUP($F135,Admin!$A$16:$E$19,2,FALSE)</f>
        <v>Alkalmazott (ipari) kutatás – Működési költség</v>
      </c>
      <c r="D135" s="161" t="s">
        <v>129</v>
      </c>
      <c r="E135" s="90" t="str">
        <f>VLOOKUP($F135,Admin!$A$16:$E$19,4,FALSE)</f>
        <v>54. Bérköltség - Kutató-fejlesztő munkatárs</v>
      </c>
      <c r="F135" s="90" t="s">
        <v>171</v>
      </c>
      <c r="G135" s="161" t="s">
        <v>174</v>
      </c>
      <c r="H135" s="161" t="s">
        <v>195</v>
      </c>
      <c r="I135" s="90" t="str">
        <f>VLOOKUP($F135,Admin!$A$16:$E$19,5,FALSE)</f>
        <v>K+F munkatárs</v>
      </c>
      <c r="J135" s="161" t="s">
        <v>43</v>
      </c>
      <c r="K135" s="161" t="str">
        <f t="shared" si="137"/>
        <v>2022.04</v>
      </c>
      <c r="L135" s="91" t="s">
        <v>8</v>
      </c>
      <c r="M135" s="92" t="s">
        <v>78</v>
      </c>
      <c r="N135" s="162">
        <v>500000</v>
      </c>
      <c r="O135" s="163">
        <f t="shared" si="138"/>
        <v>65000</v>
      </c>
      <c r="P135" s="161">
        <v>87</v>
      </c>
      <c r="Q135" s="161">
        <v>87</v>
      </c>
      <c r="R135" s="230">
        <f t="shared" si="139"/>
        <v>1</v>
      </c>
      <c r="S135" s="164">
        <f t="shared" si="140"/>
        <v>500000</v>
      </c>
      <c r="T135" s="165">
        <f t="shared" si="141"/>
        <v>65000</v>
      </c>
      <c r="U135" s="166">
        <f t="shared" si="142"/>
        <v>0</v>
      </c>
      <c r="V135" s="87">
        <v>0.13</v>
      </c>
      <c r="W135" s="224"/>
      <c r="X135" s="23">
        <v>44564</v>
      </c>
      <c r="Y135" s="20" t="s">
        <v>197</v>
      </c>
      <c r="Z135" s="20"/>
      <c r="AA135" s="20"/>
      <c r="AB135" s="168"/>
    </row>
    <row r="136" spans="1:31" s="8" customFormat="1" x14ac:dyDescent="0.25">
      <c r="A136" s="208">
        <v>1</v>
      </c>
      <c r="B136" s="92" t="s">
        <v>191</v>
      </c>
      <c r="C136" s="90" t="str">
        <f>VLOOKUP($F136,Admin!$A$16:$E$19,2,FALSE)</f>
        <v>Alkalmazott (ipari) kutatás – Működési költség</v>
      </c>
      <c r="D136" s="161" t="s">
        <v>129</v>
      </c>
      <c r="E136" s="90" t="str">
        <f>VLOOKUP($F136,Admin!$A$16:$E$19,4,FALSE)</f>
        <v>54. Bérköltség - Kutató-fejlesztő munkatárs</v>
      </c>
      <c r="F136" s="90" t="s">
        <v>171</v>
      </c>
      <c r="G136" s="161" t="s">
        <v>174</v>
      </c>
      <c r="H136" s="161" t="s">
        <v>195</v>
      </c>
      <c r="I136" s="90" t="str">
        <f>VLOOKUP($F136,Admin!$A$16:$E$19,5,FALSE)</f>
        <v>K+F munkatárs</v>
      </c>
      <c r="J136" s="161" t="s">
        <v>44</v>
      </c>
      <c r="K136" s="161" t="str">
        <f t="shared" si="137"/>
        <v>2022.05</v>
      </c>
      <c r="L136" s="91" t="s">
        <v>8</v>
      </c>
      <c r="M136" s="92" t="s">
        <v>78</v>
      </c>
      <c r="N136" s="162">
        <v>500000</v>
      </c>
      <c r="O136" s="163">
        <f t="shared" si="138"/>
        <v>65000</v>
      </c>
      <c r="P136" s="161">
        <v>87</v>
      </c>
      <c r="Q136" s="161">
        <v>87</v>
      </c>
      <c r="R136" s="230">
        <f t="shared" si="139"/>
        <v>1</v>
      </c>
      <c r="S136" s="164">
        <f t="shared" si="140"/>
        <v>500000</v>
      </c>
      <c r="T136" s="165">
        <f t="shared" si="141"/>
        <v>65000</v>
      </c>
      <c r="U136" s="166">
        <f t="shared" si="142"/>
        <v>0</v>
      </c>
      <c r="V136" s="87">
        <v>0.13</v>
      </c>
      <c r="W136" s="224"/>
      <c r="X136" s="23">
        <v>44564</v>
      </c>
      <c r="Y136" s="20" t="s">
        <v>197</v>
      </c>
      <c r="Z136" s="20"/>
      <c r="AA136" s="20"/>
      <c r="AB136" s="168"/>
    </row>
    <row r="137" spans="1:31" s="8" customFormat="1" x14ac:dyDescent="0.25">
      <c r="A137" s="208">
        <v>1</v>
      </c>
      <c r="B137" s="92" t="s">
        <v>191</v>
      </c>
      <c r="C137" s="90" t="str">
        <f>VLOOKUP($F137,Admin!$A$16:$E$19,2,FALSE)</f>
        <v>Alkalmazott (ipari) kutatás – Működési költség</v>
      </c>
      <c r="D137" s="161" t="s">
        <v>129</v>
      </c>
      <c r="E137" s="90" t="str">
        <f>VLOOKUP($F137,Admin!$A$16:$E$19,4,FALSE)</f>
        <v>54. Bérköltség - Kutató-fejlesztő munkatárs</v>
      </c>
      <c r="F137" s="90" t="s">
        <v>171</v>
      </c>
      <c r="G137" s="161" t="s">
        <v>174</v>
      </c>
      <c r="H137" s="161" t="s">
        <v>195</v>
      </c>
      <c r="I137" s="90" t="str">
        <f>VLOOKUP($F137,Admin!$A$16:$E$19,5,FALSE)</f>
        <v>K+F munkatárs</v>
      </c>
      <c r="J137" s="161" t="s">
        <v>45</v>
      </c>
      <c r="K137" s="161" t="str">
        <f t="shared" si="137"/>
        <v>2022.06</v>
      </c>
      <c r="L137" s="91" t="s">
        <v>8</v>
      </c>
      <c r="M137" s="92" t="s">
        <v>78</v>
      </c>
      <c r="N137" s="162">
        <v>500000</v>
      </c>
      <c r="O137" s="163">
        <f t="shared" si="138"/>
        <v>65000</v>
      </c>
      <c r="P137" s="161">
        <v>87</v>
      </c>
      <c r="Q137" s="161">
        <v>87</v>
      </c>
      <c r="R137" s="230">
        <f t="shared" si="139"/>
        <v>1</v>
      </c>
      <c r="S137" s="164">
        <f t="shared" si="140"/>
        <v>500000</v>
      </c>
      <c r="T137" s="165">
        <f t="shared" si="141"/>
        <v>65000</v>
      </c>
      <c r="U137" s="166">
        <f t="shared" si="142"/>
        <v>0</v>
      </c>
      <c r="V137" s="87">
        <v>0.13</v>
      </c>
      <c r="W137" s="224"/>
      <c r="X137" s="23">
        <v>44564</v>
      </c>
      <c r="Y137" s="20" t="s">
        <v>197</v>
      </c>
      <c r="Z137" s="20"/>
      <c r="AA137" s="20"/>
      <c r="AB137" s="168"/>
    </row>
    <row r="138" spans="1:31" s="8" customFormat="1" x14ac:dyDescent="0.25">
      <c r="A138" s="208">
        <v>1</v>
      </c>
      <c r="B138" s="92" t="s">
        <v>191</v>
      </c>
      <c r="C138" s="90" t="str">
        <f>VLOOKUP($F138,Admin!$A$16:$E$19,2,FALSE)</f>
        <v>Alkalmazott (ipari) kutatás – Működési költség</v>
      </c>
      <c r="D138" s="161" t="s">
        <v>129</v>
      </c>
      <c r="E138" s="90" t="str">
        <f>VLOOKUP($F138,Admin!$A$16:$E$19,4,FALSE)</f>
        <v>54. Bérköltség - Kutató-fejlesztő munkatárs</v>
      </c>
      <c r="F138" s="90" t="s">
        <v>171</v>
      </c>
      <c r="G138" s="161" t="s">
        <v>174</v>
      </c>
      <c r="H138" s="161" t="s">
        <v>195</v>
      </c>
      <c r="I138" s="90" t="str">
        <f>VLOOKUP($F138,Admin!$A$16:$E$19,5,FALSE)</f>
        <v>K+F munkatárs</v>
      </c>
      <c r="J138" s="161" t="s">
        <v>46</v>
      </c>
      <c r="K138" s="161" t="str">
        <f t="shared" ref="K138:K140" si="374">J138</f>
        <v>2022.07</v>
      </c>
      <c r="L138" s="91" t="s">
        <v>8</v>
      </c>
      <c r="M138" s="92" t="s">
        <v>78</v>
      </c>
      <c r="N138" s="162">
        <v>500000</v>
      </c>
      <c r="O138" s="163">
        <f t="shared" ref="O138" si="375">ROUND(N138*V138,0)</f>
        <v>65000</v>
      </c>
      <c r="P138" s="161">
        <v>87</v>
      </c>
      <c r="Q138" s="161">
        <v>87</v>
      </c>
      <c r="R138" s="230">
        <f t="shared" ref="R138" si="376">Q138/P138</f>
        <v>1</v>
      </c>
      <c r="S138" s="164">
        <f t="shared" ref="S138" si="377">ROUND(N138*Q138/P138,0)</f>
        <v>500000</v>
      </c>
      <c r="T138" s="165">
        <f t="shared" ref="T138" si="378">ROUND(S138*V138,0)</f>
        <v>65000</v>
      </c>
      <c r="U138" s="166">
        <f t="shared" ref="U138" si="379">Q138/P138-S138/N138</f>
        <v>0</v>
      </c>
      <c r="V138" s="87">
        <v>0.13</v>
      </c>
      <c r="W138" s="224"/>
      <c r="X138" s="23">
        <v>44726</v>
      </c>
      <c r="Y138" s="20" t="s">
        <v>197</v>
      </c>
      <c r="Z138" s="20"/>
      <c r="AA138" s="20"/>
      <c r="AB138" s="168"/>
    </row>
    <row r="139" spans="1:31" s="8" customFormat="1" x14ac:dyDescent="0.25">
      <c r="A139" s="208">
        <v>1</v>
      </c>
      <c r="B139" s="92" t="s">
        <v>191</v>
      </c>
      <c r="C139" s="90" t="str">
        <f>VLOOKUP($F139,Admin!$A$16:$E$19,2,FALSE)</f>
        <v>Alkalmazott (ipari) kutatás – Működési költség</v>
      </c>
      <c r="D139" s="161" t="s">
        <v>129</v>
      </c>
      <c r="E139" s="90" t="str">
        <f>VLOOKUP($F139,Admin!$A$16:$E$19,4,FALSE)</f>
        <v>54. Bérköltség - Kutató-fejlesztő munkatárs</v>
      </c>
      <c r="F139" s="90" t="s">
        <v>171</v>
      </c>
      <c r="G139" s="161" t="s">
        <v>174</v>
      </c>
      <c r="H139" s="161" t="s">
        <v>195</v>
      </c>
      <c r="I139" s="90" t="str">
        <f>VLOOKUP($F139,Admin!$A$16:$E$19,5,FALSE)</f>
        <v>K+F munkatárs</v>
      </c>
      <c r="J139" s="161" t="s">
        <v>47</v>
      </c>
      <c r="K139" s="161" t="str">
        <f t="shared" si="374"/>
        <v>2022.08</v>
      </c>
      <c r="L139" s="91" t="s">
        <v>8</v>
      </c>
      <c r="M139" s="92" t="s">
        <v>78</v>
      </c>
      <c r="N139" s="162">
        <v>391304</v>
      </c>
      <c r="O139" s="163">
        <f t="shared" ref="O139:O140" si="380">ROUND(N139*V139,0)</f>
        <v>50870</v>
      </c>
      <c r="P139" s="161">
        <v>87</v>
      </c>
      <c r="Q139" s="161">
        <v>87</v>
      </c>
      <c r="R139" s="230">
        <f t="shared" ref="R139:R140" si="381">Q139/P139</f>
        <v>1</v>
      </c>
      <c r="S139" s="164">
        <f t="shared" ref="S139:S140" si="382">ROUND(N139*Q139/P139,0)</f>
        <v>391304</v>
      </c>
      <c r="T139" s="165">
        <f t="shared" ref="T139:T140" si="383">ROUND(S139*V139,0)</f>
        <v>50870</v>
      </c>
      <c r="U139" s="166">
        <f t="shared" ref="U139:U140" si="384">Q139/P139-S139/N139</f>
        <v>0</v>
      </c>
      <c r="V139" s="87">
        <v>0.13</v>
      </c>
      <c r="W139" s="224"/>
      <c r="X139" s="23">
        <v>44726</v>
      </c>
      <c r="Y139" s="20" t="s">
        <v>197</v>
      </c>
      <c r="Z139" s="20"/>
      <c r="AA139" s="20"/>
      <c r="AB139" s="168"/>
    </row>
    <row r="140" spans="1:31" s="8" customFormat="1" x14ac:dyDescent="0.25">
      <c r="A140" s="208">
        <v>1</v>
      </c>
      <c r="B140" s="92" t="s">
        <v>191</v>
      </c>
      <c r="C140" s="90" t="str">
        <f>VLOOKUP($F140,Admin!$A$16:$E$19,2,FALSE)</f>
        <v>Alkalmazott (ipari) kutatás – Működési költség</v>
      </c>
      <c r="D140" s="161" t="s">
        <v>129</v>
      </c>
      <c r="E140" s="90" t="str">
        <f>VLOOKUP($F140,Admin!$A$16:$E$19,4,FALSE)</f>
        <v>54. Bérköltség - Kutató-fejlesztő munkatárs</v>
      </c>
      <c r="F140" s="90" t="s">
        <v>171</v>
      </c>
      <c r="G140" s="161" t="s">
        <v>174</v>
      </c>
      <c r="H140" s="161" t="s">
        <v>195</v>
      </c>
      <c r="I140" s="90" t="str">
        <f>VLOOKUP($F140,Admin!$A$16:$E$19,5,FALSE)</f>
        <v>K+F munkatárs</v>
      </c>
      <c r="J140" s="161" t="s">
        <v>48</v>
      </c>
      <c r="K140" s="161" t="str">
        <f t="shared" si="374"/>
        <v>2022.09</v>
      </c>
      <c r="L140" s="91" t="s">
        <v>8</v>
      </c>
      <c r="M140" s="92" t="s">
        <v>78</v>
      </c>
      <c r="N140" s="162">
        <v>500000</v>
      </c>
      <c r="O140" s="163">
        <f t="shared" si="380"/>
        <v>65000</v>
      </c>
      <c r="P140" s="161">
        <v>87</v>
      </c>
      <c r="Q140" s="161">
        <v>87</v>
      </c>
      <c r="R140" s="230">
        <f t="shared" si="381"/>
        <v>1</v>
      </c>
      <c r="S140" s="164">
        <f t="shared" si="382"/>
        <v>500000</v>
      </c>
      <c r="T140" s="165">
        <f t="shared" si="383"/>
        <v>65000</v>
      </c>
      <c r="U140" s="166">
        <f t="shared" si="384"/>
        <v>0</v>
      </c>
      <c r="V140" s="87">
        <v>0.13</v>
      </c>
      <c r="W140" s="224"/>
      <c r="X140" s="23">
        <v>44726</v>
      </c>
      <c r="Y140" s="20" t="s">
        <v>197</v>
      </c>
      <c r="Z140" s="20"/>
      <c r="AA140" s="20"/>
      <c r="AB140" s="168"/>
    </row>
    <row r="141" spans="1:31" s="8" customFormat="1" x14ac:dyDescent="0.25">
      <c r="A141" s="189"/>
      <c r="B141" s="92" t="s">
        <v>191</v>
      </c>
      <c r="C141" s="90" t="str">
        <f>VLOOKUP($F141,Admin!$A$16:$E$19,2,FALSE)</f>
        <v>Alkalmazott (ipari) kutatás – Működési költség</v>
      </c>
      <c r="D141" s="161" t="s">
        <v>129</v>
      </c>
      <c r="E141" s="90" t="str">
        <f>VLOOKUP($F141,Admin!$A$16:$E$19,4,FALSE)</f>
        <v>54. Bérköltség - Kutató-fejlesztő munkatárs</v>
      </c>
      <c r="F141" s="90" t="s">
        <v>171</v>
      </c>
      <c r="G141" s="161" t="s">
        <v>174</v>
      </c>
      <c r="H141" s="161" t="s">
        <v>195</v>
      </c>
      <c r="I141" s="90" t="str">
        <f>VLOOKUP($F141,Admin!$A$16:$E$19,5,FALSE)</f>
        <v>K+F munkatárs</v>
      </c>
      <c r="J141" s="161" t="s">
        <v>49</v>
      </c>
      <c r="K141" s="161" t="str">
        <f t="shared" ref="K141:K143" si="385">J141</f>
        <v>2022.10</v>
      </c>
      <c r="L141" s="91" t="s">
        <v>8</v>
      </c>
      <c r="M141" s="92" t="s">
        <v>78</v>
      </c>
      <c r="N141" s="162">
        <v>500000</v>
      </c>
      <c r="O141" s="163">
        <f t="shared" ref="O141" si="386">ROUND(N141*V141,0)</f>
        <v>65000</v>
      </c>
      <c r="P141" s="161">
        <v>87</v>
      </c>
      <c r="Q141" s="161">
        <v>87</v>
      </c>
      <c r="R141" s="230">
        <f t="shared" ref="R141" si="387">Q141/P141</f>
        <v>1</v>
      </c>
      <c r="S141" s="164">
        <f t="shared" ref="S141" si="388">ROUND(N141*Q141/P141,0)</f>
        <v>500000</v>
      </c>
      <c r="T141" s="165">
        <f t="shared" ref="T141" si="389">ROUND(S141*V141,0)</f>
        <v>65000</v>
      </c>
      <c r="U141" s="166">
        <f t="shared" ref="U141" si="390">Q141/P141-S141/N141</f>
        <v>0</v>
      </c>
      <c r="V141" s="87">
        <v>0.13</v>
      </c>
      <c r="W141" s="224"/>
      <c r="X141" s="23">
        <v>44826</v>
      </c>
      <c r="Y141" s="20" t="s">
        <v>197</v>
      </c>
      <c r="Z141" s="20"/>
      <c r="AA141" s="20"/>
      <c r="AB141" s="168"/>
    </row>
    <row r="142" spans="1:31" s="8" customFormat="1" x14ac:dyDescent="0.25">
      <c r="A142" s="189"/>
      <c r="B142" s="92" t="s">
        <v>191</v>
      </c>
      <c r="C142" s="90" t="str">
        <f>VLOOKUP($F142,Admin!$A$16:$E$19,2,FALSE)</f>
        <v>Alkalmazott (ipari) kutatás – Működési költség</v>
      </c>
      <c r="D142" s="161" t="s">
        <v>129</v>
      </c>
      <c r="E142" s="90" t="str">
        <f>VLOOKUP($F142,Admin!$A$16:$E$19,4,FALSE)</f>
        <v>54. Bérköltség - Kutató-fejlesztő munkatárs</v>
      </c>
      <c r="F142" s="90" t="s">
        <v>171</v>
      </c>
      <c r="G142" s="161" t="s">
        <v>174</v>
      </c>
      <c r="H142" s="161" t="s">
        <v>195</v>
      </c>
      <c r="I142" s="90" t="str">
        <f>VLOOKUP($F142,Admin!$A$16:$E$19,5,FALSE)</f>
        <v>K+F munkatárs</v>
      </c>
      <c r="J142" s="161" t="s">
        <v>50</v>
      </c>
      <c r="K142" s="161" t="str">
        <f t="shared" si="385"/>
        <v>2022.11</v>
      </c>
      <c r="L142" s="91" t="s">
        <v>8</v>
      </c>
      <c r="M142" s="92" t="s">
        <v>78</v>
      </c>
      <c r="N142" s="162">
        <v>500000</v>
      </c>
      <c r="O142" s="163">
        <f t="shared" ref="O142:O143" si="391">ROUND(N142*V142,0)</f>
        <v>65000</v>
      </c>
      <c r="P142" s="161">
        <v>87</v>
      </c>
      <c r="Q142" s="161">
        <v>87</v>
      </c>
      <c r="R142" s="230">
        <f t="shared" ref="R142:R143" si="392">Q142/P142</f>
        <v>1</v>
      </c>
      <c r="S142" s="164">
        <f t="shared" ref="S142:S143" si="393">ROUND(N142*Q142/P142,0)</f>
        <v>500000</v>
      </c>
      <c r="T142" s="165">
        <f t="shared" ref="T142:T143" si="394">ROUND(S142*V142,0)</f>
        <v>65000</v>
      </c>
      <c r="U142" s="166">
        <f t="shared" ref="U142:U143" si="395">Q142/P142-S142/N142</f>
        <v>0</v>
      </c>
      <c r="V142" s="87">
        <v>0.13</v>
      </c>
      <c r="W142" s="224" t="s">
        <v>227</v>
      </c>
      <c r="X142" s="23">
        <v>44826</v>
      </c>
      <c r="Y142" s="20" t="s">
        <v>197</v>
      </c>
      <c r="Z142" s="20"/>
      <c r="AA142" s="20"/>
      <c r="AB142" s="168"/>
      <c r="AC142" s="211" t="e">
        <v>#N/A</v>
      </c>
      <c r="AD142" s="211" t="e">
        <v>#N/A</v>
      </c>
      <c r="AE142" s="211" t="e">
        <v>#N/A</v>
      </c>
    </row>
    <row r="143" spans="1:31" s="8" customFormat="1" x14ac:dyDescent="0.25">
      <c r="A143" s="189"/>
      <c r="B143" s="92" t="s">
        <v>191</v>
      </c>
      <c r="C143" s="90" t="str">
        <f>VLOOKUP($F143,Admin!$A$16:$E$19,2,FALSE)</f>
        <v>Alkalmazott (ipari) kutatás – Működési költség</v>
      </c>
      <c r="D143" s="161" t="s">
        <v>129</v>
      </c>
      <c r="E143" s="90" t="str">
        <f>VLOOKUP($F143,Admin!$A$16:$E$19,4,FALSE)</f>
        <v>54. Bérköltség - Kutató-fejlesztő munkatárs</v>
      </c>
      <c r="F143" s="90" t="s">
        <v>171</v>
      </c>
      <c r="G143" s="161" t="s">
        <v>174</v>
      </c>
      <c r="H143" s="161" t="s">
        <v>195</v>
      </c>
      <c r="I143" s="90" t="str">
        <f>VLOOKUP($F143,Admin!$A$16:$E$19,5,FALSE)</f>
        <v>K+F munkatárs</v>
      </c>
      <c r="J143" s="161" t="s">
        <v>51</v>
      </c>
      <c r="K143" s="161" t="str">
        <f t="shared" si="385"/>
        <v>2022.12</v>
      </c>
      <c r="L143" s="91" t="s">
        <v>8</v>
      </c>
      <c r="M143" s="92" t="s">
        <v>78</v>
      </c>
      <c r="N143" s="162">
        <v>500000</v>
      </c>
      <c r="O143" s="163">
        <f t="shared" si="391"/>
        <v>65000</v>
      </c>
      <c r="P143" s="161">
        <v>87</v>
      </c>
      <c r="Q143" s="161">
        <v>87</v>
      </c>
      <c r="R143" s="230">
        <f t="shared" si="392"/>
        <v>1</v>
      </c>
      <c r="S143" s="164">
        <f t="shared" si="393"/>
        <v>500000</v>
      </c>
      <c r="T143" s="165">
        <f t="shared" si="394"/>
        <v>65000</v>
      </c>
      <c r="U143" s="166">
        <f t="shared" si="395"/>
        <v>0</v>
      </c>
      <c r="V143" s="87">
        <v>0.13</v>
      </c>
      <c r="W143" s="224" t="s">
        <v>227</v>
      </c>
      <c r="X143" s="23">
        <v>44826</v>
      </c>
      <c r="Y143" s="20" t="s">
        <v>197</v>
      </c>
      <c r="Z143" s="20"/>
      <c r="AA143" s="20"/>
      <c r="AB143" s="168"/>
      <c r="AC143" s="211" t="s">
        <v>248</v>
      </c>
      <c r="AD143" s="211" t="s">
        <v>248</v>
      </c>
      <c r="AE143" s="211" t="s">
        <v>248</v>
      </c>
    </row>
    <row r="144" spans="1:31" s="8" customFormat="1" x14ac:dyDescent="0.25">
      <c r="A144" s="189"/>
      <c r="B144" s="92" t="s">
        <v>191</v>
      </c>
      <c r="C144" s="90" t="str">
        <f>VLOOKUP($F144,Admin!$A$16:$E$19,2,FALSE)</f>
        <v>Alkalmazott (ipari) kutatás – Működési költség</v>
      </c>
      <c r="D144" s="161" t="s">
        <v>129</v>
      </c>
      <c r="E144" s="90" t="str">
        <f>VLOOKUP($F144,Admin!$A$16:$E$19,4,FALSE)</f>
        <v>54. Bérköltség - Kutató-fejlesztő munkatárs</v>
      </c>
      <c r="F144" s="90" t="s">
        <v>171</v>
      </c>
      <c r="G144" s="161" t="s">
        <v>174</v>
      </c>
      <c r="H144" s="161" t="s">
        <v>195</v>
      </c>
      <c r="I144" s="90" t="str">
        <f>VLOOKUP($F144,Admin!$A$16:$E$19,5,FALSE)</f>
        <v>K+F munkatárs</v>
      </c>
      <c r="J144" s="161" t="s">
        <v>64</v>
      </c>
      <c r="K144" s="161" t="str">
        <f t="shared" ref="K144" si="396">J144</f>
        <v>2023.01</v>
      </c>
      <c r="L144" s="91" t="s">
        <v>8</v>
      </c>
      <c r="M144" s="92" t="s">
        <v>78</v>
      </c>
      <c r="N144" s="162">
        <v>500000</v>
      </c>
      <c r="O144" s="163">
        <f t="shared" ref="O144" si="397">ROUND(N144*V144,0)</f>
        <v>65000</v>
      </c>
      <c r="P144" s="161">
        <v>87</v>
      </c>
      <c r="Q144" s="161">
        <v>87</v>
      </c>
      <c r="R144" s="230">
        <f t="shared" ref="R144" si="398">Q144/P144</f>
        <v>1</v>
      </c>
      <c r="S144" s="164">
        <f t="shared" ref="S144" si="399">ROUND(N144*Q144/P144,0)</f>
        <v>500000</v>
      </c>
      <c r="T144" s="165">
        <f t="shared" ref="T144" si="400">ROUND(S144*V144,0)</f>
        <v>65000</v>
      </c>
      <c r="U144" s="166">
        <f t="shared" ref="U144" si="401">Q144/P144-S144/N144</f>
        <v>0</v>
      </c>
      <c r="V144" s="87">
        <v>0.13</v>
      </c>
      <c r="W144" s="224" t="s">
        <v>227</v>
      </c>
      <c r="X144" s="23">
        <v>44908</v>
      </c>
      <c r="Y144" s="20" t="s">
        <v>197</v>
      </c>
      <c r="Z144" s="20"/>
      <c r="AA144" s="20"/>
      <c r="AB144" s="168"/>
      <c r="AC144" s="211" t="s">
        <v>248</v>
      </c>
      <c r="AD144" s="211">
        <v>0</v>
      </c>
      <c r="AE144" s="211">
        <v>0</v>
      </c>
    </row>
    <row r="145" spans="1:31" s="8" customFormat="1" x14ac:dyDescent="0.25">
      <c r="A145" s="208">
        <v>1</v>
      </c>
      <c r="B145" s="92" t="s">
        <v>208</v>
      </c>
      <c r="C145" s="90" t="str">
        <f>VLOOKUP($F145,Admin!$A$16:$E$19,2,FALSE)</f>
        <v>Alkalmazott (ipari) kutatás – Működési költség</v>
      </c>
      <c r="D145" s="161" t="s">
        <v>129</v>
      </c>
      <c r="E145" s="90" t="str">
        <f>VLOOKUP($F145,Admin!$A$16:$E$19,4,FALSE)</f>
        <v>54. Bérköltség - technikus segédszemélyzet</v>
      </c>
      <c r="F145" s="90" t="s">
        <v>173</v>
      </c>
      <c r="G145" s="161" t="s">
        <v>174</v>
      </c>
      <c r="H145" s="161" t="s">
        <v>206</v>
      </c>
      <c r="I145" s="90" t="str">
        <f>VLOOKUP($F145,Admin!$A$16:$E$19,5,FALSE)</f>
        <v>Technikus</v>
      </c>
      <c r="J145" s="161" t="s">
        <v>45</v>
      </c>
      <c r="K145" s="161" t="str">
        <f t="shared" ref="K145:K147" si="402">J145</f>
        <v>2022.06</v>
      </c>
      <c r="L145" s="91" t="s">
        <v>8</v>
      </c>
      <c r="M145" s="92" t="s">
        <v>78</v>
      </c>
      <c r="N145" s="162">
        <v>220000</v>
      </c>
      <c r="O145" s="163">
        <f t="shared" si="138"/>
        <v>28600</v>
      </c>
      <c r="P145" s="161">
        <v>87</v>
      </c>
      <c r="Q145" s="161">
        <v>87</v>
      </c>
      <c r="R145" s="230">
        <f t="shared" si="139"/>
        <v>1</v>
      </c>
      <c r="S145" s="164">
        <f t="shared" si="140"/>
        <v>220000</v>
      </c>
      <c r="T145" s="165">
        <f t="shared" si="141"/>
        <v>28600</v>
      </c>
      <c r="U145" s="166">
        <f t="shared" si="142"/>
        <v>0</v>
      </c>
      <c r="V145" s="87">
        <v>0.13</v>
      </c>
      <c r="W145" s="224"/>
      <c r="X145" s="23">
        <v>44712</v>
      </c>
      <c r="Y145" s="20" t="s">
        <v>197</v>
      </c>
      <c r="Z145" s="20"/>
      <c r="AA145" s="20"/>
      <c r="AB145" s="168"/>
    </row>
    <row r="146" spans="1:31" s="8" customFormat="1" x14ac:dyDescent="0.25">
      <c r="A146" s="208">
        <v>1</v>
      </c>
      <c r="B146" s="92" t="s">
        <v>208</v>
      </c>
      <c r="C146" s="90" t="str">
        <f>VLOOKUP($F146,Admin!$A$16:$E$19,2,FALSE)</f>
        <v>Alkalmazott (ipari) kutatás – Működési költség</v>
      </c>
      <c r="D146" s="161" t="s">
        <v>129</v>
      </c>
      <c r="E146" s="90" t="str">
        <f>VLOOKUP($F146,Admin!$A$16:$E$19,4,FALSE)</f>
        <v>54. Bérköltség - technikus segédszemélyzet</v>
      </c>
      <c r="F146" s="90" t="s">
        <v>173</v>
      </c>
      <c r="G146" s="161" t="s">
        <v>174</v>
      </c>
      <c r="H146" s="161" t="s">
        <v>206</v>
      </c>
      <c r="I146" s="90" t="str">
        <f>VLOOKUP($F146,Admin!$A$16:$E$19,5,FALSE)</f>
        <v>Technikus</v>
      </c>
      <c r="J146" s="161" t="s">
        <v>46</v>
      </c>
      <c r="K146" s="161" t="str">
        <f t="shared" si="402"/>
        <v>2022.07</v>
      </c>
      <c r="L146" s="91" t="s">
        <v>8</v>
      </c>
      <c r="M146" s="92" t="s">
        <v>78</v>
      </c>
      <c r="N146" s="162">
        <v>220000</v>
      </c>
      <c r="O146" s="163">
        <f t="shared" ref="O146" si="403">ROUND(N146*V146,0)</f>
        <v>28600</v>
      </c>
      <c r="P146" s="161">
        <v>87</v>
      </c>
      <c r="Q146" s="161">
        <v>87</v>
      </c>
      <c r="R146" s="230">
        <f t="shared" ref="R146:R147" si="404">Q146/P146</f>
        <v>1</v>
      </c>
      <c r="S146" s="164">
        <f t="shared" ref="S146:S147" si="405">ROUND(N146*Q146/P146,0)</f>
        <v>220000</v>
      </c>
      <c r="T146" s="165">
        <f t="shared" ref="T146" si="406">ROUND(S146*V146,0)</f>
        <v>28600</v>
      </c>
      <c r="U146" s="166">
        <f t="shared" ref="U146:U147" si="407">Q146/P146-S146/N146</f>
        <v>0</v>
      </c>
      <c r="V146" s="87">
        <v>0.13</v>
      </c>
      <c r="W146" s="224"/>
      <c r="X146" s="23">
        <v>44712</v>
      </c>
      <c r="Y146" s="20" t="s">
        <v>197</v>
      </c>
      <c r="Z146" s="20"/>
      <c r="AA146" s="20"/>
      <c r="AB146" s="168"/>
    </row>
    <row r="147" spans="1:31" s="8" customFormat="1" x14ac:dyDescent="0.25">
      <c r="A147" s="208">
        <v>1</v>
      </c>
      <c r="B147" s="92" t="s">
        <v>208</v>
      </c>
      <c r="C147" s="90" t="str">
        <f>VLOOKUP($F147,Admin!$A$16:$E$19,2,FALSE)</f>
        <v>Alkalmazott (ipari) kutatás – Működési költség</v>
      </c>
      <c r="D147" s="161" t="s">
        <v>129</v>
      </c>
      <c r="E147" s="90" t="str">
        <f>VLOOKUP($F147,Admin!$A$16:$E$19,4,FALSE)</f>
        <v>54. Bérköltség - technikus segédszemélyzet</v>
      </c>
      <c r="F147" s="90" t="s">
        <v>173</v>
      </c>
      <c r="G147" s="161" t="s">
        <v>174</v>
      </c>
      <c r="H147" s="161" t="s">
        <v>206</v>
      </c>
      <c r="I147" s="90" t="str">
        <f>VLOOKUP($F147,Admin!$A$16:$E$19,5,FALSE)</f>
        <v>Technikus</v>
      </c>
      <c r="J147" s="161" t="s">
        <v>47</v>
      </c>
      <c r="K147" s="161" t="str">
        <f t="shared" si="402"/>
        <v>2022.08</v>
      </c>
      <c r="L147" s="91" t="s">
        <v>8</v>
      </c>
      <c r="M147" s="92" t="s">
        <v>78</v>
      </c>
      <c r="N147" s="162">
        <v>172174</v>
      </c>
      <c r="O147" s="163">
        <v>2035</v>
      </c>
      <c r="P147" s="161">
        <v>87</v>
      </c>
      <c r="Q147" s="161">
        <v>87</v>
      </c>
      <c r="R147" s="230">
        <f t="shared" si="404"/>
        <v>1</v>
      </c>
      <c r="S147" s="164">
        <f t="shared" si="405"/>
        <v>172174</v>
      </c>
      <c r="T147" s="165">
        <v>2035</v>
      </c>
      <c r="U147" s="166">
        <f t="shared" si="407"/>
        <v>0</v>
      </c>
      <c r="V147" s="87">
        <v>0.13</v>
      </c>
      <c r="W147" s="224"/>
      <c r="X147" s="23">
        <v>44712</v>
      </c>
      <c r="Y147" s="20" t="s">
        <v>197</v>
      </c>
      <c r="Z147" s="20"/>
      <c r="AA147" s="20"/>
      <c r="AB147" s="168"/>
    </row>
    <row r="148" spans="1:31" s="8" customFormat="1" x14ac:dyDescent="0.25">
      <c r="A148" s="208">
        <v>1</v>
      </c>
      <c r="B148" s="92" t="s">
        <v>208</v>
      </c>
      <c r="C148" s="90" t="str">
        <f>VLOOKUP($F148,Admin!$A$16:$E$19,2,FALSE)</f>
        <v>Alkalmazott (ipari) kutatás – Működési költség</v>
      </c>
      <c r="D148" s="161" t="s">
        <v>129</v>
      </c>
      <c r="E148" s="90" t="str">
        <f>VLOOKUP($F148,Admin!$A$16:$E$19,4,FALSE)</f>
        <v>54. Bérköltség - technikus segédszemélyzet</v>
      </c>
      <c r="F148" s="90" t="s">
        <v>173</v>
      </c>
      <c r="G148" s="161" t="s">
        <v>174</v>
      </c>
      <c r="H148" s="161" t="s">
        <v>206</v>
      </c>
      <c r="I148" s="90" t="str">
        <f>VLOOKUP($F148,Admin!$A$16:$E$19,5,FALSE)</f>
        <v>Technikus</v>
      </c>
      <c r="J148" s="161" t="s">
        <v>48</v>
      </c>
      <c r="K148" s="161" t="str">
        <f t="shared" ref="K148" si="408">J148</f>
        <v>2022.09</v>
      </c>
      <c r="L148" s="91" t="s">
        <v>8</v>
      </c>
      <c r="M148" s="92" t="s">
        <v>78</v>
      </c>
      <c r="N148" s="162">
        <v>375000</v>
      </c>
      <c r="O148" s="163">
        <f t="shared" ref="O148" si="409">ROUND(N148*V148,0)</f>
        <v>48750</v>
      </c>
      <c r="P148" s="161">
        <v>130</v>
      </c>
      <c r="Q148" s="161">
        <v>130</v>
      </c>
      <c r="R148" s="230">
        <f t="shared" ref="R148" si="410">Q148/P148</f>
        <v>1</v>
      </c>
      <c r="S148" s="164">
        <f t="shared" ref="S148" si="411">ROUND(N148*Q148/P148,0)</f>
        <v>375000</v>
      </c>
      <c r="T148" s="165">
        <f t="shared" ref="T148" si="412">ROUND(S148*V148,0)</f>
        <v>48750</v>
      </c>
      <c r="U148" s="166">
        <f t="shared" ref="U148" si="413">Q148/P148-S148/N148</f>
        <v>0</v>
      </c>
      <c r="V148" s="87">
        <v>0.13</v>
      </c>
      <c r="W148" s="224"/>
      <c r="X148" s="23">
        <v>44791</v>
      </c>
      <c r="Y148" s="20" t="s">
        <v>197</v>
      </c>
      <c r="Z148" s="20"/>
      <c r="AA148" s="20"/>
      <c r="AB148" s="168"/>
    </row>
    <row r="149" spans="1:31" s="8" customFormat="1" x14ac:dyDescent="0.25">
      <c r="A149" s="189"/>
      <c r="B149" s="92" t="s">
        <v>208</v>
      </c>
      <c r="C149" s="90" t="str">
        <f>VLOOKUP($F149,Admin!$A$16:$E$19,2,FALSE)</f>
        <v>Alkalmazott (ipari) kutatás – Működési költség</v>
      </c>
      <c r="D149" s="161" t="s">
        <v>129</v>
      </c>
      <c r="E149" s="90" t="str">
        <f>VLOOKUP($F149,Admin!$A$16:$E$19,4,FALSE)</f>
        <v>54. Bérköltség - technikus segédszemélyzet</v>
      </c>
      <c r="F149" s="90" t="s">
        <v>173</v>
      </c>
      <c r="G149" s="161" t="s">
        <v>174</v>
      </c>
      <c r="H149" s="161" t="s">
        <v>206</v>
      </c>
      <c r="I149" s="90" t="str">
        <f>VLOOKUP($F149,Admin!$A$16:$E$19,5,FALSE)</f>
        <v>Technikus</v>
      </c>
      <c r="J149" s="161" t="s">
        <v>49</v>
      </c>
      <c r="K149" s="161" t="str">
        <f t="shared" ref="K149:K151" si="414">J149</f>
        <v>2022.10</v>
      </c>
      <c r="L149" s="91" t="s">
        <v>8</v>
      </c>
      <c r="M149" s="92" t="s">
        <v>78</v>
      </c>
      <c r="N149" s="162">
        <v>375000</v>
      </c>
      <c r="O149" s="163">
        <f t="shared" ref="O149" si="415">ROUND(N149*V149,0)</f>
        <v>48750</v>
      </c>
      <c r="P149" s="161">
        <v>130</v>
      </c>
      <c r="Q149" s="161">
        <v>43</v>
      </c>
      <c r="R149" s="230">
        <f t="shared" ref="R149" si="416">Q149/P149</f>
        <v>0.33076923076923076</v>
      </c>
      <c r="S149" s="164">
        <f t="shared" ref="S149" si="417">ROUND(N149*Q149/P149,0)</f>
        <v>124038</v>
      </c>
      <c r="T149" s="165">
        <f t="shared" ref="T149" si="418">ROUND(S149*V149,0)</f>
        <v>16125</v>
      </c>
      <c r="U149" s="166">
        <f t="shared" ref="U149" si="419">Q149/P149-S149/N149</f>
        <v>1.2307692307533813E-6</v>
      </c>
      <c r="V149" s="87">
        <v>0.13</v>
      </c>
      <c r="W149" s="224"/>
      <c r="X149" s="23">
        <v>44832</v>
      </c>
      <c r="Y149" s="20" t="s">
        <v>197</v>
      </c>
      <c r="Z149" s="20"/>
      <c r="AA149" s="20"/>
      <c r="AB149" s="168"/>
    </row>
    <row r="150" spans="1:31" s="8" customFormat="1" x14ac:dyDescent="0.25">
      <c r="A150" s="189"/>
      <c r="B150" s="92" t="s">
        <v>208</v>
      </c>
      <c r="C150" s="90" t="str">
        <f>VLOOKUP($F150,Admin!$A$16:$E$19,2,FALSE)</f>
        <v>Alkalmazott (ipari) kutatás – Működési költség</v>
      </c>
      <c r="D150" s="161" t="s">
        <v>129</v>
      </c>
      <c r="E150" s="90" t="str">
        <f>VLOOKUP($F150,Admin!$A$16:$E$19,4,FALSE)</f>
        <v>54. Bérköltség - technikus segédszemélyzet</v>
      </c>
      <c r="F150" s="90" t="s">
        <v>173</v>
      </c>
      <c r="G150" s="161" t="s">
        <v>174</v>
      </c>
      <c r="H150" s="161" t="s">
        <v>206</v>
      </c>
      <c r="I150" s="90" t="str">
        <f>VLOOKUP($F150,Admin!$A$16:$E$19,5,FALSE)</f>
        <v>Technikus</v>
      </c>
      <c r="J150" s="161" t="s">
        <v>50</v>
      </c>
      <c r="K150" s="161" t="str">
        <f t="shared" si="414"/>
        <v>2022.11</v>
      </c>
      <c r="L150" s="91" t="s">
        <v>8</v>
      </c>
      <c r="M150" s="92" t="s">
        <v>78</v>
      </c>
      <c r="N150" s="162">
        <v>374999</v>
      </c>
      <c r="O150" s="163">
        <v>22750</v>
      </c>
      <c r="P150" s="161">
        <v>130</v>
      </c>
      <c r="Q150" s="161">
        <v>87</v>
      </c>
      <c r="R150" s="230">
        <f t="shared" ref="R150" si="420">Q150/P150</f>
        <v>0.66923076923076918</v>
      </c>
      <c r="S150" s="164">
        <f t="shared" ref="S150" si="421">ROUND(N150*Q150/P150,0)</f>
        <v>250961</v>
      </c>
      <c r="T150" s="165">
        <v>15225</v>
      </c>
      <c r="U150" s="166">
        <f t="shared" ref="U150" si="422">Q150/P150-S150/N150</f>
        <v>-3.4871887866216866E-7</v>
      </c>
      <c r="V150" s="87">
        <v>0.13</v>
      </c>
      <c r="W150" s="224" t="s">
        <v>228</v>
      </c>
      <c r="X150" s="23">
        <v>44875</v>
      </c>
      <c r="Y150" s="20" t="s">
        <v>197</v>
      </c>
      <c r="Z150" s="20"/>
      <c r="AA150" s="20"/>
      <c r="AB150" s="168"/>
      <c r="AC150" s="211" t="e">
        <v>#N/A</v>
      </c>
      <c r="AD150" s="211" t="e">
        <v>#N/A</v>
      </c>
      <c r="AE150" s="211" t="e">
        <v>#N/A</v>
      </c>
    </row>
    <row r="151" spans="1:31" s="8" customFormat="1" x14ac:dyDescent="0.25">
      <c r="A151" s="189"/>
      <c r="B151" s="92" t="s">
        <v>208</v>
      </c>
      <c r="C151" s="90" t="str">
        <f>VLOOKUP($F151,Admin!$A$16:$E$19,2,FALSE)</f>
        <v>Alkalmazott (ipari) kutatás – Működési költség</v>
      </c>
      <c r="D151" s="161" t="s">
        <v>129</v>
      </c>
      <c r="E151" s="90" t="str">
        <f>VLOOKUP($F151,Admin!$A$16:$E$19,4,FALSE)</f>
        <v>54. Bérköltség - technikus segédszemélyzet</v>
      </c>
      <c r="F151" s="90" t="s">
        <v>173</v>
      </c>
      <c r="G151" s="161" t="s">
        <v>174</v>
      </c>
      <c r="H151" s="161" t="s">
        <v>206</v>
      </c>
      <c r="I151" s="90" t="str">
        <f>VLOOKUP($F151,Admin!$A$16:$E$19,5,FALSE)</f>
        <v>Technikus</v>
      </c>
      <c r="J151" s="161" t="s">
        <v>51</v>
      </c>
      <c r="K151" s="161" t="str">
        <f t="shared" si="414"/>
        <v>2022.12</v>
      </c>
      <c r="L151" s="91" t="s">
        <v>8</v>
      </c>
      <c r="M151" s="92" t="s">
        <v>78</v>
      </c>
      <c r="N151" s="162">
        <v>375000</v>
      </c>
      <c r="O151" s="163">
        <v>23024</v>
      </c>
      <c r="P151" s="161">
        <v>130</v>
      </c>
      <c r="Q151" s="161">
        <v>87</v>
      </c>
      <c r="R151" s="230">
        <f t="shared" ref="R151" si="423">Q151/P151</f>
        <v>0.66923076923076918</v>
      </c>
      <c r="S151" s="164">
        <f t="shared" ref="S151" si="424">ROUND(N151*Q151/P151,0)</f>
        <v>250962</v>
      </c>
      <c r="T151" s="165">
        <f>ROUND(O151*Q151/P151,0)</f>
        <v>15408</v>
      </c>
      <c r="U151" s="166">
        <f t="shared" ref="U151" si="425">Q151/P151-S151/N151</f>
        <v>-1.2307692308644036E-6</v>
      </c>
      <c r="V151" s="87">
        <v>0.13</v>
      </c>
      <c r="W151" s="224" t="s">
        <v>228</v>
      </c>
      <c r="X151" s="23">
        <v>44875</v>
      </c>
      <c r="Y151" s="20" t="s">
        <v>197</v>
      </c>
      <c r="Z151" s="20"/>
      <c r="AA151" s="20"/>
      <c r="AB151" s="168"/>
      <c r="AC151" s="211" t="s">
        <v>248</v>
      </c>
      <c r="AD151" s="211" t="s">
        <v>249</v>
      </c>
      <c r="AE151" s="211" t="s">
        <v>249</v>
      </c>
    </row>
    <row r="152" spans="1:31" s="8" customFormat="1" x14ac:dyDescent="0.25">
      <c r="A152" s="189"/>
      <c r="B152" s="92" t="s">
        <v>208</v>
      </c>
      <c r="C152" s="90" t="str">
        <f>VLOOKUP($F152,Admin!$A$16:$E$19,2,FALSE)</f>
        <v>Alkalmazott (ipari) kutatás – Működési költség</v>
      </c>
      <c r="D152" s="161" t="s">
        <v>129</v>
      </c>
      <c r="E152" s="90" t="str">
        <f>VLOOKUP($F152,Admin!$A$16:$E$19,4,FALSE)</f>
        <v>54. Bérköltség - technikus segédszemélyzet</v>
      </c>
      <c r="F152" s="90" t="s">
        <v>173</v>
      </c>
      <c r="G152" s="161" t="s">
        <v>174</v>
      </c>
      <c r="H152" s="161" t="s">
        <v>206</v>
      </c>
      <c r="I152" s="90" t="str">
        <f>VLOOKUP($F152,Admin!$A$16:$E$19,5,FALSE)</f>
        <v>Technikus</v>
      </c>
      <c r="J152" s="161" t="s">
        <v>64</v>
      </c>
      <c r="K152" s="161" t="str">
        <f t="shared" ref="K152:K153" si="426">J152</f>
        <v>2023.01</v>
      </c>
      <c r="L152" s="91" t="s">
        <v>8</v>
      </c>
      <c r="M152" s="92" t="s">
        <v>78</v>
      </c>
      <c r="N152" s="162">
        <v>550000</v>
      </c>
      <c r="O152" s="163">
        <v>41340</v>
      </c>
      <c r="P152" s="161">
        <v>174</v>
      </c>
      <c r="Q152" s="161">
        <v>95</v>
      </c>
      <c r="R152" s="230">
        <f t="shared" ref="R152" si="427">Q152/P152</f>
        <v>0.54597701149425293</v>
      </c>
      <c r="S152" s="164">
        <f t="shared" ref="S152" si="428">ROUND(N152*Q152/P152,0)</f>
        <v>300287</v>
      </c>
      <c r="T152" s="165">
        <v>22571</v>
      </c>
      <c r="U152" s="166">
        <f t="shared" ref="U152" si="429">Q152/P152-S152/N152</f>
        <v>6.4785788933541255E-7</v>
      </c>
      <c r="V152" s="87">
        <v>0.13</v>
      </c>
      <c r="W152" s="224" t="s">
        <v>228</v>
      </c>
      <c r="X152" s="23">
        <v>44936</v>
      </c>
      <c r="Y152" s="20" t="s">
        <v>197</v>
      </c>
      <c r="Z152" s="20"/>
      <c r="AA152" s="20"/>
      <c r="AB152" s="168"/>
      <c r="AC152" s="211" t="s">
        <v>248</v>
      </c>
      <c r="AD152" s="211">
        <v>0</v>
      </c>
      <c r="AE152" s="211">
        <v>0</v>
      </c>
    </row>
    <row r="153" spans="1:31" s="8" customFormat="1" x14ac:dyDescent="0.25">
      <c r="A153" s="189"/>
      <c r="B153" s="92" t="s">
        <v>208</v>
      </c>
      <c r="C153" s="90" t="str">
        <f>VLOOKUP($F153,Admin!$A$16:$E$19,2,FALSE)</f>
        <v>Alkalmazott (ipari) kutatás – Működési költség</v>
      </c>
      <c r="D153" s="161" t="s">
        <v>129</v>
      </c>
      <c r="E153" s="90" t="str">
        <f>VLOOKUP($F153,Admin!$A$16:$E$19,4,FALSE)</f>
        <v>54. Bérköltség - technikus segédszemélyzet</v>
      </c>
      <c r="F153" s="90" t="s">
        <v>173</v>
      </c>
      <c r="G153" s="161" t="s">
        <v>174</v>
      </c>
      <c r="H153" s="161" t="s">
        <v>206</v>
      </c>
      <c r="I153" s="90" t="str">
        <f>VLOOKUP($F153,Admin!$A$16:$E$19,5,FALSE)</f>
        <v>Technikus</v>
      </c>
      <c r="J153" s="161" t="s">
        <v>65</v>
      </c>
      <c r="K153" s="161" t="str">
        <f t="shared" si="426"/>
        <v>2023.02</v>
      </c>
      <c r="L153" s="91" t="s">
        <v>8</v>
      </c>
      <c r="M153" s="92" t="s">
        <v>78</v>
      </c>
      <c r="N153" s="162">
        <v>550000</v>
      </c>
      <c r="O153" s="163">
        <v>41340</v>
      </c>
      <c r="P153" s="161">
        <v>174</v>
      </c>
      <c r="Q153" s="161">
        <v>95</v>
      </c>
      <c r="R153" s="230">
        <f t="shared" ref="R153" si="430">Q153/P153</f>
        <v>0.54597701149425293</v>
      </c>
      <c r="S153" s="164">
        <f t="shared" ref="S153" si="431">ROUND(N153*Q153/P153,0)</f>
        <v>300287</v>
      </c>
      <c r="T153" s="165">
        <f t="shared" ref="T153" si="432">ROUND(S153*V153,0)</f>
        <v>39037</v>
      </c>
      <c r="U153" s="166">
        <f t="shared" ref="U153" si="433">Q153/P153-S153/N153</f>
        <v>6.4785788933541255E-7</v>
      </c>
      <c r="V153" s="87">
        <v>0.13</v>
      </c>
      <c r="W153" s="224" t="s">
        <v>228</v>
      </c>
      <c r="X153" s="23">
        <v>44936</v>
      </c>
      <c r="Y153" s="20" t="s">
        <v>197</v>
      </c>
      <c r="Z153" s="20"/>
      <c r="AA153" s="20"/>
      <c r="AB153" s="168"/>
      <c r="AC153" s="8" t="e">
        <v>#N/A</v>
      </c>
      <c r="AD153" s="8" t="e">
        <v>#N/A</v>
      </c>
      <c r="AE153" s="8" t="e">
        <v>#N/A</v>
      </c>
    </row>
    <row r="154" spans="1:31" s="8" customFormat="1" x14ac:dyDescent="0.25">
      <c r="A154" s="189"/>
      <c r="B154" s="92" t="s">
        <v>208</v>
      </c>
      <c r="C154" s="90" t="str">
        <f>VLOOKUP($F154,Admin!$A$16:$E$19,2,FALSE)</f>
        <v>Alkalmazott (ipari) kutatás – Működési költség</v>
      </c>
      <c r="D154" s="161" t="s">
        <v>129</v>
      </c>
      <c r="E154" s="90" t="str">
        <f>VLOOKUP($F154,Admin!$A$16:$E$19,4,FALSE)</f>
        <v>54. Bérköltség - technikus segédszemélyzet</v>
      </c>
      <c r="F154" s="90" t="s">
        <v>173</v>
      </c>
      <c r="G154" s="161" t="s">
        <v>174</v>
      </c>
      <c r="H154" s="161" t="s">
        <v>206</v>
      </c>
      <c r="I154" s="90" t="str">
        <f>VLOOKUP($F154,Admin!$A$16:$E$19,5,FALSE)</f>
        <v>Technikus</v>
      </c>
      <c r="J154" s="194">
        <v>44986</v>
      </c>
      <c r="K154" s="194">
        <v>45007</v>
      </c>
      <c r="L154" s="91" t="s">
        <v>8</v>
      </c>
      <c r="M154" s="92" t="s">
        <v>78</v>
      </c>
      <c r="N154" s="162">
        <v>375000</v>
      </c>
      <c r="O154" s="163">
        <v>18590</v>
      </c>
      <c r="P154" s="161">
        <v>174</v>
      </c>
      <c r="Q154" s="161">
        <v>95</v>
      </c>
      <c r="R154" s="230">
        <f t="shared" ref="R154" si="434">Q154/P154</f>
        <v>0.54597701149425293</v>
      </c>
      <c r="S154" s="164">
        <f t="shared" ref="S154" si="435">ROUND(N154*Q154/P154,0)</f>
        <v>204741</v>
      </c>
      <c r="T154" s="165">
        <v>10150</v>
      </c>
      <c r="U154" s="166">
        <f t="shared" ref="U154" si="436">Q154/P154-S154/N154</f>
        <v>1.0114942529115822E-6</v>
      </c>
      <c r="V154" s="87">
        <v>0.13</v>
      </c>
      <c r="W154" s="224" t="s">
        <v>228</v>
      </c>
      <c r="X154" s="23">
        <v>44977</v>
      </c>
      <c r="Y154" s="20" t="s">
        <v>197</v>
      </c>
      <c r="Z154" s="20"/>
      <c r="AA154" s="20"/>
      <c r="AB154" s="168"/>
      <c r="AC154" s="8" t="e">
        <v>#N/A</v>
      </c>
      <c r="AD154" s="8" t="e">
        <v>#N/A</v>
      </c>
      <c r="AE154" s="8" t="e">
        <v>#N/A</v>
      </c>
    </row>
    <row r="155" spans="1:31" s="8" customFormat="1" x14ac:dyDescent="0.25">
      <c r="A155" s="208">
        <v>1</v>
      </c>
      <c r="B155" s="92" t="s">
        <v>199</v>
      </c>
      <c r="C155" s="90" t="str">
        <f>VLOOKUP($F155,Admin!$A$16:$E$19,2,FALSE)</f>
        <v>Alkalmazott (ipari) kutatás – Működési költség</v>
      </c>
      <c r="D155" s="161" t="s">
        <v>129</v>
      </c>
      <c r="E155" s="90" t="str">
        <f>VLOOKUP($F155,Admin!$A$16:$E$19,4,FALSE)</f>
        <v>54. Bérköltség - technikus segédszemélyzet</v>
      </c>
      <c r="F155" s="90" t="s">
        <v>173</v>
      </c>
      <c r="G155" s="161" t="s">
        <v>174</v>
      </c>
      <c r="H155" s="161" t="s">
        <v>196</v>
      </c>
      <c r="I155" s="90" t="str">
        <f>VLOOKUP($F155,Admin!$A$16:$E$19,5,FALSE)</f>
        <v>Technikus</v>
      </c>
      <c r="J155" s="161" t="s">
        <v>43</v>
      </c>
      <c r="K155" s="161" t="str">
        <f t="shared" si="137"/>
        <v>2022.04</v>
      </c>
      <c r="L155" s="91" t="s">
        <v>8</v>
      </c>
      <c r="M155" s="92" t="s">
        <v>78</v>
      </c>
      <c r="N155" s="162">
        <v>175999</v>
      </c>
      <c r="O155" s="163">
        <f t="shared" ref="O155" si="437">ROUND(N155*V155,0)</f>
        <v>22880</v>
      </c>
      <c r="P155" s="161">
        <v>87</v>
      </c>
      <c r="Q155" s="161">
        <v>47</v>
      </c>
      <c r="R155" s="230">
        <f t="shared" ref="R155" si="438">Q155/P155</f>
        <v>0.54022988505747127</v>
      </c>
      <c r="S155" s="164">
        <f t="shared" ref="S155" si="439">ROUND(N155*Q155/P155,0)</f>
        <v>95080</v>
      </c>
      <c r="T155" s="165">
        <f t="shared" ref="T155" si="440">ROUND(S155*V155,0)</f>
        <v>12360</v>
      </c>
      <c r="U155" s="166">
        <f t="shared" ref="U155" si="441">Q155/P155-S155/N155</f>
        <v>-4.5716038221677024E-7</v>
      </c>
      <c r="V155" s="87">
        <v>0.13</v>
      </c>
      <c r="W155" s="224"/>
      <c r="X155" s="23">
        <v>44641</v>
      </c>
      <c r="Y155" s="20" t="s">
        <v>197</v>
      </c>
      <c r="Z155" s="20"/>
      <c r="AA155" s="20"/>
      <c r="AB155" s="168"/>
    </row>
    <row r="156" spans="1:31" s="8" customFormat="1" x14ac:dyDescent="0.25">
      <c r="A156" s="208">
        <v>1</v>
      </c>
      <c r="B156" s="92" t="s">
        <v>199</v>
      </c>
      <c r="C156" s="90" t="str">
        <f>VLOOKUP($F156,Admin!$A$16:$E$19,2,FALSE)</f>
        <v>Alkalmazott (ipari) kutatás – Működési költség</v>
      </c>
      <c r="D156" s="161" t="s">
        <v>129</v>
      </c>
      <c r="E156" s="90" t="str">
        <f>VLOOKUP($F156,Admin!$A$16:$E$19,4,FALSE)</f>
        <v>54. Bérköltség - technikus segédszemélyzet</v>
      </c>
      <c r="F156" s="90" t="s">
        <v>173</v>
      </c>
      <c r="G156" s="161" t="s">
        <v>174</v>
      </c>
      <c r="H156" s="161" t="s">
        <v>196</v>
      </c>
      <c r="I156" s="90" t="str">
        <f>VLOOKUP($F156,Admin!$A$16:$E$19,5,FALSE)</f>
        <v>Technikus</v>
      </c>
      <c r="J156" s="161" t="s">
        <v>44</v>
      </c>
      <c r="K156" s="161" t="str">
        <f t="shared" si="137"/>
        <v>2022.05</v>
      </c>
      <c r="L156" s="91" t="s">
        <v>8</v>
      </c>
      <c r="M156" s="92" t="s">
        <v>78</v>
      </c>
      <c r="N156" s="162">
        <v>176000</v>
      </c>
      <c r="O156" s="163">
        <f t="shared" ref="O156:O159" si="442">ROUND(N156*V156,0)</f>
        <v>22880</v>
      </c>
      <c r="P156" s="161">
        <v>87</v>
      </c>
      <c r="Q156" s="161">
        <v>47</v>
      </c>
      <c r="R156" s="230">
        <f t="shared" ref="R156:R159" si="443">Q156/P156</f>
        <v>0.54022988505747127</v>
      </c>
      <c r="S156" s="164">
        <f t="shared" ref="S156:S159" si="444">ROUND(N156*Q156/P156,0)</f>
        <v>95080</v>
      </c>
      <c r="T156" s="165">
        <f t="shared" ref="T156:T159" si="445">ROUND(S156*V156,0)</f>
        <v>12360</v>
      </c>
      <c r="U156" s="166">
        <f t="shared" ref="U156:U159" si="446">Q156/P156-S156/N156</f>
        <v>2.6123301984926073E-6</v>
      </c>
      <c r="V156" s="87">
        <v>0.13</v>
      </c>
      <c r="W156" s="224"/>
      <c r="X156" s="23">
        <v>44641</v>
      </c>
      <c r="Y156" s="20" t="s">
        <v>197</v>
      </c>
      <c r="Z156" s="20"/>
      <c r="AA156" s="20"/>
      <c r="AB156" s="168"/>
    </row>
    <row r="157" spans="1:31" s="8" customFormat="1" x14ac:dyDescent="0.25">
      <c r="A157" s="208">
        <v>1</v>
      </c>
      <c r="B157" s="92" t="s">
        <v>199</v>
      </c>
      <c r="C157" s="90" t="str">
        <f>VLOOKUP($F157,Admin!$A$16:$E$19,2,FALSE)</f>
        <v>Alkalmazott (ipari) kutatás – Működési költség</v>
      </c>
      <c r="D157" s="161" t="s">
        <v>129</v>
      </c>
      <c r="E157" s="90" t="str">
        <f>VLOOKUP($F157,Admin!$A$16:$E$19,4,FALSE)</f>
        <v>54. Bérköltség - technikus segédszemélyzet</v>
      </c>
      <c r="F157" s="90" t="s">
        <v>173</v>
      </c>
      <c r="G157" s="161" t="s">
        <v>174</v>
      </c>
      <c r="H157" s="161" t="s">
        <v>196</v>
      </c>
      <c r="I157" s="90" t="str">
        <f>VLOOKUP($F157,Admin!$A$16:$E$19,5,FALSE)</f>
        <v>Technikus</v>
      </c>
      <c r="J157" s="161" t="s">
        <v>45</v>
      </c>
      <c r="K157" s="161" t="str">
        <f t="shared" si="137"/>
        <v>2022.06</v>
      </c>
      <c r="L157" s="91" t="s">
        <v>8</v>
      </c>
      <c r="M157" s="92" t="s">
        <v>78</v>
      </c>
      <c r="N157" s="162">
        <v>176000</v>
      </c>
      <c r="O157" s="163">
        <f t="shared" si="442"/>
        <v>22880</v>
      </c>
      <c r="P157" s="161">
        <v>87</v>
      </c>
      <c r="Q157" s="161">
        <v>47</v>
      </c>
      <c r="R157" s="230">
        <f t="shared" si="443"/>
        <v>0.54022988505747127</v>
      </c>
      <c r="S157" s="164">
        <f t="shared" si="444"/>
        <v>95080</v>
      </c>
      <c r="T157" s="165">
        <f t="shared" si="445"/>
        <v>12360</v>
      </c>
      <c r="U157" s="166">
        <f t="shared" si="446"/>
        <v>2.6123301984926073E-6</v>
      </c>
      <c r="V157" s="87">
        <v>0.13</v>
      </c>
      <c r="W157" s="224"/>
      <c r="X157" s="23">
        <v>44641</v>
      </c>
      <c r="Y157" s="20" t="s">
        <v>197</v>
      </c>
      <c r="Z157" s="20"/>
      <c r="AA157" s="20"/>
      <c r="AB157" s="168"/>
    </row>
    <row r="158" spans="1:31" s="8" customFormat="1" x14ac:dyDescent="0.25">
      <c r="A158" s="208">
        <v>1</v>
      </c>
      <c r="B158" s="92" t="s">
        <v>199</v>
      </c>
      <c r="C158" s="90" t="str">
        <f>VLOOKUP($F158,Admin!$A$16:$E$19,2,FALSE)</f>
        <v>Alkalmazott (ipari) kutatás – Működési költség</v>
      </c>
      <c r="D158" s="161" t="s">
        <v>129</v>
      </c>
      <c r="E158" s="90" t="str">
        <f>VLOOKUP($F158,Admin!$A$16:$E$19,4,FALSE)</f>
        <v>54. Bérköltség - technikus segédszemélyzet</v>
      </c>
      <c r="F158" s="90" t="s">
        <v>173</v>
      </c>
      <c r="G158" s="161" t="s">
        <v>174</v>
      </c>
      <c r="H158" s="161" t="s">
        <v>196</v>
      </c>
      <c r="I158" s="90" t="str">
        <f>VLOOKUP($F158,Admin!$A$16:$E$19,5,FALSE)</f>
        <v>Technikus</v>
      </c>
      <c r="J158" s="161" t="s">
        <v>46</v>
      </c>
      <c r="K158" s="161" t="str">
        <f t="shared" si="137"/>
        <v>2022.07</v>
      </c>
      <c r="L158" s="91" t="s">
        <v>8</v>
      </c>
      <c r="M158" s="92" t="s">
        <v>78</v>
      </c>
      <c r="N158" s="162">
        <v>176000</v>
      </c>
      <c r="O158" s="163">
        <f t="shared" si="442"/>
        <v>22880</v>
      </c>
      <c r="P158" s="161">
        <v>87</v>
      </c>
      <c r="Q158" s="161">
        <v>47</v>
      </c>
      <c r="R158" s="230">
        <f t="shared" si="443"/>
        <v>0.54022988505747127</v>
      </c>
      <c r="S158" s="164">
        <f t="shared" si="444"/>
        <v>95080</v>
      </c>
      <c r="T158" s="165">
        <f t="shared" si="445"/>
        <v>12360</v>
      </c>
      <c r="U158" s="166">
        <f t="shared" si="446"/>
        <v>2.6123301984926073E-6</v>
      </c>
      <c r="V158" s="87">
        <v>0.13</v>
      </c>
      <c r="W158" s="224"/>
      <c r="X158" s="23">
        <v>44641</v>
      </c>
      <c r="Y158" s="20" t="s">
        <v>197</v>
      </c>
      <c r="Z158" s="20"/>
      <c r="AA158" s="20"/>
      <c r="AB158" s="168"/>
    </row>
    <row r="159" spans="1:31" s="8" customFormat="1" x14ac:dyDescent="0.25">
      <c r="A159" s="208">
        <v>1</v>
      </c>
      <c r="B159" s="92" t="s">
        <v>199</v>
      </c>
      <c r="C159" s="90" t="str">
        <f>VLOOKUP($F159,Admin!$A$16:$E$19,2,FALSE)</f>
        <v>Alkalmazott (ipari) kutatás – Működési költség</v>
      </c>
      <c r="D159" s="161" t="s">
        <v>129</v>
      </c>
      <c r="E159" s="90" t="str">
        <f>VLOOKUP($F159,Admin!$A$16:$E$19,4,FALSE)</f>
        <v>54. Bérköltség - technikus segédszemélyzet</v>
      </c>
      <c r="F159" s="90" t="s">
        <v>173</v>
      </c>
      <c r="G159" s="161" t="s">
        <v>174</v>
      </c>
      <c r="H159" s="161" t="s">
        <v>196</v>
      </c>
      <c r="I159" s="90" t="str">
        <f>VLOOKUP($F159,Admin!$A$16:$E$19,5,FALSE)</f>
        <v>Technikus</v>
      </c>
      <c r="J159" s="161" t="s">
        <v>47</v>
      </c>
      <c r="K159" s="161" t="str">
        <f t="shared" si="137"/>
        <v>2022.08</v>
      </c>
      <c r="L159" s="91" t="s">
        <v>8</v>
      </c>
      <c r="M159" s="92" t="s">
        <v>78</v>
      </c>
      <c r="N159" s="162">
        <v>137738</v>
      </c>
      <c r="O159" s="163">
        <f t="shared" si="442"/>
        <v>17906</v>
      </c>
      <c r="P159" s="161">
        <v>87</v>
      </c>
      <c r="Q159" s="161">
        <v>47</v>
      </c>
      <c r="R159" s="230">
        <f t="shared" si="443"/>
        <v>0.54022988505747127</v>
      </c>
      <c r="S159" s="164">
        <f t="shared" si="444"/>
        <v>74410</v>
      </c>
      <c r="T159" s="165">
        <f t="shared" si="445"/>
        <v>9673</v>
      </c>
      <c r="U159" s="166">
        <f t="shared" si="446"/>
        <v>1.3352019484491606E-6</v>
      </c>
      <c r="V159" s="87">
        <v>0.13</v>
      </c>
      <c r="W159" s="224"/>
      <c r="X159" s="23">
        <v>44641</v>
      </c>
      <c r="Y159" s="20" t="s">
        <v>197</v>
      </c>
      <c r="Z159" s="20"/>
      <c r="AA159" s="20"/>
      <c r="AB159" s="168"/>
    </row>
    <row r="160" spans="1:31" s="8" customFormat="1" x14ac:dyDescent="0.25">
      <c r="A160" s="208">
        <v>1</v>
      </c>
      <c r="B160" s="92" t="s">
        <v>199</v>
      </c>
      <c r="C160" s="90" t="str">
        <f>VLOOKUP($F160,Admin!$A$16:$E$19,2,FALSE)</f>
        <v>Alkalmazott (ipari) kutatás – Működési költség</v>
      </c>
      <c r="D160" s="161" t="s">
        <v>129</v>
      </c>
      <c r="E160" s="90" t="str">
        <f>VLOOKUP($F160,Admin!$A$16:$E$19,4,FALSE)</f>
        <v>54. Bérköltség - technikus segédszemélyzet</v>
      </c>
      <c r="F160" s="90" t="s">
        <v>173</v>
      </c>
      <c r="G160" s="161" t="s">
        <v>174</v>
      </c>
      <c r="H160" s="161" t="s">
        <v>196</v>
      </c>
      <c r="I160" s="90" t="str">
        <f>VLOOKUP($F160,Admin!$A$16:$E$19,5,FALSE)</f>
        <v>Technikus</v>
      </c>
      <c r="J160" s="161" t="s">
        <v>48</v>
      </c>
      <c r="K160" s="161" t="str">
        <f t="shared" ref="K160:K163" si="447">J160</f>
        <v>2022.09</v>
      </c>
      <c r="L160" s="91" t="s">
        <v>8</v>
      </c>
      <c r="M160" s="92" t="s">
        <v>78</v>
      </c>
      <c r="N160" s="162">
        <v>176000</v>
      </c>
      <c r="O160" s="163">
        <f t="shared" ref="O160" si="448">ROUND(N160*V160,0)</f>
        <v>22880</v>
      </c>
      <c r="P160" s="161">
        <v>87</v>
      </c>
      <c r="Q160" s="161">
        <v>47</v>
      </c>
      <c r="R160" s="230">
        <f t="shared" ref="R160" si="449">Q160/P160</f>
        <v>0.54022988505747127</v>
      </c>
      <c r="S160" s="164">
        <f t="shared" ref="S160" si="450">ROUND(N160*Q160/P160,0)</f>
        <v>95080</v>
      </c>
      <c r="T160" s="165">
        <f t="shared" ref="T160" si="451">ROUND(S160*V160,0)</f>
        <v>12360</v>
      </c>
      <c r="U160" s="166">
        <f t="shared" ref="U160" si="452">Q160/P160-S160/N160</f>
        <v>2.6123301984926073E-6</v>
      </c>
      <c r="V160" s="87">
        <v>0.13</v>
      </c>
      <c r="W160" s="224"/>
      <c r="X160" s="23">
        <v>44799</v>
      </c>
      <c r="Y160" s="20" t="s">
        <v>197</v>
      </c>
      <c r="Z160" s="20"/>
      <c r="AA160" s="20"/>
      <c r="AB160" s="168"/>
    </row>
    <row r="161" spans="1:31" s="8" customFormat="1" x14ac:dyDescent="0.25">
      <c r="A161" s="189"/>
      <c r="B161" s="92" t="s">
        <v>199</v>
      </c>
      <c r="C161" s="90" t="str">
        <f>VLOOKUP($F161,Admin!$A$16:$E$19,2,FALSE)</f>
        <v>Alkalmazott (ipari) kutatás – Működési költség</v>
      </c>
      <c r="D161" s="161" t="s">
        <v>129</v>
      </c>
      <c r="E161" s="90" t="str">
        <f>VLOOKUP($F161,Admin!$A$16:$E$19,4,FALSE)</f>
        <v>54. Bérköltség - technikus segédszemélyzet</v>
      </c>
      <c r="F161" s="90" t="s">
        <v>173</v>
      </c>
      <c r="G161" s="161" t="s">
        <v>174</v>
      </c>
      <c r="H161" s="161" t="s">
        <v>196</v>
      </c>
      <c r="I161" s="90" t="str">
        <f>VLOOKUP($F161,Admin!$A$16:$E$19,5,FALSE)</f>
        <v>Technikus</v>
      </c>
      <c r="J161" s="161" t="s">
        <v>49</v>
      </c>
      <c r="K161" s="161" t="str">
        <f t="shared" si="447"/>
        <v>2022.10</v>
      </c>
      <c r="L161" s="91" t="s">
        <v>8</v>
      </c>
      <c r="M161" s="92" t="s">
        <v>78</v>
      </c>
      <c r="N161" s="162">
        <v>176000</v>
      </c>
      <c r="O161" s="163">
        <f t="shared" ref="O161:O163" si="453">ROUND(N161*V161,0)</f>
        <v>22880</v>
      </c>
      <c r="P161" s="161">
        <v>87</v>
      </c>
      <c r="Q161" s="161">
        <v>47</v>
      </c>
      <c r="R161" s="230">
        <f t="shared" ref="R161:R163" si="454">Q161/P161</f>
        <v>0.54022988505747127</v>
      </c>
      <c r="S161" s="164">
        <f t="shared" ref="S161:S163" si="455">ROUND(N161*Q161/P161,0)</f>
        <v>95080</v>
      </c>
      <c r="T161" s="165">
        <f t="shared" ref="T161:T163" si="456">ROUND(S161*V161,0)</f>
        <v>12360</v>
      </c>
      <c r="U161" s="166">
        <f t="shared" ref="U161:U163" si="457">Q161/P161-S161/N161</f>
        <v>2.6123301984926073E-6</v>
      </c>
      <c r="V161" s="87">
        <v>0.13</v>
      </c>
      <c r="W161" s="224"/>
      <c r="X161" s="23">
        <v>44799</v>
      </c>
      <c r="Y161" s="20" t="s">
        <v>197</v>
      </c>
      <c r="Z161" s="20"/>
      <c r="AA161" s="20"/>
      <c r="AB161" s="168"/>
    </row>
    <row r="162" spans="1:31" s="8" customFormat="1" x14ac:dyDescent="0.25">
      <c r="A162" s="189"/>
      <c r="B162" s="92" t="s">
        <v>199</v>
      </c>
      <c r="C162" s="90" t="str">
        <f>VLOOKUP($F162,Admin!$A$16:$E$19,2,FALSE)</f>
        <v>Alkalmazott (ipari) kutatás – Működési költség</v>
      </c>
      <c r="D162" s="161" t="s">
        <v>129</v>
      </c>
      <c r="E162" s="90" t="str">
        <f>VLOOKUP($F162,Admin!$A$16:$E$19,4,FALSE)</f>
        <v>54. Bérköltség - technikus segédszemélyzet</v>
      </c>
      <c r="F162" s="90" t="s">
        <v>173</v>
      </c>
      <c r="G162" s="161" t="s">
        <v>174</v>
      </c>
      <c r="H162" s="161" t="s">
        <v>196</v>
      </c>
      <c r="I162" s="90" t="str">
        <f>VLOOKUP($F162,Admin!$A$16:$E$19,5,FALSE)</f>
        <v>Technikus</v>
      </c>
      <c r="J162" s="161" t="s">
        <v>50</v>
      </c>
      <c r="K162" s="161" t="str">
        <f t="shared" si="447"/>
        <v>2022.11</v>
      </c>
      <c r="L162" s="91" t="s">
        <v>8</v>
      </c>
      <c r="M162" s="92" t="s">
        <v>78</v>
      </c>
      <c r="N162" s="162">
        <v>176000</v>
      </c>
      <c r="O162" s="163">
        <f t="shared" si="453"/>
        <v>22880</v>
      </c>
      <c r="P162" s="161">
        <v>87</v>
      </c>
      <c r="Q162" s="161">
        <v>47</v>
      </c>
      <c r="R162" s="230">
        <f t="shared" si="454"/>
        <v>0.54022988505747127</v>
      </c>
      <c r="S162" s="164">
        <f t="shared" si="455"/>
        <v>95080</v>
      </c>
      <c r="T162" s="165">
        <f t="shared" si="456"/>
        <v>12360</v>
      </c>
      <c r="U162" s="166">
        <f t="shared" si="457"/>
        <v>2.6123301984926073E-6</v>
      </c>
      <c r="V162" s="87">
        <v>0.13</v>
      </c>
      <c r="W162" s="224" t="s">
        <v>229</v>
      </c>
      <c r="X162" s="23">
        <v>44799</v>
      </c>
      <c r="Y162" s="20" t="s">
        <v>197</v>
      </c>
      <c r="Z162" s="20"/>
      <c r="AA162" s="20"/>
      <c r="AB162" s="168"/>
      <c r="AC162" s="211" t="e">
        <v>#N/A</v>
      </c>
      <c r="AD162" s="211" t="e">
        <v>#N/A</v>
      </c>
      <c r="AE162" s="212" t="e">
        <v>#N/A</v>
      </c>
    </row>
    <row r="163" spans="1:31" s="8" customFormat="1" x14ac:dyDescent="0.25">
      <c r="A163" s="189"/>
      <c r="B163" s="92" t="s">
        <v>199</v>
      </c>
      <c r="C163" s="90" t="str">
        <f>VLOOKUP($F163,Admin!$A$16:$E$19,2,FALSE)</f>
        <v>Alkalmazott (ipari) kutatás – Működési költség</v>
      </c>
      <c r="D163" s="161" t="s">
        <v>129</v>
      </c>
      <c r="E163" s="90" t="str">
        <f>VLOOKUP($F163,Admin!$A$16:$E$19,4,FALSE)</f>
        <v>54. Bérköltség - technikus segédszemélyzet</v>
      </c>
      <c r="F163" s="90" t="s">
        <v>173</v>
      </c>
      <c r="G163" s="161" t="s">
        <v>174</v>
      </c>
      <c r="H163" s="161" t="s">
        <v>196</v>
      </c>
      <c r="I163" s="90" t="str">
        <f>VLOOKUP($F163,Admin!$A$16:$E$19,5,FALSE)</f>
        <v>Technikus</v>
      </c>
      <c r="J163" s="161" t="s">
        <v>51</v>
      </c>
      <c r="K163" s="161" t="str">
        <f t="shared" si="447"/>
        <v>2022.12</v>
      </c>
      <c r="L163" s="91" t="s">
        <v>8</v>
      </c>
      <c r="M163" s="92" t="s">
        <v>78</v>
      </c>
      <c r="N163" s="162">
        <v>176000</v>
      </c>
      <c r="O163" s="163">
        <f t="shared" si="453"/>
        <v>22880</v>
      </c>
      <c r="P163" s="161">
        <v>87</v>
      </c>
      <c r="Q163" s="161">
        <v>47</v>
      </c>
      <c r="R163" s="230">
        <f t="shared" si="454"/>
        <v>0.54022988505747127</v>
      </c>
      <c r="S163" s="164">
        <f t="shared" si="455"/>
        <v>95080</v>
      </c>
      <c r="T163" s="165">
        <f t="shared" si="456"/>
        <v>12360</v>
      </c>
      <c r="U163" s="166">
        <f t="shared" si="457"/>
        <v>2.6123301984926073E-6</v>
      </c>
      <c r="V163" s="87">
        <v>0.13</v>
      </c>
      <c r="W163" s="224" t="s">
        <v>229</v>
      </c>
      <c r="X163" s="23">
        <v>44799</v>
      </c>
      <c r="Y163" s="20" t="s">
        <v>197</v>
      </c>
      <c r="Z163" s="20"/>
      <c r="AA163" s="20"/>
      <c r="AB163" s="168"/>
      <c r="AC163" s="211" t="s">
        <v>248</v>
      </c>
      <c r="AD163" s="219" t="s">
        <v>249</v>
      </c>
      <c r="AE163" s="211" t="s">
        <v>249</v>
      </c>
    </row>
    <row r="164" spans="1:31" s="8" customFormat="1" x14ac:dyDescent="0.25">
      <c r="A164" s="189"/>
      <c r="B164" s="92" t="s">
        <v>199</v>
      </c>
      <c r="C164" s="90" t="str">
        <f>VLOOKUP($F164,Admin!$A$16:$E$19,2,FALSE)</f>
        <v>Alkalmazott (ipari) kutatás – Működési költség</v>
      </c>
      <c r="D164" s="161" t="s">
        <v>129</v>
      </c>
      <c r="E164" s="90" t="str">
        <f>VLOOKUP($F164,Admin!$A$16:$E$19,4,FALSE)</f>
        <v>54. Bérköltség - technikus segédszemélyzet</v>
      </c>
      <c r="F164" s="90" t="s">
        <v>173</v>
      </c>
      <c r="G164" s="161" t="s">
        <v>174</v>
      </c>
      <c r="H164" s="161" t="s">
        <v>196</v>
      </c>
      <c r="I164" s="90" t="str">
        <f>VLOOKUP($F164,Admin!$A$16:$E$19,5,FALSE)</f>
        <v>Technikus</v>
      </c>
      <c r="J164" s="161" t="s">
        <v>64</v>
      </c>
      <c r="K164" s="161" t="str">
        <f t="shared" ref="K164:K166" si="458">J164</f>
        <v>2023.01</v>
      </c>
      <c r="L164" s="91" t="s">
        <v>8</v>
      </c>
      <c r="M164" s="92" t="s">
        <v>78</v>
      </c>
      <c r="N164" s="162">
        <v>202399</v>
      </c>
      <c r="O164" s="163">
        <f t="shared" ref="O164" si="459">ROUND(N164*V164,0)</f>
        <v>26312</v>
      </c>
      <c r="P164" s="161">
        <v>87</v>
      </c>
      <c r="Q164" s="161">
        <v>43</v>
      </c>
      <c r="R164" s="230">
        <f t="shared" ref="R164" si="460">Q164/P164</f>
        <v>0.4942528735632184</v>
      </c>
      <c r="S164" s="164">
        <f t="shared" ref="S164" si="461">ROUND(N164*Q164/P164,0)</f>
        <v>100036</v>
      </c>
      <c r="T164" s="165">
        <f t="shared" ref="T164" si="462">ROUND(S164*V164,0)</f>
        <v>13005</v>
      </c>
      <c r="U164" s="166">
        <f t="shared" ref="U164" si="463">Q164/P164-S164/N164</f>
        <v>1.4197516877145766E-6</v>
      </c>
      <c r="V164" s="87">
        <v>0.13</v>
      </c>
      <c r="W164" s="224" t="s">
        <v>229</v>
      </c>
      <c r="X164" s="23">
        <v>44945</v>
      </c>
      <c r="Y164" s="20" t="s">
        <v>197</v>
      </c>
      <c r="Z164" s="20"/>
      <c r="AA164" s="20"/>
      <c r="AB164" s="168"/>
      <c r="AC164" s="211" t="s">
        <v>248</v>
      </c>
      <c r="AD164" s="211">
        <v>0</v>
      </c>
      <c r="AE164" s="211">
        <v>0</v>
      </c>
    </row>
    <row r="165" spans="1:31" s="8" customFormat="1" x14ac:dyDescent="0.25">
      <c r="A165" s="189"/>
      <c r="B165" s="92" t="s">
        <v>199</v>
      </c>
      <c r="C165" s="90" t="str">
        <f>VLOOKUP($F165,Admin!$A$16:$E$19,2,FALSE)</f>
        <v>Alkalmazott (ipari) kutatás – Működési költség</v>
      </c>
      <c r="D165" s="161" t="s">
        <v>129</v>
      </c>
      <c r="E165" s="90" t="str">
        <f>VLOOKUP($F165,Admin!$A$16:$E$19,4,FALSE)</f>
        <v>54. Bérköltség - technikus segédszemélyzet</v>
      </c>
      <c r="F165" s="90" t="s">
        <v>173</v>
      </c>
      <c r="G165" s="161" t="s">
        <v>174</v>
      </c>
      <c r="H165" s="161" t="s">
        <v>250</v>
      </c>
      <c r="I165" s="90" t="str">
        <f>VLOOKUP($F165,Admin!$A$16:$E$19,5,FALSE)</f>
        <v>Technikus</v>
      </c>
      <c r="J165" s="161" t="s">
        <v>65</v>
      </c>
      <c r="K165" s="161" t="str">
        <f t="shared" si="458"/>
        <v>2023.02</v>
      </c>
      <c r="L165" s="91" t="s">
        <v>8</v>
      </c>
      <c r="M165" s="92" t="s">
        <v>78</v>
      </c>
      <c r="N165" s="162">
        <v>202400</v>
      </c>
      <c r="O165" s="163">
        <f t="shared" ref="O165:O166" si="464">ROUND(N165*V165,0)</f>
        <v>26312</v>
      </c>
      <c r="P165" s="161">
        <v>87</v>
      </c>
      <c r="Q165" s="161">
        <v>43</v>
      </c>
      <c r="R165" s="230">
        <f t="shared" ref="R165:R166" si="465">Q165/P165</f>
        <v>0.4942528735632184</v>
      </c>
      <c r="S165" s="164">
        <f t="shared" ref="S165:S166" si="466">ROUND(N165*Q165/P165,0)</f>
        <v>100037</v>
      </c>
      <c r="T165" s="165">
        <f t="shared" ref="T165:T166" si="467">ROUND(S165*V165,0)</f>
        <v>13005</v>
      </c>
      <c r="U165" s="166">
        <f t="shared" ref="U165:U166" si="468">Q165/P165-S165/N165</f>
        <v>-1.0790059515874972E-6</v>
      </c>
      <c r="V165" s="87">
        <v>0.13</v>
      </c>
      <c r="W165" s="224" t="s">
        <v>229</v>
      </c>
      <c r="X165" s="23">
        <v>44945</v>
      </c>
      <c r="Y165" s="20" t="s">
        <v>197</v>
      </c>
      <c r="Z165" s="20"/>
      <c r="AA165" s="20"/>
      <c r="AB165" s="168"/>
      <c r="AC165" s="8" t="e">
        <v>#N/A</v>
      </c>
      <c r="AD165" s="8" t="e">
        <v>#N/A</v>
      </c>
      <c r="AE165" s="8" t="e">
        <v>#N/A</v>
      </c>
    </row>
    <row r="166" spans="1:31" s="8" customFormat="1" x14ac:dyDescent="0.25">
      <c r="A166" s="189"/>
      <c r="B166" s="92" t="s">
        <v>199</v>
      </c>
      <c r="C166" s="90" t="str">
        <f>VLOOKUP($F166,Admin!$A$16:$E$19,2,FALSE)</f>
        <v>Alkalmazott (ipari) kutatás – Működési költség</v>
      </c>
      <c r="D166" s="161" t="s">
        <v>129</v>
      </c>
      <c r="E166" s="90" t="str">
        <f>VLOOKUP($F166,Admin!$A$16:$E$19,4,FALSE)</f>
        <v>54. Bérköltség - technikus segédszemélyzet</v>
      </c>
      <c r="F166" s="90" t="s">
        <v>173</v>
      </c>
      <c r="G166" s="161" t="s">
        <v>174</v>
      </c>
      <c r="H166" s="161" t="s">
        <v>250</v>
      </c>
      <c r="I166" s="90" t="str">
        <f>VLOOKUP($F166,Admin!$A$16:$E$19,5,FALSE)</f>
        <v>Technikus</v>
      </c>
      <c r="J166" s="161" t="s">
        <v>66</v>
      </c>
      <c r="K166" s="161" t="str">
        <f t="shared" si="458"/>
        <v>2023.03</v>
      </c>
      <c r="L166" s="91" t="s">
        <v>8</v>
      </c>
      <c r="M166" s="92" t="s">
        <v>78</v>
      </c>
      <c r="N166" s="162">
        <v>202400</v>
      </c>
      <c r="O166" s="163">
        <f t="shared" si="464"/>
        <v>26312</v>
      </c>
      <c r="P166" s="161">
        <v>87</v>
      </c>
      <c r="Q166" s="161">
        <v>43</v>
      </c>
      <c r="R166" s="230">
        <f t="shared" si="465"/>
        <v>0.4942528735632184</v>
      </c>
      <c r="S166" s="164">
        <f t="shared" si="466"/>
        <v>100037</v>
      </c>
      <c r="T166" s="165">
        <f t="shared" si="467"/>
        <v>13005</v>
      </c>
      <c r="U166" s="166">
        <f t="shared" si="468"/>
        <v>-1.0790059515874972E-6</v>
      </c>
      <c r="V166" s="87">
        <v>0.13</v>
      </c>
      <c r="W166" s="224" t="s">
        <v>229</v>
      </c>
      <c r="X166" s="23">
        <v>44945</v>
      </c>
      <c r="Y166" s="20" t="s">
        <v>197</v>
      </c>
      <c r="Z166" s="20"/>
      <c r="AA166" s="20"/>
      <c r="AB166" s="168"/>
      <c r="AC166" s="8" t="e">
        <v>#N/A</v>
      </c>
      <c r="AD166" s="8" t="e">
        <v>#N/A</v>
      </c>
      <c r="AE166" s="8" t="e">
        <v>#N/A</v>
      </c>
    </row>
    <row r="167" spans="1:31" s="8" customFormat="1" x14ac:dyDescent="0.25">
      <c r="A167" s="189"/>
      <c r="B167" s="92" t="s">
        <v>256</v>
      </c>
      <c r="C167" s="90" t="str">
        <f>VLOOKUP($F167,Admin!$A$16:$E$19,2,FALSE)</f>
        <v>Alkalmazott (ipari) kutatás – Működési költség</v>
      </c>
      <c r="D167" s="161" t="s">
        <v>129</v>
      </c>
      <c r="E167" s="90" t="str">
        <f>VLOOKUP($F167,Admin!$A$16:$E$19,4,FALSE)</f>
        <v>54. Bérköltség - Kutató-fejlesztő munkatárs</v>
      </c>
      <c r="F167" s="90" t="s">
        <v>171</v>
      </c>
      <c r="G167" s="161" t="s">
        <v>174</v>
      </c>
      <c r="H167" s="161" t="s">
        <v>257</v>
      </c>
      <c r="I167" s="90" t="str">
        <f>VLOOKUP($F167,Admin!$A$16:$E$19,5,FALSE)</f>
        <v>K+F munkatárs</v>
      </c>
      <c r="J167" s="161" t="s">
        <v>69</v>
      </c>
      <c r="K167" s="161" t="str">
        <f t="shared" ref="K167" si="469">J167</f>
        <v>2023.06</v>
      </c>
      <c r="L167" s="91" t="s">
        <v>9</v>
      </c>
      <c r="M167" s="92" t="s">
        <v>78</v>
      </c>
      <c r="N167" s="162">
        <v>453200</v>
      </c>
      <c r="O167" s="163">
        <f t="shared" ref="O167" si="470">ROUND(N167*V167,0)</f>
        <v>58916</v>
      </c>
      <c r="P167" s="161">
        <v>174</v>
      </c>
      <c r="Q167" s="161">
        <v>68</v>
      </c>
      <c r="R167" s="230">
        <f t="shared" ref="R167" si="471">Q167/P167</f>
        <v>0.39080459770114945</v>
      </c>
      <c r="S167" s="164">
        <f t="shared" ref="S167" si="472">ROUND(N167*Q167/P167,0)</f>
        <v>177113</v>
      </c>
      <c r="T167" s="165">
        <f t="shared" ref="T167" si="473">ROUND(S167*V167,0)</f>
        <v>23025</v>
      </c>
      <c r="U167" s="166">
        <f t="shared" ref="U167" si="474">Q167/P167-S167/N167</f>
        <v>-7.8623530247456941E-7</v>
      </c>
      <c r="V167" s="87">
        <v>0.13</v>
      </c>
      <c r="W167" s="224" t="s">
        <v>258</v>
      </c>
      <c r="X167" s="23">
        <v>45057</v>
      </c>
      <c r="Y167" s="20" t="s">
        <v>197</v>
      </c>
      <c r="Z167" s="20"/>
      <c r="AA167" s="20"/>
      <c r="AB167" s="168"/>
    </row>
    <row r="168" spans="1:31" s="8" customFormat="1" x14ac:dyDescent="0.25">
      <c r="A168" s="189"/>
      <c r="B168" s="92" t="s">
        <v>256</v>
      </c>
      <c r="C168" s="90" t="str">
        <f>VLOOKUP($F168,Admin!$A$16:$E$19,2,FALSE)</f>
        <v>Alkalmazott (ipari) kutatás – Működési költség</v>
      </c>
      <c r="D168" s="161" t="s">
        <v>129</v>
      </c>
      <c r="E168" s="90" t="str">
        <f>VLOOKUP($F168,Admin!$A$16:$E$19,4,FALSE)</f>
        <v>54. Bérköltség - Kutató-fejlesztő munkatárs</v>
      </c>
      <c r="F168" s="90" t="s">
        <v>171</v>
      </c>
      <c r="G168" s="161" t="s">
        <v>174</v>
      </c>
      <c r="H168" s="161" t="s">
        <v>257</v>
      </c>
      <c r="I168" s="90" t="str">
        <f>VLOOKUP($F168,Admin!$A$16:$E$19,5,FALSE)</f>
        <v>K+F munkatárs</v>
      </c>
      <c r="J168" s="161" t="s">
        <v>70</v>
      </c>
      <c r="K168" s="161" t="str">
        <f t="shared" ref="K168:K171" si="475">J168</f>
        <v>2023.07</v>
      </c>
      <c r="L168" s="91" t="s">
        <v>9</v>
      </c>
      <c r="M168" s="92" t="s">
        <v>78</v>
      </c>
      <c r="N168" s="162">
        <v>453200</v>
      </c>
      <c r="O168" s="163">
        <f t="shared" ref="O168:O171" si="476">ROUND(N168*V168,0)</f>
        <v>58916</v>
      </c>
      <c r="P168" s="161">
        <v>174</v>
      </c>
      <c r="Q168" s="161">
        <v>68</v>
      </c>
      <c r="R168" s="230">
        <f t="shared" ref="R168:R171" si="477">Q168/P168</f>
        <v>0.39080459770114945</v>
      </c>
      <c r="S168" s="164">
        <f t="shared" ref="S168:S171" si="478">ROUND(N168*Q168/P168,0)</f>
        <v>177113</v>
      </c>
      <c r="T168" s="165">
        <f t="shared" ref="T168:T171" si="479">ROUND(S168*V168,0)</f>
        <v>23025</v>
      </c>
      <c r="U168" s="166">
        <f t="shared" ref="U168:U171" si="480">Q168/P168-S168/N168</f>
        <v>-7.8623530247456941E-7</v>
      </c>
      <c r="V168" s="87">
        <v>0.13</v>
      </c>
      <c r="W168" s="224" t="s">
        <v>258</v>
      </c>
      <c r="X168" s="23">
        <v>45057</v>
      </c>
      <c r="Y168" s="20" t="s">
        <v>197</v>
      </c>
      <c r="Z168" s="20"/>
      <c r="AA168" s="20"/>
      <c r="AB168" s="168"/>
    </row>
    <row r="169" spans="1:31" s="8" customFormat="1" x14ac:dyDescent="0.25">
      <c r="A169" s="189"/>
      <c r="B169" s="92" t="s">
        <v>256</v>
      </c>
      <c r="C169" s="90" t="str">
        <f>VLOOKUP($F169,Admin!$A$16:$E$19,2,FALSE)</f>
        <v>Alkalmazott (ipari) kutatás – Működési költség</v>
      </c>
      <c r="D169" s="161" t="s">
        <v>129</v>
      </c>
      <c r="E169" s="90" t="str">
        <f>VLOOKUP($F169,Admin!$A$16:$E$19,4,FALSE)</f>
        <v>54. Bérköltség - Kutató-fejlesztő munkatárs</v>
      </c>
      <c r="F169" s="90" t="s">
        <v>171</v>
      </c>
      <c r="G169" s="161" t="s">
        <v>174</v>
      </c>
      <c r="H169" s="161" t="s">
        <v>257</v>
      </c>
      <c r="I169" s="90" t="str">
        <f>VLOOKUP($F169,Admin!$A$16:$E$19,5,FALSE)</f>
        <v>K+F munkatárs</v>
      </c>
      <c r="J169" s="161" t="s">
        <v>71</v>
      </c>
      <c r="K169" s="161" t="str">
        <f t="shared" si="475"/>
        <v>2023.08</v>
      </c>
      <c r="L169" s="91" t="s">
        <v>9</v>
      </c>
      <c r="M169" s="92" t="s">
        <v>78</v>
      </c>
      <c r="N169" s="162">
        <v>453200</v>
      </c>
      <c r="O169" s="163">
        <f t="shared" si="476"/>
        <v>58916</v>
      </c>
      <c r="P169" s="161">
        <v>174</v>
      </c>
      <c r="Q169" s="161">
        <v>68</v>
      </c>
      <c r="R169" s="230">
        <f t="shared" si="477"/>
        <v>0.39080459770114945</v>
      </c>
      <c r="S169" s="164">
        <f t="shared" si="478"/>
        <v>177113</v>
      </c>
      <c r="T169" s="165">
        <f t="shared" si="479"/>
        <v>23025</v>
      </c>
      <c r="U169" s="166">
        <f t="shared" si="480"/>
        <v>-7.8623530247456941E-7</v>
      </c>
      <c r="V169" s="87">
        <v>0.13</v>
      </c>
      <c r="W169" s="224" t="s">
        <v>258</v>
      </c>
      <c r="X169" s="23">
        <v>45057</v>
      </c>
      <c r="Y169" s="20" t="s">
        <v>197</v>
      </c>
      <c r="Z169" s="20"/>
      <c r="AA169" s="20"/>
      <c r="AB169" s="168"/>
    </row>
    <row r="170" spans="1:31" s="8" customFormat="1" x14ac:dyDescent="0.25">
      <c r="A170" s="189"/>
      <c r="B170" s="92" t="s">
        <v>256</v>
      </c>
      <c r="C170" s="90" t="str">
        <f>VLOOKUP($F170,Admin!$A$16:$E$19,2,FALSE)</f>
        <v>Alkalmazott (ipari) kutatás – Működési költség</v>
      </c>
      <c r="D170" s="161" t="s">
        <v>129</v>
      </c>
      <c r="E170" s="90" t="str">
        <f>VLOOKUP($F170,Admin!$A$16:$E$19,4,FALSE)</f>
        <v>54. Bérköltség - Kutató-fejlesztő munkatárs</v>
      </c>
      <c r="F170" s="90" t="s">
        <v>171</v>
      </c>
      <c r="G170" s="161" t="s">
        <v>174</v>
      </c>
      <c r="H170" s="161" t="s">
        <v>257</v>
      </c>
      <c r="I170" s="90" t="str">
        <f>VLOOKUP($F170,Admin!$A$16:$E$19,5,FALSE)</f>
        <v>K+F munkatárs</v>
      </c>
      <c r="J170" s="161" t="s">
        <v>72</v>
      </c>
      <c r="K170" s="161" t="str">
        <f t="shared" si="475"/>
        <v>2023.09</v>
      </c>
      <c r="L170" s="91" t="s">
        <v>9</v>
      </c>
      <c r="M170" s="92" t="s">
        <v>78</v>
      </c>
      <c r="N170" s="162">
        <v>453200</v>
      </c>
      <c r="O170" s="163">
        <f t="shared" si="476"/>
        <v>58916</v>
      </c>
      <c r="P170" s="161">
        <v>174</v>
      </c>
      <c r="Q170" s="161">
        <v>68</v>
      </c>
      <c r="R170" s="230">
        <f t="shared" si="477"/>
        <v>0.39080459770114945</v>
      </c>
      <c r="S170" s="164">
        <f t="shared" si="478"/>
        <v>177113</v>
      </c>
      <c r="T170" s="165">
        <f t="shared" si="479"/>
        <v>23025</v>
      </c>
      <c r="U170" s="166">
        <f t="shared" si="480"/>
        <v>-7.8623530247456941E-7</v>
      </c>
      <c r="V170" s="87">
        <v>0.13</v>
      </c>
      <c r="W170" s="224" t="s">
        <v>258</v>
      </c>
      <c r="X170" s="23">
        <v>45057</v>
      </c>
      <c r="Y170" s="20" t="s">
        <v>197</v>
      </c>
      <c r="Z170" s="20"/>
      <c r="AA170" s="20"/>
      <c r="AB170" s="168"/>
    </row>
    <row r="171" spans="1:31" s="8" customFormat="1" x14ac:dyDescent="0.25">
      <c r="A171" s="189"/>
      <c r="B171" s="92" t="s">
        <v>256</v>
      </c>
      <c r="C171" s="90" t="str">
        <f>VLOOKUP($F171,Admin!$A$16:$E$19,2,FALSE)</f>
        <v>Alkalmazott (ipari) kutatás – Működési költség</v>
      </c>
      <c r="D171" s="161" t="s">
        <v>129</v>
      </c>
      <c r="E171" s="90" t="str">
        <f>VLOOKUP($F171,Admin!$A$16:$E$19,4,FALSE)</f>
        <v>54. Bérköltség - Kutató-fejlesztő munkatárs</v>
      </c>
      <c r="F171" s="90" t="s">
        <v>171</v>
      </c>
      <c r="G171" s="161" t="s">
        <v>174</v>
      </c>
      <c r="H171" s="161" t="s">
        <v>257</v>
      </c>
      <c r="I171" s="90" t="str">
        <f>VLOOKUP($F171,Admin!$A$16:$E$19,5,FALSE)</f>
        <v>K+F munkatárs</v>
      </c>
      <c r="J171" s="161" t="s">
        <v>73</v>
      </c>
      <c r="K171" s="161" t="str">
        <f t="shared" si="475"/>
        <v>2023.10</v>
      </c>
      <c r="L171" s="91" t="s">
        <v>9</v>
      </c>
      <c r="M171" s="92" t="s">
        <v>78</v>
      </c>
      <c r="N171" s="162">
        <v>453200</v>
      </c>
      <c r="O171" s="163">
        <f t="shared" si="476"/>
        <v>58916</v>
      </c>
      <c r="P171" s="161">
        <v>174</v>
      </c>
      <c r="Q171" s="161">
        <v>68</v>
      </c>
      <c r="R171" s="230">
        <f t="shared" si="477"/>
        <v>0.39080459770114945</v>
      </c>
      <c r="S171" s="164">
        <f t="shared" si="478"/>
        <v>177113</v>
      </c>
      <c r="T171" s="165">
        <f t="shared" si="479"/>
        <v>23025</v>
      </c>
      <c r="U171" s="166">
        <f t="shared" si="480"/>
        <v>-7.8623530247456941E-7</v>
      </c>
      <c r="V171" s="87">
        <v>0.13</v>
      </c>
      <c r="W171" s="224" t="s">
        <v>258</v>
      </c>
      <c r="X171" s="23">
        <v>45057</v>
      </c>
      <c r="Y171" s="20" t="s">
        <v>197</v>
      </c>
      <c r="Z171" s="20"/>
      <c r="AA171" s="20"/>
      <c r="AB171" s="168"/>
    </row>
    <row r="172" spans="1:31" s="8" customFormat="1" x14ac:dyDescent="0.25">
      <c r="A172" s="208">
        <v>1</v>
      </c>
      <c r="B172" s="92" t="s">
        <v>205</v>
      </c>
      <c r="C172" s="90" t="str">
        <f>VLOOKUP($F172,Admin!$A$16:$E$19,2,FALSE)</f>
        <v>Alkalmazott (ipari) kutatás – Működési költség</v>
      </c>
      <c r="D172" s="161" t="s">
        <v>129</v>
      </c>
      <c r="E172" s="90" t="str">
        <f>VLOOKUP($F172,Admin!$A$16:$E$19,4,FALSE)</f>
        <v>54. Bérköltség - Kutató-fejlesztő munkatárs</v>
      </c>
      <c r="F172" s="90" t="s">
        <v>171</v>
      </c>
      <c r="G172" s="161" t="s">
        <v>174</v>
      </c>
      <c r="H172" s="161" t="s">
        <v>206</v>
      </c>
      <c r="I172" s="90" t="str">
        <f>VLOOKUP($F172,Admin!$A$16:$E$19,5,FALSE)</f>
        <v>K+F munkatárs</v>
      </c>
      <c r="J172" s="161" t="s">
        <v>43</v>
      </c>
      <c r="K172" s="161" t="str">
        <f t="shared" si="137"/>
        <v>2022.04</v>
      </c>
      <c r="L172" s="91" t="s">
        <v>8</v>
      </c>
      <c r="M172" s="92" t="s">
        <v>78</v>
      </c>
      <c r="N172" s="162">
        <v>1004800</v>
      </c>
      <c r="O172" s="163">
        <f t="shared" ref="O172" si="481">ROUND(N172*V172,0)</f>
        <v>130624</v>
      </c>
      <c r="P172" s="161">
        <v>174</v>
      </c>
      <c r="Q172" s="161">
        <v>34</v>
      </c>
      <c r="R172" s="230">
        <f t="shared" ref="R172" si="482">Q172/P172</f>
        <v>0.19540229885057472</v>
      </c>
      <c r="S172" s="164">
        <f t="shared" ref="S172" si="483">ROUND(N172*Q172/P172,0)</f>
        <v>196340</v>
      </c>
      <c r="T172" s="165">
        <f t="shared" ref="T172" si="484">ROUND(S172*V172,0)</f>
        <v>25524</v>
      </c>
      <c r="U172" s="166">
        <f t="shared" ref="U172" si="485">Q172/P172-S172/N172</f>
        <v>2.2878688046845674E-7</v>
      </c>
      <c r="V172" s="87">
        <v>0.13</v>
      </c>
      <c r="W172" s="224"/>
      <c r="X172" s="23">
        <v>44649</v>
      </c>
      <c r="Y172" s="20" t="s">
        <v>197</v>
      </c>
      <c r="Z172" s="20"/>
      <c r="AA172" s="20"/>
      <c r="AB172" s="168"/>
    </row>
    <row r="173" spans="1:31" s="8" customFormat="1" x14ac:dyDescent="0.25">
      <c r="A173" s="208">
        <v>1</v>
      </c>
      <c r="B173" s="92" t="s">
        <v>205</v>
      </c>
      <c r="C173" s="90" t="str">
        <f>VLOOKUP($F173,Admin!$A$16:$E$19,2,FALSE)</f>
        <v>Alkalmazott (ipari) kutatás – Működési költség</v>
      </c>
      <c r="D173" s="161" t="s">
        <v>129</v>
      </c>
      <c r="E173" s="90" t="str">
        <f>VLOOKUP($F173,Admin!$A$16:$E$19,4,FALSE)</f>
        <v>54. Bérköltség - Kutató-fejlesztő munkatárs</v>
      </c>
      <c r="F173" s="90" t="s">
        <v>171</v>
      </c>
      <c r="G173" s="161" t="s">
        <v>174</v>
      </c>
      <c r="H173" s="161" t="s">
        <v>206</v>
      </c>
      <c r="I173" s="90" t="str">
        <f>VLOOKUP($F173,Admin!$A$16:$E$19,5,FALSE)</f>
        <v>K+F munkatárs</v>
      </c>
      <c r="J173" s="161" t="s">
        <v>44</v>
      </c>
      <c r="K173" s="161" t="str">
        <f t="shared" ref="K173:K174" si="486">J173</f>
        <v>2022.05</v>
      </c>
      <c r="L173" s="91" t="s">
        <v>8</v>
      </c>
      <c r="M173" s="92" t="s">
        <v>78</v>
      </c>
      <c r="N173" s="162">
        <v>1004800</v>
      </c>
      <c r="O173" s="163">
        <f t="shared" ref="O173:O174" si="487">ROUND(N173*V173,0)</f>
        <v>130624</v>
      </c>
      <c r="P173" s="161">
        <v>174</v>
      </c>
      <c r="Q173" s="161">
        <v>34</v>
      </c>
      <c r="R173" s="230">
        <f t="shared" ref="R173:R174" si="488">Q173/P173</f>
        <v>0.19540229885057472</v>
      </c>
      <c r="S173" s="164">
        <f t="shared" ref="S173:S174" si="489">ROUND(N173*Q173/P173,0)</f>
        <v>196340</v>
      </c>
      <c r="T173" s="165">
        <f t="shared" ref="T173:T174" si="490">ROUND(S173*V173,0)</f>
        <v>25524</v>
      </c>
      <c r="U173" s="166">
        <f t="shared" ref="U173:U174" si="491">Q173/P173-S173/N173</f>
        <v>2.2878688046845674E-7</v>
      </c>
      <c r="V173" s="87">
        <v>0.13</v>
      </c>
      <c r="W173" s="224"/>
      <c r="X173" s="23">
        <v>44649</v>
      </c>
      <c r="Y173" s="20" t="s">
        <v>197</v>
      </c>
      <c r="Z173" s="20"/>
      <c r="AA173" s="20"/>
      <c r="AB173" s="168"/>
    </row>
    <row r="174" spans="1:31" s="8" customFormat="1" x14ac:dyDescent="0.25">
      <c r="A174" s="208">
        <v>1</v>
      </c>
      <c r="B174" s="92" t="s">
        <v>205</v>
      </c>
      <c r="C174" s="90" t="str">
        <f>VLOOKUP($F174,Admin!$A$16:$E$19,2,FALSE)</f>
        <v>Alkalmazott (ipari) kutatás – Működési költség</v>
      </c>
      <c r="D174" s="161" t="s">
        <v>129</v>
      </c>
      <c r="E174" s="90" t="str">
        <f>VLOOKUP($F174,Admin!$A$16:$E$19,4,FALSE)</f>
        <v>54. Bérköltség - Kutató-fejlesztő munkatárs</v>
      </c>
      <c r="F174" s="90" t="s">
        <v>171</v>
      </c>
      <c r="G174" s="161" t="s">
        <v>174</v>
      </c>
      <c r="H174" s="161" t="s">
        <v>206</v>
      </c>
      <c r="I174" s="90" t="str">
        <f>VLOOKUP($F174,Admin!$A$16:$E$19,5,FALSE)</f>
        <v>K+F munkatárs</v>
      </c>
      <c r="J174" s="161" t="s">
        <v>45</v>
      </c>
      <c r="K174" s="161" t="str">
        <f t="shared" si="486"/>
        <v>2022.06</v>
      </c>
      <c r="L174" s="91" t="s">
        <v>8</v>
      </c>
      <c r="M174" s="92" t="s">
        <v>78</v>
      </c>
      <c r="N174" s="162">
        <v>1004800</v>
      </c>
      <c r="O174" s="163">
        <f t="shared" si="487"/>
        <v>130624</v>
      </c>
      <c r="P174" s="161">
        <v>174</v>
      </c>
      <c r="Q174" s="161">
        <v>34</v>
      </c>
      <c r="R174" s="230">
        <f t="shared" si="488"/>
        <v>0.19540229885057472</v>
      </c>
      <c r="S174" s="164">
        <f t="shared" si="489"/>
        <v>196340</v>
      </c>
      <c r="T174" s="165">
        <f t="shared" si="490"/>
        <v>25524</v>
      </c>
      <c r="U174" s="166">
        <f t="shared" si="491"/>
        <v>2.2878688046845674E-7</v>
      </c>
      <c r="V174" s="87">
        <v>0.13</v>
      </c>
      <c r="W174" s="224"/>
      <c r="X174" s="23">
        <v>44713</v>
      </c>
      <c r="Y174" s="20" t="s">
        <v>197</v>
      </c>
      <c r="Z174" s="20"/>
      <c r="AA174" s="20"/>
      <c r="AB174" s="168"/>
    </row>
    <row r="175" spans="1:31" s="8" customFormat="1" x14ac:dyDescent="0.25">
      <c r="A175" s="208">
        <v>1</v>
      </c>
      <c r="B175" s="92" t="s">
        <v>205</v>
      </c>
      <c r="C175" s="90" t="str">
        <f>VLOOKUP($F175,Admin!$A$16:$E$19,2,FALSE)</f>
        <v>Alkalmazott (ipari) kutatás – Működési költség</v>
      </c>
      <c r="D175" s="161" t="s">
        <v>129</v>
      </c>
      <c r="E175" s="90" t="str">
        <f>VLOOKUP($F175,Admin!$A$16:$E$19,4,FALSE)</f>
        <v>54. Bérköltség - Kutató-fejlesztő munkatárs</v>
      </c>
      <c r="F175" s="90" t="s">
        <v>171</v>
      </c>
      <c r="G175" s="161" t="s">
        <v>174</v>
      </c>
      <c r="H175" s="161" t="s">
        <v>206</v>
      </c>
      <c r="I175" s="90" t="str">
        <f>VLOOKUP($F175,Admin!$A$16:$E$19,5,FALSE)</f>
        <v>K+F munkatárs</v>
      </c>
      <c r="J175" s="161" t="s">
        <v>46</v>
      </c>
      <c r="K175" s="161" t="str">
        <f t="shared" ref="K175:K177" si="492">J175</f>
        <v>2022.07</v>
      </c>
      <c r="L175" s="91" t="s">
        <v>8</v>
      </c>
      <c r="M175" s="92" t="s">
        <v>78</v>
      </c>
      <c r="N175" s="162">
        <v>1004799</v>
      </c>
      <c r="O175" s="163">
        <f t="shared" ref="O175" si="493">ROUND(N175*V175,0)</f>
        <v>130624</v>
      </c>
      <c r="P175" s="161">
        <v>174</v>
      </c>
      <c r="Q175" s="161">
        <v>34</v>
      </c>
      <c r="R175" s="230">
        <f t="shared" ref="R175" si="494">Q175/P175</f>
        <v>0.19540229885057472</v>
      </c>
      <c r="S175" s="164">
        <f t="shared" ref="S175" si="495">ROUND(N175*Q175/P175,0)</f>
        <v>196340</v>
      </c>
      <c r="T175" s="165">
        <f t="shared" ref="T175" si="496">ROUND(S175*V175,0)</f>
        <v>25524</v>
      </c>
      <c r="U175" s="166">
        <f t="shared" ref="U175" si="497">Q175/P175-S175/N175</f>
        <v>3.4318066222116528E-8</v>
      </c>
      <c r="V175" s="87">
        <v>0.13</v>
      </c>
      <c r="W175" s="224"/>
      <c r="X175" s="23">
        <v>44735</v>
      </c>
      <c r="Y175" s="20" t="s">
        <v>197</v>
      </c>
      <c r="Z175" s="20"/>
      <c r="AA175" s="20"/>
      <c r="AB175" s="168"/>
    </row>
    <row r="176" spans="1:31" s="8" customFormat="1" x14ac:dyDescent="0.25">
      <c r="A176" s="208">
        <v>1</v>
      </c>
      <c r="B176" s="92" t="s">
        <v>205</v>
      </c>
      <c r="C176" s="90" t="str">
        <f>VLOOKUP($F176,Admin!$A$16:$E$19,2,FALSE)</f>
        <v>Alkalmazott (ipari) kutatás – Működési költség</v>
      </c>
      <c r="D176" s="161" t="s">
        <v>129</v>
      </c>
      <c r="E176" s="90" t="str">
        <f>VLOOKUP($F176,Admin!$A$16:$E$19,4,FALSE)</f>
        <v>54. Bérköltség - Kutató-fejlesztő munkatárs</v>
      </c>
      <c r="F176" s="90" t="s">
        <v>171</v>
      </c>
      <c r="G176" s="161" t="s">
        <v>174</v>
      </c>
      <c r="H176" s="161" t="s">
        <v>206</v>
      </c>
      <c r="I176" s="90" t="str">
        <f>VLOOKUP($F176,Admin!$A$16:$E$19,5,FALSE)</f>
        <v>K+F munkatárs</v>
      </c>
      <c r="J176" s="161" t="s">
        <v>47</v>
      </c>
      <c r="K176" s="161" t="str">
        <f t="shared" si="492"/>
        <v>2022.08</v>
      </c>
      <c r="L176" s="91" t="s">
        <v>8</v>
      </c>
      <c r="M176" s="92" t="s">
        <v>78</v>
      </c>
      <c r="N176" s="162">
        <v>786365</v>
      </c>
      <c r="O176" s="163">
        <f t="shared" ref="O176:O177" si="498">ROUND(N176*V176,0)</f>
        <v>102227</v>
      </c>
      <c r="P176" s="161">
        <v>174</v>
      </c>
      <c r="Q176" s="161">
        <v>34</v>
      </c>
      <c r="R176" s="230">
        <f t="shared" ref="R176:R177" si="499">Q176/P176</f>
        <v>0.19540229885057472</v>
      </c>
      <c r="S176" s="164">
        <f t="shared" ref="S176:S177" si="500">ROUND(N176*Q176/P176,0)</f>
        <v>153658</v>
      </c>
      <c r="T176" s="165">
        <f t="shared" ref="T176:T177" si="501">ROUND(S176*V176,0)</f>
        <v>19976</v>
      </c>
      <c r="U176" s="166">
        <f t="shared" ref="U176:U177" si="502">Q176/P176-S176/N176</f>
        <v>-5.9929468859687418E-7</v>
      </c>
      <c r="V176" s="87">
        <v>0.13</v>
      </c>
      <c r="W176" s="224"/>
      <c r="X176" s="23">
        <v>44735</v>
      </c>
      <c r="Y176" s="20" t="s">
        <v>197</v>
      </c>
      <c r="Z176" s="20"/>
      <c r="AA176" s="20"/>
      <c r="AB176" s="168"/>
    </row>
    <row r="177" spans="1:31" s="8" customFormat="1" x14ac:dyDescent="0.25">
      <c r="A177" s="208">
        <v>1</v>
      </c>
      <c r="B177" s="92" t="s">
        <v>205</v>
      </c>
      <c r="C177" s="90" t="str">
        <f>VLOOKUP($F177,Admin!$A$16:$E$19,2,FALSE)</f>
        <v>Alkalmazott (ipari) kutatás – Működési költség</v>
      </c>
      <c r="D177" s="161" t="s">
        <v>129</v>
      </c>
      <c r="E177" s="90" t="str">
        <f>VLOOKUP($F177,Admin!$A$16:$E$19,4,FALSE)</f>
        <v>54. Bérköltség - Kutató-fejlesztő munkatárs</v>
      </c>
      <c r="F177" s="90" t="s">
        <v>171</v>
      </c>
      <c r="G177" s="161" t="s">
        <v>174</v>
      </c>
      <c r="H177" s="161" t="s">
        <v>206</v>
      </c>
      <c r="I177" s="90" t="str">
        <f>VLOOKUP($F177,Admin!$A$16:$E$19,5,FALSE)</f>
        <v>K+F munkatárs</v>
      </c>
      <c r="J177" s="161" t="s">
        <v>48</v>
      </c>
      <c r="K177" s="161" t="str">
        <f t="shared" si="492"/>
        <v>2022.09</v>
      </c>
      <c r="L177" s="91" t="s">
        <v>8</v>
      </c>
      <c r="M177" s="92" t="s">
        <v>78</v>
      </c>
      <c r="N177" s="162">
        <v>1004800</v>
      </c>
      <c r="O177" s="163">
        <f t="shared" si="498"/>
        <v>130624</v>
      </c>
      <c r="P177" s="161">
        <v>174</v>
      </c>
      <c r="Q177" s="161">
        <v>34</v>
      </c>
      <c r="R177" s="230">
        <f t="shared" si="499"/>
        <v>0.19540229885057472</v>
      </c>
      <c r="S177" s="164">
        <f t="shared" si="500"/>
        <v>196340</v>
      </c>
      <c r="T177" s="165">
        <f t="shared" si="501"/>
        <v>25524</v>
      </c>
      <c r="U177" s="166">
        <f t="shared" si="502"/>
        <v>2.2878688046845674E-7</v>
      </c>
      <c r="V177" s="87">
        <v>0.13</v>
      </c>
      <c r="W177" s="224"/>
      <c r="X177" s="23">
        <v>44735</v>
      </c>
      <c r="Y177" s="20" t="s">
        <v>197</v>
      </c>
      <c r="Z177" s="20"/>
      <c r="AA177" s="20"/>
      <c r="AB177" s="168"/>
    </row>
    <row r="178" spans="1:31" s="8" customFormat="1" x14ac:dyDescent="0.25">
      <c r="A178" s="189"/>
      <c r="B178" s="92" t="s">
        <v>205</v>
      </c>
      <c r="C178" s="90" t="str">
        <f>VLOOKUP($F178,Admin!$A$16:$E$19,2,FALSE)</f>
        <v>Alkalmazott (ipari) kutatás – Működési költség</v>
      </c>
      <c r="D178" s="161" t="s">
        <v>129</v>
      </c>
      <c r="E178" s="90" t="str">
        <f>VLOOKUP($F178,Admin!$A$16:$E$19,4,FALSE)</f>
        <v>54. Bérköltség - Kutató-fejlesztő munkatárs</v>
      </c>
      <c r="F178" s="90" t="s">
        <v>171</v>
      </c>
      <c r="G178" s="161" t="s">
        <v>174</v>
      </c>
      <c r="H178" s="161" t="s">
        <v>206</v>
      </c>
      <c r="I178" s="90" t="str">
        <f>VLOOKUP($F178,Admin!$A$16:$E$19,5,FALSE)</f>
        <v>K+F munkatárs</v>
      </c>
      <c r="J178" s="161" t="s">
        <v>49</v>
      </c>
      <c r="K178" s="161" t="str">
        <f t="shared" ref="K178:K180" si="503">J178</f>
        <v>2022.10</v>
      </c>
      <c r="L178" s="91" t="s">
        <v>8</v>
      </c>
      <c r="M178" s="92" t="s">
        <v>78</v>
      </c>
      <c r="N178" s="162">
        <v>1054800</v>
      </c>
      <c r="O178" s="163">
        <f t="shared" ref="O178" si="504">ROUND(N178*V178,0)</f>
        <v>137124</v>
      </c>
      <c r="P178" s="161">
        <v>174</v>
      </c>
      <c r="Q178" s="161">
        <v>53</v>
      </c>
      <c r="R178" s="230">
        <f t="shared" ref="R178" si="505">Q178/P178</f>
        <v>0.3045977011494253</v>
      </c>
      <c r="S178" s="164">
        <f t="shared" ref="S178" si="506">ROUND(N178*Q178/P178,0)</f>
        <v>321290</v>
      </c>
      <c r="T178" s="165">
        <f t="shared" ref="T178" si="507">ROUND(S178*V178,0)</f>
        <v>41768</v>
      </c>
      <c r="U178" s="166">
        <f t="shared" ref="U178" si="508">Q178/P178-S178/N178</f>
        <v>-3.269127665794791E-7</v>
      </c>
      <c r="V178" s="87">
        <v>0.13</v>
      </c>
      <c r="W178" s="224"/>
      <c r="X178" s="23">
        <v>44830</v>
      </c>
      <c r="Y178" s="20" t="s">
        <v>197</v>
      </c>
      <c r="Z178" s="20"/>
      <c r="AA178" s="20"/>
      <c r="AB178" s="168"/>
    </row>
    <row r="179" spans="1:31" s="8" customFormat="1" x14ac:dyDescent="0.25">
      <c r="A179" s="189"/>
      <c r="B179" s="92" t="s">
        <v>205</v>
      </c>
      <c r="C179" s="90" t="str">
        <f>VLOOKUP($F179,Admin!$A$16:$E$19,2,FALSE)</f>
        <v>Alkalmazott (ipari) kutatás – Működési költség</v>
      </c>
      <c r="D179" s="161" t="s">
        <v>129</v>
      </c>
      <c r="E179" s="90" t="str">
        <f>VLOOKUP($F179,Admin!$A$16:$E$19,4,FALSE)</f>
        <v>54. Bérköltség - Kutató-fejlesztő munkatárs</v>
      </c>
      <c r="F179" s="90" t="s">
        <v>171</v>
      </c>
      <c r="G179" s="161" t="s">
        <v>174</v>
      </c>
      <c r="H179" s="161" t="s">
        <v>206</v>
      </c>
      <c r="I179" s="90" t="str">
        <f>VLOOKUP($F179,Admin!$A$16:$E$19,5,FALSE)</f>
        <v>K+F munkatárs</v>
      </c>
      <c r="J179" s="161" t="s">
        <v>50</v>
      </c>
      <c r="K179" s="161" t="str">
        <f t="shared" si="503"/>
        <v>2022.11</v>
      </c>
      <c r="L179" s="91" t="s">
        <v>8</v>
      </c>
      <c r="M179" s="92" t="s">
        <v>78</v>
      </c>
      <c r="N179" s="162">
        <v>1054800</v>
      </c>
      <c r="O179" s="163">
        <f t="shared" ref="O179:O180" si="509">ROUND(N179*V179,0)</f>
        <v>137124</v>
      </c>
      <c r="P179" s="161">
        <v>174</v>
      </c>
      <c r="Q179" s="161">
        <v>53</v>
      </c>
      <c r="R179" s="230">
        <f t="shared" ref="R179:R180" si="510">Q179/P179</f>
        <v>0.3045977011494253</v>
      </c>
      <c r="S179" s="164">
        <f t="shared" ref="S179:S180" si="511">ROUND(N179*Q179/P179,0)</f>
        <v>321290</v>
      </c>
      <c r="T179" s="165">
        <f t="shared" ref="T179:T180" si="512">ROUND(S179*V179,0)</f>
        <v>41768</v>
      </c>
      <c r="U179" s="166">
        <f t="shared" ref="U179:U180" si="513">Q179/P179-S179/N179</f>
        <v>-3.269127665794791E-7</v>
      </c>
      <c r="V179" s="87">
        <v>0.13</v>
      </c>
      <c r="W179" s="224" t="s">
        <v>230</v>
      </c>
      <c r="X179" s="23">
        <v>44830</v>
      </c>
      <c r="Y179" s="20" t="s">
        <v>197</v>
      </c>
      <c r="Z179" s="20"/>
      <c r="AA179" s="20"/>
      <c r="AB179" s="168"/>
      <c r="AC179" s="211" t="e">
        <v>#N/A</v>
      </c>
      <c r="AD179" s="211" t="e">
        <v>#N/A</v>
      </c>
      <c r="AE179" s="211" t="e">
        <v>#N/A</v>
      </c>
    </row>
    <row r="180" spans="1:31" s="8" customFormat="1" x14ac:dyDescent="0.25">
      <c r="A180" s="189"/>
      <c r="B180" s="92" t="s">
        <v>205</v>
      </c>
      <c r="C180" s="90" t="str">
        <f>VLOOKUP($F180,Admin!$A$16:$E$19,2,FALSE)</f>
        <v>Alkalmazott (ipari) kutatás – Működési költség</v>
      </c>
      <c r="D180" s="161" t="s">
        <v>129</v>
      </c>
      <c r="E180" s="90" t="str">
        <f>VLOOKUP($F180,Admin!$A$16:$E$19,4,FALSE)</f>
        <v>54. Bérköltség - Kutató-fejlesztő munkatárs</v>
      </c>
      <c r="F180" s="90" t="s">
        <v>171</v>
      </c>
      <c r="G180" s="161" t="s">
        <v>174</v>
      </c>
      <c r="H180" s="161" t="s">
        <v>206</v>
      </c>
      <c r="I180" s="90" t="str">
        <f>VLOOKUP($F180,Admin!$A$16:$E$19,5,FALSE)</f>
        <v>K+F munkatárs</v>
      </c>
      <c r="J180" s="161" t="s">
        <v>51</v>
      </c>
      <c r="K180" s="161" t="str">
        <f t="shared" si="503"/>
        <v>2022.12</v>
      </c>
      <c r="L180" s="91" t="s">
        <v>8</v>
      </c>
      <c r="M180" s="92" t="s">
        <v>78</v>
      </c>
      <c r="N180" s="162">
        <v>1054800</v>
      </c>
      <c r="O180" s="163">
        <f t="shared" si="509"/>
        <v>137124</v>
      </c>
      <c r="P180" s="161">
        <v>174</v>
      </c>
      <c r="Q180" s="161">
        <v>53</v>
      </c>
      <c r="R180" s="230">
        <f t="shared" si="510"/>
        <v>0.3045977011494253</v>
      </c>
      <c r="S180" s="164">
        <f t="shared" si="511"/>
        <v>321290</v>
      </c>
      <c r="T180" s="165">
        <f t="shared" si="512"/>
        <v>41768</v>
      </c>
      <c r="U180" s="166">
        <f t="shared" si="513"/>
        <v>-3.269127665794791E-7</v>
      </c>
      <c r="V180" s="87">
        <v>0.13</v>
      </c>
      <c r="W180" s="224" t="s">
        <v>230</v>
      </c>
      <c r="X180" s="23">
        <v>44830</v>
      </c>
      <c r="Y180" s="20" t="s">
        <v>197</v>
      </c>
      <c r="Z180" s="20"/>
      <c r="AA180" s="20"/>
      <c r="AB180" s="168"/>
      <c r="AC180" s="211" t="s">
        <v>248</v>
      </c>
      <c r="AD180" s="219" t="s">
        <v>249</v>
      </c>
      <c r="AE180" s="211" t="s">
        <v>249</v>
      </c>
    </row>
    <row r="181" spans="1:31" s="8" customFormat="1" x14ac:dyDescent="0.25">
      <c r="A181" s="189"/>
      <c r="B181" s="92" t="s">
        <v>205</v>
      </c>
      <c r="C181" s="90" t="str">
        <f>VLOOKUP($F181,Admin!$A$16:$E$19,2,FALSE)</f>
        <v>Alkalmazott (ipari) kutatás – Működési költség</v>
      </c>
      <c r="D181" s="161" t="s">
        <v>129</v>
      </c>
      <c r="E181" s="90" t="str">
        <f>VLOOKUP($F181,Admin!$A$16:$E$19,4,FALSE)</f>
        <v>54. Bérköltség - Kutató-fejlesztő munkatárs</v>
      </c>
      <c r="F181" s="90" t="s">
        <v>171</v>
      </c>
      <c r="G181" s="161" t="s">
        <v>174</v>
      </c>
      <c r="H181" s="161" t="s">
        <v>206</v>
      </c>
      <c r="I181" s="90" t="str">
        <f>VLOOKUP($F181,Admin!$A$16:$E$19,5,FALSE)</f>
        <v>K+F munkatárs</v>
      </c>
      <c r="J181" s="161" t="s">
        <v>64</v>
      </c>
      <c r="K181" s="161" t="str">
        <f t="shared" ref="K181:K183" si="514">J181</f>
        <v>2023.01</v>
      </c>
      <c r="L181" s="91" t="s">
        <v>8</v>
      </c>
      <c r="M181" s="92" t="s">
        <v>78</v>
      </c>
      <c r="N181" s="162">
        <v>1150000</v>
      </c>
      <c r="O181" s="163">
        <f t="shared" ref="O181" si="515">ROUND(N181*V181,0)</f>
        <v>149500</v>
      </c>
      <c r="P181" s="161">
        <v>174</v>
      </c>
      <c r="Q181" s="161">
        <v>31</v>
      </c>
      <c r="R181" s="230">
        <f t="shared" ref="R181" si="516">Q181/P181</f>
        <v>0.17816091954022989</v>
      </c>
      <c r="S181" s="164">
        <f t="shared" ref="S181" si="517">ROUND(N181*Q181/P181,0)</f>
        <v>204885</v>
      </c>
      <c r="T181" s="165">
        <f t="shared" ref="T181" si="518">ROUND(S181*V181,0)</f>
        <v>26635</v>
      </c>
      <c r="U181" s="166">
        <f t="shared" ref="U181" si="519">Q181/P181-S181/N181</f>
        <v>4.9975012489378301E-8</v>
      </c>
      <c r="V181" s="87">
        <v>0.13</v>
      </c>
      <c r="W181" s="224" t="s">
        <v>230</v>
      </c>
      <c r="X181" s="23">
        <v>44938</v>
      </c>
      <c r="Y181" s="20" t="s">
        <v>197</v>
      </c>
      <c r="Z181" s="20"/>
      <c r="AA181" s="20"/>
      <c r="AB181" s="168"/>
      <c r="AC181" s="211" t="s">
        <v>248</v>
      </c>
      <c r="AD181" s="219">
        <v>1</v>
      </c>
      <c r="AE181" s="211">
        <v>0</v>
      </c>
    </row>
    <row r="182" spans="1:31" s="8" customFormat="1" x14ac:dyDescent="0.25">
      <c r="A182" s="189"/>
      <c r="B182" s="92" t="s">
        <v>205</v>
      </c>
      <c r="C182" s="90" t="str">
        <f>VLOOKUP($F182,Admin!$A$16:$E$19,2,FALSE)</f>
        <v>Alkalmazott (ipari) kutatás – Működési költség</v>
      </c>
      <c r="D182" s="161" t="s">
        <v>129</v>
      </c>
      <c r="E182" s="90" t="str">
        <f>VLOOKUP($F182,Admin!$A$16:$E$19,4,FALSE)</f>
        <v>54. Bérköltség - Kutató-fejlesztő munkatárs</v>
      </c>
      <c r="F182" s="90" t="s">
        <v>171</v>
      </c>
      <c r="G182" s="161" t="s">
        <v>174</v>
      </c>
      <c r="H182" s="161" t="s">
        <v>206</v>
      </c>
      <c r="I182" s="90" t="str">
        <f>VLOOKUP($F182,Admin!$A$16:$E$19,5,FALSE)</f>
        <v>K+F munkatárs</v>
      </c>
      <c r="J182" s="161" t="s">
        <v>65</v>
      </c>
      <c r="K182" s="161" t="str">
        <f t="shared" si="514"/>
        <v>2023.02</v>
      </c>
      <c r="L182" s="91" t="s">
        <v>8</v>
      </c>
      <c r="M182" s="92" t="s">
        <v>78</v>
      </c>
      <c r="N182" s="162">
        <v>1150000</v>
      </c>
      <c r="O182" s="163">
        <f t="shared" ref="O182:O183" si="520">ROUND(N182*V182,0)</f>
        <v>149500</v>
      </c>
      <c r="P182" s="161">
        <v>174</v>
      </c>
      <c r="Q182" s="161">
        <v>31</v>
      </c>
      <c r="R182" s="230">
        <f t="shared" ref="R182:R183" si="521">Q182/P182</f>
        <v>0.17816091954022989</v>
      </c>
      <c r="S182" s="164">
        <f t="shared" ref="S182:S183" si="522">ROUND(N182*Q182/P182,0)</f>
        <v>204885</v>
      </c>
      <c r="T182" s="165">
        <f t="shared" ref="T182:T183" si="523">ROUND(S182*V182,0)</f>
        <v>26635</v>
      </c>
      <c r="U182" s="166">
        <f t="shared" ref="U182:U183" si="524">Q182/P182-S182/N182</f>
        <v>4.9975012489378301E-8</v>
      </c>
      <c r="V182" s="87">
        <v>0.13</v>
      </c>
      <c r="W182" s="224" t="s">
        <v>230</v>
      </c>
      <c r="X182" s="23">
        <v>44938</v>
      </c>
      <c r="Y182" s="20" t="s">
        <v>197</v>
      </c>
      <c r="Z182" s="20"/>
      <c r="AA182" s="20"/>
      <c r="AB182" s="168"/>
      <c r="AC182" s="8" t="s">
        <v>248</v>
      </c>
      <c r="AD182" s="8">
        <v>0</v>
      </c>
      <c r="AE182" s="8">
        <v>109699</v>
      </c>
    </row>
    <row r="183" spans="1:31" s="8" customFormat="1" x14ac:dyDescent="0.25">
      <c r="A183" s="189"/>
      <c r="B183" s="92" t="s">
        <v>205</v>
      </c>
      <c r="C183" s="90" t="str">
        <f>VLOOKUP($F183,Admin!$A$16:$E$19,2,FALSE)</f>
        <v>Alkalmazott (ipari) kutatás – Működési költség</v>
      </c>
      <c r="D183" s="161" t="s">
        <v>129</v>
      </c>
      <c r="E183" s="90" t="str">
        <f>VLOOKUP($F183,Admin!$A$16:$E$19,4,FALSE)</f>
        <v>54. Bérköltség - Kutató-fejlesztő munkatárs</v>
      </c>
      <c r="F183" s="90" t="s">
        <v>171</v>
      </c>
      <c r="G183" s="161" t="s">
        <v>174</v>
      </c>
      <c r="H183" s="161" t="s">
        <v>206</v>
      </c>
      <c r="I183" s="90" t="str">
        <f>VLOOKUP($F183,Admin!$A$16:$E$19,5,FALSE)</f>
        <v>K+F munkatárs</v>
      </c>
      <c r="J183" s="161" t="s">
        <v>66</v>
      </c>
      <c r="K183" s="161" t="str">
        <f t="shared" si="514"/>
        <v>2023.03</v>
      </c>
      <c r="L183" s="91" t="s">
        <v>8</v>
      </c>
      <c r="M183" s="92" t="s">
        <v>78</v>
      </c>
      <c r="N183" s="162">
        <v>1150000</v>
      </c>
      <c r="O183" s="163">
        <f t="shared" si="520"/>
        <v>149500</v>
      </c>
      <c r="P183" s="161">
        <v>174</v>
      </c>
      <c r="Q183" s="161">
        <v>31</v>
      </c>
      <c r="R183" s="230">
        <f t="shared" si="521"/>
        <v>0.17816091954022989</v>
      </c>
      <c r="S183" s="164">
        <f t="shared" si="522"/>
        <v>204885</v>
      </c>
      <c r="T183" s="165">
        <f t="shared" si="523"/>
        <v>26635</v>
      </c>
      <c r="U183" s="166">
        <f t="shared" si="524"/>
        <v>4.9975012489378301E-8</v>
      </c>
      <c r="V183" s="87">
        <v>0.13</v>
      </c>
      <c r="W183" s="224" t="s">
        <v>230</v>
      </c>
      <c r="X183" s="23">
        <v>44938</v>
      </c>
      <c r="Y183" s="20" t="s">
        <v>197</v>
      </c>
      <c r="Z183" s="20"/>
      <c r="AA183" s="20"/>
      <c r="AB183" s="168"/>
      <c r="AC183" s="8" t="s">
        <v>248</v>
      </c>
      <c r="AD183" s="8">
        <v>0</v>
      </c>
      <c r="AE183" s="8">
        <v>109699</v>
      </c>
    </row>
    <row r="184" spans="1:31" s="8" customFormat="1" x14ac:dyDescent="0.25">
      <c r="A184" s="189"/>
      <c r="B184" s="92" t="s">
        <v>205</v>
      </c>
      <c r="C184" s="90" t="str">
        <f>VLOOKUP($F184,Admin!$A$16:$E$19,2,FALSE)</f>
        <v>Alkalmazott (ipari) kutatás – Működési költség</v>
      </c>
      <c r="D184" s="161" t="s">
        <v>129</v>
      </c>
      <c r="E184" s="90" t="str">
        <f>VLOOKUP($F184,Admin!$A$16:$E$19,4,FALSE)</f>
        <v>54. Bérköltség - Kutató-fejlesztő munkatárs</v>
      </c>
      <c r="F184" s="90" t="s">
        <v>171</v>
      </c>
      <c r="G184" s="161" t="s">
        <v>174</v>
      </c>
      <c r="H184" s="161" t="s">
        <v>206</v>
      </c>
      <c r="I184" s="90" t="str">
        <f>VLOOKUP($F184,Admin!$A$16:$E$19,5,FALSE)</f>
        <v>K+F munkatárs</v>
      </c>
      <c r="J184" s="161" t="s">
        <v>67</v>
      </c>
      <c r="K184" s="161" t="str">
        <f t="shared" ref="K184:K188" si="525">J184</f>
        <v>2023.04</v>
      </c>
      <c r="L184" s="91" t="s">
        <v>8</v>
      </c>
      <c r="M184" s="92" t="s">
        <v>78</v>
      </c>
      <c r="N184" s="162">
        <v>1150000</v>
      </c>
      <c r="O184" s="163">
        <f t="shared" ref="O184" si="526">ROUND(N184*V184,0)</f>
        <v>149500</v>
      </c>
      <c r="P184" s="161">
        <v>174</v>
      </c>
      <c r="Q184" s="161">
        <v>31</v>
      </c>
      <c r="R184" s="230">
        <f t="shared" ref="R184" si="527">Q184/P184</f>
        <v>0.17816091954022989</v>
      </c>
      <c r="S184" s="164">
        <f t="shared" ref="S184" si="528">ROUND(N184*Q184/P184,0)</f>
        <v>204885</v>
      </c>
      <c r="T184" s="165">
        <f t="shared" ref="T184" si="529">ROUND(S184*V184,0)</f>
        <v>26635</v>
      </c>
      <c r="U184" s="166">
        <f t="shared" ref="U184" si="530">Q184/P184-S184/N184</f>
        <v>4.9975012489378301E-8</v>
      </c>
      <c r="V184" s="87">
        <v>0.13</v>
      </c>
      <c r="W184" s="224" t="s">
        <v>230</v>
      </c>
      <c r="X184" s="23">
        <v>45002</v>
      </c>
      <c r="Y184" s="20" t="s">
        <v>197</v>
      </c>
      <c r="Z184" s="20"/>
      <c r="AA184" s="20"/>
      <c r="AB184" s="168"/>
      <c r="AC184" s="8" t="s">
        <v>248</v>
      </c>
      <c r="AD184" s="8">
        <v>0</v>
      </c>
      <c r="AE184" s="235">
        <v>109699</v>
      </c>
    </row>
    <row r="185" spans="1:31" s="8" customFormat="1" x14ac:dyDescent="0.25">
      <c r="A185" s="189"/>
      <c r="B185" s="92" t="s">
        <v>205</v>
      </c>
      <c r="C185" s="90" t="str">
        <f>VLOOKUP($F185,Admin!$A$16:$E$19,2,FALSE)</f>
        <v>Alkalmazott (ipari) kutatás – Működési költség</v>
      </c>
      <c r="D185" s="161" t="s">
        <v>129</v>
      </c>
      <c r="E185" s="90" t="str">
        <f>VLOOKUP($F185,Admin!$A$16:$E$19,4,FALSE)</f>
        <v>54. Bérköltség - Kutató-fejlesztő munkatárs</v>
      </c>
      <c r="F185" s="90" t="s">
        <v>171</v>
      </c>
      <c r="G185" s="161" t="s">
        <v>174</v>
      </c>
      <c r="H185" s="161" t="s">
        <v>206</v>
      </c>
      <c r="I185" s="90" t="str">
        <f>VLOOKUP($F185,Admin!$A$16:$E$19,5,FALSE)</f>
        <v>K+F munkatárs</v>
      </c>
      <c r="J185" s="161" t="s">
        <v>68</v>
      </c>
      <c r="K185" s="161" t="str">
        <f t="shared" si="525"/>
        <v>2023.05</v>
      </c>
      <c r="L185" s="91" t="s">
        <v>9</v>
      </c>
      <c r="M185" s="92" t="s">
        <v>78</v>
      </c>
      <c r="N185" s="162">
        <v>1150000</v>
      </c>
      <c r="O185" s="163">
        <f t="shared" ref="O185:O188" si="531">ROUND(N185*V185,0)</f>
        <v>149500</v>
      </c>
      <c r="P185" s="161">
        <v>174</v>
      </c>
      <c r="Q185" s="161">
        <v>31</v>
      </c>
      <c r="R185" s="230">
        <f t="shared" ref="R185:R188" si="532">Q185/P185</f>
        <v>0.17816091954022989</v>
      </c>
      <c r="S185" s="164">
        <f t="shared" ref="S185:S188" si="533">ROUND(N185*Q185/P185,0)</f>
        <v>204885</v>
      </c>
      <c r="T185" s="165">
        <f t="shared" ref="T185:T188" si="534">ROUND(S185*V185,0)</f>
        <v>26635</v>
      </c>
      <c r="U185" s="166">
        <f t="shared" ref="U185:U188" si="535">Q185/P185-S185/N185</f>
        <v>4.9975012489378301E-8</v>
      </c>
      <c r="V185" s="87">
        <v>0.13</v>
      </c>
      <c r="W185" s="224" t="s">
        <v>230</v>
      </c>
      <c r="X185" s="23">
        <v>45002</v>
      </c>
      <c r="Y185" s="20" t="s">
        <v>197</v>
      </c>
      <c r="Z185" s="20"/>
      <c r="AA185" s="20"/>
      <c r="AB185" s="168"/>
    </row>
    <row r="186" spans="1:31" s="8" customFormat="1" x14ac:dyDescent="0.25">
      <c r="A186" s="189"/>
      <c r="B186" s="92" t="s">
        <v>205</v>
      </c>
      <c r="C186" s="90" t="str">
        <f>VLOOKUP($F186,Admin!$A$16:$E$19,2,FALSE)</f>
        <v>Alkalmazott (ipari) kutatás – Működési költség</v>
      </c>
      <c r="D186" s="161" t="s">
        <v>129</v>
      </c>
      <c r="E186" s="90" t="str">
        <f>VLOOKUP($F186,Admin!$A$16:$E$19,4,FALSE)</f>
        <v>54. Bérköltség - Kutató-fejlesztő munkatárs</v>
      </c>
      <c r="F186" s="90" t="s">
        <v>171</v>
      </c>
      <c r="G186" s="161" t="s">
        <v>174</v>
      </c>
      <c r="H186" s="161" t="s">
        <v>206</v>
      </c>
      <c r="I186" s="90" t="str">
        <f>VLOOKUP($F186,Admin!$A$16:$E$19,5,FALSE)</f>
        <v>K+F munkatárs</v>
      </c>
      <c r="J186" s="161" t="s">
        <v>69</v>
      </c>
      <c r="K186" s="161" t="str">
        <f t="shared" si="525"/>
        <v>2023.06</v>
      </c>
      <c r="L186" s="91" t="s">
        <v>9</v>
      </c>
      <c r="M186" s="92" t="s">
        <v>78</v>
      </c>
      <c r="N186" s="162">
        <v>1150000</v>
      </c>
      <c r="O186" s="163">
        <f t="shared" si="531"/>
        <v>149500</v>
      </c>
      <c r="P186" s="161">
        <v>174</v>
      </c>
      <c r="Q186" s="161">
        <v>31</v>
      </c>
      <c r="R186" s="230">
        <f t="shared" si="532"/>
        <v>0.17816091954022989</v>
      </c>
      <c r="S186" s="164">
        <f t="shared" si="533"/>
        <v>204885</v>
      </c>
      <c r="T186" s="165">
        <f t="shared" si="534"/>
        <v>26635</v>
      </c>
      <c r="U186" s="166">
        <f t="shared" si="535"/>
        <v>4.9975012489378301E-8</v>
      </c>
      <c r="V186" s="87">
        <v>0.13</v>
      </c>
      <c r="W186" s="224" t="s">
        <v>230</v>
      </c>
      <c r="X186" s="23">
        <v>45002</v>
      </c>
      <c r="Y186" s="20" t="s">
        <v>197</v>
      </c>
      <c r="Z186" s="20"/>
      <c r="AA186" s="20"/>
      <c r="AB186" s="168"/>
    </row>
    <row r="187" spans="1:31" s="8" customFormat="1" x14ac:dyDescent="0.25">
      <c r="A187" s="189"/>
      <c r="B187" s="92" t="s">
        <v>205</v>
      </c>
      <c r="C187" s="90" t="str">
        <f>VLOOKUP($F187,Admin!$A$16:$E$19,2,FALSE)</f>
        <v>Alkalmazott (ipari) kutatás – Működési költség</v>
      </c>
      <c r="D187" s="161" t="s">
        <v>129</v>
      </c>
      <c r="E187" s="90" t="str">
        <f>VLOOKUP($F187,Admin!$A$16:$E$19,4,FALSE)</f>
        <v>54. Bérköltség - Kutató-fejlesztő munkatárs</v>
      </c>
      <c r="F187" s="90" t="s">
        <v>171</v>
      </c>
      <c r="G187" s="161" t="s">
        <v>174</v>
      </c>
      <c r="H187" s="161" t="s">
        <v>206</v>
      </c>
      <c r="I187" s="90" t="str">
        <f>VLOOKUP($F187,Admin!$A$16:$E$19,5,FALSE)</f>
        <v>K+F munkatárs</v>
      </c>
      <c r="J187" s="161" t="s">
        <v>70</v>
      </c>
      <c r="K187" s="161" t="str">
        <f t="shared" si="525"/>
        <v>2023.07</v>
      </c>
      <c r="L187" s="91" t="s">
        <v>9</v>
      </c>
      <c r="M187" s="92" t="s">
        <v>78</v>
      </c>
      <c r="N187" s="162">
        <v>1150000</v>
      </c>
      <c r="O187" s="163">
        <f t="shared" si="531"/>
        <v>149500</v>
      </c>
      <c r="P187" s="161">
        <v>174</v>
      </c>
      <c r="Q187" s="161">
        <v>31</v>
      </c>
      <c r="R187" s="230">
        <f t="shared" si="532"/>
        <v>0.17816091954022989</v>
      </c>
      <c r="S187" s="164">
        <f t="shared" si="533"/>
        <v>204885</v>
      </c>
      <c r="T187" s="165">
        <f t="shared" si="534"/>
        <v>26635</v>
      </c>
      <c r="U187" s="166">
        <f t="shared" si="535"/>
        <v>4.9975012489378301E-8</v>
      </c>
      <c r="V187" s="87">
        <v>0.13</v>
      </c>
      <c r="W187" s="224" t="s">
        <v>230</v>
      </c>
      <c r="X187" s="23">
        <v>45002</v>
      </c>
      <c r="Y187" s="20" t="s">
        <v>197</v>
      </c>
      <c r="Z187" s="20"/>
      <c r="AA187" s="20"/>
      <c r="AB187" s="168"/>
    </row>
    <row r="188" spans="1:31" s="8" customFormat="1" x14ac:dyDescent="0.25">
      <c r="A188" s="189"/>
      <c r="B188" s="92" t="s">
        <v>205</v>
      </c>
      <c r="C188" s="90" t="str">
        <f>VLOOKUP($F188,Admin!$A$16:$E$19,2,FALSE)</f>
        <v>Alkalmazott (ipari) kutatás – Működési költség</v>
      </c>
      <c r="D188" s="161" t="s">
        <v>129</v>
      </c>
      <c r="E188" s="90" t="str">
        <f>VLOOKUP($F188,Admin!$A$16:$E$19,4,FALSE)</f>
        <v>54. Bérköltség - Kutató-fejlesztő munkatárs</v>
      </c>
      <c r="F188" s="90" t="s">
        <v>171</v>
      </c>
      <c r="G188" s="161" t="s">
        <v>174</v>
      </c>
      <c r="H188" s="161" t="s">
        <v>206</v>
      </c>
      <c r="I188" s="90" t="str">
        <f>VLOOKUP($F188,Admin!$A$16:$E$19,5,FALSE)</f>
        <v>K+F munkatárs</v>
      </c>
      <c r="J188" s="161" t="s">
        <v>71</v>
      </c>
      <c r="K188" s="161" t="str">
        <f t="shared" si="525"/>
        <v>2023.08</v>
      </c>
      <c r="L188" s="91" t="s">
        <v>9</v>
      </c>
      <c r="M188" s="92" t="s">
        <v>78</v>
      </c>
      <c r="N188" s="162">
        <v>1150000</v>
      </c>
      <c r="O188" s="163">
        <f t="shared" si="531"/>
        <v>149500</v>
      </c>
      <c r="P188" s="161">
        <v>174</v>
      </c>
      <c r="Q188" s="161">
        <v>31</v>
      </c>
      <c r="R188" s="230">
        <f t="shared" si="532"/>
        <v>0.17816091954022989</v>
      </c>
      <c r="S188" s="164">
        <f t="shared" si="533"/>
        <v>204885</v>
      </c>
      <c r="T188" s="165">
        <f t="shared" si="534"/>
        <v>26635</v>
      </c>
      <c r="U188" s="166">
        <f t="shared" si="535"/>
        <v>4.9975012489378301E-8</v>
      </c>
      <c r="V188" s="87">
        <v>0.13</v>
      </c>
      <c r="W188" s="224" t="s">
        <v>230</v>
      </c>
      <c r="X188" s="23">
        <v>45002</v>
      </c>
      <c r="Y188" s="20" t="s">
        <v>197</v>
      </c>
      <c r="Z188" s="20"/>
      <c r="AA188" s="20"/>
      <c r="AB188" s="168"/>
    </row>
    <row r="189" spans="1:31" s="8" customFormat="1" x14ac:dyDescent="0.25">
      <c r="A189" s="208">
        <v>1</v>
      </c>
      <c r="B189" s="92" t="s">
        <v>204</v>
      </c>
      <c r="C189" s="90" t="str">
        <f>VLOOKUP($F189,Admin!$A$16:$E$19,2,FALSE)</f>
        <v>Alkalmazott (ipari) kutatás – Működési költség</v>
      </c>
      <c r="D189" s="161" t="s">
        <v>129</v>
      </c>
      <c r="E189" s="90" t="str">
        <f>VLOOKUP($F189,Admin!$A$16:$E$19,4,FALSE)</f>
        <v>54. Bérköltség - Kutató-fejlesztő munkatárs</v>
      </c>
      <c r="F189" s="90" t="s">
        <v>171</v>
      </c>
      <c r="G189" s="161" t="s">
        <v>174</v>
      </c>
      <c r="H189" s="161" t="s">
        <v>194</v>
      </c>
      <c r="I189" s="90" t="str">
        <f>VLOOKUP($F189,Admin!$A$16:$E$19,5,FALSE)</f>
        <v>K+F munkatárs</v>
      </c>
      <c r="J189" s="161" t="s">
        <v>43</v>
      </c>
      <c r="K189" s="161" t="str">
        <f t="shared" si="137"/>
        <v>2022.04</v>
      </c>
      <c r="L189" s="91" t="s">
        <v>8</v>
      </c>
      <c r="M189" s="92" t="s">
        <v>78</v>
      </c>
      <c r="N189" s="162">
        <v>621000</v>
      </c>
      <c r="O189" s="163">
        <f t="shared" ref="O189" si="536">ROUND(N189*V189,0)</f>
        <v>80730</v>
      </c>
      <c r="P189" s="161">
        <v>174</v>
      </c>
      <c r="Q189" s="161">
        <v>28</v>
      </c>
      <c r="R189" s="230">
        <f t="shared" ref="R189" si="537">Q189/P189</f>
        <v>0.16091954022988506</v>
      </c>
      <c r="S189" s="164">
        <f t="shared" ref="S189" si="538">ROUND(N189*Q189/P189,0)</f>
        <v>99931</v>
      </c>
      <c r="T189" s="165">
        <f t="shared" ref="T189" si="539">ROUND(S189*V189,0)</f>
        <v>12991</v>
      </c>
      <c r="U189" s="166">
        <f t="shared" ref="U189" si="540">Q189/P189-S189/N189</f>
        <v>5.5527791670284543E-8</v>
      </c>
      <c r="V189" s="87">
        <v>0.13</v>
      </c>
      <c r="W189" s="224"/>
      <c r="X189" s="23">
        <v>44649</v>
      </c>
      <c r="Y189" s="20" t="s">
        <v>197</v>
      </c>
      <c r="Z189" s="20"/>
      <c r="AA189" s="20"/>
      <c r="AB189" s="168"/>
    </row>
    <row r="190" spans="1:31" s="8" customFormat="1" x14ac:dyDescent="0.25">
      <c r="A190" s="208">
        <v>1</v>
      </c>
      <c r="B190" s="92" t="s">
        <v>204</v>
      </c>
      <c r="C190" s="90" t="str">
        <f>VLOOKUP($F190,Admin!$A$16:$E$19,2,FALSE)</f>
        <v>Alkalmazott (ipari) kutatás – Működési költség</v>
      </c>
      <c r="D190" s="161" t="s">
        <v>129</v>
      </c>
      <c r="E190" s="90" t="str">
        <f>VLOOKUP($F190,Admin!$A$16:$E$19,4,FALSE)</f>
        <v>54. Bérköltség - Kutató-fejlesztő munkatárs</v>
      </c>
      <c r="F190" s="90" t="s">
        <v>171</v>
      </c>
      <c r="G190" s="161" t="s">
        <v>174</v>
      </c>
      <c r="H190" s="161" t="s">
        <v>194</v>
      </c>
      <c r="I190" s="90" t="str">
        <f>VLOOKUP($F190,Admin!$A$16:$E$19,5,FALSE)</f>
        <v>K+F munkatárs</v>
      </c>
      <c r="J190" s="161" t="s">
        <v>44</v>
      </c>
      <c r="K190" s="161" t="str">
        <f t="shared" ref="K190:K191" si="541">J190</f>
        <v>2022.05</v>
      </c>
      <c r="L190" s="91" t="s">
        <v>8</v>
      </c>
      <c r="M190" s="92" t="s">
        <v>78</v>
      </c>
      <c r="N190" s="162">
        <v>621000</v>
      </c>
      <c r="O190" s="163">
        <f t="shared" ref="O190:O191" si="542">ROUND(N190*V190,0)</f>
        <v>80730</v>
      </c>
      <c r="P190" s="161">
        <v>174</v>
      </c>
      <c r="Q190" s="161">
        <v>28</v>
      </c>
      <c r="R190" s="230">
        <f t="shared" ref="R190:R191" si="543">Q190/P190</f>
        <v>0.16091954022988506</v>
      </c>
      <c r="S190" s="164">
        <f t="shared" ref="S190:S191" si="544">ROUND(N190*Q190/P190,0)</f>
        <v>99931</v>
      </c>
      <c r="T190" s="165">
        <f t="shared" ref="T190:T191" si="545">ROUND(S190*V190,0)</f>
        <v>12991</v>
      </c>
      <c r="U190" s="166">
        <f t="shared" ref="U190:U191" si="546">Q190/P190-S190/N190</f>
        <v>5.5527791670284543E-8</v>
      </c>
      <c r="V190" s="87">
        <v>0.13</v>
      </c>
      <c r="W190" s="224"/>
      <c r="X190" s="23">
        <v>44649</v>
      </c>
      <c r="Y190" s="20" t="s">
        <v>197</v>
      </c>
      <c r="Z190" s="20"/>
      <c r="AA190" s="20"/>
      <c r="AB190" s="168"/>
    </row>
    <row r="191" spans="1:31" s="8" customFormat="1" x14ac:dyDescent="0.25">
      <c r="A191" s="208">
        <v>1</v>
      </c>
      <c r="B191" s="92" t="s">
        <v>204</v>
      </c>
      <c r="C191" s="90" t="str">
        <f>VLOOKUP($F191,Admin!$A$16:$E$19,2,FALSE)</f>
        <v>Alkalmazott (ipari) kutatás – Működési költség</v>
      </c>
      <c r="D191" s="161" t="s">
        <v>129</v>
      </c>
      <c r="E191" s="90" t="str">
        <f>VLOOKUP($F191,Admin!$A$16:$E$19,4,FALSE)</f>
        <v>54. Bérköltség - Kutató-fejlesztő munkatárs</v>
      </c>
      <c r="F191" s="90" t="s">
        <v>171</v>
      </c>
      <c r="G191" s="161" t="s">
        <v>174</v>
      </c>
      <c r="H191" s="161" t="s">
        <v>194</v>
      </c>
      <c r="I191" s="90" t="str">
        <f>VLOOKUP($F191,Admin!$A$16:$E$19,5,FALSE)</f>
        <v>K+F munkatárs</v>
      </c>
      <c r="J191" s="161" t="s">
        <v>45</v>
      </c>
      <c r="K191" s="161" t="str">
        <f t="shared" si="541"/>
        <v>2022.06</v>
      </c>
      <c r="L191" s="91" t="s">
        <v>8</v>
      </c>
      <c r="M191" s="92" t="s">
        <v>78</v>
      </c>
      <c r="N191" s="162">
        <v>620998</v>
      </c>
      <c r="O191" s="163">
        <f t="shared" si="542"/>
        <v>80730</v>
      </c>
      <c r="P191" s="161">
        <v>174</v>
      </c>
      <c r="Q191" s="161">
        <v>28</v>
      </c>
      <c r="R191" s="230">
        <f t="shared" si="543"/>
        <v>0.16091954022988506</v>
      </c>
      <c r="S191" s="164">
        <f t="shared" si="544"/>
        <v>99931</v>
      </c>
      <c r="T191" s="165">
        <f t="shared" si="545"/>
        <v>12991</v>
      </c>
      <c r="U191" s="166">
        <f t="shared" si="546"/>
        <v>-4.6273308745847785E-7</v>
      </c>
      <c r="V191" s="87">
        <v>0.13</v>
      </c>
      <c r="W191" s="224"/>
      <c r="X191" s="23">
        <v>44713</v>
      </c>
      <c r="Y191" s="20" t="s">
        <v>197</v>
      </c>
      <c r="Z191" s="20"/>
      <c r="AA191" s="20"/>
      <c r="AB191" s="168"/>
    </row>
    <row r="192" spans="1:31" s="8" customFormat="1" x14ac:dyDescent="0.25">
      <c r="A192" s="208">
        <v>1</v>
      </c>
      <c r="B192" s="92" t="s">
        <v>204</v>
      </c>
      <c r="C192" s="90" t="str">
        <f>VLOOKUP($F192,Admin!$A$16:$E$19,2,FALSE)</f>
        <v>Alkalmazott (ipari) kutatás – Működési költség</v>
      </c>
      <c r="D192" s="161" t="s">
        <v>129</v>
      </c>
      <c r="E192" s="90" t="str">
        <f>VLOOKUP($F192,Admin!$A$16:$E$19,4,FALSE)</f>
        <v>54. Bérköltség - Kutató-fejlesztő munkatárs</v>
      </c>
      <c r="F192" s="90" t="s">
        <v>171</v>
      </c>
      <c r="G192" s="161" t="s">
        <v>174</v>
      </c>
      <c r="H192" s="161" t="s">
        <v>194</v>
      </c>
      <c r="I192" s="90" t="str">
        <f>VLOOKUP($F192,Admin!$A$16:$E$19,5,FALSE)</f>
        <v>K+F munkatárs</v>
      </c>
      <c r="J192" s="161" t="s">
        <v>46</v>
      </c>
      <c r="K192" s="161" t="str">
        <f t="shared" ref="K192:K194" si="547">J192</f>
        <v>2022.07</v>
      </c>
      <c r="L192" s="91" t="s">
        <v>8</v>
      </c>
      <c r="M192" s="92" t="s">
        <v>78</v>
      </c>
      <c r="N192" s="162">
        <v>592998</v>
      </c>
      <c r="O192" s="163">
        <f t="shared" ref="O192" si="548">ROUND(N192*V192,0)</f>
        <v>77090</v>
      </c>
      <c r="P192" s="161">
        <v>174</v>
      </c>
      <c r="Q192" s="161">
        <v>29</v>
      </c>
      <c r="R192" s="230">
        <f t="shared" ref="R192" si="549">Q192/P192</f>
        <v>0.16666666666666666</v>
      </c>
      <c r="S192" s="164">
        <f t="shared" ref="S192" si="550">ROUND(N192*Q192/P192,0)</f>
        <v>98833</v>
      </c>
      <c r="T192" s="165">
        <f t="shared" ref="T192" si="551">ROUND(S192*V192,0)</f>
        <v>12848</v>
      </c>
      <c r="U192" s="166">
        <f t="shared" ref="U192" si="552">Q192/P192-S192/N192</f>
        <v>0</v>
      </c>
      <c r="V192" s="87">
        <v>0.13</v>
      </c>
      <c r="W192" s="224"/>
      <c r="X192" s="23">
        <v>44742</v>
      </c>
      <c r="Y192" s="20" t="s">
        <v>197</v>
      </c>
      <c r="Z192" s="20"/>
      <c r="AA192" s="20"/>
      <c r="AB192" s="168"/>
    </row>
    <row r="193" spans="1:31" s="8" customFormat="1" x14ac:dyDescent="0.25">
      <c r="A193" s="208">
        <v>1</v>
      </c>
      <c r="B193" s="92" t="s">
        <v>204</v>
      </c>
      <c r="C193" s="90" t="str">
        <f>VLOOKUP($F193,Admin!$A$16:$E$19,2,FALSE)</f>
        <v>Alkalmazott (ipari) kutatás – Működési költség</v>
      </c>
      <c r="D193" s="161" t="s">
        <v>129</v>
      </c>
      <c r="E193" s="90" t="str">
        <f>VLOOKUP($F193,Admin!$A$16:$E$19,4,FALSE)</f>
        <v>54. Bérköltség - Kutató-fejlesztő munkatárs</v>
      </c>
      <c r="F193" s="90" t="s">
        <v>171</v>
      </c>
      <c r="G193" s="161" t="s">
        <v>174</v>
      </c>
      <c r="H193" s="161" t="s">
        <v>194</v>
      </c>
      <c r="I193" s="90" t="str">
        <f>VLOOKUP($F193,Admin!$A$16:$E$19,5,FALSE)</f>
        <v>K+F munkatárs</v>
      </c>
      <c r="J193" s="161" t="s">
        <v>47</v>
      </c>
      <c r="K193" s="161" t="str">
        <f t="shared" si="547"/>
        <v>2022.08</v>
      </c>
      <c r="L193" s="91" t="s">
        <v>8</v>
      </c>
      <c r="M193" s="92" t="s">
        <v>78</v>
      </c>
      <c r="N193" s="162">
        <v>515652</v>
      </c>
      <c r="O193" s="163">
        <f t="shared" ref="O193:O204" si="553">ROUND(N193*V193,0)</f>
        <v>67035</v>
      </c>
      <c r="P193" s="161">
        <v>174</v>
      </c>
      <c r="Q193" s="161">
        <v>29</v>
      </c>
      <c r="R193" s="230">
        <f t="shared" ref="R193:R204" si="554">Q193/P193</f>
        <v>0.16666666666666666</v>
      </c>
      <c r="S193" s="164">
        <f t="shared" ref="S193:S204" si="555">ROUND(N193*Q193/P193,0)</f>
        <v>85942</v>
      </c>
      <c r="T193" s="165">
        <f t="shared" ref="T193:T204" si="556">ROUND(S193*V193,0)</f>
        <v>11172</v>
      </c>
      <c r="U193" s="166">
        <f t="shared" ref="U193:U204" si="557">Q193/P193-S193/N193</f>
        <v>0</v>
      </c>
      <c r="V193" s="87">
        <v>0.13</v>
      </c>
      <c r="W193" s="224"/>
      <c r="X193" s="23">
        <v>44742</v>
      </c>
      <c r="Y193" s="20" t="s">
        <v>197</v>
      </c>
      <c r="Z193" s="20"/>
      <c r="AA193" s="20"/>
      <c r="AB193" s="168"/>
    </row>
    <row r="194" spans="1:31" s="8" customFormat="1" x14ac:dyDescent="0.25">
      <c r="A194" s="208">
        <v>1</v>
      </c>
      <c r="B194" s="92" t="s">
        <v>204</v>
      </c>
      <c r="C194" s="90" t="str">
        <f>VLOOKUP($F194,Admin!$A$16:$E$19,2,FALSE)</f>
        <v>Alkalmazott (ipari) kutatás – Működési költség</v>
      </c>
      <c r="D194" s="161" t="s">
        <v>129</v>
      </c>
      <c r="E194" s="90" t="str">
        <f>VLOOKUP($F194,Admin!$A$16:$E$19,4,FALSE)</f>
        <v>54. Bérköltség - Kutató-fejlesztő munkatárs</v>
      </c>
      <c r="F194" s="90" t="s">
        <v>171</v>
      </c>
      <c r="G194" s="161" t="s">
        <v>174</v>
      </c>
      <c r="H194" s="161" t="s">
        <v>194</v>
      </c>
      <c r="I194" s="90" t="str">
        <f>VLOOKUP($F194,Admin!$A$16:$E$19,5,FALSE)</f>
        <v>K+F munkatárs</v>
      </c>
      <c r="J194" s="161" t="s">
        <v>48</v>
      </c>
      <c r="K194" s="161" t="str">
        <f t="shared" si="547"/>
        <v>2022.09</v>
      </c>
      <c r="L194" s="91" t="s">
        <v>8</v>
      </c>
      <c r="M194" s="92" t="s">
        <v>78</v>
      </c>
      <c r="N194" s="162">
        <v>593000</v>
      </c>
      <c r="O194" s="163">
        <f t="shared" si="553"/>
        <v>77090</v>
      </c>
      <c r="P194" s="161">
        <v>174</v>
      </c>
      <c r="Q194" s="161">
        <v>29</v>
      </c>
      <c r="R194" s="230">
        <f t="shared" si="554"/>
        <v>0.16666666666666666</v>
      </c>
      <c r="S194" s="164">
        <f t="shared" si="555"/>
        <v>98833</v>
      </c>
      <c r="T194" s="165">
        <f t="shared" si="556"/>
        <v>12848</v>
      </c>
      <c r="U194" s="166">
        <f t="shared" si="557"/>
        <v>5.6211354693136428E-7</v>
      </c>
      <c r="V194" s="87">
        <v>0.13</v>
      </c>
      <c r="W194" s="224"/>
      <c r="X194" s="23">
        <v>44742</v>
      </c>
      <c r="Y194" s="20" t="s">
        <v>197</v>
      </c>
      <c r="Z194" s="20"/>
      <c r="AA194" s="20"/>
      <c r="AB194" s="168"/>
    </row>
    <row r="195" spans="1:31" s="8" customFormat="1" x14ac:dyDescent="0.25">
      <c r="A195" s="189"/>
      <c r="B195" s="92" t="s">
        <v>204</v>
      </c>
      <c r="C195" s="90" t="str">
        <f>VLOOKUP($F195,Admin!$A$16:$E$19,2,FALSE)</f>
        <v>Alkalmazott (ipari) kutatás – Működési költség</v>
      </c>
      <c r="D195" s="161" t="s">
        <v>129</v>
      </c>
      <c r="E195" s="90" t="str">
        <f>VLOOKUP($F195,Admin!$A$16:$E$19,4,FALSE)</f>
        <v>54. Bérköltség - Kutató-fejlesztő munkatárs</v>
      </c>
      <c r="F195" s="90" t="s">
        <v>171</v>
      </c>
      <c r="G195" s="161" t="s">
        <v>174</v>
      </c>
      <c r="H195" s="161" t="s">
        <v>194</v>
      </c>
      <c r="I195" s="90" t="str">
        <f>VLOOKUP($F195,Admin!$A$16:$E$19,5,FALSE)</f>
        <v>K+F munkatárs</v>
      </c>
      <c r="J195" s="161" t="s">
        <v>49</v>
      </c>
      <c r="K195" s="161" t="str">
        <f t="shared" ref="K195:K197" si="558">J195</f>
        <v>2022.10</v>
      </c>
      <c r="L195" s="91" t="s">
        <v>8</v>
      </c>
      <c r="M195" s="92" t="s">
        <v>78</v>
      </c>
      <c r="N195" s="162">
        <v>450000</v>
      </c>
      <c r="O195" s="163">
        <f t="shared" ref="O195" si="559">ROUND(N195*V195,0)</f>
        <v>58500</v>
      </c>
      <c r="P195" s="161">
        <v>174</v>
      </c>
      <c r="Q195" s="161">
        <v>39</v>
      </c>
      <c r="R195" s="230">
        <f t="shared" ref="R195" si="560">Q195/P195</f>
        <v>0.22413793103448276</v>
      </c>
      <c r="S195" s="164">
        <f t="shared" ref="S195" si="561">ROUND(N195*Q195/P195,0)</f>
        <v>100862</v>
      </c>
      <c r="T195" s="165">
        <f t="shared" ref="T195" si="562">ROUND(S195*V195,0)</f>
        <v>13112</v>
      </c>
      <c r="U195" s="166">
        <f t="shared" ref="U195" si="563">Q195/P195-S195/N195</f>
        <v>1.5325670499333199E-7</v>
      </c>
      <c r="V195" s="87">
        <v>0.13</v>
      </c>
      <c r="W195" s="224"/>
      <c r="X195" s="23">
        <v>44830</v>
      </c>
      <c r="Y195" s="20" t="s">
        <v>197</v>
      </c>
      <c r="Z195" s="20"/>
      <c r="AA195" s="20"/>
      <c r="AB195" s="168"/>
    </row>
    <row r="196" spans="1:31" s="8" customFormat="1" x14ac:dyDescent="0.25">
      <c r="A196" s="189"/>
      <c r="B196" s="92" t="s">
        <v>204</v>
      </c>
      <c r="C196" s="90" t="str">
        <f>VLOOKUP($F196,Admin!$A$16:$E$19,2,FALSE)</f>
        <v>Alkalmazott (ipari) kutatás – Működési költség</v>
      </c>
      <c r="D196" s="161" t="s">
        <v>129</v>
      </c>
      <c r="E196" s="90" t="str">
        <f>VLOOKUP($F196,Admin!$A$16:$E$19,4,FALSE)</f>
        <v>54. Bérköltség - Kutató-fejlesztő munkatárs</v>
      </c>
      <c r="F196" s="90" t="s">
        <v>171</v>
      </c>
      <c r="G196" s="161" t="s">
        <v>174</v>
      </c>
      <c r="H196" s="161" t="s">
        <v>194</v>
      </c>
      <c r="I196" s="90" t="str">
        <f>VLOOKUP($F196,Admin!$A$16:$E$19,5,FALSE)</f>
        <v>K+F munkatárs</v>
      </c>
      <c r="J196" s="161" t="s">
        <v>50</v>
      </c>
      <c r="K196" s="161" t="str">
        <f t="shared" si="558"/>
        <v>2022.11</v>
      </c>
      <c r="L196" s="91" t="s">
        <v>8</v>
      </c>
      <c r="M196" s="92" t="s">
        <v>78</v>
      </c>
      <c r="N196" s="162">
        <v>450000</v>
      </c>
      <c r="O196" s="163">
        <f t="shared" ref="O196:O197" si="564">ROUND(N196*V196,0)</f>
        <v>58500</v>
      </c>
      <c r="P196" s="161">
        <v>174</v>
      </c>
      <c r="Q196" s="161">
        <v>39</v>
      </c>
      <c r="R196" s="230">
        <f t="shared" ref="R196:R197" si="565">Q196/P196</f>
        <v>0.22413793103448276</v>
      </c>
      <c r="S196" s="164">
        <f t="shared" ref="S196:S197" si="566">ROUND(N196*Q196/P196,0)</f>
        <v>100862</v>
      </c>
      <c r="T196" s="165">
        <f t="shared" ref="T196:T197" si="567">ROUND(S196*V196,0)</f>
        <v>13112</v>
      </c>
      <c r="U196" s="166">
        <f t="shared" ref="U196:U197" si="568">Q196/P196-S196/N196</f>
        <v>1.5325670499333199E-7</v>
      </c>
      <c r="V196" s="87">
        <v>0.13</v>
      </c>
      <c r="W196" s="224" t="s">
        <v>220</v>
      </c>
      <c r="X196" s="23">
        <v>44830</v>
      </c>
      <c r="Y196" s="20" t="s">
        <v>197</v>
      </c>
      <c r="Z196" s="20"/>
      <c r="AA196" s="20"/>
      <c r="AB196" s="168"/>
      <c r="AC196" s="211" t="e">
        <v>#N/A</v>
      </c>
      <c r="AD196" s="211" t="e">
        <v>#N/A</v>
      </c>
      <c r="AE196" s="211" t="e">
        <v>#N/A</v>
      </c>
    </row>
    <row r="197" spans="1:31" s="8" customFormat="1" x14ac:dyDescent="0.25">
      <c r="A197" s="189"/>
      <c r="B197" s="92" t="s">
        <v>204</v>
      </c>
      <c r="C197" s="90" t="str">
        <f>VLOOKUP($F197,Admin!$A$16:$E$19,2,FALSE)</f>
        <v>Alkalmazott (ipari) kutatás – Működési költség</v>
      </c>
      <c r="D197" s="161" t="s">
        <v>129</v>
      </c>
      <c r="E197" s="90" t="str">
        <f>VLOOKUP($F197,Admin!$A$16:$E$19,4,FALSE)</f>
        <v>54. Bérköltség - Kutató-fejlesztő munkatárs</v>
      </c>
      <c r="F197" s="90" t="s">
        <v>171</v>
      </c>
      <c r="G197" s="161" t="s">
        <v>174</v>
      </c>
      <c r="H197" s="161" t="s">
        <v>194</v>
      </c>
      <c r="I197" s="90" t="str">
        <f>VLOOKUP($F197,Admin!$A$16:$E$19,5,FALSE)</f>
        <v>K+F munkatárs</v>
      </c>
      <c r="J197" s="161" t="s">
        <v>51</v>
      </c>
      <c r="K197" s="161" t="str">
        <f t="shared" si="558"/>
        <v>2022.12</v>
      </c>
      <c r="L197" s="91" t="s">
        <v>8</v>
      </c>
      <c r="M197" s="92" t="s">
        <v>78</v>
      </c>
      <c r="N197" s="162">
        <v>449999</v>
      </c>
      <c r="O197" s="163">
        <f t="shared" si="564"/>
        <v>58500</v>
      </c>
      <c r="P197" s="161">
        <v>174</v>
      </c>
      <c r="Q197" s="161">
        <v>39</v>
      </c>
      <c r="R197" s="230">
        <f t="shared" si="565"/>
        <v>0.22413793103448276</v>
      </c>
      <c r="S197" s="164">
        <f t="shared" si="566"/>
        <v>100862</v>
      </c>
      <c r="T197" s="165">
        <f t="shared" si="567"/>
        <v>13112</v>
      </c>
      <c r="U197" s="166">
        <f t="shared" si="568"/>
        <v>-3.4482835248317301E-7</v>
      </c>
      <c r="V197" s="87">
        <v>0.13</v>
      </c>
      <c r="W197" s="224" t="s">
        <v>220</v>
      </c>
      <c r="X197" s="23">
        <v>44830</v>
      </c>
      <c r="Y197" s="20" t="s">
        <v>197</v>
      </c>
      <c r="Z197" s="20"/>
      <c r="AA197" s="20"/>
      <c r="AB197" s="168"/>
      <c r="AC197" s="211" t="s">
        <v>248</v>
      </c>
      <c r="AD197" s="211" t="s">
        <v>249</v>
      </c>
      <c r="AE197" s="211" t="s">
        <v>249</v>
      </c>
    </row>
    <row r="198" spans="1:31" s="8" customFormat="1" x14ac:dyDescent="0.25">
      <c r="A198" s="189"/>
      <c r="B198" s="92" t="s">
        <v>204</v>
      </c>
      <c r="C198" s="90" t="str">
        <f>VLOOKUP($F198,Admin!$A$16:$E$19,2,FALSE)</f>
        <v>Alkalmazott (ipari) kutatás – Működési költség</v>
      </c>
      <c r="D198" s="161" t="s">
        <v>129</v>
      </c>
      <c r="E198" s="90" t="str">
        <f>VLOOKUP($F198,Admin!$A$16:$E$19,4,FALSE)</f>
        <v>54. Bérköltség - Kutató-fejlesztő munkatárs</v>
      </c>
      <c r="F198" s="90" t="s">
        <v>171</v>
      </c>
      <c r="G198" s="161" t="s">
        <v>174</v>
      </c>
      <c r="H198" s="161" t="s">
        <v>194</v>
      </c>
      <c r="I198" s="90" t="str">
        <f>VLOOKUP($F198,Admin!$A$16:$E$19,5,FALSE)</f>
        <v>K+F munkatárs</v>
      </c>
      <c r="J198" s="161" t="s">
        <v>64</v>
      </c>
      <c r="K198" s="161" t="str">
        <f t="shared" ref="K198:K200" si="569">J198</f>
        <v>2023.01</v>
      </c>
      <c r="L198" s="91" t="s">
        <v>8</v>
      </c>
      <c r="M198" s="92" t="s">
        <v>78</v>
      </c>
      <c r="N198" s="162">
        <v>494999</v>
      </c>
      <c r="O198" s="163">
        <f t="shared" ref="O198" si="570">ROUND(N198*V198,0)</f>
        <v>64350</v>
      </c>
      <c r="P198" s="161">
        <v>174</v>
      </c>
      <c r="Q198" s="161">
        <v>36</v>
      </c>
      <c r="R198" s="230">
        <f t="shared" ref="R198" si="571">Q198/P198</f>
        <v>0.20689655172413793</v>
      </c>
      <c r="S198" s="164">
        <f t="shared" ref="S198" si="572">ROUND(N198*Q198/P198,0)</f>
        <v>102414</v>
      </c>
      <c r="T198" s="165">
        <f t="shared" ref="T198" si="573">ROUND(S198*V198,0)</f>
        <v>13314</v>
      </c>
      <c r="U198" s="166">
        <f t="shared" ref="U198" si="574">Q198/P198-S198/N198</f>
        <v>-8.35947352312294E-7</v>
      </c>
      <c r="V198" s="87">
        <v>0.13</v>
      </c>
      <c r="W198" s="224" t="s">
        <v>220</v>
      </c>
      <c r="X198" s="23">
        <v>44944</v>
      </c>
      <c r="Y198" s="20" t="s">
        <v>197</v>
      </c>
      <c r="Z198" s="20"/>
      <c r="AA198" s="20"/>
      <c r="AB198" s="168"/>
      <c r="AC198" s="211" t="s">
        <v>248</v>
      </c>
      <c r="AD198" s="211">
        <v>0</v>
      </c>
      <c r="AE198" s="211">
        <v>0</v>
      </c>
    </row>
    <row r="199" spans="1:31" s="8" customFormat="1" x14ac:dyDescent="0.25">
      <c r="A199" s="189"/>
      <c r="B199" s="92" t="s">
        <v>204</v>
      </c>
      <c r="C199" s="90" t="str">
        <f>VLOOKUP($F199,Admin!$A$16:$E$19,2,FALSE)</f>
        <v>Alkalmazott (ipari) kutatás – Működési költség</v>
      </c>
      <c r="D199" s="161" t="s">
        <v>129</v>
      </c>
      <c r="E199" s="90" t="str">
        <f>VLOOKUP($F199,Admin!$A$16:$E$19,4,FALSE)</f>
        <v>54. Bérköltség - Kutató-fejlesztő munkatárs</v>
      </c>
      <c r="F199" s="90" t="s">
        <v>171</v>
      </c>
      <c r="G199" s="161" t="s">
        <v>174</v>
      </c>
      <c r="H199" s="161" t="s">
        <v>194</v>
      </c>
      <c r="I199" s="90" t="str">
        <f>VLOOKUP($F199,Admin!$A$16:$E$19,5,FALSE)</f>
        <v>K+F munkatárs</v>
      </c>
      <c r="J199" s="161" t="s">
        <v>65</v>
      </c>
      <c r="K199" s="161" t="str">
        <f t="shared" si="569"/>
        <v>2023.02</v>
      </c>
      <c r="L199" s="91" t="s">
        <v>8</v>
      </c>
      <c r="M199" s="92" t="s">
        <v>78</v>
      </c>
      <c r="N199" s="162">
        <v>495000</v>
      </c>
      <c r="O199" s="163">
        <f t="shared" ref="O199:O200" si="575">ROUND(N199*V199,0)</f>
        <v>64350</v>
      </c>
      <c r="P199" s="161">
        <v>174</v>
      </c>
      <c r="Q199" s="161">
        <v>36</v>
      </c>
      <c r="R199" s="230">
        <f t="shared" ref="R199:R200" si="576">Q199/P199</f>
        <v>0.20689655172413793</v>
      </c>
      <c r="S199" s="164">
        <f t="shared" ref="S199:S200" si="577">ROUND(N199*Q199/P199,0)</f>
        <v>102414</v>
      </c>
      <c r="T199" s="165">
        <f t="shared" ref="T199:T200" si="578">ROUND(S199*V199,0)</f>
        <v>13314</v>
      </c>
      <c r="U199" s="166">
        <f t="shared" ref="U199:U200" si="579">Q199/P199-S199/N199</f>
        <v>-4.1797283176214783E-7</v>
      </c>
      <c r="V199" s="87">
        <v>0.13</v>
      </c>
      <c r="W199" s="224" t="s">
        <v>220</v>
      </c>
      <c r="X199" s="23">
        <v>44944</v>
      </c>
      <c r="Y199" s="20" t="s">
        <v>197</v>
      </c>
      <c r="Z199" s="20"/>
      <c r="AA199" s="20"/>
      <c r="AB199" s="168"/>
      <c r="AC199" s="8" t="s">
        <v>248</v>
      </c>
      <c r="AD199" s="8">
        <v>175000</v>
      </c>
      <c r="AE199" s="8">
        <v>36790</v>
      </c>
    </row>
    <row r="200" spans="1:31" s="8" customFormat="1" x14ac:dyDescent="0.25">
      <c r="A200" s="189"/>
      <c r="B200" s="92" t="s">
        <v>204</v>
      </c>
      <c r="C200" s="90" t="str">
        <f>VLOOKUP($F200,Admin!$A$16:$E$19,2,FALSE)</f>
        <v>Alkalmazott (ipari) kutatás – Működési költség</v>
      </c>
      <c r="D200" s="161" t="s">
        <v>129</v>
      </c>
      <c r="E200" s="90" t="str">
        <f>VLOOKUP($F200,Admin!$A$16:$E$19,4,FALSE)</f>
        <v>54. Bérköltség - Kutató-fejlesztő munkatárs</v>
      </c>
      <c r="F200" s="90" t="s">
        <v>171</v>
      </c>
      <c r="G200" s="161" t="s">
        <v>174</v>
      </c>
      <c r="H200" s="161" t="s">
        <v>194</v>
      </c>
      <c r="I200" s="90" t="str">
        <f>VLOOKUP($F200,Admin!$A$16:$E$19,5,FALSE)</f>
        <v>K+F munkatárs</v>
      </c>
      <c r="J200" s="161" t="s">
        <v>66</v>
      </c>
      <c r="K200" s="161" t="str">
        <f t="shared" si="569"/>
        <v>2023.03</v>
      </c>
      <c r="L200" s="91" t="s">
        <v>8</v>
      </c>
      <c r="M200" s="92" t="s">
        <v>78</v>
      </c>
      <c r="N200" s="162">
        <v>670000</v>
      </c>
      <c r="O200" s="163">
        <f t="shared" si="575"/>
        <v>87100</v>
      </c>
      <c r="P200" s="161">
        <v>174</v>
      </c>
      <c r="Q200" s="161">
        <v>89</v>
      </c>
      <c r="R200" s="230">
        <f t="shared" si="576"/>
        <v>0.5114942528735632</v>
      </c>
      <c r="S200" s="164">
        <f t="shared" si="577"/>
        <v>342701</v>
      </c>
      <c r="T200" s="165">
        <f t="shared" si="578"/>
        <v>44551</v>
      </c>
      <c r="U200" s="166">
        <f t="shared" si="579"/>
        <v>2.2302281688091341E-7</v>
      </c>
      <c r="V200" s="87">
        <v>0.13</v>
      </c>
      <c r="W200" s="224" t="s">
        <v>220</v>
      </c>
      <c r="X200" s="23">
        <v>44980</v>
      </c>
      <c r="Y200" s="20" t="s">
        <v>197</v>
      </c>
      <c r="Z200" s="20"/>
      <c r="AA200" s="20"/>
      <c r="AB200" s="168"/>
      <c r="AC200" s="8" t="s">
        <v>248</v>
      </c>
      <c r="AD200" s="8">
        <v>0</v>
      </c>
      <c r="AE200" s="8">
        <v>14040</v>
      </c>
    </row>
    <row r="201" spans="1:31" s="8" customFormat="1" x14ac:dyDescent="0.25">
      <c r="A201" s="189"/>
      <c r="B201" s="92" t="s">
        <v>204</v>
      </c>
      <c r="C201" s="90" t="str">
        <f>VLOOKUP($F201,Admin!$A$16:$E$19,2,FALSE)</f>
        <v>Alkalmazott (ipari) kutatás – Működési költség</v>
      </c>
      <c r="D201" s="161" t="s">
        <v>129</v>
      </c>
      <c r="E201" s="90" t="str">
        <f>VLOOKUP($F201,Admin!$A$16:$E$19,4,FALSE)</f>
        <v>54. Bérköltség - Kutató-fejlesztő munkatárs</v>
      </c>
      <c r="F201" s="90" t="s">
        <v>171</v>
      </c>
      <c r="G201" s="161" t="s">
        <v>174</v>
      </c>
      <c r="H201" s="161" t="s">
        <v>194</v>
      </c>
      <c r="I201" s="90" t="str">
        <f>VLOOKUP($F201,Admin!$A$16:$E$19,5,FALSE)</f>
        <v>K+F munkatárs</v>
      </c>
      <c r="J201" s="161" t="s">
        <v>67</v>
      </c>
      <c r="K201" s="161" t="str">
        <f t="shared" ref="K201:K203" si="580">J201</f>
        <v>2023.04</v>
      </c>
      <c r="L201" s="91" t="s">
        <v>8</v>
      </c>
      <c r="M201" s="92" t="s">
        <v>78</v>
      </c>
      <c r="N201" s="162">
        <v>670000</v>
      </c>
      <c r="O201" s="163">
        <f t="shared" ref="O201:O202" si="581">ROUND(N201*V201,0)</f>
        <v>87100</v>
      </c>
      <c r="P201" s="161">
        <v>174</v>
      </c>
      <c r="Q201" s="161">
        <v>89</v>
      </c>
      <c r="R201" s="230">
        <f t="shared" ref="R201:R202" si="582">Q201/P201</f>
        <v>0.5114942528735632</v>
      </c>
      <c r="S201" s="164">
        <f t="shared" ref="S201:S202" si="583">ROUND(N201*Q201/P201,0)</f>
        <v>342701</v>
      </c>
      <c r="T201" s="165">
        <f t="shared" ref="T201:T202" si="584">ROUND(S201*V201,0)</f>
        <v>44551</v>
      </c>
      <c r="U201" s="166">
        <f t="shared" ref="U201:U202" si="585">Q201/P201-S201/N201</f>
        <v>2.2302281688091341E-7</v>
      </c>
      <c r="V201" s="87">
        <v>0.13</v>
      </c>
      <c r="W201" s="224" t="s">
        <v>220</v>
      </c>
      <c r="X201" s="23">
        <v>44980</v>
      </c>
      <c r="Y201" s="20" t="s">
        <v>197</v>
      </c>
      <c r="Z201" s="20"/>
      <c r="AA201" s="20"/>
      <c r="AB201" s="168"/>
      <c r="AC201" s="8" t="s">
        <v>248</v>
      </c>
      <c r="AD201" s="8">
        <v>0</v>
      </c>
      <c r="AE201" s="235">
        <v>14040</v>
      </c>
    </row>
    <row r="202" spans="1:31" s="8" customFormat="1" x14ac:dyDescent="0.25">
      <c r="A202" s="189"/>
      <c r="B202" s="92" t="s">
        <v>204</v>
      </c>
      <c r="C202" s="90" t="str">
        <f>VLOOKUP($F202,Admin!$A$16:$E$19,2,FALSE)</f>
        <v>Alkalmazott (ipari) kutatás – Működési költség</v>
      </c>
      <c r="D202" s="161" t="s">
        <v>129</v>
      </c>
      <c r="E202" s="90" t="str">
        <f>VLOOKUP($F202,Admin!$A$16:$E$19,4,FALSE)</f>
        <v>54. Bérköltség - Kutató-fejlesztő munkatárs</v>
      </c>
      <c r="F202" s="90" t="s">
        <v>171</v>
      </c>
      <c r="G202" s="161" t="s">
        <v>174</v>
      </c>
      <c r="H202" s="161" t="s">
        <v>194</v>
      </c>
      <c r="I202" s="90" t="str">
        <f>VLOOKUP($F202,Admin!$A$16:$E$19,5,FALSE)</f>
        <v>K+F munkatárs</v>
      </c>
      <c r="J202" s="161" t="s">
        <v>68</v>
      </c>
      <c r="K202" s="161" t="str">
        <f t="shared" si="580"/>
        <v>2023.05</v>
      </c>
      <c r="L202" s="91" t="s">
        <v>9</v>
      </c>
      <c r="M202" s="92" t="s">
        <v>78</v>
      </c>
      <c r="N202" s="162">
        <v>712000</v>
      </c>
      <c r="O202" s="163">
        <f t="shared" si="581"/>
        <v>92560</v>
      </c>
      <c r="P202" s="161">
        <v>174</v>
      </c>
      <c r="Q202" s="161">
        <v>89</v>
      </c>
      <c r="R202" s="230">
        <f t="shared" si="582"/>
        <v>0.5114942528735632</v>
      </c>
      <c r="S202" s="164">
        <f t="shared" si="583"/>
        <v>364184</v>
      </c>
      <c r="T202" s="165">
        <f t="shared" si="584"/>
        <v>47344</v>
      </c>
      <c r="U202" s="166">
        <f t="shared" si="585"/>
        <v>-1.2914890867854467E-7</v>
      </c>
      <c r="V202" s="87">
        <v>0.13</v>
      </c>
      <c r="W202" s="224" t="s">
        <v>220</v>
      </c>
      <c r="X202" s="23">
        <v>45041</v>
      </c>
      <c r="Y202" s="20" t="s">
        <v>197</v>
      </c>
      <c r="Z202" s="20"/>
      <c r="AA202" s="20"/>
      <c r="AB202" s="168"/>
      <c r="AC202" s="211"/>
      <c r="AD202" s="211"/>
      <c r="AE202" s="211"/>
    </row>
    <row r="203" spans="1:31" s="8" customFormat="1" x14ac:dyDescent="0.25">
      <c r="A203" s="189"/>
      <c r="B203" s="92" t="s">
        <v>204</v>
      </c>
      <c r="C203" s="90" t="str">
        <f>VLOOKUP($F203,Admin!$A$16:$E$19,2,FALSE)</f>
        <v>Alkalmazott (ipari) kutatás – Működési költség</v>
      </c>
      <c r="D203" s="161" t="s">
        <v>129</v>
      </c>
      <c r="E203" s="90" t="str">
        <f>VLOOKUP($F203,Admin!$A$16:$E$19,4,FALSE)</f>
        <v>54. Bérköltség - Kutató-fejlesztő munkatárs</v>
      </c>
      <c r="F203" s="90" t="s">
        <v>171</v>
      </c>
      <c r="G203" s="161" t="s">
        <v>174</v>
      </c>
      <c r="H203" s="161" t="s">
        <v>194</v>
      </c>
      <c r="I203" s="90" t="str">
        <f>VLOOKUP($F203,Admin!$A$16:$E$19,5,FALSE)</f>
        <v>K+F munkatárs</v>
      </c>
      <c r="J203" s="161" t="s">
        <v>69</v>
      </c>
      <c r="K203" s="161" t="str">
        <f t="shared" si="580"/>
        <v>2023.06</v>
      </c>
      <c r="L203" s="91" t="s">
        <v>9</v>
      </c>
      <c r="M203" s="92" t="s">
        <v>78</v>
      </c>
      <c r="N203" s="162">
        <v>712000</v>
      </c>
      <c r="O203" s="163">
        <f t="shared" ref="O203" si="586">ROUND(N203*V203,0)</f>
        <v>92560</v>
      </c>
      <c r="P203" s="161">
        <v>174</v>
      </c>
      <c r="Q203" s="161">
        <v>89</v>
      </c>
      <c r="R203" s="230">
        <f t="shared" ref="R203" si="587">Q203/P203</f>
        <v>0.5114942528735632</v>
      </c>
      <c r="S203" s="164">
        <f t="shared" ref="S203" si="588">ROUND(N203*Q203/P203,0)</f>
        <v>364184</v>
      </c>
      <c r="T203" s="165">
        <f t="shared" ref="T203" si="589">ROUND(S203*V203,0)</f>
        <v>47344</v>
      </c>
      <c r="U203" s="166">
        <f t="shared" ref="U203" si="590">Q203/P203-S203/N203</f>
        <v>-1.2914890867854467E-7</v>
      </c>
      <c r="V203" s="87">
        <v>0.13</v>
      </c>
      <c r="W203" s="224" t="s">
        <v>220</v>
      </c>
      <c r="X203" s="23">
        <v>45041</v>
      </c>
      <c r="Y203" s="20" t="s">
        <v>197</v>
      </c>
      <c r="Z203" s="20"/>
      <c r="AA203" s="20"/>
      <c r="AB203" s="168"/>
      <c r="AC203" s="211"/>
      <c r="AD203" s="211"/>
      <c r="AE203" s="211"/>
    </row>
    <row r="204" spans="1:31" s="8" customFormat="1" x14ac:dyDescent="0.25">
      <c r="A204" s="208">
        <v>1</v>
      </c>
      <c r="B204" s="92" t="s">
        <v>210</v>
      </c>
      <c r="C204" s="90" t="str">
        <f>VLOOKUP($F204,Admin!$A$16:$E$19,2,FALSE)</f>
        <v>Alkalmazott (ipari) kutatás – Működési költség</v>
      </c>
      <c r="D204" s="161" t="s">
        <v>129</v>
      </c>
      <c r="E204" s="90" t="str">
        <f>VLOOKUP($F204,Admin!$A$16:$E$19,4,FALSE)</f>
        <v>54. Bérköltség - technikus segédszemélyzet</v>
      </c>
      <c r="F204" s="90" t="s">
        <v>173</v>
      </c>
      <c r="G204" s="161" t="s">
        <v>174</v>
      </c>
      <c r="H204" s="161" t="s">
        <v>195</v>
      </c>
      <c r="I204" s="90" t="str">
        <f>VLOOKUP($F204,Admin!$A$16:$E$19,5,FALSE)</f>
        <v>Technikus</v>
      </c>
      <c r="J204" s="161" t="s">
        <v>48</v>
      </c>
      <c r="K204" s="161" t="str">
        <f t="shared" ref="K204" si="591">J204</f>
        <v>2022.09</v>
      </c>
      <c r="L204" s="91" t="s">
        <v>8</v>
      </c>
      <c r="M204" s="92" t="s">
        <v>78</v>
      </c>
      <c r="N204" s="162">
        <v>470500</v>
      </c>
      <c r="O204" s="163">
        <f t="shared" si="553"/>
        <v>61165</v>
      </c>
      <c r="P204" s="161">
        <v>174</v>
      </c>
      <c r="Q204" s="161">
        <v>74</v>
      </c>
      <c r="R204" s="230">
        <f t="shared" si="554"/>
        <v>0.42528735632183906</v>
      </c>
      <c r="S204" s="164">
        <f t="shared" si="555"/>
        <v>200098</v>
      </c>
      <c r="T204" s="165">
        <f t="shared" si="556"/>
        <v>26013</v>
      </c>
      <c r="U204" s="166">
        <f t="shared" si="557"/>
        <v>-6.3517656689882074E-7</v>
      </c>
      <c r="V204" s="87">
        <v>0.13</v>
      </c>
      <c r="W204" s="224"/>
      <c r="X204" s="23">
        <v>44798</v>
      </c>
      <c r="Y204" s="20" t="s">
        <v>197</v>
      </c>
      <c r="Z204" s="20"/>
      <c r="AA204" s="20"/>
      <c r="AB204" s="168"/>
    </row>
    <row r="205" spans="1:31" s="8" customFormat="1" x14ac:dyDescent="0.25">
      <c r="A205" s="189"/>
      <c r="B205" s="92" t="s">
        <v>210</v>
      </c>
      <c r="C205" s="90" t="str">
        <f>VLOOKUP($F205,Admin!$A$16:$E$19,2,FALSE)</f>
        <v>Alkalmazott (ipari) kutatás – Működési költség</v>
      </c>
      <c r="D205" s="161" t="s">
        <v>129</v>
      </c>
      <c r="E205" s="90" t="str">
        <f>VLOOKUP($F205,Admin!$A$16:$E$19,4,FALSE)</f>
        <v>54. Bérköltség - technikus segédszemélyzet</v>
      </c>
      <c r="F205" s="90" t="s">
        <v>173</v>
      </c>
      <c r="G205" s="161" t="s">
        <v>174</v>
      </c>
      <c r="H205" s="161" t="s">
        <v>195</v>
      </c>
      <c r="I205" s="90" t="str">
        <f>VLOOKUP($F205,Admin!$A$16:$E$19,5,FALSE)</f>
        <v>Technikus</v>
      </c>
      <c r="J205" s="161" t="s">
        <v>49</v>
      </c>
      <c r="K205" s="161" t="str">
        <f t="shared" ref="K205:K207" si="592">J205</f>
        <v>2022.10</v>
      </c>
      <c r="L205" s="91" t="s">
        <v>8</v>
      </c>
      <c r="M205" s="92" t="s">
        <v>78</v>
      </c>
      <c r="N205" s="162">
        <v>470500</v>
      </c>
      <c r="O205" s="163">
        <f t="shared" ref="O205" si="593">ROUND(N205*V205,0)</f>
        <v>61165</v>
      </c>
      <c r="P205" s="161">
        <v>174</v>
      </c>
      <c r="Q205" s="161">
        <v>74</v>
      </c>
      <c r="R205" s="230">
        <f t="shared" ref="R205" si="594">Q205/P205</f>
        <v>0.42528735632183906</v>
      </c>
      <c r="S205" s="164">
        <f t="shared" ref="S205" si="595">ROUND(N205*Q205/P205,0)</f>
        <v>200098</v>
      </c>
      <c r="T205" s="165">
        <f t="shared" ref="T205" si="596">ROUND(S205*V205,0)</f>
        <v>26013</v>
      </c>
      <c r="U205" s="166">
        <f t="shared" ref="U205" si="597">Q205/P205-S205/N205</f>
        <v>-6.3517656689882074E-7</v>
      </c>
      <c r="V205" s="87">
        <v>0.13</v>
      </c>
      <c r="W205" s="224"/>
      <c r="X205" s="23">
        <v>44825</v>
      </c>
      <c r="Y205" s="20" t="s">
        <v>197</v>
      </c>
      <c r="Z205" s="20"/>
      <c r="AA205" s="20"/>
      <c r="AB205" s="168"/>
    </row>
    <row r="206" spans="1:31" s="8" customFormat="1" x14ac:dyDescent="0.25">
      <c r="A206" s="189"/>
      <c r="B206" s="92" t="s">
        <v>210</v>
      </c>
      <c r="C206" s="90" t="str">
        <f>VLOOKUP($F206,Admin!$A$16:$E$19,2,FALSE)</f>
        <v>Alkalmazott (ipari) kutatás – Működési költség</v>
      </c>
      <c r="D206" s="161" t="s">
        <v>129</v>
      </c>
      <c r="E206" s="90" t="str">
        <f>VLOOKUP($F206,Admin!$A$16:$E$19,4,FALSE)</f>
        <v>54. Bérköltség - technikus segédszemélyzet</v>
      </c>
      <c r="F206" s="90" t="s">
        <v>173</v>
      </c>
      <c r="G206" s="161" t="s">
        <v>174</v>
      </c>
      <c r="H206" s="161" t="s">
        <v>195</v>
      </c>
      <c r="I206" s="90" t="str">
        <f>VLOOKUP($F206,Admin!$A$16:$E$19,5,FALSE)</f>
        <v>Technikus</v>
      </c>
      <c r="J206" s="161" t="s">
        <v>50</v>
      </c>
      <c r="K206" s="161" t="str">
        <f t="shared" si="592"/>
        <v>2022.11</v>
      </c>
      <c r="L206" s="91" t="s">
        <v>8</v>
      </c>
      <c r="M206" s="92" t="s">
        <v>78</v>
      </c>
      <c r="N206" s="162">
        <v>470500</v>
      </c>
      <c r="O206" s="163">
        <f t="shared" ref="O206:O207" si="598">ROUND(N206*V206,0)</f>
        <v>61165</v>
      </c>
      <c r="P206" s="161">
        <v>174</v>
      </c>
      <c r="Q206" s="161">
        <v>74</v>
      </c>
      <c r="R206" s="230">
        <f t="shared" ref="R206:R207" si="599">Q206/P206</f>
        <v>0.42528735632183906</v>
      </c>
      <c r="S206" s="164">
        <f t="shared" ref="S206:S207" si="600">ROUND(N206*Q206/P206,0)</f>
        <v>200098</v>
      </c>
      <c r="T206" s="165">
        <f t="shared" ref="T206:T207" si="601">ROUND(S206*V206,0)</f>
        <v>26013</v>
      </c>
      <c r="U206" s="166">
        <f t="shared" ref="U206:U207" si="602">Q206/P206-S206/N206</f>
        <v>-6.3517656689882074E-7</v>
      </c>
      <c r="V206" s="87">
        <v>0.13</v>
      </c>
      <c r="W206" s="224" t="s">
        <v>231</v>
      </c>
      <c r="X206" s="23">
        <v>44825</v>
      </c>
      <c r="Y206" s="20" t="s">
        <v>197</v>
      </c>
      <c r="Z206" s="20"/>
      <c r="AA206" s="20"/>
      <c r="AB206" s="168"/>
      <c r="AC206" s="212" t="e">
        <v>#N/A</v>
      </c>
      <c r="AD206" s="212" t="e">
        <v>#N/A</v>
      </c>
      <c r="AE206" s="212" t="e">
        <v>#N/A</v>
      </c>
    </row>
    <row r="207" spans="1:31" s="8" customFormat="1" x14ac:dyDescent="0.25">
      <c r="A207" s="189"/>
      <c r="B207" s="92" t="s">
        <v>210</v>
      </c>
      <c r="C207" s="90" t="str">
        <f>VLOOKUP($F207,Admin!$A$16:$E$19,2,FALSE)</f>
        <v>Alkalmazott (ipari) kutatás – Működési költség</v>
      </c>
      <c r="D207" s="161" t="s">
        <v>129</v>
      </c>
      <c r="E207" s="90" t="str">
        <f>VLOOKUP($F207,Admin!$A$16:$E$19,4,FALSE)</f>
        <v>54. Bérköltség - technikus segédszemélyzet</v>
      </c>
      <c r="F207" s="90" t="s">
        <v>173</v>
      </c>
      <c r="G207" s="161" t="s">
        <v>174</v>
      </c>
      <c r="H207" s="161" t="s">
        <v>195</v>
      </c>
      <c r="I207" s="90" t="str">
        <f>VLOOKUP($F207,Admin!$A$16:$E$19,5,FALSE)</f>
        <v>Technikus</v>
      </c>
      <c r="J207" s="161" t="s">
        <v>51</v>
      </c>
      <c r="K207" s="161" t="str">
        <f t="shared" si="592"/>
        <v>2022.12</v>
      </c>
      <c r="L207" s="91" t="s">
        <v>8</v>
      </c>
      <c r="M207" s="92" t="s">
        <v>78</v>
      </c>
      <c r="N207" s="162">
        <v>470500</v>
      </c>
      <c r="O207" s="163">
        <f t="shared" si="598"/>
        <v>61165</v>
      </c>
      <c r="P207" s="161">
        <v>174</v>
      </c>
      <c r="Q207" s="161">
        <v>74</v>
      </c>
      <c r="R207" s="230">
        <f t="shared" si="599"/>
        <v>0.42528735632183906</v>
      </c>
      <c r="S207" s="164">
        <f t="shared" si="600"/>
        <v>200098</v>
      </c>
      <c r="T207" s="165">
        <f t="shared" si="601"/>
        <v>26013</v>
      </c>
      <c r="U207" s="166">
        <f t="shared" si="602"/>
        <v>-6.3517656689882074E-7</v>
      </c>
      <c r="V207" s="87">
        <v>0.13</v>
      </c>
      <c r="W207" s="224" t="s">
        <v>231</v>
      </c>
      <c r="X207" s="23">
        <v>44825</v>
      </c>
      <c r="Y207" s="20" t="s">
        <v>197</v>
      </c>
      <c r="Z207" s="20"/>
      <c r="AA207" s="20"/>
      <c r="AB207" s="168"/>
      <c r="AC207" s="211" t="s">
        <v>248</v>
      </c>
      <c r="AD207" s="211" t="s">
        <v>249</v>
      </c>
      <c r="AE207" s="211" t="s">
        <v>249</v>
      </c>
    </row>
    <row r="208" spans="1:31" s="8" customFormat="1" x14ac:dyDescent="0.25">
      <c r="A208" s="189"/>
      <c r="B208" s="92" t="s">
        <v>210</v>
      </c>
      <c r="C208" s="90" t="str">
        <f>VLOOKUP($F208,Admin!$A$16:$E$19,2,FALSE)</f>
        <v>Alkalmazott (ipari) kutatás – Működési költség</v>
      </c>
      <c r="D208" s="161" t="s">
        <v>129</v>
      </c>
      <c r="E208" s="90" t="str">
        <f>VLOOKUP($F208,Admin!$A$16:$E$19,4,FALSE)</f>
        <v>54. Bérköltség - technikus segédszemélyzet</v>
      </c>
      <c r="F208" s="90" t="s">
        <v>173</v>
      </c>
      <c r="G208" s="161" t="s">
        <v>174</v>
      </c>
      <c r="H208" s="161" t="s">
        <v>195</v>
      </c>
      <c r="I208" s="90" t="str">
        <f>VLOOKUP($F208,Admin!$A$16:$E$19,5,FALSE)</f>
        <v>Technikus</v>
      </c>
      <c r="J208" s="161" t="s">
        <v>64</v>
      </c>
      <c r="K208" s="161" t="str">
        <f t="shared" ref="K208:K210" si="603">J208</f>
        <v>2023.01</v>
      </c>
      <c r="L208" s="91" t="s">
        <v>8</v>
      </c>
      <c r="M208" s="92" t="s">
        <v>78</v>
      </c>
      <c r="N208" s="162">
        <v>517600</v>
      </c>
      <c r="O208" s="163">
        <f t="shared" ref="O208" si="604">ROUND(N208*V208,0)</f>
        <v>67288</v>
      </c>
      <c r="P208" s="161">
        <v>174</v>
      </c>
      <c r="Q208" s="161">
        <v>67</v>
      </c>
      <c r="R208" s="230">
        <f t="shared" ref="R208" si="605">Q208/P208</f>
        <v>0.38505747126436779</v>
      </c>
      <c r="S208" s="164">
        <f t="shared" ref="S208" si="606">ROUND(N208*Q208/P208,0)</f>
        <v>199306</v>
      </c>
      <c r="T208" s="165">
        <f t="shared" ref="T208" si="607">ROUND(S208*V208,0)</f>
        <v>25910</v>
      </c>
      <c r="U208" s="166">
        <f t="shared" ref="U208" si="608">Q208/P208-S208/N208</f>
        <v>-4.8855016082649527E-7</v>
      </c>
      <c r="V208" s="87">
        <v>0.13</v>
      </c>
      <c r="W208" s="224" t="s">
        <v>231</v>
      </c>
      <c r="X208" s="23">
        <v>44938</v>
      </c>
      <c r="Y208" s="20" t="s">
        <v>197</v>
      </c>
      <c r="Z208" s="20"/>
      <c r="AA208" s="20"/>
      <c r="AB208" s="168"/>
      <c r="AC208" s="211" t="s">
        <v>248</v>
      </c>
      <c r="AD208" s="219">
        <v>1</v>
      </c>
      <c r="AE208" s="211">
        <v>0</v>
      </c>
    </row>
    <row r="209" spans="1:31" s="8" customFormat="1" x14ac:dyDescent="0.25">
      <c r="A209" s="189"/>
      <c r="B209" s="92" t="s">
        <v>210</v>
      </c>
      <c r="C209" s="90" t="str">
        <f>VLOOKUP($F209,Admin!$A$16:$E$19,2,FALSE)</f>
        <v>Alkalmazott (ipari) kutatás – Működési költség</v>
      </c>
      <c r="D209" s="161" t="s">
        <v>129</v>
      </c>
      <c r="E209" s="90" t="str">
        <f>VLOOKUP($F209,Admin!$A$16:$E$19,4,FALSE)</f>
        <v>54. Bérköltség - technikus segédszemélyzet</v>
      </c>
      <c r="F209" s="90" t="s">
        <v>173</v>
      </c>
      <c r="G209" s="161" t="s">
        <v>174</v>
      </c>
      <c r="H209" s="161" t="s">
        <v>195</v>
      </c>
      <c r="I209" s="90" t="str">
        <f>VLOOKUP($F209,Admin!$A$16:$E$19,5,FALSE)</f>
        <v>Technikus</v>
      </c>
      <c r="J209" s="161" t="s">
        <v>65</v>
      </c>
      <c r="K209" s="161" t="str">
        <f t="shared" si="603"/>
        <v>2023.02</v>
      </c>
      <c r="L209" s="91" t="s">
        <v>8</v>
      </c>
      <c r="M209" s="92" t="s">
        <v>78</v>
      </c>
      <c r="N209" s="162">
        <v>517600</v>
      </c>
      <c r="O209" s="163">
        <f t="shared" ref="O209:O210" si="609">ROUND(N209*V209,0)</f>
        <v>67288</v>
      </c>
      <c r="P209" s="161">
        <v>174</v>
      </c>
      <c r="Q209" s="161">
        <v>67</v>
      </c>
      <c r="R209" s="230">
        <f t="shared" ref="R209:R210" si="610">Q209/P209</f>
        <v>0.38505747126436779</v>
      </c>
      <c r="S209" s="164">
        <f t="shared" ref="S209:S210" si="611">ROUND(N209*Q209/P209,0)</f>
        <v>199306</v>
      </c>
      <c r="T209" s="165">
        <f t="shared" ref="T209:T210" si="612">ROUND(S209*V209,0)</f>
        <v>25910</v>
      </c>
      <c r="U209" s="166">
        <f t="shared" ref="U209:U210" si="613">Q209/P209-S209/N209</f>
        <v>-4.8855016082649527E-7</v>
      </c>
      <c r="V209" s="87">
        <v>0.13</v>
      </c>
      <c r="W209" s="224" t="s">
        <v>231</v>
      </c>
      <c r="X209" s="23">
        <v>44938</v>
      </c>
      <c r="Y209" s="20" t="s">
        <v>197</v>
      </c>
      <c r="Z209" s="20"/>
      <c r="AA209" s="20"/>
      <c r="AB209" s="168"/>
      <c r="AC209" s="8" t="s">
        <v>248</v>
      </c>
      <c r="AD209" s="8">
        <v>-1</v>
      </c>
      <c r="AE209" s="8">
        <v>48932</v>
      </c>
    </row>
    <row r="210" spans="1:31" s="8" customFormat="1" x14ac:dyDescent="0.25">
      <c r="A210" s="189"/>
      <c r="B210" s="92" t="s">
        <v>210</v>
      </c>
      <c r="C210" s="90" t="str">
        <f>VLOOKUP($F210,Admin!$A$16:$E$19,2,FALSE)</f>
        <v>Alkalmazott (ipari) kutatás – Működési költség</v>
      </c>
      <c r="D210" s="161" t="s">
        <v>129</v>
      </c>
      <c r="E210" s="90" t="str">
        <f>VLOOKUP($F210,Admin!$A$16:$E$19,4,FALSE)</f>
        <v>54. Bérköltség - technikus segédszemélyzet</v>
      </c>
      <c r="F210" s="90" t="s">
        <v>173</v>
      </c>
      <c r="G210" s="161" t="s">
        <v>174</v>
      </c>
      <c r="H210" s="161" t="s">
        <v>195</v>
      </c>
      <c r="I210" s="90" t="str">
        <f>VLOOKUP($F210,Admin!$A$16:$E$19,5,FALSE)</f>
        <v>Technikus</v>
      </c>
      <c r="J210" s="161" t="s">
        <v>66</v>
      </c>
      <c r="K210" s="161" t="str">
        <f t="shared" si="603"/>
        <v>2023.03</v>
      </c>
      <c r="L210" s="91" t="s">
        <v>8</v>
      </c>
      <c r="M210" s="92" t="s">
        <v>78</v>
      </c>
      <c r="N210" s="162">
        <v>517600</v>
      </c>
      <c r="O210" s="163">
        <f t="shared" si="609"/>
        <v>67288</v>
      </c>
      <c r="P210" s="161">
        <v>174</v>
      </c>
      <c r="Q210" s="161">
        <v>67</v>
      </c>
      <c r="R210" s="230">
        <f t="shared" si="610"/>
        <v>0.38505747126436779</v>
      </c>
      <c r="S210" s="164">
        <f t="shared" si="611"/>
        <v>199306</v>
      </c>
      <c r="T210" s="165">
        <f t="shared" si="612"/>
        <v>25910</v>
      </c>
      <c r="U210" s="166">
        <f t="shared" si="613"/>
        <v>-4.8855016082649527E-7</v>
      </c>
      <c r="V210" s="87">
        <v>0.13</v>
      </c>
      <c r="W210" s="224" t="s">
        <v>231</v>
      </c>
      <c r="X210" s="23">
        <v>44938</v>
      </c>
      <c r="Y210" s="20" t="s">
        <v>197</v>
      </c>
      <c r="Z210" s="20"/>
      <c r="AA210" s="20"/>
      <c r="AB210" s="168"/>
      <c r="AC210" s="8" t="s">
        <v>248</v>
      </c>
      <c r="AD210" s="8">
        <v>-1</v>
      </c>
      <c r="AE210" s="8">
        <v>48932</v>
      </c>
    </row>
    <row r="211" spans="1:31" s="8" customFormat="1" x14ac:dyDescent="0.25">
      <c r="A211" s="189"/>
      <c r="B211" s="92" t="s">
        <v>210</v>
      </c>
      <c r="C211" s="90" t="str">
        <f>VLOOKUP($F211,Admin!$A$16:$E$19,2,FALSE)</f>
        <v>Alkalmazott (ipari) kutatás – Működési költség</v>
      </c>
      <c r="D211" s="161" t="s">
        <v>129</v>
      </c>
      <c r="E211" s="90" t="str">
        <f>VLOOKUP($F211,Admin!$A$16:$E$19,4,FALSE)</f>
        <v>54. Bérköltség - technikus segédszemélyzet</v>
      </c>
      <c r="F211" s="90" t="s">
        <v>173</v>
      </c>
      <c r="G211" s="161" t="s">
        <v>174</v>
      </c>
      <c r="H211" s="161" t="s">
        <v>195</v>
      </c>
      <c r="I211" s="90" t="str">
        <f>VLOOKUP($F211,Admin!$A$16:$E$19,5,FALSE)</f>
        <v>Technikus</v>
      </c>
      <c r="J211" s="161" t="s">
        <v>67</v>
      </c>
      <c r="K211" s="161" t="str">
        <f t="shared" ref="K211:K213" si="614">J211</f>
        <v>2023.04</v>
      </c>
      <c r="L211" s="91" t="s">
        <v>8</v>
      </c>
      <c r="M211" s="92" t="s">
        <v>78</v>
      </c>
      <c r="N211" s="162">
        <v>517599</v>
      </c>
      <c r="O211" s="163">
        <f t="shared" ref="O211" si="615">ROUND(N211*V211,0)</f>
        <v>67288</v>
      </c>
      <c r="P211" s="161">
        <v>174</v>
      </c>
      <c r="Q211" s="161">
        <v>67</v>
      </c>
      <c r="R211" s="230">
        <f t="shared" ref="R211" si="616">Q211/P211</f>
        <v>0.38505747126436779</v>
      </c>
      <c r="S211" s="164">
        <f t="shared" ref="S211" si="617">ROUND(N211*Q211/P211,0)</f>
        <v>199305</v>
      </c>
      <c r="T211" s="165">
        <f t="shared" ref="T211" si="618">ROUND(S211*V211,0)</f>
        <v>25910</v>
      </c>
      <c r="U211" s="166">
        <f t="shared" ref="U211" si="619">Q211/P211-S211/N211</f>
        <v>6.9951635434106763E-7</v>
      </c>
      <c r="V211" s="87">
        <v>0.13</v>
      </c>
      <c r="W211" s="224" t="s">
        <v>231</v>
      </c>
      <c r="X211" s="23">
        <v>45001</v>
      </c>
      <c r="Y211" s="20" t="s">
        <v>197</v>
      </c>
      <c r="Z211" s="20"/>
      <c r="AA211" s="20"/>
      <c r="AB211" s="168"/>
      <c r="AC211" s="8" t="s">
        <v>248</v>
      </c>
      <c r="AD211" s="8">
        <v>0</v>
      </c>
      <c r="AE211" s="235">
        <v>48932</v>
      </c>
    </row>
    <row r="212" spans="1:31" s="8" customFormat="1" x14ac:dyDescent="0.25">
      <c r="A212" s="189"/>
      <c r="B212" s="92" t="s">
        <v>210</v>
      </c>
      <c r="C212" s="90" t="str">
        <f>VLOOKUP($F212,Admin!$A$16:$E$19,2,FALSE)</f>
        <v>Alkalmazott (ipari) kutatás – Működési költség</v>
      </c>
      <c r="D212" s="161" t="s">
        <v>129</v>
      </c>
      <c r="E212" s="90" t="str">
        <f>VLOOKUP($F212,Admin!$A$16:$E$19,4,FALSE)</f>
        <v>54. Bérköltség - technikus segédszemélyzet</v>
      </c>
      <c r="F212" s="90" t="s">
        <v>173</v>
      </c>
      <c r="G212" s="161" t="s">
        <v>174</v>
      </c>
      <c r="H212" s="161" t="s">
        <v>195</v>
      </c>
      <c r="I212" s="90" t="str">
        <f>VLOOKUP($F212,Admin!$A$16:$E$19,5,FALSE)</f>
        <v>Technikus</v>
      </c>
      <c r="J212" s="161" t="s">
        <v>68</v>
      </c>
      <c r="K212" s="161" t="str">
        <f t="shared" si="614"/>
        <v>2023.05</v>
      </c>
      <c r="L212" s="91" t="s">
        <v>9</v>
      </c>
      <c r="M212" s="92" t="s">
        <v>78</v>
      </c>
      <c r="N212" s="162">
        <v>517600</v>
      </c>
      <c r="O212" s="163">
        <f t="shared" ref="O212:O213" si="620">ROUND(N212*V212,0)</f>
        <v>67288</v>
      </c>
      <c r="P212" s="161">
        <v>174</v>
      </c>
      <c r="Q212" s="161">
        <v>67</v>
      </c>
      <c r="R212" s="230">
        <f t="shared" ref="R212:R213" si="621">Q212/P212</f>
        <v>0.38505747126436779</v>
      </c>
      <c r="S212" s="164">
        <f t="shared" ref="S212:S213" si="622">ROUND(N212*Q212/P212,0)</f>
        <v>199306</v>
      </c>
      <c r="T212" s="165">
        <f t="shared" ref="T212:T213" si="623">ROUND(S212*V212,0)</f>
        <v>25910</v>
      </c>
      <c r="U212" s="166">
        <f t="shared" ref="U212:U213" si="624">Q212/P212-S212/N212</f>
        <v>-4.8855016082649527E-7</v>
      </c>
      <c r="V212" s="87">
        <v>0.13</v>
      </c>
      <c r="W212" s="224" t="s">
        <v>231</v>
      </c>
      <c r="X212" s="23">
        <v>45001</v>
      </c>
      <c r="Y212" s="20" t="s">
        <v>197</v>
      </c>
      <c r="Z212" s="20"/>
      <c r="AA212" s="20"/>
      <c r="AB212" s="168"/>
    </row>
    <row r="213" spans="1:31" s="8" customFormat="1" x14ac:dyDescent="0.25">
      <c r="A213" s="189"/>
      <c r="B213" s="92" t="s">
        <v>210</v>
      </c>
      <c r="C213" s="90" t="str">
        <f>VLOOKUP($F213,Admin!$A$16:$E$19,2,FALSE)</f>
        <v>Alkalmazott (ipari) kutatás – Működési költség</v>
      </c>
      <c r="D213" s="161" t="s">
        <v>129</v>
      </c>
      <c r="E213" s="90" t="str">
        <f>VLOOKUP($F213,Admin!$A$16:$E$19,4,FALSE)</f>
        <v>54. Bérköltség - technikus segédszemélyzet</v>
      </c>
      <c r="F213" s="90" t="s">
        <v>173</v>
      </c>
      <c r="G213" s="161" t="s">
        <v>174</v>
      </c>
      <c r="H213" s="161" t="s">
        <v>195</v>
      </c>
      <c r="I213" s="90" t="str">
        <f>VLOOKUP($F213,Admin!$A$16:$E$19,5,FALSE)</f>
        <v>Technikus</v>
      </c>
      <c r="J213" s="161" t="s">
        <v>69</v>
      </c>
      <c r="K213" s="161" t="str">
        <f t="shared" si="614"/>
        <v>2023.06</v>
      </c>
      <c r="L213" s="91" t="s">
        <v>9</v>
      </c>
      <c r="M213" s="92" t="s">
        <v>78</v>
      </c>
      <c r="N213" s="162">
        <v>517600</v>
      </c>
      <c r="O213" s="163">
        <f t="shared" si="620"/>
        <v>67288</v>
      </c>
      <c r="P213" s="161">
        <v>174</v>
      </c>
      <c r="Q213" s="161">
        <v>67</v>
      </c>
      <c r="R213" s="230">
        <f t="shared" si="621"/>
        <v>0.38505747126436779</v>
      </c>
      <c r="S213" s="164">
        <f t="shared" si="622"/>
        <v>199306</v>
      </c>
      <c r="T213" s="165">
        <f t="shared" si="623"/>
        <v>25910</v>
      </c>
      <c r="U213" s="166">
        <f t="shared" si="624"/>
        <v>-4.8855016082649527E-7</v>
      </c>
      <c r="V213" s="87">
        <v>0.13</v>
      </c>
      <c r="W213" s="224" t="s">
        <v>231</v>
      </c>
      <c r="X213" s="23">
        <v>45001</v>
      </c>
      <c r="Y213" s="20" t="s">
        <v>197</v>
      </c>
      <c r="Z213" s="20"/>
      <c r="AA213" s="20"/>
      <c r="AB213" s="168"/>
    </row>
    <row r="214" spans="1:31" s="8" customFormat="1" x14ac:dyDescent="0.25">
      <c r="A214" s="208">
        <v>1</v>
      </c>
      <c r="B214" s="92" t="s">
        <v>209</v>
      </c>
      <c r="C214" s="90" t="str">
        <f>VLOOKUP($F214,Admin!$A$16:$E$19,2,FALSE)</f>
        <v>Alkalmazott (ipari) kutatás – Működési költség</v>
      </c>
      <c r="D214" s="161" t="s">
        <v>129</v>
      </c>
      <c r="E214" s="90" t="str">
        <f>VLOOKUP($F214,Admin!$A$16:$E$19,4,FALSE)</f>
        <v>54. Bérköltség - Kutató-fejlesztő munkatárs</v>
      </c>
      <c r="F214" s="90" t="s">
        <v>171</v>
      </c>
      <c r="G214" s="161" t="s">
        <v>174</v>
      </c>
      <c r="H214" s="161" t="s">
        <v>193</v>
      </c>
      <c r="I214" s="90" t="str">
        <f>VLOOKUP($F214,Admin!$A$16:$E$19,5,FALSE)</f>
        <v>K+F munkatárs</v>
      </c>
      <c r="J214" s="161" t="s">
        <v>38</v>
      </c>
      <c r="K214" s="161" t="str">
        <f t="shared" si="137"/>
        <v>2021.11</v>
      </c>
      <c r="L214" s="91" t="s">
        <v>8</v>
      </c>
      <c r="M214" s="92" t="s">
        <v>78</v>
      </c>
      <c r="N214" s="162">
        <v>687000</v>
      </c>
      <c r="O214" s="163">
        <f t="shared" si="138"/>
        <v>106485</v>
      </c>
      <c r="P214" s="161">
        <v>174</v>
      </c>
      <c r="Q214" s="161">
        <v>63</v>
      </c>
      <c r="R214" s="230">
        <f t="shared" si="139"/>
        <v>0.36206896551724138</v>
      </c>
      <c r="S214" s="164">
        <f t="shared" si="140"/>
        <v>248741</v>
      </c>
      <c r="T214" s="165">
        <f t="shared" si="141"/>
        <v>38555</v>
      </c>
      <c r="U214" s="166">
        <f t="shared" si="142"/>
        <v>5.5212568389473304E-7</v>
      </c>
      <c r="V214" s="87">
        <v>0.155</v>
      </c>
      <c r="W214" s="224"/>
      <c r="X214" s="23">
        <v>44509</v>
      </c>
      <c r="Y214" s="20" t="s">
        <v>197</v>
      </c>
      <c r="Z214" s="20"/>
      <c r="AA214" s="20"/>
      <c r="AB214" s="168"/>
    </row>
    <row r="215" spans="1:31" s="8" customFormat="1" x14ac:dyDescent="0.25">
      <c r="A215" s="208">
        <v>1</v>
      </c>
      <c r="B215" s="92" t="s">
        <v>209</v>
      </c>
      <c r="C215" s="90" t="str">
        <f>VLOOKUP($F215,Admin!$A$16:$E$19,2,FALSE)</f>
        <v>Alkalmazott (ipari) kutatás – Működési költség</v>
      </c>
      <c r="D215" s="161" t="s">
        <v>129</v>
      </c>
      <c r="E215" s="90" t="str">
        <f>VLOOKUP($F215,Admin!$A$16:$E$19,4,FALSE)</f>
        <v>54. Bérköltség - Kutató-fejlesztő munkatárs</v>
      </c>
      <c r="F215" s="90" t="s">
        <v>171</v>
      </c>
      <c r="G215" s="161" t="s">
        <v>174</v>
      </c>
      <c r="H215" s="161" t="s">
        <v>193</v>
      </c>
      <c r="I215" s="90" t="str">
        <f>VLOOKUP($F215,Admin!$A$16:$E$19,5,FALSE)</f>
        <v>K+F munkatárs</v>
      </c>
      <c r="J215" s="161" t="s">
        <v>39</v>
      </c>
      <c r="K215" s="161" t="str">
        <f t="shared" si="137"/>
        <v>2021.12</v>
      </c>
      <c r="L215" s="91" t="s">
        <v>8</v>
      </c>
      <c r="M215" s="92" t="s">
        <v>78</v>
      </c>
      <c r="N215" s="162">
        <v>912000</v>
      </c>
      <c r="O215" s="163">
        <f t="shared" si="138"/>
        <v>141360</v>
      </c>
      <c r="P215" s="161">
        <v>174</v>
      </c>
      <c r="Q215" s="161">
        <v>42</v>
      </c>
      <c r="R215" s="230">
        <f t="shared" si="139"/>
        <v>0.2413793103448276</v>
      </c>
      <c r="S215" s="164">
        <f t="shared" si="140"/>
        <v>220138</v>
      </c>
      <c r="T215" s="165">
        <f t="shared" si="141"/>
        <v>34121</v>
      </c>
      <c r="U215" s="166">
        <f t="shared" si="142"/>
        <v>-7.5620084694083545E-8</v>
      </c>
      <c r="V215" s="87">
        <v>0.155</v>
      </c>
      <c r="W215" s="224"/>
      <c r="X215" s="23">
        <v>44544</v>
      </c>
      <c r="Y215" s="20" t="s">
        <v>197</v>
      </c>
      <c r="Z215" s="20"/>
      <c r="AA215" s="20"/>
      <c r="AB215" s="168"/>
    </row>
    <row r="216" spans="1:31" s="8" customFormat="1" x14ac:dyDescent="0.25">
      <c r="A216" s="208">
        <v>1</v>
      </c>
      <c r="B216" s="92" t="s">
        <v>209</v>
      </c>
      <c r="C216" s="90" t="str">
        <f>VLOOKUP($F216,Admin!$A$16:$E$19,2,FALSE)</f>
        <v>Alkalmazott (ipari) kutatás – Működési költség</v>
      </c>
      <c r="D216" s="161" t="s">
        <v>129</v>
      </c>
      <c r="E216" s="90" t="str">
        <f>VLOOKUP($F216,Admin!$A$16:$E$19,4,FALSE)</f>
        <v>54. Bérköltség - Kutató-fejlesztő munkatárs</v>
      </c>
      <c r="F216" s="90" t="s">
        <v>171</v>
      </c>
      <c r="G216" s="161" t="s">
        <v>174</v>
      </c>
      <c r="H216" s="161" t="s">
        <v>193</v>
      </c>
      <c r="I216" s="90" t="str">
        <f>VLOOKUP($F216,Admin!$A$16:$E$19,5,FALSE)</f>
        <v>K+F munkatárs</v>
      </c>
      <c r="J216" s="161" t="s">
        <v>40</v>
      </c>
      <c r="K216" s="161" t="str">
        <f t="shared" si="137"/>
        <v>2022.01</v>
      </c>
      <c r="L216" s="91" t="s">
        <v>8</v>
      </c>
      <c r="M216" s="92" t="s">
        <v>78</v>
      </c>
      <c r="N216" s="162">
        <v>760200</v>
      </c>
      <c r="O216" s="163">
        <f t="shared" si="138"/>
        <v>98826</v>
      </c>
      <c r="P216" s="161">
        <v>174</v>
      </c>
      <c r="Q216" s="161">
        <v>63</v>
      </c>
      <c r="R216" s="230">
        <f t="shared" si="139"/>
        <v>0.36206896551724138</v>
      </c>
      <c r="S216" s="164">
        <f t="shared" si="140"/>
        <v>275245</v>
      </c>
      <c r="T216" s="165">
        <f t="shared" si="141"/>
        <v>35782</v>
      </c>
      <c r="U216" s="166">
        <f t="shared" si="142"/>
        <v>-2.2680056971369211E-7</v>
      </c>
      <c r="V216" s="87">
        <v>0.13</v>
      </c>
      <c r="W216" s="224"/>
      <c r="X216" s="23">
        <v>44552</v>
      </c>
      <c r="Y216" s="20" t="s">
        <v>197</v>
      </c>
      <c r="Z216" s="20"/>
      <c r="AA216" s="20"/>
      <c r="AB216" s="168"/>
    </row>
    <row r="217" spans="1:31" s="8" customFormat="1" x14ac:dyDescent="0.25">
      <c r="A217" s="208">
        <v>1</v>
      </c>
      <c r="B217" s="92" t="s">
        <v>209</v>
      </c>
      <c r="C217" s="90" t="str">
        <f>VLOOKUP($F217,Admin!$A$16:$E$19,2,FALSE)</f>
        <v>Alkalmazott (ipari) kutatás – Működési költség</v>
      </c>
      <c r="D217" s="161" t="s">
        <v>129</v>
      </c>
      <c r="E217" s="90" t="str">
        <f>VLOOKUP($F217,Admin!$A$16:$E$19,4,FALSE)</f>
        <v>54. Bérköltség - Kutató-fejlesztő munkatárs</v>
      </c>
      <c r="F217" s="90" t="s">
        <v>171</v>
      </c>
      <c r="G217" s="161" t="s">
        <v>174</v>
      </c>
      <c r="H217" s="161" t="s">
        <v>193</v>
      </c>
      <c r="I217" s="90" t="str">
        <f>VLOOKUP($F217,Admin!$A$16:$E$19,5,FALSE)</f>
        <v>K+F munkatárs</v>
      </c>
      <c r="J217" s="161" t="s">
        <v>41</v>
      </c>
      <c r="K217" s="161" t="str">
        <f t="shared" si="137"/>
        <v>2022.02</v>
      </c>
      <c r="L217" s="91" t="s">
        <v>8</v>
      </c>
      <c r="M217" s="92" t="s">
        <v>78</v>
      </c>
      <c r="N217" s="162">
        <v>717000</v>
      </c>
      <c r="O217" s="163">
        <f t="shared" si="138"/>
        <v>93210</v>
      </c>
      <c r="P217" s="161">
        <v>174</v>
      </c>
      <c r="Q217" s="161">
        <v>63</v>
      </c>
      <c r="R217" s="230">
        <f t="shared" si="139"/>
        <v>0.36206896551724138</v>
      </c>
      <c r="S217" s="164">
        <f t="shared" si="140"/>
        <v>259603</v>
      </c>
      <c r="T217" s="165">
        <f t="shared" si="141"/>
        <v>33748</v>
      </c>
      <c r="U217" s="166">
        <f t="shared" si="142"/>
        <v>6.2521040733454214E-7</v>
      </c>
      <c r="V217" s="87">
        <v>0.13</v>
      </c>
      <c r="W217" s="224"/>
      <c r="X217" s="23">
        <v>44589</v>
      </c>
      <c r="Y217" s="20" t="s">
        <v>197</v>
      </c>
      <c r="Z217" s="20"/>
      <c r="AA217" s="20"/>
      <c r="AB217" s="168"/>
    </row>
    <row r="218" spans="1:31" s="8" customFormat="1" x14ac:dyDescent="0.25">
      <c r="A218" s="208">
        <v>1</v>
      </c>
      <c r="B218" s="92" t="s">
        <v>209</v>
      </c>
      <c r="C218" s="90" t="str">
        <f>VLOOKUP($F218,Admin!$A$16:$E$19,2,FALSE)</f>
        <v>Alkalmazott (ipari) kutatás – Működési költség</v>
      </c>
      <c r="D218" s="161" t="s">
        <v>129</v>
      </c>
      <c r="E218" s="90" t="str">
        <f>VLOOKUP($F218,Admin!$A$16:$E$19,4,FALSE)</f>
        <v>54. Bérköltség - Kutató-fejlesztő munkatárs</v>
      </c>
      <c r="F218" s="90" t="s">
        <v>171</v>
      </c>
      <c r="G218" s="161" t="s">
        <v>174</v>
      </c>
      <c r="H218" s="161" t="s">
        <v>193</v>
      </c>
      <c r="I218" s="90" t="str">
        <f>VLOOKUP($F218,Admin!$A$16:$E$19,5,FALSE)</f>
        <v>K+F munkatárs</v>
      </c>
      <c r="J218" s="161" t="s">
        <v>42</v>
      </c>
      <c r="K218" s="161" t="str">
        <f t="shared" si="137"/>
        <v>2022.03</v>
      </c>
      <c r="L218" s="91" t="s">
        <v>8</v>
      </c>
      <c r="M218" s="92" t="s">
        <v>78</v>
      </c>
      <c r="N218" s="162">
        <v>717000</v>
      </c>
      <c r="O218" s="163">
        <f t="shared" si="138"/>
        <v>93210</v>
      </c>
      <c r="P218" s="161">
        <v>174</v>
      </c>
      <c r="Q218" s="161">
        <v>63</v>
      </c>
      <c r="R218" s="230">
        <f t="shared" si="139"/>
        <v>0.36206896551724138</v>
      </c>
      <c r="S218" s="164">
        <f t="shared" si="140"/>
        <v>259603</v>
      </c>
      <c r="T218" s="165">
        <f t="shared" si="141"/>
        <v>33748</v>
      </c>
      <c r="U218" s="166">
        <f t="shared" si="142"/>
        <v>6.2521040733454214E-7</v>
      </c>
      <c r="V218" s="87">
        <v>0.13</v>
      </c>
      <c r="W218" s="224"/>
      <c r="X218" s="23">
        <v>44615</v>
      </c>
      <c r="Y218" s="20" t="s">
        <v>197</v>
      </c>
      <c r="Z218" s="20"/>
      <c r="AA218" s="20"/>
      <c r="AB218" s="168"/>
    </row>
    <row r="219" spans="1:31" s="8" customFormat="1" x14ac:dyDescent="0.25">
      <c r="A219" s="208">
        <v>1</v>
      </c>
      <c r="B219" s="92" t="s">
        <v>209</v>
      </c>
      <c r="C219" s="90" t="str">
        <f>VLOOKUP($F219,Admin!$A$16:$E$19,2,FALSE)</f>
        <v>Alkalmazott (ipari) kutatás – Működési költség</v>
      </c>
      <c r="D219" s="161" t="s">
        <v>129</v>
      </c>
      <c r="E219" s="90" t="str">
        <f>VLOOKUP($F219,Admin!$A$16:$E$19,4,FALSE)</f>
        <v>54. Bérköltség - Kutató-fejlesztő munkatárs</v>
      </c>
      <c r="F219" s="90" t="s">
        <v>171</v>
      </c>
      <c r="G219" s="161" t="s">
        <v>174</v>
      </c>
      <c r="H219" s="161" t="s">
        <v>193</v>
      </c>
      <c r="I219" s="90" t="str">
        <f>VLOOKUP($F219,Admin!$A$16:$E$19,5,FALSE)</f>
        <v>K+F munkatárs</v>
      </c>
      <c r="J219" s="161" t="s">
        <v>43</v>
      </c>
      <c r="K219" s="161" t="str">
        <f t="shared" si="137"/>
        <v>2022.04</v>
      </c>
      <c r="L219" s="91" t="s">
        <v>8</v>
      </c>
      <c r="M219" s="92" t="s">
        <v>78</v>
      </c>
      <c r="N219" s="162">
        <v>717000</v>
      </c>
      <c r="O219" s="163">
        <f t="shared" si="138"/>
        <v>93210</v>
      </c>
      <c r="P219" s="161">
        <v>174</v>
      </c>
      <c r="Q219" s="161">
        <v>63</v>
      </c>
      <c r="R219" s="230">
        <f t="shared" si="139"/>
        <v>0.36206896551724138</v>
      </c>
      <c r="S219" s="164">
        <f t="shared" si="140"/>
        <v>259603</v>
      </c>
      <c r="T219" s="165">
        <f t="shared" si="141"/>
        <v>33748</v>
      </c>
      <c r="U219" s="166">
        <f t="shared" si="142"/>
        <v>6.2521040733454214E-7</v>
      </c>
      <c r="V219" s="87">
        <v>0.13</v>
      </c>
      <c r="W219" s="224"/>
      <c r="X219" s="23">
        <v>44615</v>
      </c>
      <c r="Y219" s="20" t="s">
        <v>197</v>
      </c>
      <c r="Z219" s="20"/>
      <c r="AA219" s="20"/>
      <c r="AB219" s="168"/>
    </row>
    <row r="220" spans="1:31" s="8" customFormat="1" x14ac:dyDescent="0.25">
      <c r="A220" s="208">
        <v>1</v>
      </c>
      <c r="B220" s="92" t="s">
        <v>209</v>
      </c>
      <c r="C220" s="90" t="str">
        <f>VLOOKUP($F220,Admin!$A$16:$E$19,2,FALSE)</f>
        <v>Alkalmazott (ipari) kutatás – Működési költség</v>
      </c>
      <c r="D220" s="161" t="s">
        <v>129</v>
      </c>
      <c r="E220" s="90" t="str">
        <f>VLOOKUP($F220,Admin!$A$16:$E$19,4,FALSE)</f>
        <v>54. Bérköltség - Kutató-fejlesztő munkatárs</v>
      </c>
      <c r="F220" s="90" t="s">
        <v>171</v>
      </c>
      <c r="G220" s="161" t="s">
        <v>174</v>
      </c>
      <c r="H220" s="161" t="s">
        <v>193</v>
      </c>
      <c r="I220" s="90" t="str">
        <f>VLOOKUP($F220,Admin!$A$16:$E$19,5,FALSE)</f>
        <v>K+F munkatárs</v>
      </c>
      <c r="J220" s="161" t="s">
        <v>44</v>
      </c>
      <c r="K220" s="161" t="str">
        <f t="shared" si="137"/>
        <v>2022.05</v>
      </c>
      <c r="L220" s="91" t="s">
        <v>8</v>
      </c>
      <c r="M220" s="92" t="s">
        <v>78</v>
      </c>
      <c r="N220" s="162">
        <v>717000</v>
      </c>
      <c r="O220" s="163">
        <f t="shared" si="138"/>
        <v>93210</v>
      </c>
      <c r="P220" s="161">
        <v>174</v>
      </c>
      <c r="Q220" s="161">
        <v>63</v>
      </c>
      <c r="R220" s="230">
        <f t="shared" si="139"/>
        <v>0.36206896551724138</v>
      </c>
      <c r="S220" s="164">
        <f t="shared" si="140"/>
        <v>259603</v>
      </c>
      <c r="T220" s="165">
        <f t="shared" si="141"/>
        <v>33748</v>
      </c>
      <c r="U220" s="166">
        <f t="shared" si="142"/>
        <v>6.2521040733454214E-7</v>
      </c>
      <c r="V220" s="87">
        <v>0.13</v>
      </c>
      <c r="W220" s="224"/>
      <c r="X220" s="23">
        <v>44615</v>
      </c>
      <c r="Y220" s="20" t="s">
        <v>197</v>
      </c>
      <c r="Z220" s="20"/>
      <c r="AA220" s="20"/>
      <c r="AB220" s="168"/>
    </row>
    <row r="221" spans="1:31" s="8" customFormat="1" x14ac:dyDescent="0.25">
      <c r="A221" s="208">
        <v>1</v>
      </c>
      <c r="B221" s="92" t="s">
        <v>209</v>
      </c>
      <c r="C221" s="90" t="str">
        <f>VLOOKUP($F221,Admin!$A$16:$E$19,2,FALSE)</f>
        <v>Alkalmazott (ipari) kutatás – Működési költség</v>
      </c>
      <c r="D221" s="161" t="s">
        <v>129</v>
      </c>
      <c r="E221" s="90" t="str">
        <f>VLOOKUP($F221,Admin!$A$16:$E$19,4,FALSE)</f>
        <v>54. Bérköltség - Kutató-fejlesztő munkatárs</v>
      </c>
      <c r="F221" s="90" t="s">
        <v>171</v>
      </c>
      <c r="G221" s="161" t="s">
        <v>174</v>
      </c>
      <c r="H221" s="161" t="s">
        <v>193</v>
      </c>
      <c r="I221" s="90" t="str">
        <f>VLOOKUP($F221,Admin!$A$16:$E$19,5,FALSE)</f>
        <v>K+F munkatárs</v>
      </c>
      <c r="J221" s="161" t="s">
        <v>45</v>
      </c>
      <c r="K221" s="161" t="str">
        <f t="shared" si="137"/>
        <v>2022.06</v>
      </c>
      <c r="L221" s="91" t="s">
        <v>8</v>
      </c>
      <c r="M221" s="92" t="s">
        <v>78</v>
      </c>
      <c r="N221" s="162">
        <v>239000</v>
      </c>
      <c r="O221" s="163">
        <f t="shared" si="138"/>
        <v>31070</v>
      </c>
      <c r="P221" s="161">
        <v>174</v>
      </c>
      <c r="Q221" s="161">
        <v>63</v>
      </c>
      <c r="R221" s="230">
        <f t="shared" si="139"/>
        <v>0.36206896551724138</v>
      </c>
      <c r="S221" s="164">
        <f t="shared" si="140"/>
        <v>86534</v>
      </c>
      <c r="T221" s="165">
        <f t="shared" si="141"/>
        <v>11249</v>
      </c>
      <c r="U221" s="166">
        <f t="shared" si="142"/>
        <v>2.0199105468243772E-6</v>
      </c>
      <c r="V221" s="87">
        <v>0.13</v>
      </c>
      <c r="W221" s="224"/>
      <c r="X221" s="23">
        <v>44615</v>
      </c>
      <c r="Y221" s="20" t="s">
        <v>197</v>
      </c>
      <c r="Z221" s="20"/>
      <c r="AA221" s="20"/>
      <c r="AB221" s="168"/>
    </row>
    <row r="222" spans="1:31" s="8" customFormat="1" x14ac:dyDescent="0.25">
      <c r="A222" s="208">
        <v>1</v>
      </c>
      <c r="B222" s="92" t="s">
        <v>209</v>
      </c>
      <c r="C222" s="90" t="str">
        <f>VLOOKUP($F222,Admin!$A$16:$E$19,2,FALSE)</f>
        <v>Alkalmazott (ipari) kutatás – Működési költség</v>
      </c>
      <c r="D222" s="161" t="s">
        <v>129</v>
      </c>
      <c r="E222" s="90" t="str">
        <f>VLOOKUP($F222,Admin!$A$16:$E$19,4,FALSE)</f>
        <v>54. Bérköltség - Kutató-fejlesztő munkatárs</v>
      </c>
      <c r="F222" s="90" t="s">
        <v>171</v>
      </c>
      <c r="G222" s="161" t="s">
        <v>174</v>
      </c>
      <c r="H222" s="161" t="s">
        <v>193</v>
      </c>
      <c r="I222" s="90" t="str">
        <f>VLOOKUP($F222,Admin!$A$16:$E$19,5,FALSE)</f>
        <v>K+F munkatárs</v>
      </c>
      <c r="J222" s="161" t="s">
        <v>46</v>
      </c>
      <c r="K222" s="161" t="str">
        <f t="shared" ref="K222:K227" si="625">J222</f>
        <v>2022.07</v>
      </c>
      <c r="L222" s="91" t="s">
        <v>8</v>
      </c>
      <c r="M222" s="92" t="s">
        <v>78</v>
      </c>
      <c r="N222" s="162">
        <v>0</v>
      </c>
      <c r="O222" s="163">
        <f t="shared" ref="O222" si="626">ROUND(N222*V222,0)</f>
        <v>0</v>
      </c>
      <c r="P222" s="161">
        <v>174</v>
      </c>
      <c r="Q222" s="161">
        <v>150</v>
      </c>
      <c r="R222" s="230">
        <f t="shared" ref="R222" si="627">Q222/P222</f>
        <v>0.86206896551724133</v>
      </c>
      <c r="S222" s="164">
        <f t="shared" ref="S222" si="628">ROUND(N222*Q222/P222,0)</f>
        <v>0</v>
      </c>
      <c r="T222" s="165">
        <f t="shared" ref="T222" si="629">ROUND(S222*V222,0)</f>
        <v>0</v>
      </c>
      <c r="U222" s="166" t="e">
        <f t="shared" ref="U222:U223" si="630">Q222/P222-S222/N222</f>
        <v>#DIV/0!</v>
      </c>
      <c r="V222" s="87">
        <v>0.13</v>
      </c>
      <c r="W222" s="224"/>
      <c r="X222" s="23">
        <v>44734</v>
      </c>
      <c r="Y222" s="20" t="s">
        <v>197</v>
      </c>
      <c r="Z222" s="20"/>
      <c r="AA222" s="20"/>
      <c r="AB222" s="168"/>
    </row>
    <row r="223" spans="1:31" s="8" customFormat="1" x14ac:dyDescent="0.25">
      <c r="A223" s="208">
        <v>1</v>
      </c>
      <c r="B223" s="92" t="s">
        <v>209</v>
      </c>
      <c r="C223" s="90" t="str">
        <f>VLOOKUP($F223,Admin!$A$16:$E$19,2,FALSE)</f>
        <v>Alkalmazott (ipari) kutatás – Működési költség</v>
      </c>
      <c r="D223" s="161" t="s">
        <v>129</v>
      </c>
      <c r="E223" s="90" t="str">
        <f>VLOOKUP($F223,Admin!$A$16:$E$19,4,FALSE)</f>
        <v>54. Bérköltség - Kutató-fejlesztő munkatárs</v>
      </c>
      <c r="F223" s="90" t="s">
        <v>171</v>
      </c>
      <c r="G223" s="161" t="s">
        <v>174</v>
      </c>
      <c r="H223" s="161" t="s">
        <v>193</v>
      </c>
      <c r="I223" s="90" t="str">
        <f>VLOOKUP($F223,Admin!$A$16:$E$19,5,FALSE)</f>
        <v>K+F munkatárs</v>
      </c>
      <c r="J223" s="161" t="s">
        <v>47</v>
      </c>
      <c r="K223" s="161" t="str">
        <f t="shared" si="625"/>
        <v>2022.08</v>
      </c>
      <c r="L223" s="91" t="s">
        <v>8</v>
      </c>
      <c r="M223" s="92" t="s">
        <v>78</v>
      </c>
      <c r="N223" s="162">
        <v>0</v>
      </c>
      <c r="O223" s="163">
        <f t="shared" ref="O223:O227" si="631">ROUND(N223*V223,0)</f>
        <v>0</v>
      </c>
      <c r="P223" s="161">
        <v>174</v>
      </c>
      <c r="Q223" s="161">
        <v>150</v>
      </c>
      <c r="R223" s="230">
        <f t="shared" ref="R223:R227" si="632">Q223/P223</f>
        <v>0.86206896551724133</v>
      </c>
      <c r="S223" s="164">
        <f t="shared" ref="S223:S227" si="633">ROUND(N223*Q223/P223,0)</f>
        <v>0</v>
      </c>
      <c r="T223" s="165">
        <f t="shared" ref="T223:T227" si="634">ROUND(S223*V223,0)</f>
        <v>0</v>
      </c>
      <c r="U223" s="166" t="e">
        <f t="shared" si="630"/>
        <v>#DIV/0!</v>
      </c>
      <c r="V223" s="87">
        <v>0.13</v>
      </c>
      <c r="W223" s="224"/>
      <c r="X223" s="23">
        <v>44734</v>
      </c>
      <c r="Y223" s="20" t="s">
        <v>197</v>
      </c>
      <c r="Z223" s="20"/>
      <c r="AA223" s="20"/>
      <c r="AB223" s="168"/>
    </row>
    <row r="224" spans="1:31" s="8" customFormat="1" x14ac:dyDescent="0.25">
      <c r="A224" s="208">
        <v>1</v>
      </c>
      <c r="B224" s="92" t="s">
        <v>209</v>
      </c>
      <c r="C224" s="90" t="str">
        <f>VLOOKUP($F224,Admin!$A$16:$E$19,2,FALSE)</f>
        <v>Alkalmazott (ipari) kutatás – Működési költség</v>
      </c>
      <c r="D224" s="161" t="s">
        <v>129</v>
      </c>
      <c r="E224" s="90" t="str">
        <f>VLOOKUP($F224,Admin!$A$16:$E$19,4,FALSE)</f>
        <v>54. Bérköltség - Kutató-fejlesztő munkatárs</v>
      </c>
      <c r="F224" s="90" t="s">
        <v>171</v>
      </c>
      <c r="G224" s="161" t="s">
        <v>174</v>
      </c>
      <c r="H224" s="161" t="s">
        <v>193</v>
      </c>
      <c r="I224" s="90" t="str">
        <f>VLOOKUP($F224,Admin!$A$16:$E$19,5,FALSE)</f>
        <v>K+F munkatárs</v>
      </c>
      <c r="J224" s="161" t="s">
        <v>48</v>
      </c>
      <c r="K224" s="161" t="str">
        <f t="shared" si="625"/>
        <v>2022.09</v>
      </c>
      <c r="L224" s="91" t="s">
        <v>8</v>
      </c>
      <c r="M224" s="92" t="s">
        <v>78</v>
      </c>
      <c r="N224" s="162">
        <v>0</v>
      </c>
      <c r="O224" s="163">
        <f t="shared" si="631"/>
        <v>0</v>
      </c>
      <c r="P224" s="161">
        <v>174</v>
      </c>
      <c r="Q224" s="161">
        <v>150</v>
      </c>
      <c r="R224" s="230">
        <f t="shared" si="632"/>
        <v>0.86206896551724133</v>
      </c>
      <c r="S224" s="164">
        <f t="shared" si="633"/>
        <v>0</v>
      </c>
      <c r="T224" s="165">
        <f t="shared" si="634"/>
        <v>0</v>
      </c>
      <c r="U224" s="166" t="e">
        <f t="shared" ref="U224:U227" si="635">Q224/P224-S224/N224</f>
        <v>#DIV/0!</v>
      </c>
      <c r="V224" s="87">
        <v>0.13</v>
      </c>
      <c r="W224" s="224"/>
      <c r="X224" s="23">
        <v>44734</v>
      </c>
      <c r="Y224" s="20" t="s">
        <v>197</v>
      </c>
      <c r="Z224" s="20"/>
      <c r="AA224" s="20"/>
      <c r="AB224" s="168"/>
    </row>
    <row r="225" spans="1:31" s="8" customFormat="1" x14ac:dyDescent="0.25">
      <c r="A225" s="189"/>
      <c r="B225" s="92" t="s">
        <v>209</v>
      </c>
      <c r="C225" s="90" t="str">
        <f>VLOOKUP($F225,Admin!$A$16:$E$19,2,FALSE)</f>
        <v>Alkalmazott (ipari) kutatás – Működési költség</v>
      </c>
      <c r="D225" s="161" t="s">
        <v>129</v>
      </c>
      <c r="E225" s="90" t="str">
        <f>VLOOKUP($F225,Admin!$A$16:$E$19,4,FALSE)</f>
        <v>54. Bérköltség - Kutató-fejlesztő munkatárs</v>
      </c>
      <c r="F225" s="90" t="s">
        <v>171</v>
      </c>
      <c r="G225" s="161" t="s">
        <v>174</v>
      </c>
      <c r="H225" s="161" t="s">
        <v>193</v>
      </c>
      <c r="I225" s="90" t="str">
        <f>VLOOKUP($F225,Admin!$A$16:$E$19,5,FALSE)</f>
        <v>K+F munkatárs</v>
      </c>
      <c r="J225" s="161" t="s">
        <v>49</v>
      </c>
      <c r="K225" s="161" t="str">
        <f t="shared" si="625"/>
        <v>2022.10</v>
      </c>
      <c r="L225" s="91" t="s">
        <v>8</v>
      </c>
      <c r="M225" s="92" t="s">
        <v>78</v>
      </c>
      <c r="N225" s="162">
        <v>0</v>
      </c>
      <c r="O225" s="163">
        <f t="shared" si="631"/>
        <v>0</v>
      </c>
      <c r="P225" s="161">
        <v>174</v>
      </c>
      <c r="Q225" s="161">
        <v>150</v>
      </c>
      <c r="R225" s="230">
        <f t="shared" si="632"/>
        <v>0.86206896551724133</v>
      </c>
      <c r="S225" s="164">
        <f t="shared" si="633"/>
        <v>0</v>
      </c>
      <c r="T225" s="165">
        <f t="shared" si="634"/>
        <v>0</v>
      </c>
      <c r="U225" s="166" t="e">
        <f t="shared" si="635"/>
        <v>#DIV/0!</v>
      </c>
      <c r="V225" s="87">
        <v>0.13</v>
      </c>
      <c r="W225" s="224"/>
      <c r="X225" s="23">
        <v>44734</v>
      </c>
      <c r="Y225" s="20" t="s">
        <v>197</v>
      </c>
      <c r="Z225" s="20"/>
      <c r="AA225" s="20"/>
      <c r="AB225" s="168"/>
    </row>
    <row r="226" spans="1:31" s="8" customFormat="1" x14ac:dyDescent="0.25">
      <c r="A226" s="189"/>
      <c r="B226" s="92" t="s">
        <v>209</v>
      </c>
      <c r="C226" s="90" t="str">
        <f>VLOOKUP($F226,Admin!$A$16:$E$19,2,FALSE)</f>
        <v>Alkalmazott (ipari) kutatás – Működési költség</v>
      </c>
      <c r="D226" s="161" t="s">
        <v>129</v>
      </c>
      <c r="E226" s="90" t="str">
        <f>VLOOKUP($F226,Admin!$A$16:$E$19,4,FALSE)</f>
        <v>54. Bérköltség - Kutató-fejlesztő munkatárs</v>
      </c>
      <c r="F226" s="90" t="s">
        <v>171</v>
      </c>
      <c r="G226" s="161" t="s">
        <v>174</v>
      </c>
      <c r="H226" s="161" t="s">
        <v>193</v>
      </c>
      <c r="I226" s="90" t="str">
        <f>VLOOKUP($F226,Admin!$A$16:$E$19,5,FALSE)</f>
        <v>K+F munkatárs</v>
      </c>
      <c r="J226" s="161" t="s">
        <v>50</v>
      </c>
      <c r="K226" s="161" t="str">
        <f t="shared" si="625"/>
        <v>2022.11</v>
      </c>
      <c r="L226" s="91" t="s">
        <v>8</v>
      </c>
      <c r="M226" s="92" t="s">
        <v>78</v>
      </c>
      <c r="N226" s="162">
        <v>0</v>
      </c>
      <c r="O226" s="163">
        <f t="shared" si="631"/>
        <v>0</v>
      </c>
      <c r="P226" s="161">
        <v>174</v>
      </c>
      <c r="Q226" s="161">
        <v>150</v>
      </c>
      <c r="R226" s="230">
        <f t="shared" si="632"/>
        <v>0.86206896551724133</v>
      </c>
      <c r="S226" s="164">
        <f t="shared" si="633"/>
        <v>0</v>
      </c>
      <c r="T226" s="165">
        <f t="shared" si="634"/>
        <v>0</v>
      </c>
      <c r="U226" s="166" t="e">
        <f t="shared" si="635"/>
        <v>#DIV/0!</v>
      </c>
      <c r="V226" s="87">
        <v>0.13</v>
      </c>
      <c r="W226" s="224" t="s">
        <v>232</v>
      </c>
      <c r="X226" s="23">
        <v>44734</v>
      </c>
      <c r="Y226" s="20" t="s">
        <v>197</v>
      </c>
      <c r="Z226" s="20"/>
      <c r="AA226" s="20"/>
      <c r="AB226" s="168"/>
      <c r="AC226" s="212" t="e">
        <v>#N/A</v>
      </c>
      <c r="AD226" s="212" t="e">
        <v>#N/A</v>
      </c>
      <c r="AE226" s="212" t="e">
        <v>#N/A</v>
      </c>
    </row>
    <row r="227" spans="1:31" s="8" customFormat="1" x14ac:dyDescent="0.25">
      <c r="A227" s="189"/>
      <c r="B227" s="92" t="s">
        <v>209</v>
      </c>
      <c r="C227" s="90" t="str">
        <f>VLOOKUP($F227,Admin!$A$16:$E$19,2,FALSE)</f>
        <v>Alkalmazott (ipari) kutatás – Működési költség</v>
      </c>
      <c r="D227" s="161" t="s">
        <v>129</v>
      </c>
      <c r="E227" s="90" t="str">
        <f>VLOOKUP($F227,Admin!$A$16:$E$19,4,FALSE)</f>
        <v>54. Bérköltség - Kutató-fejlesztő munkatárs</v>
      </c>
      <c r="F227" s="90" t="s">
        <v>171</v>
      </c>
      <c r="G227" s="161" t="s">
        <v>174</v>
      </c>
      <c r="H227" s="161" t="s">
        <v>193</v>
      </c>
      <c r="I227" s="90" t="str">
        <f>VLOOKUP($F227,Admin!$A$16:$E$19,5,FALSE)</f>
        <v>K+F munkatárs</v>
      </c>
      <c r="J227" s="161" t="s">
        <v>51</v>
      </c>
      <c r="K227" s="161" t="str">
        <f t="shared" si="625"/>
        <v>2022.12</v>
      </c>
      <c r="L227" s="91" t="s">
        <v>8</v>
      </c>
      <c r="M227" s="92" t="s">
        <v>78</v>
      </c>
      <c r="N227" s="162">
        <v>512143</v>
      </c>
      <c r="O227" s="163">
        <f t="shared" si="631"/>
        <v>66579</v>
      </c>
      <c r="P227" s="161">
        <v>174</v>
      </c>
      <c r="Q227" s="161">
        <v>150</v>
      </c>
      <c r="R227" s="230">
        <f t="shared" si="632"/>
        <v>0.86206896551724133</v>
      </c>
      <c r="S227" s="164">
        <f t="shared" si="633"/>
        <v>441503</v>
      </c>
      <c r="T227" s="165">
        <f t="shared" si="634"/>
        <v>57395</v>
      </c>
      <c r="U227" s="166">
        <f t="shared" si="635"/>
        <v>-8.0796399337668134E-7</v>
      </c>
      <c r="V227" s="87">
        <v>0.13</v>
      </c>
      <c r="W227" s="224" t="s">
        <v>232</v>
      </c>
      <c r="X227" s="23">
        <v>44734</v>
      </c>
      <c r="Y227" s="20" t="s">
        <v>197</v>
      </c>
      <c r="Z227" s="20"/>
      <c r="AA227" s="20"/>
      <c r="AB227" s="168"/>
      <c r="AC227" s="211" t="s">
        <v>248</v>
      </c>
      <c r="AD227" s="211" t="s">
        <v>249</v>
      </c>
      <c r="AE227" s="211" t="s">
        <v>249</v>
      </c>
    </row>
    <row r="228" spans="1:31" s="8" customFormat="1" x14ac:dyDescent="0.25">
      <c r="A228" s="189"/>
      <c r="B228" s="92" t="s">
        <v>209</v>
      </c>
      <c r="C228" s="90" t="str">
        <f>VLOOKUP($F228,Admin!$A$16:$E$19,2,FALSE)</f>
        <v>Alkalmazott (ipari) kutatás – Működési költség</v>
      </c>
      <c r="D228" s="161" t="s">
        <v>129</v>
      </c>
      <c r="E228" s="90" t="str">
        <f>VLOOKUP($F228,Admin!$A$16:$E$19,4,FALSE)</f>
        <v>54. Bérköltség - Kutató-fejlesztő munkatárs</v>
      </c>
      <c r="F228" s="90" t="s">
        <v>171</v>
      </c>
      <c r="G228" s="161" t="s">
        <v>174</v>
      </c>
      <c r="H228" s="161" t="s">
        <v>193</v>
      </c>
      <c r="I228" s="90" t="str">
        <f>VLOOKUP($F228,Admin!$A$16:$E$19,5,FALSE)</f>
        <v>K+F munkatárs</v>
      </c>
      <c r="J228" s="161" t="s">
        <v>64</v>
      </c>
      <c r="K228" s="161" t="str">
        <f t="shared" ref="K228:K233" si="636">J228</f>
        <v>2023.01</v>
      </c>
      <c r="L228" s="91" t="s">
        <v>8</v>
      </c>
      <c r="M228" s="92" t="s">
        <v>78</v>
      </c>
      <c r="N228" s="162">
        <v>180000</v>
      </c>
      <c r="O228" s="163">
        <f t="shared" ref="O228" si="637">ROUND(N228*V228,0)</f>
        <v>23400</v>
      </c>
      <c r="P228" s="161">
        <v>44</v>
      </c>
      <c r="Q228" s="161">
        <v>38</v>
      </c>
      <c r="R228" s="230">
        <f t="shared" ref="R228" si="638">Q228/P228</f>
        <v>0.86363636363636365</v>
      </c>
      <c r="S228" s="164">
        <f t="shared" ref="S228" si="639">ROUND(N228*Q228/P228,0)</f>
        <v>155455</v>
      </c>
      <c r="T228" s="165">
        <f t="shared" ref="T228" si="640">ROUND(S228*V228,0)</f>
        <v>20209</v>
      </c>
      <c r="U228" s="166">
        <f t="shared" ref="U228" si="641">Q228/P228-S228/N228</f>
        <v>-2.5252525251984181E-6</v>
      </c>
      <c r="V228" s="87">
        <v>0.13</v>
      </c>
      <c r="W228" s="224" t="s">
        <v>232</v>
      </c>
      <c r="X228" s="23">
        <v>44936</v>
      </c>
      <c r="Y228" s="20" t="s">
        <v>197</v>
      </c>
      <c r="Z228" s="20"/>
      <c r="AA228" s="20"/>
      <c r="AB228" s="168"/>
      <c r="AC228" s="211" t="s">
        <v>248</v>
      </c>
      <c r="AD228" s="211">
        <v>0</v>
      </c>
      <c r="AE228" s="211">
        <v>0</v>
      </c>
    </row>
    <row r="229" spans="1:31" s="8" customFormat="1" x14ac:dyDescent="0.25">
      <c r="A229" s="189"/>
      <c r="B229" s="92" t="s">
        <v>209</v>
      </c>
      <c r="C229" s="90" t="str">
        <f>VLOOKUP($F229,Admin!$A$16:$E$19,2,FALSE)</f>
        <v>Alkalmazott (ipari) kutatás – Működési költség</v>
      </c>
      <c r="D229" s="161" t="s">
        <v>129</v>
      </c>
      <c r="E229" s="90" t="str">
        <f>VLOOKUP($F229,Admin!$A$16:$E$19,4,FALSE)</f>
        <v>54. Bérköltség - Kutató-fejlesztő munkatárs</v>
      </c>
      <c r="F229" s="90" t="s">
        <v>171</v>
      </c>
      <c r="G229" s="161" t="s">
        <v>174</v>
      </c>
      <c r="H229" s="161" t="s">
        <v>193</v>
      </c>
      <c r="I229" s="90" t="str">
        <f>VLOOKUP($F229,Admin!$A$16:$E$19,5,FALSE)</f>
        <v>K+F munkatárs</v>
      </c>
      <c r="J229" s="161" t="s">
        <v>65</v>
      </c>
      <c r="K229" s="161" t="str">
        <f t="shared" si="636"/>
        <v>2023.02</v>
      </c>
      <c r="L229" s="91" t="s">
        <v>8</v>
      </c>
      <c r="M229" s="92" t="s">
        <v>78</v>
      </c>
      <c r="N229" s="162">
        <v>180000</v>
      </c>
      <c r="O229" s="163">
        <f t="shared" ref="O229:O233" si="642">ROUND(N229*V229,0)</f>
        <v>23400</v>
      </c>
      <c r="P229" s="161">
        <v>44</v>
      </c>
      <c r="Q229" s="161">
        <v>38</v>
      </c>
      <c r="R229" s="230">
        <f t="shared" ref="R229:R233" si="643">Q229/P229</f>
        <v>0.86363636363636365</v>
      </c>
      <c r="S229" s="164">
        <f t="shared" ref="S229:S233" si="644">ROUND(N229*Q229/P229,0)</f>
        <v>155455</v>
      </c>
      <c r="T229" s="165">
        <f t="shared" ref="T229:T233" si="645">ROUND(S229*V229,0)</f>
        <v>20209</v>
      </c>
      <c r="U229" s="166">
        <f t="shared" ref="U229:U233" si="646">Q229/P229-S229/N229</f>
        <v>-2.5252525251984181E-6</v>
      </c>
      <c r="V229" s="87">
        <v>0.13</v>
      </c>
      <c r="W229" s="224" t="s">
        <v>232</v>
      </c>
      <c r="X229" s="23">
        <v>44936</v>
      </c>
      <c r="Y229" s="20" t="s">
        <v>197</v>
      </c>
      <c r="Z229" s="20"/>
      <c r="AA229" s="20"/>
      <c r="AB229" s="168"/>
      <c r="AC229" s="8" t="s">
        <v>248</v>
      </c>
      <c r="AD229" s="8">
        <v>0</v>
      </c>
      <c r="AE229" s="8">
        <v>0</v>
      </c>
    </row>
    <row r="230" spans="1:31" s="8" customFormat="1" x14ac:dyDescent="0.25">
      <c r="A230" s="189"/>
      <c r="B230" s="92" t="s">
        <v>209</v>
      </c>
      <c r="C230" s="90" t="str">
        <f>VLOOKUP($F230,Admin!$A$16:$E$19,2,FALSE)</f>
        <v>Alkalmazott (ipari) kutatás – Működési költség</v>
      </c>
      <c r="D230" s="161" t="s">
        <v>129</v>
      </c>
      <c r="E230" s="90" t="str">
        <f>VLOOKUP($F230,Admin!$A$16:$E$19,4,FALSE)</f>
        <v>54. Bérköltség - Kutató-fejlesztő munkatárs</v>
      </c>
      <c r="F230" s="90" t="s">
        <v>171</v>
      </c>
      <c r="G230" s="161" t="s">
        <v>174</v>
      </c>
      <c r="H230" s="161" t="s">
        <v>193</v>
      </c>
      <c r="I230" s="90" t="str">
        <f>VLOOKUP($F230,Admin!$A$16:$E$19,5,FALSE)</f>
        <v>K+F munkatárs</v>
      </c>
      <c r="J230" s="161" t="s">
        <v>66</v>
      </c>
      <c r="K230" s="161" t="str">
        <f t="shared" si="636"/>
        <v>2023.03</v>
      </c>
      <c r="L230" s="91" t="s">
        <v>8</v>
      </c>
      <c r="M230" s="92" t="s">
        <v>78</v>
      </c>
      <c r="N230" s="162">
        <v>180000</v>
      </c>
      <c r="O230" s="163">
        <f t="shared" si="642"/>
        <v>23400</v>
      </c>
      <c r="P230" s="161">
        <v>44</v>
      </c>
      <c r="Q230" s="161">
        <v>38</v>
      </c>
      <c r="R230" s="230">
        <f t="shared" si="643"/>
        <v>0.86363636363636365</v>
      </c>
      <c r="S230" s="164">
        <f t="shared" si="644"/>
        <v>155455</v>
      </c>
      <c r="T230" s="165">
        <f t="shared" si="645"/>
        <v>20209</v>
      </c>
      <c r="U230" s="166">
        <f t="shared" si="646"/>
        <v>-2.5252525251984181E-6</v>
      </c>
      <c r="V230" s="87">
        <v>0.13</v>
      </c>
      <c r="W230" s="224" t="s">
        <v>232</v>
      </c>
      <c r="X230" s="23">
        <v>44936</v>
      </c>
      <c r="Y230" s="20" t="s">
        <v>197</v>
      </c>
      <c r="Z230" s="20"/>
      <c r="AA230" s="20"/>
      <c r="AB230" s="168"/>
      <c r="AC230" s="8" t="s">
        <v>248</v>
      </c>
      <c r="AD230" s="8">
        <v>0</v>
      </c>
      <c r="AE230" s="235">
        <v>0</v>
      </c>
    </row>
    <row r="231" spans="1:31" s="8" customFormat="1" x14ac:dyDescent="0.25">
      <c r="A231" s="189"/>
      <c r="B231" s="92" t="s">
        <v>209</v>
      </c>
      <c r="C231" s="90" t="str">
        <f>VLOOKUP($F231,Admin!$A$16:$E$19,2,FALSE)</f>
        <v>Alkalmazott (ipari) kutatás – Működési költség</v>
      </c>
      <c r="D231" s="161" t="s">
        <v>129</v>
      </c>
      <c r="E231" s="90" t="str">
        <f>VLOOKUP($F231,Admin!$A$16:$E$19,4,FALSE)</f>
        <v>54. Bérköltség - Kutató-fejlesztő munkatárs</v>
      </c>
      <c r="F231" s="90" t="s">
        <v>171</v>
      </c>
      <c r="G231" s="161" t="s">
        <v>174</v>
      </c>
      <c r="H231" s="161" t="s">
        <v>193</v>
      </c>
      <c r="I231" s="90" t="str">
        <f>VLOOKUP($F231,Admin!$A$16:$E$19,5,FALSE)</f>
        <v>K+F munkatárs</v>
      </c>
      <c r="J231" s="161" t="s">
        <v>67</v>
      </c>
      <c r="K231" s="161" t="str">
        <f t="shared" si="636"/>
        <v>2023.04</v>
      </c>
      <c r="L231" s="91" t="s">
        <v>8</v>
      </c>
      <c r="M231" s="92" t="s">
        <v>78</v>
      </c>
      <c r="N231" s="162">
        <v>180000</v>
      </c>
      <c r="O231" s="163">
        <f t="shared" si="642"/>
        <v>23400</v>
      </c>
      <c r="P231" s="161">
        <v>44</v>
      </c>
      <c r="Q231" s="161">
        <v>38</v>
      </c>
      <c r="R231" s="230">
        <f t="shared" si="643"/>
        <v>0.86363636363636365</v>
      </c>
      <c r="S231" s="164">
        <f t="shared" si="644"/>
        <v>155455</v>
      </c>
      <c r="T231" s="165">
        <f t="shared" si="645"/>
        <v>20209</v>
      </c>
      <c r="U231" s="166">
        <f t="shared" si="646"/>
        <v>-2.5252525251984181E-6</v>
      </c>
      <c r="V231" s="87">
        <v>0.13</v>
      </c>
      <c r="W231" s="224" t="s">
        <v>232</v>
      </c>
      <c r="X231" s="23">
        <v>44936</v>
      </c>
      <c r="Y231" s="20" t="s">
        <v>197</v>
      </c>
      <c r="Z231" s="20"/>
      <c r="AA231" s="20"/>
      <c r="AB231" s="168"/>
      <c r="AC231" s="8" t="s">
        <v>248</v>
      </c>
      <c r="AD231" s="8">
        <v>0</v>
      </c>
      <c r="AE231" s="8">
        <v>0</v>
      </c>
    </row>
    <row r="232" spans="1:31" s="8" customFormat="1" x14ac:dyDescent="0.25">
      <c r="A232" s="189"/>
      <c r="B232" s="92" t="s">
        <v>209</v>
      </c>
      <c r="C232" s="90" t="str">
        <f>VLOOKUP($F232,Admin!$A$16:$E$19,2,FALSE)</f>
        <v>Alkalmazott (ipari) kutatás – Működési költség</v>
      </c>
      <c r="D232" s="161" t="s">
        <v>129</v>
      </c>
      <c r="E232" s="90" t="str">
        <f>VLOOKUP($F232,Admin!$A$16:$E$19,4,FALSE)</f>
        <v>54. Bérköltség - Kutató-fejlesztő munkatárs</v>
      </c>
      <c r="F232" s="90" t="s">
        <v>171</v>
      </c>
      <c r="G232" s="161" t="s">
        <v>174</v>
      </c>
      <c r="H232" s="161" t="s">
        <v>193</v>
      </c>
      <c r="I232" s="90" t="str">
        <f>VLOOKUP($F232,Admin!$A$16:$E$19,5,FALSE)</f>
        <v>K+F munkatárs</v>
      </c>
      <c r="J232" s="161" t="s">
        <v>68</v>
      </c>
      <c r="K232" s="161" t="str">
        <f t="shared" si="636"/>
        <v>2023.05</v>
      </c>
      <c r="L232" s="91" t="s">
        <v>9</v>
      </c>
      <c r="M232" s="92" t="s">
        <v>78</v>
      </c>
      <c r="N232" s="162">
        <v>180000</v>
      </c>
      <c r="O232" s="163">
        <f t="shared" si="642"/>
        <v>23400</v>
      </c>
      <c r="P232" s="161">
        <v>44</v>
      </c>
      <c r="Q232" s="161">
        <v>38</v>
      </c>
      <c r="R232" s="230">
        <f t="shared" si="643"/>
        <v>0.86363636363636365</v>
      </c>
      <c r="S232" s="164">
        <f t="shared" si="644"/>
        <v>155455</v>
      </c>
      <c r="T232" s="165">
        <f t="shared" si="645"/>
        <v>20209</v>
      </c>
      <c r="U232" s="166">
        <f t="shared" si="646"/>
        <v>-2.5252525251984181E-6</v>
      </c>
      <c r="V232" s="87">
        <v>0.13</v>
      </c>
      <c r="W232" s="224" t="s">
        <v>232</v>
      </c>
      <c r="X232" s="23">
        <v>44936</v>
      </c>
      <c r="Y232" s="20" t="s">
        <v>197</v>
      </c>
      <c r="Z232" s="20"/>
      <c r="AA232" s="20"/>
      <c r="AB232" s="168"/>
    </row>
    <row r="233" spans="1:31" s="8" customFormat="1" x14ac:dyDescent="0.25">
      <c r="A233" s="189"/>
      <c r="B233" s="92" t="s">
        <v>209</v>
      </c>
      <c r="C233" s="90" t="str">
        <f>VLOOKUP($F233,Admin!$A$16:$E$19,2,FALSE)</f>
        <v>Alkalmazott (ipari) kutatás – Működési költség</v>
      </c>
      <c r="D233" s="161" t="s">
        <v>129</v>
      </c>
      <c r="E233" s="90" t="str">
        <f>VLOOKUP($F233,Admin!$A$16:$E$19,4,FALSE)</f>
        <v>54. Bérköltség - Kutató-fejlesztő munkatárs</v>
      </c>
      <c r="F233" s="90" t="s">
        <v>171</v>
      </c>
      <c r="G233" s="161" t="s">
        <v>174</v>
      </c>
      <c r="H233" s="161" t="s">
        <v>193</v>
      </c>
      <c r="I233" s="90" t="str">
        <f>VLOOKUP($F233,Admin!$A$16:$E$19,5,FALSE)</f>
        <v>K+F munkatárs</v>
      </c>
      <c r="J233" s="161" t="s">
        <v>69</v>
      </c>
      <c r="K233" s="161" t="str">
        <f t="shared" si="636"/>
        <v>2023.06</v>
      </c>
      <c r="L233" s="91" t="s">
        <v>9</v>
      </c>
      <c r="M233" s="92" t="s">
        <v>78</v>
      </c>
      <c r="N233" s="162">
        <v>180000</v>
      </c>
      <c r="O233" s="163">
        <f t="shared" si="642"/>
        <v>23400</v>
      </c>
      <c r="P233" s="161">
        <v>44</v>
      </c>
      <c r="Q233" s="161">
        <v>38</v>
      </c>
      <c r="R233" s="230">
        <f t="shared" si="643"/>
        <v>0.86363636363636365</v>
      </c>
      <c r="S233" s="164">
        <f t="shared" si="644"/>
        <v>155455</v>
      </c>
      <c r="T233" s="165">
        <f t="shared" si="645"/>
        <v>20209</v>
      </c>
      <c r="U233" s="166">
        <f t="shared" si="646"/>
        <v>-2.5252525251984181E-6</v>
      </c>
      <c r="V233" s="87">
        <v>0.13</v>
      </c>
      <c r="W233" s="224" t="s">
        <v>232</v>
      </c>
      <c r="X233" s="23">
        <v>44936</v>
      </c>
      <c r="Y233" s="20" t="s">
        <v>197</v>
      </c>
      <c r="Z233" s="20"/>
      <c r="AA233" s="20"/>
      <c r="AB233" s="168"/>
    </row>
    <row r="234" spans="1:31" s="8" customFormat="1" x14ac:dyDescent="0.25">
      <c r="A234" s="189"/>
      <c r="B234" s="92" t="s">
        <v>209</v>
      </c>
      <c r="C234" s="90" t="str">
        <f>VLOOKUP($F234,Admin!$A$16:$E$19,2,FALSE)</f>
        <v>Alkalmazott (ipari) kutatás – Működési költség</v>
      </c>
      <c r="D234" s="161" t="s">
        <v>129</v>
      </c>
      <c r="E234" s="90" t="str">
        <f>VLOOKUP($F234,Admin!$A$16:$E$19,4,FALSE)</f>
        <v>54. Bérköltség - Kutató-fejlesztő munkatárs</v>
      </c>
      <c r="F234" s="90" t="s">
        <v>171</v>
      </c>
      <c r="G234" s="161" t="s">
        <v>174</v>
      </c>
      <c r="H234" s="161" t="s">
        <v>193</v>
      </c>
      <c r="I234" s="90" t="str">
        <f>VLOOKUP($F234,Admin!$A$16:$E$19,5,FALSE)</f>
        <v>K+F munkatárs</v>
      </c>
      <c r="J234" s="161" t="s">
        <v>70</v>
      </c>
      <c r="K234" s="161" t="str">
        <f t="shared" ref="K234:K238" si="647">J234</f>
        <v>2023.07</v>
      </c>
      <c r="L234" s="91" t="s">
        <v>9</v>
      </c>
      <c r="M234" s="92" t="s">
        <v>78</v>
      </c>
      <c r="N234" s="162">
        <v>180000</v>
      </c>
      <c r="O234" s="163">
        <f t="shared" ref="O234:O238" si="648">ROUND(N234*V234,0)</f>
        <v>23400</v>
      </c>
      <c r="P234" s="161">
        <v>44</v>
      </c>
      <c r="Q234" s="161">
        <v>38</v>
      </c>
      <c r="R234" s="230">
        <f t="shared" ref="R234:R238" si="649">Q234/P234</f>
        <v>0.86363636363636365</v>
      </c>
      <c r="S234" s="164">
        <f t="shared" ref="S234:S238" si="650">ROUND(N234*Q234/P234,0)</f>
        <v>155455</v>
      </c>
      <c r="T234" s="165">
        <f t="shared" ref="T234:T238" si="651">ROUND(S234*V234,0)</f>
        <v>20209</v>
      </c>
      <c r="U234" s="166">
        <f t="shared" ref="U234:U238" si="652">Q234/P234-S234/N234</f>
        <v>-2.5252525251984181E-6</v>
      </c>
      <c r="V234" s="87">
        <v>0.13</v>
      </c>
      <c r="W234" s="224" t="s">
        <v>232</v>
      </c>
      <c r="X234" s="23">
        <v>45082</v>
      </c>
      <c r="Y234" s="20"/>
      <c r="Z234" s="20"/>
      <c r="AA234" s="20"/>
      <c r="AB234" s="168"/>
    </row>
    <row r="235" spans="1:31" s="8" customFormat="1" x14ac:dyDescent="0.25">
      <c r="A235" s="189"/>
      <c r="B235" s="92" t="s">
        <v>209</v>
      </c>
      <c r="C235" s="90" t="str">
        <f>VLOOKUP($F235,Admin!$A$16:$E$19,2,FALSE)</f>
        <v>Alkalmazott (ipari) kutatás – Működési költség</v>
      </c>
      <c r="D235" s="161" t="s">
        <v>129</v>
      </c>
      <c r="E235" s="90" t="str">
        <f>VLOOKUP($F235,Admin!$A$16:$E$19,4,FALSE)</f>
        <v>54. Bérköltség - Kutató-fejlesztő munkatárs</v>
      </c>
      <c r="F235" s="90" t="s">
        <v>171</v>
      </c>
      <c r="G235" s="161" t="s">
        <v>174</v>
      </c>
      <c r="H235" s="161" t="s">
        <v>193</v>
      </c>
      <c r="I235" s="90" t="str">
        <f>VLOOKUP($F235,Admin!$A$16:$E$19,5,FALSE)</f>
        <v>K+F munkatárs</v>
      </c>
      <c r="J235" s="161" t="s">
        <v>71</v>
      </c>
      <c r="K235" s="161" t="str">
        <f t="shared" si="647"/>
        <v>2023.08</v>
      </c>
      <c r="L235" s="91" t="s">
        <v>9</v>
      </c>
      <c r="M235" s="92" t="s">
        <v>78</v>
      </c>
      <c r="N235" s="162">
        <v>180000</v>
      </c>
      <c r="O235" s="163">
        <f t="shared" ref="O235:O238" si="653">ROUND(N235*V235,0)</f>
        <v>23400</v>
      </c>
      <c r="P235" s="161">
        <v>44</v>
      </c>
      <c r="Q235" s="161">
        <v>38</v>
      </c>
      <c r="R235" s="230">
        <f t="shared" ref="R235:R238" si="654">Q235/P235</f>
        <v>0.86363636363636365</v>
      </c>
      <c r="S235" s="164">
        <f t="shared" ref="S235:S238" si="655">ROUND(N235*Q235/P235,0)</f>
        <v>155455</v>
      </c>
      <c r="T235" s="165">
        <f t="shared" ref="T235:T238" si="656">ROUND(S235*V235,0)</f>
        <v>20209</v>
      </c>
      <c r="U235" s="166">
        <f t="shared" ref="U235:U238" si="657">Q235/P235-S235/N235</f>
        <v>-2.5252525251984181E-6</v>
      </c>
      <c r="V235" s="87">
        <v>0.13</v>
      </c>
      <c r="W235" s="224" t="s">
        <v>232</v>
      </c>
      <c r="X235" s="23">
        <v>45082</v>
      </c>
      <c r="Y235" s="20"/>
      <c r="Z235" s="20"/>
      <c r="AA235" s="20"/>
      <c r="AB235" s="168"/>
    </row>
    <row r="236" spans="1:31" s="8" customFormat="1" x14ac:dyDescent="0.25">
      <c r="A236" s="189"/>
      <c r="B236" s="92" t="s">
        <v>209</v>
      </c>
      <c r="C236" s="90" t="str">
        <f>VLOOKUP($F236,Admin!$A$16:$E$19,2,FALSE)</f>
        <v>Alkalmazott (ipari) kutatás – Működési költség</v>
      </c>
      <c r="D236" s="161" t="s">
        <v>129</v>
      </c>
      <c r="E236" s="90" t="str">
        <f>VLOOKUP($F236,Admin!$A$16:$E$19,4,FALSE)</f>
        <v>54. Bérköltség - Kutató-fejlesztő munkatárs</v>
      </c>
      <c r="F236" s="90" t="s">
        <v>171</v>
      </c>
      <c r="G236" s="161" t="s">
        <v>174</v>
      </c>
      <c r="H236" s="161" t="s">
        <v>193</v>
      </c>
      <c r="I236" s="90" t="str">
        <f>VLOOKUP($F236,Admin!$A$16:$E$19,5,FALSE)</f>
        <v>K+F munkatárs</v>
      </c>
      <c r="J236" s="161" t="s">
        <v>72</v>
      </c>
      <c r="K236" s="161" t="str">
        <f t="shared" si="647"/>
        <v>2023.09</v>
      </c>
      <c r="L236" s="91" t="s">
        <v>9</v>
      </c>
      <c r="M236" s="92" t="s">
        <v>78</v>
      </c>
      <c r="N236" s="162">
        <v>180000</v>
      </c>
      <c r="O236" s="163">
        <f t="shared" si="653"/>
        <v>23400</v>
      </c>
      <c r="P236" s="161">
        <v>44</v>
      </c>
      <c r="Q236" s="161">
        <v>38</v>
      </c>
      <c r="R236" s="230">
        <f t="shared" si="654"/>
        <v>0.86363636363636365</v>
      </c>
      <c r="S236" s="164">
        <f t="shared" si="655"/>
        <v>155455</v>
      </c>
      <c r="T236" s="165">
        <f t="shared" si="656"/>
        <v>20209</v>
      </c>
      <c r="U236" s="166">
        <f t="shared" si="657"/>
        <v>-2.5252525251984181E-6</v>
      </c>
      <c r="V236" s="87">
        <v>0.13</v>
      </c>
      <c r="W236" s="224" t="s">
        <v>232</v>
      </c>
      <c r="X236" s="23">
        <v>45082</v>
      </c>
      <c r="Y236" s="20"/>
      <c r="Z236" s="20"/>
      <c r="AA236" s="20"/>
      <c r="AB236" s="168"/>
    </row>
    <row r="237" spans="1:31" s="8" customFormat="1" x14ac:dyDescent="0.25">
      <c r="A237" s="189"/>
      <c r="B237" s="92" t="s">
        <v>209</v>
      </c>
      <c r="C237" s="90" t="str">
        <f>VLOOKUP($F237,Admin!$A$16:$E$19,2,FALSE)</f>
        <v>Alkalmazott (ipari) kutatás – Működési költség</v>
      </c>
      <c r="D237" s="161" t="s">
        <v>129</v>
      </c>
      <c r="E237" s="90" t="str">
        <f>VLOOKUP($F237,Admin!$A$16:$E$19,4,FALSE)</f>
        <v>54. Bérköltség - Kutató-fejlesztő munkatárs</v>
      </c>
      <c r="F237" s="90" t="s">
        <v>171</v>
      </c>
      <c r="G237" s="161" t="s">
        <v>174</v>
      </c>
      <c r="H237" s="161" t="s">
        <v>193</v>
      </c>
      <c r="I237" s="90" t="str">
        <f>VLOOKUP($F237,Admin!$A$16:$E$19,5,FALSE)</f>
        <v>K+F munkatárs</v>
      </c>
      <c r="J237" s="161" t="s">
        <v>73</v>
      </c>
      <c r="K237" s="161" t="str">
        <f t="shared" si="647"/>
        <v>2023.10</v>
      </c>
      <c r="L237" s="91" t="s">
        <v>9</v>
      </c>
      <c r="M237" s="92" t="s">
        <v>78</v>
      </c>
      <c r="N237" s="162">
        <v>180000</v>
      </c>
      <c r="O237" s="163">
        <f t="shared" si="653"/>
        <v>23400</v>
      </c>
      <c r="P237" s="161">
        <v>44</v>
      </c>
      <c r="Q237" s="161">
        <v>38</v>
      </c>
      <c r="R237" s="230">
        <f t="shared" si="654"/>
        <v>0.86363636363636365</v>
      </c>
      <c r="S237" s="164">
        <f t="shared" si="655"/>
        <v>155455</v>
      </c>
      <c r="T237" s="165">
        <f t="shared" si="656"/>
        <v>20209</v>
      </c>
      <c r="U237" s="166">
        <f t="shared" si="657"/>
        <v>-2.5252525251984181E-6</v>
      </c>
      <c r="V237" s="87">
        <v>0.13</v>
      </c>
      <c r="W237" s="224" t="s">
        <v>232</v>
      </c>
      <c r="X237" s="23">
        <v>45082</v>
      </c>
      <c r="Y237" s="20"/>
      <c r="Z237" s="20"/>
      <c r="AA237" s="20"/>
      <c r="AB237" s="168"/>
    </row>
    <row r="238" spans="1:31" s="8" customFormat="1" x14ac:dyDescent="0.25">
      <c r="A238" s="189"/>
      <c r="B238" s="92" t="s">
        <v>209</v>
      </c>
      <c r="C238" s="90" t="str">
        <f>VLOOKUP($F238,Admin!$A$16:$E$19,2,FALSE)</f>
        <v>Alkalmazott (ipari) kutatás – Működési költség</v>
      </c>
      <c r="D238" s="161" t="s">
        <v>129</v>
      </c>
      <c r="E238" s="90" t="str">
        <f>VLOOKUP($F238,Admin!$A$16:$E$19,4,FALSE)</f>
        <v>54. Bérköltség - Kutató-fejlesztő munkatárs</v>
      </c>
      <c r="F238" s="90" t="s">
        <v>171</v>
      </c>
      <c r="G238" s="161" t="s">
        <v>174</v>
      </c>
      <c r="H238" s="161" t="s">
        <v>193</v>
      </c>
      <c r="I238" s="90" t="str">
        <f>VLOOKUP($F238,Admin!$A$16:$E$19,5,FALSE)</f>
        <v>K+F munkatárs</v>
      </c>
      <c r="J238" s="161" t="s">
        <v>74</v>
      </c>
      <c r="K238" s="161" t="str">
        <f t="shared" si="647"/>
        <v>2023.11</v>
      </c>
      <c r="L238" s="91" t="s">
        <v>9</v>
      </c>
      <c r="M238" s="92" t="s">
        <v>78</v>
      </c>
      <c r="N238" s="162">
        <v>180000</v>
      </c>
      <c r="O238" s="163">
        <f t="shared" si="653"/>
        <v>23400</v>
      </c>
      <c r="P238" s="161">
        <v>44</v>
      </c>
      <c r="Q238" s="161">
        <v>38</v>
      </c>
      <c r="R238" s="230">
        <f t="shared" si="654"/>
        <v>0.86363636363636365</v>
      </c>
      <c r="S238" s="164">
        <f t="shared" si="655"/>
        <v>155455</v>
      </c>
      <c r="T238" s="165">
        <f t="shared" si="656"/>
        <v>20209</v>
      </c>
      <c r="U238" s="166">
        <f t="shared" si="657"/>
        <v>-2.5252525251984181E-6</v>
      </c>
      <c r="V238" s="87">
        <v>0.13</v>
      </c>
      <c r="W238" s="224" t="s">
        <v>232</v>
      </c>
      <c r="X238" s="23">
        <v>45082</v>
      </c>
      <c r="Y238" s="20"/>
      <c r="Z238" s="20"/>
      <c r="AA238" s="20"/>
      <c r="AB238" s="168"/>
    </row>
    <row r="239" spans="1:31" s="8" customFormat="1" x14ac:dyDescent="0.25">
      <c r="A239" s="189"/>
      <c r="B239" s="92" t="s">
        <v>217</v>
      </c>
      <c r="C239" s="90" t="str">
        <f>VLOOKUP($F239,Admin!$A$16:$E$19,2,FALSE)</f>
        <v>Alkalmazott (ipari) kutatás – Működési költség</v>
      </c>
      <c r="D239" s="161" t="s">
        <v>129</v>
      </c>
      <c r="E239" s="90" t="str">
        <f>VLOOKUP($F239,Admin!$A$16:$E$19,4,FALSE)</f>
        <v>54. Bérköltség - Kutató-fejlesztő munkatárs</v>
      </c>
      <c r="F239" s="90" t="s">
        <v>171</v>
      </c>
      <c r="G239" s="161" t="s">
        <v>174</v>
      </c>
      <c r="H239" s="161" t="s">
        <v>193</v>
      </c>
      <c r="I239" s="90" t="str">
        <f>VLOOKUP($F239,Admin!$A$16:$E$19,5,FALSE)</f>
        <v>K+F munkatárs</v>
      </c>
      <c r="J239" s="161" t="s">
        <v>50</v>
      </c>
      <c r="K239" s="161" t="str">
        <f t="shared" ref="K239" si="658">J239</f>
        <v>2022.11</v>
      </c>
      <c r="L239" s="91" t="s">
        <v>8</v>
      </c>
      <c r="M239" s="92" t="s">
        <v>78</v>
      </c>
      <c r="N239" s="162">
        <v>640000</v>
      </c>
      <c r="O239" s="163">
        <f t="shared" ref="O239" si="659">ROUND(N239*V239,0)</f>
        <v>83200</v>
      </c>
      <c r="P239" s="161">
        <v>174</v>
      </c>
      <c r="Q239" s="161">
        <v>87</v>
      </c>
      <c r="R239" s="230">
        <f t="shared" ref="R239" si="660">Q239/P239</f>
        <v>0.5</v>
      </c>
      <c r="S239" s="164">
        <f t="shared" ref="S239" si="661">ROUND(N239*Q239/P239,0)</f>
        <v>320000</v>
      </c>
      <c r="T239" s="165">
        <f t="shared" ref="T239" si="662">ROUND(S239*V239,0)</f>
        <v>41600</v>
      </c>
      <c r="U239" s="166">
        <f t="shared" ref="U239" si="663">Q239/P239-S239/N239</f>
        <v>0</v>
      </c>
      <c r="V239" s="87">
        <v>0.13</v>
      </c>
      <c r="W239" s="224" t="s">
        <v>233</v>
      </c>
      <c r="X239" s="23">
        <v>44872</v>
      </c>
      <c r="Y239" s="20" t="s">
        <v>197</v>
      </c>
      <c r="Z239" s="20"/>
      <c r="AA239" s="20"/>
      <c r="AB239" s="168"/>
      <c r="AC239" s="211" t="e">
        <v>#N/A</v>
      </c>
      <c r="AD239" s="211" t="e">
        <v>#N/A</v>
      </c>
      <c r="AE239" s="211" t="e">
        <v>#N/A</v>
      </c>
    </row>
    <row r="240" spans="1:31" s="8" customFormat="1" x14ac:dyDescent="0.25">
      <c r="A240" s="208">
        <v>1</v>
      </c>
      <c r="B240" s="92" t="s">
        <v>192</v>
      </c>
      <c r="C240" s="90" t="str">
        <f>VLOOKUP($F240,Admin!$A$16:$E$19,2,FALSE)</f>
        <v>Alkalmazott (ipari) kutatás – Működési költség</v>
      </c>
      <c r="D240" s="161" t="s">
        <v>129</v>
      </c>
      <c r="E240" s="90" t="str">
        <f>VLOOKUP($F240,Admin!$A$16:$E$19,4,FALSE)</f>
        <v>54. Bérköltség - technikus segédszemélyzet</v>
      </c>
      <c r="F240" s="90" t="s">
        <v>173</v>
      </c>
      <c r="G240" s="161" t="s">
        <v>174</v>
      </c>
      <c r="H240" s="161" t="s">
        <v>196</v>
      </c>
      <c r="I240" s="90" t="str">
        <f>VLOOKUP($F240,Admin!$A$16:$E$19,5,FALSE)</f>
        <v>Technikus</v>
      </c>
      <c r="J240" s="161" t="s">
        <v>37</v>
      </c>
      <c r="K240" s="161" t="str">
        <f t="shared" si="137"/>
        <v>2021.10</v>
      </c>
      <c r="L240" s="91" t="s">
        <v>8</v>
      </c>
      <c r="M240" s="92" t="s">
        <v>78</v>
      </c>
      <c r="N240" s="162">
        <v>575000</v>
      </c>
      <c r="O240" s="163">
        <f t="shared" si="138"/>
        <v>89125</v>
      </c>
      <c r="P240" s="161">
        <v>174</v>
      </c>
      <c r="Q240" s="161">
        <v>64</v>
      </c>
      <c r="R240" s="230">
        <f t="shared" si="139"/>
        <v>0.36781609195402298</v>
      </c>
      <c r="S240" s="164">
        <f t="shared" si="140"/>
        <v>211494</v>
      </c>
      <c r="T240" s="165">
        <f t="shared" si="141"/>
        <v>32782</v>
      </c>
      <c r="U240" s="166">
        <f t="shared" si="142"/>
        <v>4.3978010993983574E-7</v>
      </c>
      <c r="V240" s="87">
        <v>0.155</v>
      </c>
      <c r="W240" s="224"/>
      <c r="X240" s="23">
        <v>44470</v>
      </c>
      <c r="Y240" s="20" t="s">
        <v>197</v>
      </c>
      <c r="Z240" s="20"/>
      <c r="AA240" s="20"/>
      <c r="AB240" s="168"/>
    </row>
    <row r="241" spans="1:31" s="8" customFormat="1" x14ac:dyDescent="0.25">
      <c r="A241" s="208">
        <v>1</v>
      </c>
      <c r="B241" s="92" t="s">
        <v>192</v>
      </c>
      <c r="C241" s="90" t="str">
        <f>VLOOKUP($F241,Admin!$A$16:$E$19,2,FALSE)</f>
        <v>Alkalmazott (ipari) kutatás – Működési költség</v>
      </c>
      <c r="D241" s="161" t="s">
        <v>129</v>
      </c>
      <c r="E241" s="90" t="str">
        <f>VLOOKUP($F241,Admin!$A$16:$E$19,4,FALSE)</f>
        <v>54. Bérköltség - technikus segédszemélyzet</v>
      </c>
      <c r="F241" s="90" t="s">
        <v>173</v>
      </c>
      <c r="G241" s="161" t="s">
        <v>174</v>
      </c>
      <c r="H241" s="161" t="s">
        <v>196</v>
      </c>
      <c r="I241" s="90" t="str">
        <f>VLOOKUP($F241,Admin!$A$16:$E$19,5,FALSE)</f>
        <v>Technikus</v>
      </c>
      <c r="J241" s="161" t="s">
        <v>38</v>
      </c>
      <c r="K241" s="161" t="str">
        <f t="shared" si="137"/>
        <v>2021.11</v>
      </c>
      <c r="L241" s="91" t="s">
        <v>8</v>
      </c>
      <c r="M241" s="92" t="s">
        <v>78</v>
      </c>
      <c r="N241" s="162">
        <v>575000</v>
      </c>
      <c r="O241" s="163">
        <f t="shared" si="138"/>
        <v>89125</v>
      </c>
      <c r="P241" s="161">
        <v>174</v>
      </c>
      <c r="Q241" s="161">
        <v>64</v>
      </c>
      <c r="R241" s="230">
        <f t="shared" si="139"/>
        <v>0.36781609195402298</v>
      </c>
      <c r="S241" s="164">
        <f t="shared" si="140"/>
        <v>211494</v>
      </c>
      <c r="T241" s="165">
        <f t="shared" si="141"/>
        <v>32782</v>
      </c>
      <c r="U241" s="166">
        <f t="shared" si="142"/>
        <v>4.3978010993983574E-7</v>
      </c>
      <c r="V241" s="87">
        <v>0.155</v>
      </c>
      <c r="W241" s="224"/>
      <c r="X241" s="23">
        <v>44470</v>
      </c>
      <c r="Y241" s="20" t="s">
        <v>197</v>
      </c>
      <c r="Z241" s="20"/>
      <c r="AA241" s="20"/>
      <c r="AB241" s="168"/>
    </row>
    <row r="242" spans="1:31" s="8" customFormat="1" x14ac:dyDescent="0.25">
      <c r="A242" s="208">
        <v>1</v>
      </c>
      <c r="B242" s="92" t="s">
        <v>192</v>
      </c>
      <c r="C242" s="90" t="str">
        <f>VLOOKUP($F242,Admin!$A$16:$E$19,2,FALSE)</f>
        <v>Alkalmazott (ipari) kutatás – Működési költség</v>
      </c>
      <c r="D242" s="161" t="s">
        <v>129</v>
      </c>
      <c r="E242" s="90" t="str">
        <f>VLOOKUP($F242,Admin!$A$16:$E$19,4,FALSE)</f>
        <v>54. Bérköltség - technikus segédszemélyzet</v>
      </c>
      <c r="F242" s="90" t="s">
        <v>173</v>
      </c>
      <c r="G242" s="161" t="s">
        <v>174</v>
      </c>
      <c r="H242" s="161" t="s">
        <v>196</v>
      </c>
      <c r="I242" s="90" t="str">
        <f>VLOOKUP($F242,Admin!$A$16:$E$19,5,FALSE)</f>
        <v>Technikus</v>
      </c>
      <c r="J242" s="161" t="s">
        <v>39</v>
      </c>
      <c r="K242" s="161" t="str">
        <f t="shared" si="137"/>
        <v>2021.12</v>
      </c>
      <c r="L242" s="91" t="s">
        <v>8</v>
      </c>
      <c r="M242" s="92" t="s">
        <v>78</v>
      </c>
      <c r="N242" s="162">
        <v>575000</v>
      </c>
      <c r="O242" s="163">
        <f t="shared" si="138"/>
        <v>89125</v>
      </c>
      <c r="P242" s="161">
        <v>174</v>
      </c>
      <c r="Q242" s="161">
        <v>64</v>
      </c>
      <c r="R242" s="230">
        <f t="shared" si="139"/>
        <v>0.36781609195402298</v>
      </c>
      <c r="S242" s="164">
        <f t="shared" si="140"/>
        <v>211494</v>
      </c>
      <c r="T242" s="165">
        <f t="shared" si="141"/>
        <v>32782</v>
      </c>
      <c r="U242" s="166">
        <f t="shared" si="142"/>
        <v>4.3978010993983574E-7</v>
      </c>
      <c r="V242" s="87">
        <v>0.155</v>
      </c>
      <c r="W242" s="224"/>
      <c r="X242" s="23">
        <v>44470</v>
      </c>
      <c r="Y242" s="20" t="s">
        <v>197</v>
      </c>
      <c r="Z242" s="20"/>
      <c r="AA242" s="20"/>
      <c r="AB242" s="168"/>
    </row>
    <row r="243" spans="1:31" s="8" customFormat="1" x14ac:dyDescent="0.25">
      <c r="A243" s="208">
        <v>1</v>
      </c>
      <c r="B243" s="92" t="s">
        <v>192</v>
      </c>
      <c r="C243" s="90" t="str">
        <f>VLOOKUP($F243,Admin!$A$16:$E$19,2,FALSE)</f>
        <v>Alkalmazott (ipari) kutatás – Működési költség</v>
      </c>
      <c r="D243" s="161" t="s">
        <v>129</v>
      </c>
      <c r="E243" s="90" t="str">
        <f>VLOOKUP($F243,Admin!$A$16:$E$19,4,FALSE)</f>
        <v>54. Bérköltség - technikus segédszemélyzet</v>
      </c>
      <c r="F243" s="90" t="s">
        <v>173</v>
      </c>
      <c r="G243" s="161" t="s">
        <v>174</v>
      </c>
      <c r="H243" s="161" t="s">
        <v>196</v>
      </c>
      <c r="I243" s="90" t="str">
        <f>VLOOKUP($F243,Admin!$A$16:$E$19,5,FALSE)</f>
        <v>Technikus</v>
      </c>
      <c r="J243" s="161" t="s">
        <v>40</v>
      </c>
      <c r="K243" s="161" t="str">
        <f t="shared" si="137"/>
        <v>2022.01</v>
      </c>
      <c r="L243" s="91" t="s">
        <v>8</v>
      </c>
      <c r="M243" s="92" t="s">
        <v>78</v>
      </c>
      <c r="N243" s="162">
        <v>700000</v>
      </c>
      <c r="O243" s="163">
        <f t="shared" si="138"/>
        <v>91000</v>
      </c>
      <c r="P243" s="161">
        <v>174</v>
      </c>
      <c r="Q243" s="161">
        <v>64</v>
      </c>
      <c r="R243" s="230">
        <f t="shared" si="139"/>
        <v>0.36781609195402298</v>
      </c>
      <c r="S243" s="164">
        <f t="shared" si="140"/>
        <v>257471</v>
      </c>
      <c r="T243" s="165">
        <f t="shared" si="141"/>
        <v>33471</v>
      </c>
      <c r="U243" s="166">
        <f t="shared" si="142"/>
        <v>3.7766830868202206E-7</v>
      </c>
      <c r="V243" s="87">
        <v>0.13</v>
      </c>
      <c r="W243" s="224"/>
      <c r="X243" s="23">
        <v>44544</v>
      </c>
      <c r="Y243" s="20" t="s">
        <v>197</v>
      </c>
      <c r="Z243" s="20"/>
      <c r="AA243" s="20"/>
      <c r="AB243" s="168"/>
    </row>
    <row r="244" spans="1:31" s="168" customFormat="1" x14ac:dyDescent="0.25">
      <c r="A244" s="208">
        <v>1</v>
      </c>
      <c r="B244" s="92" t="s">
        <v>192</v>
      </c>
      <c r="C244" s="90" t="str">
        <f>VLOOKUP($F244,Admin!$A$16:$E$19,2,FALSE)</f>
        <v>Alkalmazott (ipari) kutatás – Működési költség</v>
      </c>
      <c r="D244" s="161" t="s">
        <v>129</v>
      </c>
      <c r="E244" s="90" t="str">
        <f>VLOOKUP($F244,Admin!$A$16:$E$19,4,FALSE)</f>
        <v>54. Bérköltség - technikus segédszemélyzet</v>
      </c>
      <c r="F244" s="90" t="s">
        <v>173</v>
      </c>
      <c r="G244" s="161" t="s">
        <v>174</v>
      </c>
      <c r="H244" s="161" t="s">
        <v>196</v>
      </c>
      <c r="I244" s="90" t="str">
        <f>VLOOKUP($F244,Admin!$A$16:$E$19,5,FALSE)</f>
        <v>Technikus</v>
      </c>
      <c r="J244" s="161" t="s">
        <v>41</v>
      </c>
      <c r="K244" s="161" t="str">
        <f t="shared" si="137"/>
        <v>2022.02</v>
      </c>
      <c r="L244" s="91" t="s">
        <v>8</v>
      </c>
      <c r="M244" s="92" t="s">
        <v>78</v>
      </c>
      <c r="N244" s="162">
        <v>700000</v>
      </c>
      <c r="O244" s="163">
        <f t="shared" si="138"/>
        <v>91000</v>
      </c>
      <c r="P244" s="20">
        <v>174</v>
      </c>
      <c r="Q244" s="20">
        <v>64</v>
      </c>
      <c r="R244" s="230">
        <f t="shared" si="139"/>
        <v>0.36781609195402298</v>
      </c>
      <c r="S244" s="164">
        <f t="shared" si="140"/>
        <v>257471</v>
      </c>
      <c r="T244" s="165">
        <f t="shared" si="141"/>
        <v>33471</v>
      </c>
      <c r="U244" s="166">
        <f t="shared" si="142"/>
        <v>3.7766830868202206E-7</v>
      </c>
      <c r="V244" s="87">
        <v>0.13</v>
      </c>
      <c r="W244" s="224"/>
      <c r="X244" s="23">
        <v>44544</v>
      </c>
      <c r="Y244" s="20" t="s">
        <v>197</v>
      </c>
      <c r="Z244" s="20"/>
      <c r="AA244" s="20"/>
    </row>
    <row r="245" spans="1:31" s="168" customFormat="1" x14ac:dyDescent="0.25">
      <c r="A245" s="208">
        <v>1</v>
      </c>
      <c r="B245" s="92" t="s">
        <v>192</v>
      </c>
      <c r="C245" s="90" t="str">
        <f>VLOOKUP($F245,Admin!$A$16:$E$19,2,FALSE)</f>
        <v>Alkalmazott (ipari) kutatás – Működési költség</v>
      </c>
      <c r="D245" s="161" t="s">
        <v>129</v>
      </c>
      <c r="E245" s="90" t="str">
        <f>VLOOKUP($F245,Admin!$A$16:$E$19,4,FALSE)</f>
        <v>54. Bérköltség - technikus segédszemélyzet</v>
      </c>
      <c r="F245" s="90" t="s">
        <v>173</v>
      </c>
      <c r="G245" s="161" t="s">
        <v>174</v>
      </c>
      <c r="H245" s="161" t="s">
        <v>196</v>
      </c>
      <c r="I245" s="90" t="str">
        <f>VLOOKUP($F245,Admin!$A$16:$E$19,5,FALSE)</f>
        <v>Technikus</v>
      </c>
      <c r="J245" s="161" t="s">
        <v>42</v>
      </c>
      <c r="K245" s="161" t="str">
        <f t="shared" si="137"/>
        <v>2022.03</v>
      </c>
      <c r="L245" s="91" t="s">
        <v>8</v>
      </c>
      <c r="M245" s="92" t="s">
        <v>78</v>
      </c>
      <c r="N245" s="162">
        <v>700000</v>
      </c>
      <c r="O245" s="163">
        <f t="shared" si="138"/>
        <v>91000</v>
      </c>
      <c r="P245" s="20">
        <v>174</v>
      </c>
      <c r="Q245" s="20">
        <v>64</v>
      </c>
      <c r="R245" s="230">
        <f t="shared" si="139"/>
        <v>0.36781609195402298</v>
      </c>
      <c r="S245" s="164">
        <f t="shared" si="140"/>
        <v>257471</v>
      </c>
      <c r="T245" s="165">
        <f t="shared" si="141"/>
        <v>33471</v>
      </c>
      <c r="U245" s="166">
        <f t="shared" si="142"/>
        <v>3.7766830868202206E-7</v>
      </c>
      <c r="V245" s="87">
        <v>0.13</v>
      </c>
      <c r="W245" s="224"/>
      <c r="X245" s="23">
        <v>44544</v>
      </c>
      <c r="Y245" s="20" t="s">
        <v>197</v>
      </c>
      <c r="Z245" s="20"/>
      <c r="AA245" s="20"/>
    </row>
    <row r="246" spans="1:31" s="168" customFormat="1" x14ac:dyDescent="0.25">
      <c r="A246" s="208">
        <v>1</v>
      </c>
      <c r="B246" s="92" t="s">
        <v>192</v>
      </c>
      <c r="C246" s="90" t="str">
        <f>VLOOKUP($F246,Admin!$A$16:$E$19,2,FALSE)</f>
        <v>Alkalmazott (ipari) kutatás – Működési költség</v>
      </c>
      <c r="D246" s="161" t="s">
        <v>129</v>
      </c>
      <c r="E246" s="90" t="str">
        <f>VLOOKUP($F246,Admin!$A$16:$E$19,4,FALSE)</f>
        <v>54. Bérköltség - technikus segédszemélyzet</v>
      </c>
      <c r="F246" s="90" t="s">
        <v>173</v>
      </c>
      <c r="G246" s="161" t="s">
        <v>174</v>
      </c>
      <c r="H246" s="161" t="s">
        <v>196</v>
      </c>
      <c r="I246" s="90" t="str">
        <f>VLOOKUP($F246,Admin!$A$16:$E$19,5,FALSE)</f>
        <v>Technikus</v>
      </c>
      <c r="J246" s="161" t="s">
        <v>43</v>
      </c>
      <c r="K246" s="161" t="str">
        <f t="shared" si="137"/>
        <v>2022.04</v>
      </c>
      <c r="L246" s="91" t="s">
        <v>8</v>
      </c>
      <c r="M246" s="92" t="s">
        <v>78</v>
      </c>
      <c r="N246" s="162">
        <v>699999</v>
      </c>
      <c r="O246" s="163">
        <f t="shared" si="138"/>
        <v>91000</v>
      </c>
      <c r="P246" s="20">
        <v>174</v>
      </c>
      <c r="Q246" s="20">
        <v>64</v>
      </c>
      <c r="R246" s="230">
        <f t="shared" si="139"/>
        <v>0.36781609195402298</v>
      </c>
      <c r="S246" s="164">
        <f t="shared" si="140"/>
        <v>257471</v>
      </c>
      <c r="T246" s="165">
        <f t="shared" si="141"/>
        <v>33471</v>
      </c>
      <c r="U246" s="166">
        <f t="shared" si="142"/>
        <v>-1.4778346235644335E-7</v>
      </c>
      <c r="V246" s="87">
        <v>0.13</v>
      </c>
      <c r="W246" s="224"/>
      <c r="X246" s="23">
        <v>44544</v>
      </c>
      <c r="Y246" s="20" t="s">
        <v>197</v>
      </c>
      <c r="Z246" s="20"/>
      <c r="AA246" s="20"/>
    </row>
    <row r="247" spans="1:31" s="168" customFormat="1" x14ac:dyDescent="0.25">
      <c r="A247" s="208">
        <v>1</v>
      </c>
      <c r="B247" s="92" t="s">
        <v>192</v>
      </c>
      <c r="C247" s="90" t="str">
        <f>VLOOKUP($F247,Admin!$A$16:$E$19,2,FALSE)</f>
        <v>Alkalmazott (ipari) kutatás – Működési költség</v>
      </c>
      <c r="D247" s="161" t="s">
        <v>129</v>
      </c>
      <c r="E247" s="90" t="str">
        <f>VLOOKUP($F247,Admin!$A$16:$E$19,4,FALSE)</f>
        <v>54. Bérköltség - technikus segédszemélyzet</v>
      </c>
      <c r="F247" s="90" t="s">
        <v>173</v>
      </c>
      <c r="G247" s="161" t="s">
        <v>174</v>
      </c>
      <c r="H247" s="161" t="s">
        <v>196</v>
      </c>
      <c r="I247" s="90" t="str">
        <f>VLOOKUP($F247,Admin!$A$16:$E$19,5,FALSE)</f>
        <v>Technikus</v>
      </c>
      <c r="J247" s="161" t="s">
        <v>44</v>
      </c>
      <c r="K247" s="161" t="str">
        <f t="shared" si="137"/>
        <v>2022.05</v>
      </c>
      <c r="L247" s="91" t="s">
        <v>8</v>
      </c>
      <c r="M247" s="92" t="s">
        <v>78</v>
      </c>
      <c r="N247" s="162">
        <v>700000</v>
      </c>
      <c r="O247" s="163">
        <f t="shared" si="138"/>
        <v>91000</v>
      </c>
      <c r="P247" s="20">
        <v>174</v>
      </c>
      <c r="Q247" s="20">
        <v>64</v>
      </c>
      <c r="R247" s="230">
        <f t="shared" si="139"/>
        <v>0.36781609195402298</v>
      </c>
      <c r="S247" s="164">
        <f t="shared" si="140"/>
        <v>257471</v>
      </c>
      <c r="T247" s="165">
        <f t="shared" si="141"/>
        <v>33471</v>
      </c>
      <c r="U247" s="166">
        <f t="shared" si="142"/>
        <v>3.7766830868202206E-7</v>
      </c>
      <c r="V247" s="87">
        <v>0.13</v>
      </c>
      <c r="W247" s="224"/>
      <c r="X247" s="23">
        <v>44544</v>
      </c>
      <c r="Y247" s="20" t="s">
        <v>197</v>
      </c>
      <c r="Z247" s="20"/>
      <c r="AA247" s="20"/>
    </row>
    <row r="248" spans="1:31" s="168" customFormat="1" x14ac:dyDescent="0.25">
      <c r="A248" s="208">
        <v>1</v>
      </c>
      <c r="B248" s="92" t="s">
        <v>192</v>
      </c>
      <c r="C248" s="90" t="str">
        <f>VLOOKUP($F248,Admin!$A$16:$E$19,2,FALSE)</f>
        <v>Alkalmazott (ipari) kutatás – Működési költség</v>
      </c>
      <c r="D248" s="161" t="s">
        <v>129</v>
      </c>
      <c r="E248" s="90" t="str">
        <f>VLOOKUP($F248,Admin!$A$16:$E$19,4,FALSE)</f>
        <v>54. Bérköltség - technikus segédszemélyzet</v>
      </c>
      <c r="F248" s="90" t="s">
        <v>173</v>
      </c>
      <c r="G248" s="161" t="s">
        <v>174</v>
      </c>
      <c r="H248" s="161" t="s">
        <v>196</v>
      </c>
      <c r="I248" s="90" t="str">
        <f>VLOOKUP($F248,Admin!$A$16:$E$19,5,FALSE)</f>
        <v>Technikus</v>
      </c>
      <c r="J248" s="161" t="s">
        <v>45</v>
      </c>
      <c r="K248" s="161" t="str">
        <f t="shared" si="137"/>
        <v>2022.06</v>
      </c>
      <c r="L248" s="91" t="s">
        <v>8</v>
      </c>
      <c r="M248" s="92" t="s">
        <v>78</v>
      </c>
      <c r="N248" s="162">
        <v>700000</v>
      </c>
      <c r="O248" s="163">
        <f t="shared" si="138"/>
        <v>91000</v>
      </c>
      <c r="P248" s="20">
        <v>174</v>
      </c>
      <c r="Q248" s="20">
        <v>87</v>
      </c>
      <c r="R248" s="230">
        <f t="shared" si="139"/>
        <v>0.5</v>
      </c>
      <c r="S248" s="164">
        <f t="shared" si="140"/>
        <v>350000</v>
      </c>
      <c r="T248" s="165">
        <f t="shared" si="141"/>
        <v>45500</v>
      </c>
      <c r="U248" s="166">
        <f t="shared" si="142"/>
        <v>0</v>
      </c>
      <c r="V248" s="87">
        <v>0.13</v>
      </c>
      <c r="W248" s="224"/>
      <c r="X248" s="23">
        <v>44712</v>
      </c>
      <c r="Y248" s="20" t="s">
        <v>197</v>
      </c>
      <c r="Z248" s="20"/>
      <c r="AA248" s="20"/>
    </row>
    <row r="249" spans="1:31" s="168" customFormat="1" x14ac:dyDescent="0.25">
      <c r="A249" s="208">
        <v>1</v>
      </c>
      <c r="B249" s="92" t="s">
        <v>192</v>
      </c>
      <c r="C249" s="90" t="str">
        <f>VLOOKUP($F249,Admin!$A$16:$E$19,2,FALSE)</f>
        <v>Alkalmazott (ipari) kutatás – Működési költség</v>
      </c>
      <c r="D249" s="161" t="s">
        <v>129</v>
      </c>
      <c r="E249" s="90" t="str">
        <f>VLOOKUP($F249,Admin!$A$16:$E$19,4,FALSE)</f>
        <v>54. Bérköltség - technikus segédszemélyzet</v>
      </c>
      <c r="F249" s="90" t="s">
        <v>173</v>
      </c>
      <c r="G249" s="161" t="s">
        <v>174</v>
      </c>
      <c r="H249" s="161" t="s">
        <v>196</v>
      </c>
      <c r="I249" s="90" t="str">
        <f>VLOOKUP($F249,Admin!$A$16:$E$19,5,FALSE)</f>
        <v>Technikus</v>
      </c>
      <c r="J249" s="161" t="s">
        <v>46</v>
      </c>
      <c r="K249" s="161" t="str">
        <f t="shared" si="137"/>
        <v>2022.07</v>
      </c>
      <c r="L249" s="91" t="s">
        <v>8</v>
      </c>
      <c r="M249" s="92" t="s">
        <v>78</v>
      </c>
      <c r="N249" s="162">
        <v>700000</v>
      </c>
      <c r="O249" s="163">
        <f t="shared" ref="O249:O253" si="664">ROUND(N249*V249,0)</f>
        <v>91000</v>
      </c>
      <c r="P249" s="20">
        <v>174</v>
      </c>
      <c r="Q249" s="20">
        <v>87</v>
      </c>
      <c r="R249" s="230">
        <f t="shared" ref="R249:R253" si="665">Q249/P249</f>
        <v>0.5</v>
      </c>
      <c r="S249" s="164">
        <f t="shared" ref="S249:S253" si="666">ROUND(N249*Q249/P249,0)</f>
        <v>350000</v>
      </c>
      <c r="T249" s="165">
        <f t="shared" ref="T249:T253" si="667">ROUND(S249*V249,0)</f>
        <v>45500</v>
      </c>
      <c r="U249" s="166">
        <f t="shared" ref="U249:U253" si="668">Q249/P249-S249/N249</f>
        <v>0</v>
      </c>
      <c r="V249" s="87">
        <v>0.13</v>
      </c>
      <c r="W249" s="224"/>
      <c r="X249" s="23">
        <v>44712</v>
      </c>
      <c r="Y249" s="20" t="s">
        <v>197</v>
      </c>
      <c r="Z249" s="20"/>
      <c r="AA249" s="20"/>
    </row>
    <row r="250" spans="1:31" s="168" customFormat="1" x14ac:dyDescent="0.25">
      <c r="A250" s="208">
        <v>1</v>
      </c>
      <c r="B250" s="92" t="s">
        <v>192</v>
      </c>
      <c r="C250" s="90" t="str">
        <f>VLOOKUP($F250,Admin!$A$16:$E$19,2,FALSE)</f>
        <v>Alkalmazott (ipari) kutatás – Működési költség</v>
      </c>
      <c r="D250" s="161" t="s">
        <v>129</v>
      </c>
      <c r="E250" s="90" t="str">
        <f>VLOOKUP($F250,Admin!$A$16:$E$19,4,FALSE)</f>
        <v>54. Bérköltség - technikus segédszemélyzet</v>
      </c>
      <c r="F250" s="90" t="s">
        <v>173</v>
      </c>
      <c r="G250" s="161" t="s">
        <v>174</v>
      </c>
      <c r="H250" s="161" t="s">
        <v>196</v>
      </c>
      <c r="I250" s="90" t="str">
        <f>VLOOKUP($F250,Admin!$A$16:$E$19,5,FALSE)</f>
        <v>Technikus</v>
      </c>
      <c r="J250" s="161" t="s">
        <v>47</v>
      </c>
      <c r="K250" s="161" t="str">
        <f t="shared" si="137"/>
        <v>2022.08</v>
      </c>
      <c r="L250" s="91" t="s">
        <v>8</v>
      </c>
      <c r="M250" s="92" t="s">
        <v>78</v>
      </c>
      <c r="N250" s="162">
        <v>578261</v>
      </c>
      <c r="O250" s="163">
        <f t="shared" si="664"/>
        <v>75174</v>
      </c>
      <c r="P250" s="20">
        <v>174</v>
      </c>
      <c r="Q250" s="20">
        <v>87</v>
      </c>
      <c r="R250" s="230">
        <f t="shared" si="665"/>
        <v>0.5</v>
      </c>
      <c r="S250" s="164">
        <f t="shared" si="666"/>
        <v>289131</v>
      </c>
      <c r="T250" s="165">
        <f t="shared" si="667"/>
        <v>37587</v>
      </c>
      <c r="U250" s="166">
        <f t="shared" si="668"/>
        <v>-8.6466145909902536E-7</v>
      </c>
      <c r="V250" s="87">
        <v>0.13</v>
      </c>
      <c r="W250" s="224"/>
      <c r="X250" s="23">
        <v>44712</v>
      </c>
      <c r="Y250" s="20" t="s">
        <v>197</v>
      </c>
      <c r="Z250" s="20"/>
      <c r="AA250" s="20"/>
    </row>
    <row r="251" spans="1:31" s="168" customFormat="1" x14ac:dyDescent="0.25">
      <c r="A251" s="208">
        <v>1</v>
      </c>
      <c r="B251" s="92" t="s">
        <v>192</v>
      </c>
      <c r="C251" s="90" t="str">
        <f>VLOOKUP($F251,Admin!$A$16:$E$19,2,FALSE)</f>
        <v>Alkalmazott (ipari) kutatás – Működési költség</v>
      </c>
      <c r="D251" s="161" t="s">
        <v>129</v>
      </c>
      <c r="E251" s="90" t="str">
        <f>VLOOKUP($F251,Admin!$A$16:$E$19,4,FALSE)</f>
        <v>54. Bérköltség - technikus segédszemélyzet</v>
      </c>
      <c r="F251" s="90" t="s">
        <v>173</v>
      </c>
      <c r="G251" s="161" t="s">
        <v>174</v>
      </c>
      <c r="H251" s="161" t="s">
        <v>196</v>
      </c>
      <c r="I251" s="90" t="str">
        <f>VLOOKUP($F251,Admin!$A$16:$E$19,5,FALSE)</f>
        <v>Technikus</v>
      </c>
      <c r="J251" s="161" t="s">
        <v>48</v>
      </c>
      <c r="K251" s="161" t="str">
        <f t="shared" si="137"/>
        <v>2022.09</v>
      </c>
      <c r="L251" s="91" t="s">
        <v>8</v>
      </c>
      <c r="M251" s="92" t="s">
        <v>78</v>
      </c>
      <c r="N251" s="162">
        <v>700000</v>
      </c>
      <c r="O251" s="163">
        <f t="shared" si="664"/>
        <v>91000</v>
      </c>
      <c r="P251" s="20">
        <v>174</v>
      </c>
      <c r="Q251" s="20">
        <v>87</v>
      </c>
      <c r="R251" s="230">
        <f t="shared" si="665"/>
        <v>0.5</v>
      </c>
      <c r="S251" s="164">
        <f t="shared" si="666"/>
        <v>350000</v>
      </c>
      <c r="T251" s="165">
        <f t="shared" si="667"/>
        <v>45500</v>
      </c>
      <c r="U251" s="166">
        <f t="shared" si="668"/>
        <v>0</v>
      </c>
      <c r="V251" s="87">
        <v>0.13</v>
      </c>
      <c r="W251" s="224"/>
      <c r="X251" s="23">
        <v>44712</v>
      </c>
      <c r="Y251" s="20" t="s">
        <v>197</v>
      </c>
      <c r="Z251" s="20"/>
      <c r="AA251" s="20"/>
    </row>
    <row r="252" spans="1:31" s="168" customFormat="1" x14ac:dyDescent="0.25">
      <c r="A252" s="167"/>
      <c r="B252" s="92" t="s">
        <v>192</v>
      </c>
      <c r="C252" s="90" t="str">
        <f>VLOOKUP($F252,Admin!$A$16:$E$19,2,FALSE)</f>
        <v>Alkalmazott (ipari) kutatás – Működési költség</v>
      </c>
      <c r="D252" s="161" t="s">
        <v>129</v>
      </c>
      <c r="E252" s="90" t="str">
        <f>VLOOKUP($F252,Admin!$A$16:$E$19,4,FALSE)</f>
        <v>54. Bérköltség - technikus segédszemélyzet</v>
      </c>
      <c r="F252" s="90" t="s">
        <v>173</v>
      </c>
      <c r="G252" s="161" t="s">
        <v>174</v>
      </c>
      <c r="H252" s="161" t="s">
        <v>196</v>
      </c>
      <c r="I252" s="90" t="str">
        <f>VLOOKUP($F252,Admin!$A$16:$E$19,5,FALSE)</f>
        <v>Technikus</v>
      </c>
      <c r="J252" s="161" t="s">
        <v>49</v>
      </c>
      <c r="K252" s="161" t="str">
        <f t="shared" si="137"/>
        <v>2022.10</v>
      </c>
      <c r="L252" s="91" t="s">
        <v>8</v>
      </c>
      <c r="M252" s="92" t="s">
        <v>78</v>
      </c>
      <c r="N252" s="162">
        <v>700000</v>
      </c>
      <c r="O252" s="163">
        <f t="shared" si="664"/>
        <v>91000</v>
      </c>
      <c r="P252" s="20">
        <v>174</v>
      </c>
      <c r="Q252" s="20">
        <v>87</v>
      </c>
      <c r="R252" s="230">
        <f t="shared" si="665"/>
        <v>0.5</v>
      </c>
      <c r="S252" s="164">
        <f t="shared" si="666"/>
        <v>350000</v>
      </c>
      <c r="T252" s="165">
        <f t="shared" si="667"/>
        <v>45500</v>
      </c>
      <c r="U252" s="166">
        <f t="shared" si="668"/>
        <v>0</v>
      </c>
      <c r="V252" s="87">
        <v>0.13</v>
      </c>
      <c r="W252" s="224"/>
      <c r="X252" s="23">
        <v>44712</v>
      </c>
      <c r="Y252" s="20" t="s">
        <v>197</v>
      </c>
      <c r="Z252" s="20"/>
      <c r="AA252" s="20"/>
    </row>
    <row r="253" spans="1:31" s="168" customFormat="1" x14ac:dyDescent="0.25">
      <c r="A253" s="167"/>
      <c r="B253" s="92" t="s">
        <v>192</v>
      </c>
      <c r="C253" s="90" t="str">
        <f>VLOOKUP($F253,Admin!$A$16:$E$19,2,FALSE)</f>
        <v>Alkalmazott (ipari) kutatás – Működési költség</v>
      </c>
      <c r="D253" s="161" t="s">
        <v>129</v>
      </c>
      <c r="E253" s="90" t="str">
        <f>VLOOKUP($F253,Admin!$A$16:$E$19,4,FALSE)</f>
        <v>54. Bérköltség - technikus segédszemélyzet</v>
      </c>
      <c r="F253" s="90" t="s">
        <v>173</v>
      </c>
      <c r="G253" s="161" t="s">
        <v>174</v>
      </c>
      <c r="H253" s="161" t="s">
        <v>196</v>
      </c>
      <c r="I253" s="90" t="str">
        <f>VLOOKUP($F253,Admin!$A$16:$E$19,5,FALSE)</f>
        <v>Technikus</v>
      </c>
      <c r="J253" s="161" t="s">
        <v>50</v>
      </c>
      <c r="K253" s="161" t="str">
        <f t="shared" si="137"/>
        <v>2022.11</v>
      </c>
      <c r="L253" s="91" t="s">
        <v>8</v>
      </c>
      <c r="M253" s="92" t="s">
        <v>78</v>
      </c>
      <c r="N253" s="162">
        <v>700000</v>
      </c>
      <c r="O253" s="163">
        <f t="shared" si="664"/>
        <v>91000</v>
      </c>
      <c r="P253" s="20">
        <v>174</v>
      </c>
      <c r="Q253" s="20">
        <v>87</v>
      </c>
      <c r="R253" s="230">
        <f t="shared" si="665"/>
        <v>0.5</v>
      </c>
      <c r="S253" s="164">
        <f t="shared" si="666"/>
        <v>350000</v>
      </c>
      <c r="T253" s="165">
        <f t="shared" si="667"/>
        <v>45500</v>
      </c>
      <c r="U253" s="166">
        <f t="shared" si="668"/>
        <v>0</v>
      </c>
      <c r="V253" s="87">
        <v>0.13</v>
      </c>
      <c r="W253" s="224" t="s">
        <v>234</v>
      </c>
      <c r="X253" s="23">
        <v>44712</v>
      </c>
      <c r="Y253" s="20" t="s">
        <v>197</v>
      </c>
      <c r="Z253" s="20"/>
      <c r="AA253" s="20"/>
      <c r="AC253" s="211" t="e">
        <v>#N/A</v>
      </c>
      <c r="AD253" s="212" t="e">
        <v>#N/A</v>
      </c>
      <c r="AE253" s="211" t="e">
        <v>#N/A</v>
      </c>
    </row>
    <row r="254" spans="1:31" s="168" customFormat="1" x14ac:dyDescent="0.25">
      <c r="A254" s="167"/>
      <c r="B254" s="92" t="s">
        <v>192</v>
      </c>
      <c r="C254" s="90" t="str">
        <f>VLOOKUP($F254,Admin!$A$16:$E$19,2,FALSE)</f>
        <v>Alkalmazott (ipari) kutatás – Működési költség</v>
      </c>
      <c r="D254" s="161" t="s">
        <v>129</v>
      </c>
      <c r="E254" s="90" t="str">
        <f>VLOOKUP($F254,Admin!$A$16:$E$19,4,FALSE)</f>
        <v>54. Bérköltség - technikus segédszemélyzet</v>
      </c>
      <c r="F254" s="90" t="s">
        <v>173</v>
      </c>
      <c r="G254" s="161" t="s">
        <v>174</v>
      </c>
      <c r="H254" s="161" t="s">
        <v>196</v>
      </c>
      <c r="I254" s="90" t="str">
        <f>VLOOKUP($F254,Admin!$A$16:$E$19,5,FALSE)</f>
        <v>Technikus</v>
      </c>
      <c r="J254" s="161" t="s">
        <v>51</v>
      </c>
      <c r="K254" s="161" t="str">
        <f t="shared" ref="K254:K266" si="669">J254</f>
        <v>2022.12</v>
      </c>
      <c r="L254" s="91" t="s">
        <v>8</v>
      </c>
      <c r="M254" s="92" t="s">
        <v>78</v>
      </c>
      <c r="N254" s="162">
        <v>699999</v>
      </c>
      <c r="O254" s="163">
        <f t="shared" ref="O254" si="670">ROUND(N254*V254,0)</f>
        <v>91000</v>
      </c>
      <c r="P254" s="20">
        <v>174</v>
      </c>
      <c r="Q254" s="20">
        <v>87</v>
      </c>
      <c r="R254" s="230">
        <f t="shared" ref="R254" si="671">Q254/P254</f>
        <v>0.5</v>
      </c>
      <c r="S254" s="164">
        <f t="shared" ref="S254" si="672">ROUND(N254*Q254/P254,0)</f>
        <v>350000</v>
      </c>
      <c r="T254" s="165">
        <f t="shared" ref="T254" si="673">ROUND(S254*V254,0)</f>
        <v>45500</v>
      </c>
      <c r="U254" s="166">
        <f t="shared" ref="U254" si="674">Q254/P254-S254/N254</f>
        <v>-7.1428673464879466E-7</v>
      </c>
      <c r="V254" s="87">
        <v>0.13</v>
      </c>
      <c r="W254" s="224" t="s">
        <v>234</v>
      </c>
      <c r="X254" s="23">
        <v>44890</v>
      </c>
      <c r="Y254" s="20" t="s">
        <v>197</v>
      </c>
      <c r="Z254" s="20"/>
      <c r="AA254" s="20"/>
      <c r="AC254" s="211" t="s">
        <v>248</v>
      </c>
      <c r="AD254" s="211" t="s">
        <v>249</v>
      </c>
      <c r="AE254" s="211" t="s">
        <v>249</v>
      </c>
    </row>
    <row r="255" spans="1:31" s="168" customFormat="1" x14ac:dyDescent="0.25">
      <c r="A255" s="167"/>
      <c r="B255" s="92" t="s">
        <v>192</v>
      </c>
      <c r="C255" s="90" t="str">
        <f>VLOOKUP($F255,Admin!$A$16:$E$19,2,FALSE)</f>
        <v>Alkalmazott (ipari) kutatás – Működési költség</v>
      </c>
      <c r="D255" s="161" t="s">
        <v>129</v>
      </c>
      <c r="E255" s="90" t="str">
        <f>VLOOKUP($F255,Admin!$A$16:$E$19,4,FALSE)</f>
        <v>54. Bérköltség - technikus segédszemélyzet</v>
      </c>
      <c r="F255" s="90" t="s">
        <v>173</v>
      </c>
      <c r="G255" s="161" t="s">
        <v>174</v>
      </c>
      <c r="H255" s="161" t="s">
        <v>196</v>
      </c>
      <c r="I255" s="90" t="str">
        <f>VLOOKUP($F255,Admin!$A$16:$E$19,5,FALSE)</f>
        <v>Technikus</v>
      </c>
      <c r="J255" s="161" t="s">
        <v>64</v>
      </c>
      <c r="K255" s="161" t="str">
        <f t="shared" si="669"/>
        <v>2023.01</v>
      </c>
      <c r="L255" s="91" t="s">
        <v>8</v>
      </c>
      <c r="M255" s="92" t="s">
        <v>78</v>
      </c>
      <c r="N255" s="162">
        <v>721000</v>
      </c>
      <c r="O255" s="163">
        <f t="shared" ref="O255" si="675">ROUND(N255*V255,0)</f>
        <v>93730</v>
      </c>
      <c r="P255" s="20">
        <v>174</v>
      </c>
      <c r="Q255" s="20">
        <v>87</v>
      </c>
      <c r="R255" s="230">
        <f t="shared" ref="R255" si="676">Q255/P255</f>
        <v>0.5</v>
      </c>
      <c r="S255" s="164">
        <f t="shared" ref="S255" si="677">ROUND(N255*Q255/P255,0)</f>
        <v>360500</v>
      </c>
      <c r="T255" s="165">
        <f t="shared" ref="T255" si="678">ROUND(S255*V255,0)</f>
        <v>46865</v>
      </c>
      <c r="U255" s="166">
        <f t="shared" ref="U255" si="679">Q255/P255-S255/N255</f>
        <v>0</v>
      </c>
      <c r="V255" s="87">
        <v>0.13</v>
      </c>
      <c r="W255" s="224" t="s">
        <v>234</v>
      </c>
      <c r="X255" s="23">
        <v>44949</v>
      </c>
      <c r="Y255" s="20" t="s">
        <v>197</v>
      </c>
      <c r="Z255" s="20"/>
      <c r="AA255" s="20"/>
      <c r="AC255" s="211" t="s">
        <v>248</v>
      </c>
      <c r="AD255" s="211">
        <v>0</v>
      </c>
      <c r="AE255" s="211">
        <v>0</v>
      </c>
    </row>
    <row r="256" spans="1:31" s="168" customFormat="1" x14ac:dyDescent="0.25">
      <c r="A256" s="167"/>
      <c r="B256" s="92" t="s">
        <v>192</v>
      </c>
      <c r="C256" s="90" t="str">
        <f>VLOOKUP($F256,Admin!$A$16:$E$19,2,FALSE)</f>
        <v>Alkalmazott (ipari) kutatás – Működési költség</v>
      </c>
      <c r="D256" s="161" t="s">
        <v>129</v>
      </c>
      <c r="E256" s="90" t="str">
        <f>VLOOKUP($F256,Admin!$A$16:$E$19,4,FALSE)</f>
        <v>54. Bérköltség - technikus segédszemélyzet</v>
      </c>
      <c r="F256" s="90" t="s">
        <v>173</v>
      </c>
      <c r="G256" s="161" t="s">
        <v>174</v>
      </c>
      <c r="H256" s="161" t="s">
        <v>250</v>
      </c>
      <c r="I256" s="90" t="str">
        <f>VLOOKUP($F256,Admin!$A$16:$E$19,5,FALSE)</f>
        <v>Technikus</v>
      </c>
      <c r="J256" s="161" t="s">
        <v>65</v>
      </c>
      <c r="K256" s="161" t="str">
        <f t="shared" si="669"/>
        <v>2023.02</v>
      </c>
      <c r="L256" s="91" t="s">
        <v>8</v>
      </c>
      <c r="M256" s="92" t="s">
        <v>78</v>
      </c>
      <c r="N256" s="162">
        <v>721000</v>
      </c>
      <c r="O256" s="163">
        <f t="shared" ref="O256:O261" si="680">ROUND(N256*V256,0)</f>
        <v>93730</v>
      </c>
      <c r="P256" s="20">
        <v>174</v>
      </c>
      <c r="Q256" s="20">
        <v>87</v>
      </c>
      <c r="R256" s="230">
        <f t="shared" ref="R256:R261" si="681">Q256/P256</f>
        <v>0.5</v>
      </c>
      <c r="S256" s="164">
        <f t="shared" ref="S256:S261" si="682">ROUND(N256*Q256/P256,0)</f>
        <v>360500</v>
      </c>
      <c r="T256" s="165">
        <f t="shared" ref="T256:T261" si="683">ROUND(S256*V256,0)</f>
        <v>46865</v>
      </c>
      <c r="U256" s="166">
        <f t="shared" ref="U256:U261" si="684">Q256/P256-S256/N256</f>
        <v>0</v>
      </c>
      <c r="V256" s="87">
        <v>0.13</v>
      </c>
      <c r="W256" s="224" t="s">
        <v>234</v>
      </c>
      <c r="X256" s="23">
        <v>44949</v>
      </c>
      <c r="Y256" s="20" t="s">
        <v>197</v>
      </c>
      <c r="Z256" s="20"/>
      <c r="AA256" s="20"/>
      <c r="AC256" s="8" t="s">
        <v>248</v>
      </c>
      <c r="AD256" s="8">
        <v>0</v>
      </c>
      <c r="AE256" s="8">
        <v>54600</v>
      </c>
    </row>
    <row r="257" spans="1:31" s="168" customFormat="1" x14ac:dyDescent="0.25">
      <c r="A257" s="167"/>
      <c r="B257" s="92" t="s">
        <v>192</v>
      </c>
      <c r="C257" s="90" t="str">
        <f>VLOOKUP($F257,Admin!$A$16:$E$19,2,FALSE)</f>
        <v>Alkalmazott (ipari) kutatás – Működési költség</v>
      </c>
      <c r="D257" s="161" t="s">
        <v>129</v>
      </c>
      <c r="E257" s="90" t="str">
        <f>VLOOKUP($F257,Admin!$A$16:$E$19,4,FALSE)</f>
        <v>54. Bérköltség - technikus segédszemélyzet</v>
      </c>
      <c r="F257" s="90" t="s">
        <v>173</v>
      </c>
      <c r="G257" s="161" t="s">
        <v>174</v>
      </c>
      <c r="H257" s="161" t="s">
        <v>250</v>
      </c>
      <c r="I257" s="90" t="str">
        <f>VLOOKUP($F257,Admin!$A$16:$E$19,5,FALSE)</f>
        <v>Technikus</v>
      </c>
      <c r="J257" s="161" t="s">
        <v>66</v>
      </c>
      <c r="K257" s="161" t="str">
        <f t="shared" si="669"/>
        <v>2023.03</v>
      </c>
      <c r="L257" s="91" t="s">
        <v>8</v>
      </c>
      <c r="M257" s="92" t="s">
        <v>78</v>
      </c>
      <c r="N257" s="162">
        <v>721000</v>
      </c>
      <c r="O257" s="163">
        <f t="shared" si="680"/>
        <v>93730</v>
      </c>
      <c r="P257" s="20">
        <v>174</v>
      </c>
      <c r="Q257" s="20">
        <v>87</v>
      </c>
      <c r="R257" s="230">
        <f t="shared" si="681"/>
        <v>0.5</v>
      </c>
      <c r="S257" s="164">
        <f t="shared" si="682"/>
        <v>360500</v>
      </c>
      <c r="T257" s="165">
        <f t="shared" si="683"/>
        <v>46865</v>
      </c>
      <c r="U257" s="166">
        <f t="shared" si="684"/>
        <v>0</v>
      </c>
      <c r="V257" s="87">
        <v>0.13</v>
      </c>
      <c r="W257" s="224" t="s">
        <v>234</v>
      </c>
      <c r="X257" s="23">
        <v>44949</v>
      </c>
      <c r="Y257" s="20" t="s">
        <v>197</v>
      </c>
      <c r="Z257" s="20"/>
      <c r="AA257" s="20"/>
      <c r="AC257" s="8" t="s">
        <v>248</v>
      </c>
      <c r="AD257" s="8">
        <v>0</v>
      </c>
      <c r="AE257" s="8">
        <v>54600</v>
      </c>
    </row>
    <row r="258" spans="1:31" s="168" customFormat="1" x14ac:dyDescent="0.25">
      <c r="A258" s="167"/>
      <c r="B258" s="92" t="s">
        <v>192</v>
      </c>
      <c r="C258" s="90" t="str">
        <f>VLOOKUP($F258,Admin!$A$16:$E$19,2,FALSE)</f>
        <v>Alkalmazott (ipari) kutatás – Működési költség</v>
      </c>
      <c r="D258" s="161" t="s">
        <v>129</v>
      </c>
      <c r="E258" s="90" t="str">
        <f>VLOOKUP($F258,Admin!$A$16:$E$19,4,FALSE)</f>
        <v>54. Bérköltség - technikus segédszemélyzet</v>
      </c>
      <c r="F258" s="90" t="s">
        <v>173</v>
      </c>
      <c r="G258" s="161" t="s">
        <v>174</v>
      </c>
      <c r="H258" s="161" t="s">
        <v>250</v>
      </c>
      <c r="I258" s="90" t="str">
        <f>VLOOKUP($F258,Admin!$A$16:$E$19,5,FALSE)</f>
        <v>Technikus</v>
      </c>
      <c r="J258" s="161" t="s">
        <v>67</v>
      </c>
      <c r="K258" s="161" t="str">
        <f t="shared" si="669"/>
        <v>2023.04</v>
      </c>
      <c r="L258" s="91" t="s">
        <v>8</v>
      </c>
      <c r="M258" s="92" t="s">
        <v>78</v>
      </c>
      <c r="N258" s="162">
        <v>721000</v>
      </c>
      <c r="O258" s="163">
        <f t="shared" si="680"/>
        <v>93730</v>
      </c>
      <c r="P258" s="20">
        <v>174</v>
      </c>
      <c r="Q258" s="20">
        <v>87</v>
      </c>
      <c r="R258" s="230">
        <f t="shared" si="681"/>
        <v>0.5</v>
      </c>
      <c r="S258" s="164">
        <f t="shared" si="682"/>
        <v>360500</v>
      </c>
      <c r="T258" s="165">
        <f t="shared" si="683"/>
        <v>46865</v>
      </c>
      <c r="U258" s="166">
        <f t="shared" si="684"/>
        <v>0</v>
      </c>
      <c r="V258" s="87">
        <v>0.13</v>
      </c>
      <c r="W258" s="224" t="s">
        <v>234</v>
      </c>
      <c r="X258" s="23">
        <v>44949</v>
      </c>
      <c r="Y258" s="20" t="s">
        <v>197</v>
      </c>
      <c r="Z258" s="20"/>
      <c r="AA258" s="20"/>
      <c r="AC258" s="8" t="s">
        <v>248</v>
      </c>
      <c r="AD258" s="8">
        <v>0</v>
      </c>
      <c r="AE258" s="235">
        <v>54600</v>
      </c>
    </row>
    <row r="259" spans="1:31" s="168" customFormat="1" x14ac:dyDescent="0.25">
      <c r="A259" s="167"/>
      <c r="B259" s="92" t="s">
        <v>192</v>
      </c>
      <c r="C259" s="90" t="str">
        <f>VLOOKUP($F259,Admin!$A$16:$E$19,2,FALSE)</f>
        <v>Alkalmazott (ipari) kutatás – Működési költség</v>
      </c>
      <c r="D259" s="161" t="s">
        <v>129</v>
      </c>
      <c r="E259" s="90" t="str">
        <f>VLOOKUP($F259,Admin!$A$16:$E$19,4,FALSE)</f>
        <v>54. Bérköltség - technikus segédszemélyzet</v>
      </c>
      <c r="F259" s="90" t="s">
        <v>173</v>
      </c>
      <c r="G259" s="161" t="s">
        <v>174</v>
      </c>
      <c r="H259" s="161" t="s">
        <v>250</v>
      </c>
      <c r="I259" s="90" t="str">
        <f>VLOOKUP($F259,Admin!$A$16:$E$19,5,FALSE)</f>
        <v>Technikus</v>
      </c>
      <c r="J259" s="161" t="s">
        <v>68</v>
      </c>
      <c r="K259" s="161" t="str">
        <f t="shared" si="669"/>
        <v>2023.05</v>
      </c>
      <c r="L259" s="91" t="s">
        <v>9</v>
      </c>
      <c r="M259" s="92" t="s">
        <v>78</v>
      </c>
      <c r="N259" s="162">
        <v>721000</v>
      </c>
      <c r="O259" s="163">
        <f t="shared" si="680"/>
        <v>93730</v>
      </c>
      <c r="P259" s="20">
        <v>174</v>
      </c>
      <c r="Q259" s="20">
        <v>87</v>
      </c>
      <c r="R259" s="230">
        <f t="shared" si="681"/>
        <v>0.5</v>
      </c>
      <c r="S259" s="164">
        <f t="shared" si="682"/>
        <v>360500</v>
      </c>
      <c r="T259" s="165">
        <f t="shared" si="683"/>
        <v>46865</v>
      </c>
      <c r="U259" s="166">
        <f t="shared" si="684"/>
        <v>0</v>
      </c>
      <c r="V259" s="87">
        <v>0.13</v>
      </c>
      <c r="W259" s="224" t="s">
        <v>234</v>
      </c>
      <c r="X259" s="23">
        <v>44949</v>
      </c>
      <c r="Y259" s="20" t="s">
        <v>197</v>
      </c>
      <c r="Z259" s="20"/>
      <c r="AA259" s="20"/>
    </row>
    <row r="260" spans="1:31" s="168" customFormat="1" x14ac:dyDescent="0.25">
      <c r="A260" s="167"/>
      <c r="B260" s="92" t="s">
        <v>192</v>
      </c>
      <c r="C260" s="90" t="str">
        <f>VLOOKUP($F260,Admin!$A$16:$E$19,2,FALSE)</f>
        <v>Alkalmazott (ipari) kutatás – Működési költség</v>
      </c>
      <c r="D260" s="161" t="s">
        <v>129</v>
      </c>
      <c r="E260" s="90" t="str">
        <f>VLOOKUP($F260,Admin!$A$16:$E$19,4,FALSE)</f>
        <v>54. Bérköltség - technikus segédszemélyzet</v>
      </c>
      <c r="F260" s="90" t="s">
        <v>173</v>
      </c>
      <c r="G260" s="161" t="s">
        <v>174</v>
      </c>
      <c r="H260" s="161" t="s">
        <v>250</v>
      </c>
      <c r="I260" s="90" t="str">
        <f>VLOOKUP($F260,Admin!$A$16:$E$19,5,FALSE)</f>
        <v>Technikus</v>
      </c>
      <c r="J260" s="161" t="s">
        <v>69</v>
      </c>
      <c r="K260" s="161" t="str">
        <f t="shared" si="669"/>
        <v>2023.06</v>
      </c>
      <c r="L260" s="91" t="s">
        <v>9</v>
      </c>
      <c r="M260" s="92" t="s">
        <v>78</v>
      </c>
      <c r="N260" s="162">
        <v>721000</v>
      </c>
      <c r="O260" s="163">
        <f t="shared" si="680"/>
        <v>93730</v>
      </c>
      <c r="P260" s="20">
        <v>174</v>
      </c>
      <c r="Q260" s="20">
        <v>87</v>
      </c>
      <c r="R260" s="230">
        <f t="shared" si="681"/>
        <v>0.5</v>
      </c>
      <c r="S260" s="164">
        <f t="shared" si="682"/>
        <v>360500</v>
      </c>
      <c r="T260" s="165">
        <f t="shared" si="683"/>
        <v>46865</v>
      </c>
      <c r="U260" s="166">
        <f t="shared" si="684"/>
        <v>0</v>
      </c>
      <c r="V260" s="87">
        <v>0.13</v>
      </c>
      <c r="W260" s="224" t="s">
        <v>234</v>
      </c>
      <c r="X260" s="23">
        <v>44949</v>
      </c>
      <c r="Y260" s="20" t="s">
        <v>197</v>
      </c>
      <c r="Z260" s="20"/>
      <c r="AA260" s="20"/>
    </row>
    <row r="261" spans="1:31" s="168" customFormat="1" x14ac:dyDescent="0.25">
      <c r="A261" s="167"/>
      <c r="B261" s="92" t="s">
        <v>192</v>
      </c>
      <c r="C261" s="90" t="str">
        <f>VLOOKUP($F261,Admin!$A$16:$E$19,2,FALSE)</f>
        <v>Alkalmazott (ipari) kutatás – Működési költség</v>
      </c>
      <c r="D261" s="161" t="s">
        <v>129</v>
      </c>
      <c r="E261" s="90" t="str">
        <f>VLOOKUP($F261,Admin!$A$16:$E$19,4,FALSE)</f>
        <v>54. Bérköltség - technikus segédszemélyzet</v>
      </c>
      <c r="F261" s="90" t="s">
        <v>173</v>
      </c>
      <c r="G261" s="161" t="s">
        <v>174</v>
      </c>
      <c r="H261" s="161" t="s">
        <v>250</v>
      </c>
      <c r="I261" s="90" t="str">
        <f>VLOOKUP($F261,Admin!$A$16:$E$19,5,FALSE)</f>
        <v>Technikus</v>
      </c>
      <c r="J261" s="161" t="s">
        <v>70</v>
      </c>
      <c r="K261" s="161" t="str">
        <f t="shared" si="669"/>
        <v>2023.07</v>
      </c>
      <c r="L261" s="91" t="s">
        <v>9</v>
      </c>
      <c r="M261" s="92" t="s">
        <v>78</v>
      </c>
      <c r="N261" s="162">
        <v>721000</v>
      </c>
      <c r="O261" s="163">
        <f t="shared" si="680"/>
        <v>93730</v>
      </c>
      <c r="P261" s="20">
        <v>174</v>
      </c>
      <c r="Q261" s="20">
        <v>87</v>
      </c>
      <c r="R261" s="230">
        <f t="shared" si="681"/>
        <v>0.5</v>
      </c>
      <c r="S261" s="164">
        <f t="shared" si="682"/>
        <v>360500</v>
      </c>
      <c r="T261" s="165">
        <f t="shared" si="683"/>
        <v>46865</v>
      </c>
      <c r="U261" s="166">
        <f t="shared" si="684"/>
        <v>0</v>
      </c>
      <c r="V261" s="87">
        <v>0.13</v>
      </c>
      <c r="W261" s="224" t="s">
        <v>234</v>
      </c>
      <c r="X261" s="23">
        <v>44949</v>
      </c>
      <c r="Y261" s="20" t="s">
        <v>197</v>
      </c>
      <c r="Z261" s="20"/>
      <c r="AA261" s="20"/>
    </row>
    <row r="262" spans="1:31" s="168" customFormat="1" x14ac:dyDescent="0.25">
      <c r="A262" s="167"/>
      <c r="B262" s="92" t="s">
        <v>259</v>
      </c>
      <c r="C262" s="90" t="str">
        <f>VLOOKUP($F262,Admin!$A$16:$E$19,2,FALSE)</f>
        <v>Alkalmazott (ipari) kutatás – Működési költség</v>
      </c>
      <c r="D262" s="161" t="s">
        <v>129</v>
      </c>
      <c r="E262" s="90" t="str">
        <f>VLOOKUP($F262,Admin!$A$16:$E$19,4,FALSE)</f>
        <v>54. Bérköltség - Kutató-fejlesztő munkatárs</v>
      </c>
      <c r="F262" s="90" t="s">
        <v>171</v>
      </c>
      <c r="G262" s="161" t="s">
        <v>174</v>
      </c>
      <c r="H262" s="161" t="s">
        <v>193</v>
      </c>
      <c r="I262" s="90" t="str">
        <f>VLOOKUP($F262,Admin!$A$16:$E$19,5,FALSE)</f>
        <v>K+F munkatárs</v>
      </c>
      <c r="J262" s="161" t="s">
        <v>69</v>
      </c>
      <c r="K262" s="161" t="str">
        <f t="shared" si="669"/>
        <v>2023.06</v>
      </c>
      <c r="L262" s="91" t="s">
        <v>9</v>
      </c>
      <c r="M262" s="92" t="s">
        <v>78</v>
      </c>
      <c r="N262" s="162">
        <v>540000</v>
      </c>
      <c r="O262" s="163">
        <f t="shared" ref="O262" si="685">ROUND(N262*V262,0)</f>
        <v>70200</v>
      </c>
      <c r="P262" s="20">
        <v>174</v>
      </c>
      <c r="Q262" s="20">
        <v>90</v>
      </c>
      <c r="R262" s="230">
        <f t="shared" ref="R262" si="686">Q262/P262</f>
        <v>0.51724137931034486</v>
      </c>
      <c r="S262" s="164">
        <f t="shared" ref="S262" si="687">ROUND(N262*Q262/P262,0)</f>
        <v>279310</v>
      </c>
      <c r="T262" s="165">
        <f t="shared" ref="T262" si="688">ROUND(S262*V262,0)</f>
        <v>36310</v>
      </c>
      <c r="U262" s="166">
        <f t="shared" ref="U262" si="689">Q262/P262-S262/N262</f>
        <v>6.3856960408337216E-7</v>
      </c>
      <c r="V262" s="87">
        <v>0.13</v>
      </c>
      <c r="W262" s="224" t="s">
        <v>260</v>
      </c>
      <c r="X262" s="23">
        <v>45062</v>
      </c>
      <c r="Y262" s="20" t="s">
        <v>197</v>
      </c>
      <c r="Z262" s="20"/>
      <c r="AA262" s="20"/>
    </row>
    <row r="263" spans="1:31" s="168" customFormat="1" x14ac:dyDescent="0.25">
      <c r="A263" s="167"/>
      <c r="B263" s="92" t="s">
        <v>259</v>
      </c>
      <c r="C263" s="90" t="str">
        <f>VLOOKUP($F263,Admin!$A$16:$E$19,2,FALSE)</f>
        <v>Alkalmazott (ipari) kutatás – Működési költség</v>
      </c>
      <c r="D263" s="161" t="s">
        <v>129</v>
      </c>
      <c r="E263" s="90" t="str">
        <f>VLOOKUP($F263,Admin!$A$16:$E$19,4,FALSE)</f>
        <v>54. Bérköltség - Kutató-fejlesztő munkatárs</v>
      </c>
      <c r="F263" s="90" t="s">
        <v>171</v>
      </c>
      <c r="G263" s="161" t="s">
        <v>174</v>
      </c>
      <c r="H263" s="161" t="s">
        <v>193</v>
      </c>
      <c r="I263" s="90" t="str">
        <f>VLOOKUP($F263,Admin!$A$16:$E$19,5,FALSE)</f>
        <v>K+F munkatárs</v>
      </c>
      <c r="J263" s="161" t="s">
        <v>70</v>
      </c>
      <c r="K263" s="161" t="str">
        <f t="shared" si="669"/>
        <v>2023.07</v>
      </c>
      <c r="L263" s="91" t="s">
        <v>9</v>
      </c>
      <c r="M263" s="92" t="s">
        <v>78</v>
      </c>
      <c r="N263" s="162">
        <v>540000</v>
      </c>
      <c r="O263" s="163">
        <f t="shared" ref="O263:O266" si="690">ROUND(N263*V263,0)</f>
        <v>70200</v>
      </c>
      <c r="P263" s="20">
        <v>174</v>
      </c>
      <c r="Q263" s="20">
        <v>90</v>
      </c>
      <c r="R263" s="230">
        <f t="shared" ref="R263:R266" si="691">Q263/P263</f>
        <v>0.51724137931034486</v>
      </c>
      <c r="S263" s="164">
        <f t="shared" ref="S263:S266" si="692">ROUND(N263*Q263/P263,0)</f>
        <v>279310</v>
      </c>
      <c r="T263" s="165">
        <f t="shared" ref="T263:T266" si="693">ROUND(S263*V263,0)</f>
        <v>36310</v>
      </c>
      <c r="U263" s="166">
        <f t="shared" ref="U263:U266" si="694">Q263/P263-S263/N263</f>
        <v>6.3856960408337216E-7</v>
      </c>
      <c r="V263" s="87">
        <v>0.13</v>
      </c>
      <c r="W263" s="224" t="s">
        <v>260</v>
      </c>
      <c r="X263" s="23">
        <v>45062</v>
      </c>
      <c r="Y263" s="20" t="s">
        <v>197</v>
      </c>
      <c r="Z263" s="20"/>
      <c r="AA263" s="20"/>
    </row>
    <row r="264" spans="1:31" s="168" customFormat="1" x14ac:dyDescent="0.25">
      <c r="A264" s="167"/>
      <c r="B264" s="92" t="s">
        <v>259</v>
      </c>
      <c r="C264" s="90" t="str">
        <f>VLOOKUP($F264,Admin!$A$16:$E$19,2,FALSE)</f>
        <v>Alkalmazott (ipari) kutatás – Működési költség</v>
      </c>
      <c r="D264" s="161" t="s">
        <v>129</v>
      </c>
      <c r="E264" s="90" t="str">
        <f>VLOOKUP($F264,Admin!$A$16:$E$19,4,FALSE)</f>
        <v>54. Bérköltség - Kutató-fejlesztő munkatárs</v>
      </c>
      <c r="F264" s="90" t="s">
        <v>171</v>
      </c>
      <c r="G264" s="161" t="s">
        <v>174</v>
      </c>
      <c r="H264" s="161" t="s">
        <v>193</v>
      </c>
      <c r="I264" s="90" t="str">
        <f>VLOOKUP($F264,Admin!$A$16:$E$19,5,FALSE)</f>
        <v>K+F munkatárs</v>
      </c>
      <c r="J264" s="161" t="s">
        <v>71</v>
      </c>
      <c r="K264" s="161" t="str">
        <f t="shared" si="669"/>
        <v>2023.08</v>
      </c>
      <c r="L264" s="91" t="s">
        <v>9</v>
      </c>
      <c r="M264" s="92" t="s">
        <v>78</v>
      </c>
      <c r="N264" s="162">
        <v>540000</v>
      </c>
      <c r="O264" s="163">
        <f t="shared" si="690"/>
        <v>70200</v>
      </c>
      <c r="P264" s="20">
        <v>174</v>
      </c>
      <c r="Q264" s="20">
        <v>90</v>
      </c>
      <c r="R264" s="230">
        <f t="shared" si="691"/>
        <v>0.51724137931034486</v>
      </c>
      <c r="S264" s="164">
        <f t="shared" si="692"/>
        <v>279310</v>
      </c>
      <c r="T264" s="165">
        <f t="shared" si="693"/>
        <v>36310</v>
      </c>
      <c r="U264" s="166">
        <f t="shared" si="694"/>
        <v>6.3856960408337216E-7</v>
      </c>
      <c r="V264" s="87">
        <v>0.13</v>
      </c>
      <c r="W264" s="224" t="s">
        <v>260</v>
      </c>
      <c r="X264" s="23">
        <v>45062</v>
      </c>
      <c r="Y264" s="20" t="s">
        <v>197</v>
      </c>
      <c r="Z264" s="20"/>
      <c r="AA264" s="20"/>
    </row>
    <row r="265" spans="1:31" s="168" customFormat="1" x14ac:dyDescent="0.25">
      <c r="A265" s="167"/>
      <c r="B265" s="92" t="s">
        <v>259</v>
      </c>
      <c r="C265" s="90" t="str">
        <f>VLOOKUP($F265,Admin!$A$16:$E$19,2,FALSE)</f>
        <v>Alkalmazott (ipari) kutatás – Működési költség</v>
      </c>
      <c r="D265" s="161" t="s">
        <v>129</v>
      </c>
      <c r="E265" s="90" t="str">
        <f>VLOOKUP($F265,Admin!$A$16:$E$19,4,FALSE)</f>
        <v>54. Bérköltség - Kutató-fejlesztő munkatárs</v>
      </c>
      <c r="F265" s="90" t="s">
        <v>171</v>
      </c>
      <c r="G265" s="161" t="s">
        <v>174</v>
      </c>
      <c r="H265" s="161" t="s">
        <v>193</v>
      </c>
      <c r="I265" s="90" t="str">
        <f>VLOOKUP($F265,Admin!$A$16:$E$19,5,FALSE)</f>
        <v>K+F munkatárs</v>
      </c>
      <c r="J265" s="161" t="s">
        <v>72</v>
      </c>
      <c r="K265" s="161" t="str">
        <f t="shared" si="669"/>
        <v>2023.09</v>
      </c>
      <c r="L265" s="91" t="s">
        <v>9</v>
      </c>
      <c r="M265" s="92" t="s">
        <v>78</v>
      </c>
      <c r="N265" s="162">
        <v>540000</v>
      </c>
      <c r="O265" s="163">
        <f t="shared" si="690"/>
        <v>70200</v>
      </c>
      <c r="P265" s="20">
        <v>174</v>
      </c>
      <c r="Q265" s="20">
        <v>90</v>
      </c>
      <c r="R265" s="230">
        <f t="shared" si="691"/>
        <v>0.51724137931034486</v>
      </c>
      <c r="S265" s="164">
        <f t="shared" si="692"/>
        <v>279310</v>
      </c>
      <c r="T265" s="165">
        <f t="shared" si="693"/>
        <v>36310</v>
      </c>
      <c r="U265" s="166">
        <f t="shared" si="694"/>
        <v>6.3856960408337216E-7</v>
      </c>
      <c r="V265" s="87">
        <v>0.13</v>
      </c>
      <c r="W265" s="224" t="s">
        <v>260</v>
      </c>
      <c r="X265" s="23">
        <v>45062</v>
      </c>
      <c r="Y265" s="20" t="s">
        <v>197</v>
      </c>
      <c r="Z265" s="20"/>
      <c r="AA265" s="20"/>
    </row>
    <row r="266" spans="1:31" s="168" customFormat="1" x14ac:dyDescent="0.25">
      <c r="A266" s="167"/>
      <c r="B266" s="92" t="s">
        <v>259</v>
      </c>
      <c r="C266" s="90" t="str">
        <f>VLOOKUP($F266,Admin!$A$16:$E$19,2,FALSE)</f>
        <v>Alkalmazott (ipari) kutatás – Működési költség</v>
      </c>
      <c r="D266" s="161" t="s">
        <v>129</v>
      </c>
      <c r="E266" s="90" t="str">
        <f>VLOOKUP($F266,Admin!$A$16:$E$19,4,FALSE)</f>
        <v>54. Bérköltség - Kutató-fejlesztő munkatárs</v>
      </c>
      <c r="F266" s="90" t="s">
        <v>171</v>
      </c>
      <c r="G266" s="161" t="s">
        <v>174</v>
      </c>
      <c r="H266" s="161" t="s">
        <v>193</v>
      </c>
      <c r="I266" s="90" t="str">
        <f>VLOOKUP($F266,Admin!$A$16:$E$19,5,FALSE)</f>
        <v>K+F munkatárs</v>
      </c>
      <c r="J266" s="161" t="s">
        <v>73</v>
      </c>
      <c r="K266" s="161" t="str">
        <f t="shared" si="669"/>
        <v>2023.10</v>
      </c>
      <c r="L266" s="91" t="s">
        <v>9</v>
      </c>
      <c r="M266" s="92" t="s">
        <v>78</v>
      </c>
      <c r="N266" s="162">
        <v>540000</v>
      </c>
      <c r="O266" s="163">
        <f t="shared" si="690"/>
        <v>70200</v>
      </c>
      <c r="P266" s="20">
        <v>174</v>
      </c>
      <c r="Q266" s="20">
        <v>90</v>
      </c>
      <c r="R266" s="230">
        <f t="shared" si="691"/>
        <v>0.51724137931034486</v>
      </c>
      <c r="S266" s="164">
        <f t="shared" si="692"/>
        <v>279310</v>
      </c>
      <c r="T266" s="165">
        <f t="shared" si="693"/>
        <v>36310</v>
      </c>
      <c r="U266" s="166">
        <f t="shared" si="694"/>
        <v>6.3856960408337216E-7</v>
      </c>
      <c r="V266" s="87">
        <v>0.13</v>
      </c>
      <c r="W266" s="224" t="s">
        <v>260</v>
      </c>
      <c r="X266" s="23">
        <v>45062</v>
      </c>
      <c r="Y266" s="20" t="s">
        <v>197</v>
      </c>
      <c r="Z266" s="20"/>
      <c r="AA266" s="20"/>
    </row>
    <row r="267" spans="1:31" s="168" customFormat="1" x14ac:dyDescent="0.25">
      <c r="A267" s="167"/>
      <c r="B267" s="92"/>
      <c r="C267" s="90"/>
      <c r="D267" s="161"/>
      <c r="E267" s="90"/>
      <c r="F267" s="90"/>
      <c r="G267" s="161"/>
      <c r="H267" s="161"/>
      <c r="I267" s="91"/>
      <c r="J267" s="161"/>
      <c r="K267" s="161"/>
      <c r="L267" s="91"/>
      <c r="M267" s="92"/>
      <c r="N267" s="162"/>
      <c r="O267" s="163"/>
      <c r="P267" s="20"/>
      <c r="Q267" s="20"/>
      <c r="R267" s="230"/>
      <c r="S267" s="164"/>
      <c r="T267" s="165"/>
      <c r="U267" s="166"/>
      <c r="V267" s="87"/>
      <c r="W267" s="224"/>
      <c r="X267" s="23"/>
      <c r="Y267" s="20"/>
      <c r="Z267" s="20"/>
      <c r="AA267" s="20"/>
    </row>
    <row r="268" spans="1:31" s="168" customFormat="1" x14ac:dyDescent="0.25">
      <c r="A268" s="167"/>
      <c r="B268" s="92"/>
      <c r="C268" s="90"/>
      <c r="D268" s="161"/>
      <c r="E268" s="90"/>
      <c r="F268" s="90"/>
      <c r="G268" s="161"/>
      <c r="H268" s="161"/>
      <c r="I268" s="91"/>
      <c r="J268" s="161"/>
      <c r="K268" s="161"/>
      <c r="L268" s="91"/>
      <c r="M268" s="92"/>
      <c r="N268" s="162"/>
      <c r="O268" s="163"/>
      <c r="P268" s="20"/>
      <c r="Q268" s="20"/>
      <c r="R268" s="230"/>
      <c r="S268" s="164"/>
      <c r="T268" s="165"/>
      <c r="U268" s="166"/>
      <c r="V268" s="87"/>
      <c r="W268" s="224"/>
      <c r="X268" s="23"/>
      <c r="Y268" s="20"/>
      <c r="Z268" s="20"/>
      <c r="AA268" s="20"/>
    </row>
    <row r="269" spans="1:31" s="168" customFormat="1" x14ac:dyDescent="0.25">
      <c r="A269" s="167"/>
      <c r="B269" s="92"/>
      <c r="C269" s="90"/>
      <c r="D269" s="161"/>
      <c r="E269" s="90"/>
      <c r="F269" s="90"/>
      <c r="G269" s="161"/>
      <c r="H269" s="161"/>
      <c r="I269" s="91"/>
      <c r="J269" s="161"/>
      <c r="K269" s="161"/>
      <c r="L269" s="91"/>
      <c r="M269" s="92"/>
      <c r="N269" s="162"/>
      <c r="O269" s="163"/>
      <c r="P269" s="20"/>
      <c r="Q269" s="20"/>
      <c r="R269" s="230"/>
      <c r="S269" s="164"/>
      <c r="T269" s="165"/>
      <c r="U269" s="166"/>
      <c r="V269" s="87"/>
      <c r="W269" s="224"/>
      <c r="X269" s="23"/>
      <c r="Y269" s="20"/>
      <c r="Z269" s="20"/>
      <c r="AA269" s="20"/>
    </row>
    <row r="270" spans="1:31" s="168" customFormat="1" x14ac:dyDescent="0.25">
      <c r="A270" s="167"/>
      <c r="B270" s="92"/>
      <c r="C270" s="90"/>
      <c r="D270" s="161"/>
      <c r="E270" s="90"/>
      <c r="F270" s="90"/>
      <c r="G270" s="161"/>
      <c r="H270" s="161"/>
      <c r="I270" s="91"/>
      <c r="J270" s="161"/>
      <c r="K270" s="161"/>
      <c r="L270" s="91"/>
      <c r="M270" s="92"/>
      <c r="N270" s="162"/>
      <c r="O270" s="163"/>
      <c r="P270" s="20"/>
      <c r="Q270" s="20"/>
      <c r="R270" s="230"/>
      <c r="S270" s="164"/>
      <c r="T270" s="165"/>
      <c r="U270" s="166"/>
      <c r="V270" s="69"/>
      <c r="W270" s="224"/>
      <c r="X270" s="23"/>
      <c r="Y270" s="20"/>
      <c r="Z270" s="20"/>
      <c r="AA270" s="20"/>
    </row>
    <row r="271" spans="1:31" x14ac:dyDescent="0.25">
      <c r="A271" s="169"/>
      <c r="B271" s="92"/>
      <c r="C271" s="90"/>
      <c r="D271" s="161"/>
      <c r="E271" s="90"/>
      <c r="F271" s="90"/>
      <c r="G271" s="161"/>
      <c r="H271" s="161"/>
      <c r="I271" s="93"/>
      <c r="J271" s="161"/>
      <c r="K271" s="161"/>
      <c r="L271" s="91"/>
      <c r="M271" s="92"/>
      <c r="N271" s="163"/>
      <c r="O271" s="163"/>
      <c r="P271" s="20"/>
      <c r="Q271" s="20"/>
      <c r="R271" s="230"/>
      <c r="S271" s="164"/>
      <c r="T271" s="165"/>
      <c r="U271" s="166"/>
      <c r="V271" s="170"/>
      <c r="W271" s="225"/>
      <c r="X271" s="20"/>
      <c r="Y271" s="20"/>
      <c r="Z271" s="20"/>
      <c r="AA271" s="20"/>
    </row>
    <row r="272" spans="1:31" x14ac:dyDescent="0.25">
      <c r="A272" s="171"/>
      <c r="B272" s="112" t="s">
        <v>29</v>
      </c>
      <c r="C272" s="113"/>
      <c r="D272" s="172"/>
      <c r="E272" s="113"/>
      <c r="F272" s="113"/>
      <c r="G272" s="172"/>
      <c r="H272" s="172"/>
      <c r="I272" s="114"/>
      <c r="J272" s="172"/>
      <c r="K272" s="172"/>
      <c r="L272" s="115"/>
      <c r="M272" s="112"/>
      <c r="N272" s="173"/>
      <c r="O272" s="173"/>
      <c r="P272" s="116"/>
      <c r="Q272" s="116"/>
      <c r="R272" s="231"/>
      <c r="S272" s="174"/>
      <c r="T272" s="175"/>
      <c r="U272" s="176"/>
      <c r="V272" s="177"/>
      <c r="W272" s="226"/>
      <c r="X272" s="116"/>
      <c r="Y272" s="116"/>
      <c r="Z272" s="116"/>
      <c r="AA272" s="116"/>
    </row>
    <row r="273" spans="1:27" x14ac:dyDescent="0.25">
      <c r="A273" s="169"/>
      <c r="B273" s="92"/>
      <c r="C273" s="90"/>
      <c r="D273" s="161"/>
      <c r="E273" s="90"/>
      <c r="F273" s="90"/>
      <c r="G273" s="161"/>
      <c r="H273" s="161"/>
      <c r="I273" s="93"/>
      <c r="J273" s="161"/>
      <c r="K273" s="161"/>
      <c r="L273" s="91"/>
      <c r="M273" s="92"/>
      <c r="N273" s="163"/>
      <c r="O273" s="163"/>
      <c r="P273" s="20"/>
      <c r="Q273" s="20"/>
      <c r="R273" s="230"/>
      <c r="S273" s="164"/>
      <c r="T273" s="165"/>
      <c r="U273" s="178"/>
      <c r="V273" s="170"/>
      <c r="W273" s="225"/>
      <c r="X273" s="20"/>
      <c r="Y273" s="20"/>
      <c r="Z273" s="20"/>
      <c r="AA273" s="20"/>
    </row>
    <row r="274" spans="1:27" x14ac:dyDescent="0.25">
      <c r="A274" s="169"/>
      <c r="B274" s="92"/>
      <c r="C274" s="90"/>
      <c r="D274" s="161"/>
      <c r="E274" s="90"/>
      <c r="F274" s="90"/>
      <c r="G274" s="161"/>
      <c r="H274" s="161"/>
      <c r="I274" s="93"/>
      <c r="J274" s="161"/>
      <c r="K274" s="161"/>
      <c r="L274" s="91"/>
      <c r="M274" s="92"/>
      <c r="N274" s="162"/>
      <c r="O274" s="163"/>
      <c r="P274" s="20"/>
      <c r="Q274" s="20"/>
      <c r="R274" s="230"/>
      <c r="S274" s="164"/>
      <c r="T274" s="165"/>
      <c r="U274" s="178"/>
      <c r="V274" s="69"/>
      <c r="W274" s="224"/>
      <c r="X274" s="23"/>
      <c r="Y274" s="20"/>
      <c r="Z274" s="20"/>
      <c r="AA274" s="20"/>
    </row>
    <row r="275" spans="1:27" x14ac:dyDescent="0.25">
      <c r="A275" s="169"/>
      <c r="B275" s="92"/>
      <c r="C275" s="90"/>
      <c r="D275" s="161"/>
      <c r="E275" s="90"/>
      <c r="F275" s="90"/>
      <c r="G275" s="161"/>
      <c r="H275" s="161"/>
      <c r="I275" s="93"/>
      <c r="J275" s="161"/>
      <c r="K275" s="161"/>
      <c r="L275" s="91"/>
      <c r="M275" s="92"/>
      <c r="N275" s="162"/>
      <c r="O275" s="163"/>
      <c r="P275" s="20"/>
      <c r="Q275" s="20"/>
      <c r="R275" s="230"/>
      <c r="S275" s="164"/>
      <c r="T275" s="165"/>
      <c r="U275" s="178"/>
      <c r="V275" s="170"/>
      <c r="W275" s="225"/>
      <c r="X275" s="20"/>
      <c r="Y275" s="20"/>
      <c r="Z275" s="20"/>
      <c r="AA275" s="20"/>
    </row>
    <row r="276" spans="1:27" s="168" customFormat="1" x14ac:dyDescent="0.25">
      <c r="A276" s="167"/>
      <c r="B276" s="92"/>
      <c r="C276" s="90"/>
      <c r="D276" s="161"/>
      <c r="E276" s="90"/>
      <c r="F276" s="90"/>
      <c r="G276" s="161"/>
      <c r="H276" s="161"/>
      <c r="I276" s="93"/>
      <c r="J276" s="161"/>
      <c r="K276" s="161"/>
      <c r="L276" s="91"/>
      <c r="M276" s="92"/>
      <c r="N276" s="163"/>
      <c r="O276" s="163"/>
      <c r="P276" s="20"/>
      <c r="Q276" s="20"/>
      <c r="R276" s="230"/>
      <c r="S276" s="164"/>
      <c r="T276" s="165"/>
      <c r="U276" s="178"/>
      <c r="V276" s="170"/>
      <c r="W276" s="225"/>
      <c r="X276" s="20"/>
      <c r="Y276" s="20"/>
      <c r="Z276" s="20"/>
      <c r="AA276" s="20"/>
    </row>
    <row r="277" spans="1:27" x14ac:dyDescent="0.25">
      <c r="A277" s="169"/>
      <c r="B277" s="94"/>
      <c r="C277" s="95"/>
      <c r="D277" s="179"/>
      <c r="E277" s="95"/>
      <c r="F277" s="95"/>
      <c r="G277" s="179"/>
      <c r="H277" s="179"/>
      <c r="I277" s="180"/>
      <c r="J277" s="161"/>
      <c r="K277" s="161"/>
      <c r="L277" s="94"/>
      <c r="M277" s="94"/>
      <c r="N277" s="181"/>
      <c r="O277" s="181"/>
      <c r="P277" s="182"/>
      <c r="Q277" s="182"/>
      <c r="R277" s="187"/>
      <c r="S277" s="183"/>
      <c r="T277" s="184"/>
      <c r="U277" s="185"/>
      <c r="V277" s="186"/>
      <c r="W277" s="227"/>
      <c r="X277" s="187"/>
      <c r="Y277" s="187"/>
      <c r="Z277" s="187"/>
      <c r="AA277" s="187"/>
    </row>
    <row r="278" spans="1:27" ht="15.75" thickBot="1" x14ac:dyDescent="0.3">
      <c r="A278" s="96"/>
      <c r="B278" s="97" t="s">
        <v>2</v>
      </c>
      <c r="C278" s="98"/>
      <c r="D278" s="99"/>
      <c r="E278" s="98"/>
      <c r="F278" s="98"/>
      <c r="G278" s="99"/>
      <c r="H278" s="99"/>
      <c r="I278" s="99"/>
      <c r="J278" s="100"/>
      <c r="K278" s="100"/>
      <c r="L278" s="101"/>
      <c r="M278" s="101"/>
      <c r="N278" s="102"/>
      <c r="O278" s="102"/>
      <c r="P278" s="103"/>
      <c r="Q278" s="104"/>
      <c r="R278" s="232"/>
      <c r="S278" s="105">
        <f>SUBTOTAL(109,S6:S277)</f>
        <v>65089894</v>
      </c>
      <c r="T278" s="105">
        <f>SUBTOTAL(109,T6:T277)</f>
        <v>8366091</v>
      </c>
      <c r="U278" s="78"/>
      <c r="V278" s="88"/>
      <c r="W278" s="228"/>
      <c r="X278" s="16"/>
      <c r="Y278" s="16"/>
      <c r="Z278" s="16"/>
      <c r="AA278" s="16"/>
    </row>
    <row r="280" spans="1:27" ht="14.45" customHeight="1" x14ac:dyDescent="0.25">
      <c r="Q280" s="6"/>
      <c r="S280"/>
      <c r="T280"/>
    </row>
    <row r="281" spans="1:27" ht="41.1" customHeight="1" x14ac:dyDescent="0.25"/>
    <row r="282" spans="1:27" ht="41.1" customHeight="1" x14ac:dyDescent="0.25"/>
    <row r="283" spans="1:27" ht="35.1" customHeight="1" x14ac:dyDescent="0.25"/>
    <row r="284" spans="1:27" ht="39.950000000000003" customHeight="1" x14ac:dyDescent="0.25"/>
    <row r="285" spans="1:27" ht="35.1" customHeight="1" x14ac:dyDescent="0.25"/>
    <row r="286" spans="1:27" ht="35.1" customHeight="1" x14ac:dyDescent="0.25"/>
    <row r="290" ht="36" customHeight="1" x14ac:dyDescent="0.25"/>
    <row r="291" ht="42.95" customHeight="1" x14ac:dyDescent="0.25"/>
    <row r="292" ht="42.95" customHeight="1" x14ac:dyDescent="0.25"/>
    <row r="293" ht="44.1" customHeight="1" x14ac:dyDescent="0.25"/>
    <row r="294" ht="44.1" customHeight="1" x14ac:dyDescent="0.25"/>
    <row r="295" ht="41.1" customHeight="1" x14ac:dyDescent="0.25"/>
    <row r="296" ht="41.1" customHeight="1" x14ac:dyDescent="0.25"/>
    <row r="297" ht="41.1" customHeight="1" x14ac:dyDescent="0.25"/>
    <row r="298" ht="44.45" customHeight="1" x14ac:dyDescent="0.25"/>
    <row r="299" ht="46.5" customHeight="1" x14ac:dyDescent="0.25"/>
    <row r="300" ht="46.5" customHeight="1" x14ac:dyDescent="0.25"/>
    <row r="301" ht="46.5" customHeight="1" x14ac:dyDescent="0.25"/>
    <row r="302" ht="32.450000000000003" customHeight="1" x14ac:dyDescent="0.25"/>
    <row r="303" ht="40.5" customHeight="1" x14ac:dyDescent="0.25"/>
    <row r="304" ht="40.5" customHeight="1" x14ac:dyDescent="0.25"/>
    <row r="305" ht="43.5" customHeight="1" x14ac:dyDescent="0.25"/>
    <row r="306" ht="43.5" customHeight="1" x14ac:dyDescent="0.25"/>
    <row r="307" ht="38.1" customHeight="1" x14ac:dyDescent="0.25"/>
  </sheetData>
  <autoFilter ref="A5:AS275" xr:uid="{00000000-0001-0000-0200-000000000000}"/>
  <sortState xmlns:xlrd2="http://schemas.microsoft.com/office/spreadsheetml/2017/richdata2" ref="B6:BE256">
    <sortCondition ref="B6:B256"/>
    <sortCondition ref="J6:J256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C8A8AAF1-627F-4333-95B7-1BF424585BBC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3">
    <mergeCell ref="B2:J2"/>
    <mergeCell ref="I3:I4"/>
    <mergeCell ref="R3:R4"/>
  </mergeCells>
  <dataValidations count="3">
    <dataValidation type="list" allowBlank="1" showInputMessage="1" showErrorMessage="1" sqref="B65477:H65477 B65468:H65475 M272:M277 X277:AA277 B65459:H65466" xr:uid="{00000000-0002-0000-0200-000000000000}">
      <formula1>#REF!</formula1>
    </dataValidation>
    <dataValidation type="list" allowBlank="1" showInputMessage="1" showErrorMessage="1" sqref="K267:K277" xr:uid="{00000000-0002-0000-0200-00000A000000}">
      <formula1>$K$281:$K$293</formula1>
    </dataValidation>
    <dataValidation type="list" allowBlank="1" showInputMessage="1" showErrorMessage="1" sqref="H244:H256 H258:H274" xr:uid="{00000000-0002-0000-0200-000005000000}">
      <formula1>#REF!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C7A6CD55-0245-4BE6-A1BA-75CBF052DE2E}">
          <x14:formula1>
            <xm:f>Admin!$C$16</xm:f>
          </x14:formula1>
          <xm:sqref>D267:D277</xm:sqref>
        </x14:dataValidation>
        <x14:dataValidation type="list" allowBlank="1" showInputMessage="1" showErrorMessage="1" xr:uid="{3F362251-C145-4379-8F77-E3CB395532C0}">
          <x14:formula1>
            <xm:f>Hónapok!$A$1:$A$37</xm:f>
          </x14:formula1>
          <xm:sqref>J6:J131 J133:J153 J155:J277</xm:sqref>
        </x14:dataValidation>
        <x14:dataValidation type="list" allowBlank="1" showInputMessage="1" showErrorMessage="1" xr:uid="{77686C19-E753-4E80-A6C6-AC64CFBBAA62}">
          <x14:formula1>
            <xm:f>Admin!$A$1</xm:f>
          </x14:formula1>
          <xm:sqref>G6:G277</xm:sqref>
        </x14:dataValidation>
        <x14:dataValidation type="list" allowBlank="1" showInputMessage="1" showErrorMessage="1" xr:uid="{00000000-0002-0000-0200-00000E000000}">
          <x14:formula1>
            <xm:f>Admin!$A$8:$A$10</xm:f>
          </x14:formula1>
          <xm:sqref>M6:M271</xm:sqref>
        </x14:dataValidation>
        <x14:dataValidation type="list" allowBlank="1" showInputMessage="1" showErrorMessage="1" xr:uid="{DAF3F8A4-AC46-43A4-AC18-F2244C40FDED}">
          <x14:formula1>
            <xm:f>Admin!$A$5:$A$6</xm:f>
          </x14:formula1>
          <xm:sqref>L6:L277</xm:sqref>
        </x14:dataValidation>
        <x14:dataValidation type="list" allowBlank="1" showInputMessage="1" showErrorMessage="1" xr:uid="{D6BDF20E-986A-4917-BD44-FA9C71893630}">
          <x14:formula1>
            <xm:f>Admin!$A$16:$A$19</xm:f>
          </x14:formula1>
          <xm:sqref>F6:F277</xm:sqref>
        </x14:dataValidation>
        <x14:dataValidation type="list" allowBlank="1" showInputMessage="1" showErrorMessage="1" xr:uid="{62122700-BB30-4D45-A077-D99DA54FE7F8}">
          <x14:formula1>
            <xm:f>Admin!$E$17:$E$18</xm:f>
          </x14:formula1>
          <xm:sqref>I6:I277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4">
    <pageSetUpPr fitToPage="1"/>
  </sheetPr>
  <dimension ref="A1:Q24"/>
  <sheetViews>
    <sheetView zoomScale="85" zoomScaleNormal="85" workbookViewId="0">
      <selection activeCell="A5" sqref="A5"/>
    </sheetView>
  </sheetViews>
  <sheetFormatPr defaultColWidth="9.140625" defaultRowHeight="15" x14ac:dyDescent="0.25"/>
  <cols>
    <col min="1" max="1" width="11.85546875" customWidth="1"/>
    <col min="2" max="2" width="20.5703125" customWidth="1"/>
    <col min="3" max="3" width="20" customWidth="1"/>
    <col min="4" max="5" width="17.7109375" customWidth="1"/>
    <col min="6" max="6" width="22.42578125" bestFit="1" customWidth="1"/>
    <col min="7" max="7" width="27.7109375" bestFit="1" customWidth="1"/>
    <col min="8" max="9" width="22" customWidth="1"/>
    <col min="10" max="10" width="20.85546875" customWidth="1"/>
    <col min="11" max="11" width="32.42578125" customWidth="1"/>
    <col min="12" max="12" width="31.28515625" style="6" customWidth="1"/>
    <col min="13" max="13" width="17.140625" style="3" customWidth="1"/>
    <col min="14" max="14" width="20" style="7" bestFit="1" customWidth="1"/>
    <col min="15" max="15" width="16.85546875" style="6" bestFit="1" customWidth="1"/>
    <col min="16" max="16" width="24.5703125" customWidth="1"/>
    <col min="17" max="17" width="36" customWidth="1"/>
  </cols>
  <sheetData>
    <row r="1" spans="1:17" ht="15.75" thickBot="1" x14ac:dyDescent="0.3">
      <c r="N1" s="28"/>
    </row>
    <row r="2" spans="1:17" s="5" customFormat="1" ht="30" x14ac:dyDescent="0.25">
      <c r="A2" s="55" t="s">
        <v>14</v>
      </c>
      <c r="B2" s="48" t="s">
        <v>53</v>
      </c>
      <c r="C2" s="48" t="s">
        <v>84</v>
      </c>
      <c r="D2" s="48" t="s">
        <v>6</v>
      </c>
      <c r="E2" s="48" t="s">
        <v>85</v>
      </c>
      <c r="F2" s="56" t="s">
        <v>80</v>
      </c>
      <c r="G2" s="56" t="s">
        <v>95</v>
      </c>
      <c r="H2" s="71" t="s">
        <v>86</v>
      </c>
      <c r="I2" s="71" t="s">
        <v>87</v>
      </c>
      <c r="J2" s="47" t="s">
        <v>3</v>
      </c>
      <c r="K2" s="47" t="s">
        <v>4</v>
      </c>
      <c r="L2" s="48" t="s">
        <v>30</v>
      </c>
      <c r="M2" s="80" t="s">
        <v>96</v>
      </c>
      <c r="N2" s="47" t="s">
        <v>13</v>
      </c>
      <c r="O2" s="47" t="s">
        <v>5</v>
      </c>
      <c r="P2" s="51" t="s">
        <v>12</v>
      </c>
      <c r="Q2" s="48" t="s">
        <v>52</v>
      </c>
    </row>
    <row r="3" spans="1:17" s="8" customFormat="1" ht="61.5" customHeight="1" x14ac:dyDescent="0.25">
      <c r="A3" s="52"/>
      <c r="B3" s="52" t="e">
        <f>VLOOKUP($E3,Admin!$A$13:$D$14,2,FALSE)</f>
        <v>#N/A</v>
      </c>
      <c r="C3" s="52" t="e">
        <f>VLOOKUP($E3,Admin!$A$13:$D$14,3,FALSE)</f>
        <v>#N/A</v>
      </c>
      <c r="D3" s="52" t="e">
        <f>VLOOKUP($E3,Admin!$A$13:$D$14,4,FALSE)</f>
        <v>#N/A</v>
      </c>
      <c r="E3" s="52"/>
      <c r="F3" s="57"/>
      <c r="G3" s="57"/>
      <c r="H3" s="57"/>
      <c r="I3" s="57"/>
      <c r="J3" s="49" t="s">
        <v>83</v>
      </c>
      <c r="K3" s="49" t="s">
        <v>81</v>
      </c>
      <c r="L3" s="50" t="s">
        <v>94</v>
      </c>
      <c r="M3" s="59"/>
      <c r="N3" s="52"/>
      <c r="O3" s="52"/>
      <c r="P3" s="53"/>
      <c r="Q3" s="60"/>
    </row>
    <row r="4" spans="1:17" s="8" customFormat="1" ht="105" x14ac:dyDescent="0.25">
      <c r="A4" s="52"/>
      <c r="B4" s="52" t="e">
        <f>VLOOKUP($E4,Admin!$A$13:$D$14,2,FALSE)</f>
        <v>#N/A</v>
      </c>
      <c r="C4" s="52" t="e">
        <f>VLOOKUP($E4,Admin!$A$13:$D$14,3,FALSE)</f>
        <v>#N/A</v>
      </c>
      <c r="D4" s="52" t="e">
        <f>VLOOKUP($E4,Admin!$A$13:$D$14,4,FALSE)</f>
        <v>#N/A</v>
      </c>
      <c r="E4" s="52"/>
      <c r="F4" s="57"/>
      <c r="G4" s="57"/>
      <c r="H4" s="57"/>
      <c r="I4" s="57"/>
      <c r="J4" s="58"/>
      <c r="K4" s="49" t="s">
        <v>82</v>
      </c>
      <c r="L4" s="52"/>
      <c r="M4" s="59"/>
      <c r="N4" s="52"/>
      <c r="O4" s="52"/>
      <c r="P4" s="54"/>
      <c r="Q4" s="52"/>
    </row>
    <row r="5" spans="1:17" s="8" customFormat="1" ht="15" customHeight="1" x14ac:dyDescent="0.25">
      <c r="A5" s="52"/>
      <c r="B5" s="52"/>
      <c r="C5" s="52"/>
      <c r="D5" s="52"/>
      <c r="E5" s="52"/>
      <c r="F5" s="57"/>
      <c r="G5" s="57"/>
      <c r="H5" s="57"/>
      <c r="I5" s="57"/>
      <c r="J5" s="58"/>
      <c r="K5" s="58"/>
      <c r="L5" s="52"/>
      <c r="M5" s="59"/>
      <c r="N5" s="52"/>
      <c r="O5" s="52"/>
      <c r="P5" s="54"/>
      <c r="Q5" s="52"/>
    </row>
    <row r="6" spans="1:17" s="8" customFormat="1" ht="15" customHeight="1" x14ac:dyDescent="0.25">
      <c r="A6" s="52"/>
      <c r="B6" s="52"/>
      <c r="C6" s="52"/>
      <c r="D6" s="52"/>
      <c r="E6" s="52"/>
      <c r="F6" s="57"/>
      <c r="G6" s="57"/>
      <c r="H6" s="57"/>
      <c r="I6" s="57"/>
      <c r="J6" s="58"/>
      <c r="K6" s="58"/>
      <c r="L6" s="52"/>
      <c r="M6" s="59"/>
      <c r="N6" s="52"/>
      <c r="O6" s="52"/>
      <c r="P6" s="54"/>
      <c r="Q6" s="52"/>
    </row>
    <row r="7" spans="1:17" s="8" customFormat="1" ht="15" customHeight="1" x14ac:dyDescent="0.25">
      <c r="A7" s="52"/>
      <c r="B7" s="52"/>
      <c r="C7" s="52"/>
      <c r="D7" s="52"/>
      <c r="E7" s="52"/>
      <c r="F7" s="57"/>
      <c r="G7" s="57"/>
      <c r="H7" s="57"/>
      <c r="I7" s="57"/>
      <c r="J7" s="58"/>
      <c r="K7" s="58"/>
      <c r="L7" s="52"/>
      <c r="M7" s="59"/>
      <c r="N7" s="52"/>
      <c r="O7" s="52"/>
      <c r="P7" s="54"/>
      <c r="Q7" s="52"/>
    </row>
    <row r="8" spans="1:17" s="8" customFormat="1" ht="15" customHeight="1" x14ac:dyDescent="0.25">
      <c r="A8" s="52"/>
      <c r="B8" s="52"/>
      <c r="C8" s="52"/>
      <c r="D8" s="52"/>
      <c r="E8" s="52"/>
      <c r="F8" s="57"/>
      <c r="G8" s="57"/>
      <c r="H8" s="57"/>
      <c r="I8" s="57"/>
      <c r="J8" s="58"/>
      <c r="K8" s="58"/>
      <c r="L8" s="52"/>
      <c r="M8" s="59"/>
      <c r="N8" s="52"/>
      <c r="O8" s="52"/>
      <c r="P8" s="54"/>
      <c r="Q8" s="52"/>
    </row>
    <row r="9" spans="1:17" s="8" customFormat="1" ht="15" customHeight="1" x14ac:dyDescent="0.25">
      <c r="A9" s="52"/>
      <c r="B9" s="52"/>
      <c r="C9" s="52"/>
      <c r="D9" s="52"/>
      <c r="E9" s="52"/>
      <c r="F9" s="57"/>
      <c r="G9" s="57"/>
      <c r="H9" s="57"/>
      <c r="I9" s="57"/>
      <c r="J9" s="58"/>
      <c r="K9" s="58"/>
      <c r="L9" s="52"/>
      <c r="M9" s="59"/>
      <c r="N9" s="52"/>
      <c r="O9" s="52"/>
      <c r="P9" s="54"/>
      <c r="Q9" s="52"/>
    </row>
    <row r="10" spans="1:17" s="8" customFormat="1" ht="15" customHeight="1" x14ac:dyDescent="0.25">
      <c r="A10" s="52"/>
      <c r="B10" s="52"/>
      <c r="C10" s="52"/>
      <c r="D10" s="52"/>
      <c r="E10" s="52"/>
      <c r="F10" s="57"/>
      <c r="G10" s="57"/>
      <c r="H10" s="57"/>
      <c r="I10" s="57"/>
      <c r="J10" s="58"/>
      <c r="K10" s="58"/>
      <c r="L10" s="52"/>
      <c r="M10" s="59"/>
      <c r="N10" s="52"/>
      <c r="O10" s="52"/>
      <c r="P10" s="54"/>
      <c r="Q10" s="52"/>
    </row>
    <row r="11" spans="1:17" s="8" customFormat="1" ht="15" customHeight="1" x14ac:dyDescent="0.25">
      <c r="A11" s="52"/>
      <c r="B11" s="52"/>
      <c r="C11" s="52"/>
      <c r="D11" s="52"/>
      <c r="E11" s="52"/>
      <c r="F11" s="57"/>
      <c r="G11" s="57"/>
      <c r="H11" s="57"/>
      <c r="I11" s="57"/>
      <c r="J11" s="58"/>
      <c r="K11" s="58"/>
      <c r="L11" s="52"/>
      <c r="M11" s="59"/>
      <c r="N11" s="52"/>
      <c r="O11" s="52"/>
      <c r="P11" s="54"/>
      <c r="Q11" s="52"/>
    </row>
    <row r="12" spans="1:17" s="8" customFormat="1" ht="15" customHeight="1" x14ac:dyDescent="0.25">
      <c r="A12" s="52"/>
      <c r="B12" s="52"/>
      <c r="C12" s="52"/>
      <c r="D12" s="52"/>
      <c r="E12" s="52"/>
      <c r="F12" s="57"/>
      <c r="G12" s="57"/>
      <c r="H12" s="57"/>
      <c r="I12" s="57"/>
      <c r="J12" s="58"/>
      <c r="K12" s="58"/>
      <c r="L12" s="52"/>
      <c r="M12" s="59"/>
      <c r="N12" s="52"/>
      <c r="O12" s="52"/>
      <c r="P12" s="54"/>
      <c r="Q12" s="52"/>
    </row>
    <row r="13" spans="1:17" s="8" customFormat="1" ht="15" customHeight="1" x14ac:dyDescent="0.25">
      <c r="A13" s="52"/>
      <c r="B13" s="52"/>
      <c r="C13" s="52"/>
      <c r="D13" s="52"/>
      <c r="E13" s="52"/>
      <c r="F13" s="57"/>
      <c r="G13" s="57"/>
      <c r="H13" s="57"/>
      <c r="I13" s="57"/>
      <c r="J13" s="58"/>
      <c r="K13" s="58"/>
      <c r="L13" s="52"/>
      <c r="M13" s="59"/>
      <c r="N13" s="52"/>
      <c r="O13" s="52"/>
      <c r="P13" s="54"/>
      <c r="Q13" s="52"/>
    </row>
    <row r="14" spans="1:17" s="8" customFormat="1" ht="15" customHeight="1" x14ac:dyDescent="0.25">
      <c r="A14" s="52"/>
      <c r="B14" s="52"/>
      <c r="C14" s="52"/>
      <c r="D14" s="52"/>
      <c r="E14" s="52"/>
      <c r="F14" s="57"/>
      <c r="G14" s="57"/>
      <c r="H14" s="57"/>
      <c r="I14" s="57"/>
      <c r="J14" s="58"/>
      <c r="K14" s="58"/>
      <c r="L14" s="52"/>
      <c r="M14" s="59"/>
      <c r="N14" s="52"/>
      <c r="O14" s="52"/>
      <c r="P14" s="54"/>
      <c r="Q14" s="52"/>
    </row>
    <row r="15" spans="1:17" s="8" customFormat="1" ht="15" customHeight="1" x14ac:dyDescent="0.25">
      <c r="A15" s="52"/>
      <c r="B15" s="52"/>
      <c r="C15" s="52"/>
      <c r="D15" s="52"/>
      <c r="E15" s="52"/>
      <c r="F15" s="57"/>
      <c r="G15" s="57"/>
      <c r="H15" s="57"/>
      <c r="I15" s="57"/>
      <c r="J15" s="58"/>
      <c r="K15" s="58"/>
      <c r="L15" s="52"/>
      <c r="M15" s="59"/>
      <c r="N15" s="52"/>
      <c r="O15" s="52"/>
      <c r="P15" s="54"/>
      <c r="Q15" s="52"/>
    </row>
    <row r="16" spans="1:17" s="8" customFormat="1" ht="15" customHeight="1" x14ac:dyDescent="0.25">
      <c r="A16" s="52"/>
      <c r="B16" s="52"/>
      <c r="C16" s="52"/>
      <c r="D16" s="52"/>
      <c r="E16" s="52"/>
      <c r="F16" s="57"/>
      <c r="G16" s="57"/>
      <c r="H16" s="57"/>
      <c r="I16" s="57"/>
      <c r="J16" s="58"/>
      <c r="K16" s="58"/>
      <c r="L16" s="52"/>
      <c r="M16" s="59"/>
      <c r="N16" s="52"/>
      <c r="O16" s="52"/>
      <c r="P16" s="54"/>
      <c r="Q16" s="52"/>
    </row>
    <row r="17" spans="1:17" s="8" customFormat="1" ht="15" customHeight="1" x14ac:dyDescent="0.25">
      <c r="A17" s="52"/>
      <c r="B17" s="52"/>
      <c r="C17" s="52"/>
      <c r="D17" s="52"/>
      <c r="E17" s="52"/>
      <c r="F17" s="57"/>
      <c r="G17" s="57"/>
      <c r="H17" s="57"/>
      <c r="I17" s="57"/>
      <c r="J17" s="58"/>
      <c r="K17" s="58"/>
      <c r="L17" s="52"/>
      <c r="M17" s="59"/>
      <c r="N17" s="52"/>
      <c r="O17" s="52"/>
      <c r="P17" s="54"/>
      <c r="Q17" s="52"/>
    </row>
    <row r="18" spans="1:17" s="8" customFormat="1" ht="15" customHeight="1" x14ac:dyDescent="0.25">
      <c r="A18" s="52"/>
      <c r="B18" s="52"/>
      <c r="C18" s="52"/>
      <c r="D18" s="52"/>
      <c r="E18" s="52"/>
      <c r="F18" s="57"/>
      <c r="G18" s="57"/>
      <c r="H18" s="57"/>
      <c r="I18" s="57"/>
      <c r="J18" s="58"/>
      <c r="K18" s="58"/>
      <c r="L18" s="52"/>
      <c r="M18" s="59"/>
      <c r="N18" s="52"/>
      <c r="O18" s="52"/>
      <c r="P18" s="54"/>
      <c r="Q18" s="52"/>
    </row>
    <row r="19" spans="1:17" s="8" customFormat="1" ht="15" customHeight="1" x14ac:dyDescent="0.25">
      <c r="A19" s="52"/>
      <c r="B19" s="52"/>
      <c r="C19" s="52"/>
      <c r="D19" s="52"/>
      <c r="E19" s="52"/>
      <c r="F19" s="57"/>
      <c r="G19" s="57"/>
      <c r="H19" s="57"/>
      <c r="I19" s="57"/>
      <c r="J19" s="58"/>
      <c r="K19" s="58"/>
      <c r="L19" s="52"/>
      <c r="M19" s="59"/>
      <c r="N19" s="52"/>
      <c r="O19" s="52"/>
      <c r="P19" s="54"/>
      <c r="Q19" s="52"/>
    </row>
    <row r="20" spans="1:17" s="8" customFormat="1" ht="15" customHeight="1" x14ac:dyDescent="0.25">
      <c r="A20" s="52"/>
      <c r="B20" s="52"/>
      <c r="C20" s="52"/>
      <c r="D20" s="52"/>
      <c r="E20" s="52"/>
      <c r="F20" s="57"/>
      <c r="G20" s="57"/>
      <c r="H20" s="57"/>
      <c r="I20" s="57"/>
      <c r="J20" s="58"/>
      <c r="K20" s="58"/>
      <c r="L20" s="52"/>
      <c r="M20" s="59"/>
      <c r="N20" s="52"/>
      <c r="O20" s="52"/>
      <c r="P20" s="54"/>
      <c r="Q20" s="52"/>
    </row>
    <row r="21" spans="1:17" s="8" customFormat="1" x14ac:dyDescent="0.25">
      <c r="A21" s="52"/>
      <c r="B21" s="52"/>
      <c r="C21" s="52"/>
      <c r="D21" s="52"/>
      <c r="E21" s="52"/>
      <c r="F21" s="57"/>
      <c r="G21" s="57"/>
      <c r="H21" s="57"/>
      <c r="I21" s="57"/>
      <c r="J21" s="58"/>
      <c r="K21" s="58"/>
      <c r="L21" s="52"/>
      <c r="M21" s="59"/>
      <c r="N21" s="52"/>
      <c r="O21" s="52"/>
      <c r="P21" s="58"/>
      <c r="Q21" s="52"/>
    </row>
    <row r="22" spans="1:17" s="8" customFormat="1" x14ac:dyDescent="0.25">
      <c r="A22" s="52"/>
      <c r="B22" s="52"/>
      <c r="C22" s="52"/>
      <c r="D22" s="52"/>
      <c r="E22" s="52"/>
      <c r="F22" s="57"/>
      <c r="G22" s="57"/>
      <c r="H22" s="57"/>
      <c r="I22" s="57"/>
      <c r="J22" s="58"/>
      <c r="K22" s="58"/>
      <c r="L22" s="52"/>
      <c r="M22" s="59"/>
      <c r="N22" s="52"/>
      <c r="O22" s="52"/>
      <c r="P22" s="54"/>
      <c r="Q22" s="52"/>
    </row>
    <row r="23" spans="1:17" s="8" customFormat="1" x14ac:dyDescent="0.25">
      <c r="A23" s="10"/>
      <c r="B23" s="14"/>
      <c r="C23" s="14"/>
      <c r="D23" s="14"/>
      <c r="E23" s="14"/>
      <c r="F23" s="12"/>
      <c r="G23" s="12"/>
      <c r="H23" s="12"/>
      <c r="I23" s="12"/>
      <c r="J23" s="11"/>
      <c r="K23" s="11"/>
      <c r="L23" s="14"/>
      <c r="M23" s="13"/>
      <c r="N23" s="14"/>
      <c r="O23" s="14"/>
      <c r="P23" s="15"/>
      <c r="Q23" s="14"/>
    </row>
    <row r="24" spans="1:17" x14ac:dyDescent="0.25">
      <c r="M24" s="4">
        <f>SUBTOTAL(109,M3:M23)</f>
        <v>0</v>
      </c>
    </row>
  </sheetData>
  <autoFilter ref="A2:P3" xr:uid="{00000000-0009-0000-0000-000003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F9D8414D-9960-4D11-87C4-CDE26A230103}"/>
    </customSheetView>
  </customSheetViews>
  <pageMargins left="0.70866141732283472" right="0.70866141732283472" top="0.19685039370078741" bottom="0.19685039370078741" header="0.31496062992125984" footer="0.31496062992125984"/>
  <pageSetup paperSize="9" scale="42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3000000}">
          <x14:formula1>
            <xm:f>Admin!$A$5:$A$6</xm:f>
          </x14:formula1>
          <xm:sqref>N3:N23</xm:sqref>
        </x14:dataValidation>
        <x14:dataValidation type="list" allowBlank="1" showInputMessage="1" showErrorMessage="1" xr:uid="{218F4D29-E213-41E5-917F-0DA7EC059E04}">
          <x14:formula1>
            <xm:f>Admin!$A$1:$A$3</xm:f>
          </x14:formula1>
          <xm:sqref>O3:O23</xm:sqref>
        </x14:dataValidation>
        <x14:dataValidation type="list" allowBlank="1" showInputMessage="1" showErrorMessage="1" xr:uid="{1FDDFCFA-56C5-4F4C-B3B3-7E1CD9A0D346}">
          <x14:formula1>
            <xm:f>Admin!$A$13:$A$14</xm:f>
          </x14:formula1>
          <xm:sqref>E3:E23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1"/>
  <sheetViews>
    <sheetView workbookViewId="0">
      <selection activeCell="F1" sqref="F1:S1048576"/>
    </sheetView>
  </sheetViews>
  <sheetFormatPr defaultColWidth="30.7109375" defaultRowHeight="15" x14ac:dyDescent="0.25"/>
  <cols>
    <col min="3" max="3" width="30.7109375" style="81"/>
    <col min="6" max="6" width="30.7109375" style="81"/>
    <col min="7" max="18" width="30.7109375" customWidth="1"/>
  </cols>
  <sheetData>
    <row r="1" spans="1:28" x14ac:dyDescent="0.25">
      <c r="A1" s="106" t="s">
        <v>97</v>
      </c>
      <c r="B1" s="106" t="s">
        <v>98</v>
      </c>
      <c r="C1" s="106" t="s">
        <v>53</v>
      </c>
      <c r="D1" s="106" t="s">
        <v>84</v>
      </c>
      <c r="E1" s="106" t="s">
        <v>6</v>
      </c>
      <c r="F1" s="106" t="s">
        <v>85</v>
      </c>
      <c r="G1" s="106" t="s">
        <v>99</v>
      </c>
      <c r="H1" s="106" t="s">
        <v>100</v>
      </c>
      <c r="I1" s="106" t="s">
        <v>101</v>
      </c>
      <c r="J1" s="106" t="s">
        <v>102</v>
      </c>
      <c r="K1" s="106" t="s">
        <v>103</v>
      </c>
      <c r="L1" s="106" t="s">
        <v>104</v>
      </c>
      <c r="M1" s="106" t="s">
        <v>105</v>
      </c>
      <c r="N1" s="106" t="s">
        <v>106</v>
      </c>
      <c r="O1" s="106" t="s">
        <v>107</v>
      </c>
      <c r="P1" s="106" t="s">
        <v>108</v>
      </c>
      <c r="Q1" s="106" t="s">
        <v>109</v>
      </c>
      <c r="R1" s="106" t="s">
        <v>110</v>
      </c>
      <c r="S1" s="106" t="s">
        <v>111</v>
      </c>
      <c r="T1" s="106" t="s">
        <v>112</v>
      </c>
      <c r="U1" s="106" t="s">
        <v>113</v>
      </c>
      <c r="V1" s="106" t="s">
        <v>114</v>
      </c>
      <c r="W1" s="106" t="s">
        <v>115</v>
      </c>
      <c r="X1" s="106" t="s">
        <v>116</v>
      </c>
      <c r="Y1" s="106" t="s">
        <v>117</v>
      </c>
      <c r="Z1" s="106" t="s">
        <v>118</v>
      </c>
      <c r="AA1" s="106" t="s">
        <v>119</v>
      </c>
      <c r="AB1" s="106" t="s">
        <v>120</v>
      </c>
    </row>
    <row r="2" spans="1:28" x14ac:dyDescent="0.25">
      <c r="A2" s="107"/>
      <c r="B2" s="107" t="s">
        <v>137</v>
      </c>
      <c r="C2" s="107" t="s">
        <v>121</v>
      </c>
      <c r="D2" s="107" t="s">
        <v>169</v>
      </c>
      <c r="E2" s="107" t="s">
        <v>169</v>
      </c>
      <c r="F2" s="107" t="s">
        <v>167</v>
      </c>
      <c r="G2" s="107" t="s">
        <v>122</v>
      </c>
      <c r="H2" s="107" t="s">
        <v>123</v>
      </c>
      <c r="I2" s="107" t="s">
        <v>175</v>
      </c>
      <c r="J2" s="107" t="s">
        <v>125</v>
      </c>
      <c r="K2" s="107"/>
      <c r="L2" s="108">
        <v>24697408</v>
      </c>
      <c r="M2" s="108">
        <v>6668300</v>
      </c>
      <c r="N2" s="108">
        <v>31365708</v>
      </c>
      <c r="O2" s="108">
        <v>1</v>
      </c>
      <c r="P2" s="108">
        <v>24697408</v>
      </c>
      <c r="Q2" s="108">
        <v>6668300</v>
      </c>
      <c r="R2" s="108">
        <v>31365708</v>
      </c>
      <c r="S2" s="108">
        <v>31365708</v>
      </c>
      <c r="T2" s="108">
        <v>0</v>
      </c>
      <c r="U2" s="108">
        <v>100</v>
      </c>
      <c r="V2" s="108">
        <v>31365708</v>
      </c>
      <c r="W2" s="107"/>
      <c r="X2" s="107"/>
      <c r="Y2" s="107" t="s">
        <v>176</v>
      </c>
      <c r="Z2" s="107"/>
      <c r="AA2" s="107"/>
      <c r="AB2" s="107"/>
    </row>
    <row r="3" spans="1:28" x14ac:dyDescent="0.25">
      <c r="A3" s="109"/>
      <c r="B3" s="109" t="s">
        <v>137</v>
      </c>
      <c r="C3" s="109" t="s">
        <v>126</v>
      </c>
      <c r="D3" s="109" t="s">
        <v>127</v>
      </c>
      <c r="E3" s="109" t="s">
        <v>127</v>
      </c>
      <c r="F3" s="109" t="s">
        <v>168</v>
      </c>
      <c r="G3" s="109" t="s">
        <v>122</v>
      </c>
      <c r="H3" s="109" t="s">
        <v>123</v>
      </c>
      <c r="I3" s="109" t="s">
        <v>124</v>
      </c>
      <c r="J3" s="109" t="s">
        <v>125</v>
      </c>
      <c r="K3" s="109"/>
      <c r="L3" s="110">
        <v>4725000</v>
      </c>
      <c r="M3" s="110">
        <v>1275750</v>
      </c>
      <c r="N3" s="110">
        <v>6000750</v>
      </c>
      <c r="O3" s="110">
        <v>1</v>
      </c>
      <c r="P3" s="110">
        <v>4725000</v>
      </c>
      <c r="Q3" s="110">
        <v>1275750</v>
      </c>
      <c r="R3" s="110">
        <v>6000750</v>
      </c>
      <c r="S3" s="110">
        <v>6000750</v>
      </c>
      <c r="T3" s="110">
        <v>0</v>
      </c>
      <c r="U3" s="110">
        <v>100</v>
      </c>
      <c r="V3" s="110">
        <v>6000750</v>
      </c>
      <c r="W3" s="109"/>
      <c r="X3" s="109"/>
      <c r="Y3" s="109" t="s">
        <v>177</v>
      </c>
      <c r="Z3" s="109"/>
      <c r="AA3" s="109"/>
      <c r="AB3" s="109"/>
    </row>
    <row r="4" spans="1:28" x14ac:dyDescent="0.25">
      <c r="A4" s="107"/>
      <c r="B4" s="107" t="s">
        <v>137</v>
      </c>
      <c r="C4" s="107" t="s">
        <v>126</v>
      </c>
      <c r="D4" s="107" t="s">
        <v>129</v>
      </c>
      <c r="E4" s="107" t="s">
        <v>130</v>
      </c>
      <c r="F4" s="107" t="s">
        <v>170</v>
      </c>
      <c r="G4" s="107" t="s">
        <v>122</v>
      </c>
      <c r="H4" s="107" t="s">
        <v>123</v>
      </c>
      <c r="I4" s="107" t="s">
        <v>131</v>
      </c>
      <c r="J4" s="107" t="s">
        <v>125</v>
      </c>
      <c r="K4" s="107"/>
      <c r="L4" s="108">
        <v>72360000</v>
      </c>
      <c r="M4" s="108">
        <v>0</v>
      </c>
      <c r="N4" s="108">
        <v>72360000</v>
      </c>
      <c r="O4" s="108">
        <v>1</v>
      </c>
      <c r="P4" s="108">
        <v>72360000</v>
      </c>
      <c r="Q4" s="108">
        <v>0</v>
      </c>
      <c r="R4" s="108">
        <v>72360000</v>
      </c>
      <c r="S4" s="108">
        <v>72360000</v>
      </c>
      <c r="T4" s="108">
        <v>0</v>
      </c>
      <c r="U4" s="108">
        <v>100</v>
      </c>
      <c r="V4" s="108">
        <v>72360000</v>
      </c>
      <c r="W4" s="107"/>
      <c r="X4" s="107"/>
      <c r="Y4" s="107" t="s">
        <v>178</v>
      </c>
      <c r="Z4" s="107"/>
      <c r="AA4" s="107"/>
      <c r="AB4" s="107"/>
    </row>
    <row r="5" spans="1:28" x14ac:dyDescent="0.25">
      <c r="A5" s="109"/>
      <c r="B5" s="109" t="s">
        <v>137</v>
      </c>
      <c r="C5" s="109" t="s">
        <v>128</v>
      </c>
      <c r="D5" s="109" t="s">
        <v>129</v>
      </c>
      <c r="E5" s="109" t="s">
        <v>130</v>
      </c>
      <c r="F5" s="109" t="s">
        <v>171</v>
      </c>
      <c r="G5" s="109" t="s">
        <v>122</v>
      </c>
      <c r="H5" s="109" t="s">
        <v>123</v>
      </c>
      <c r="I5" s="109" t="s">
        <v>131</v>
      </c>
      <c r="J5" s="109" t="s">
        <v>125</v>
      </c>
      <c r="K5" s="109"/>
      <c r="L5" s="110">
        <v>35640000</v>
      </c>
      <c r="M5" s="110">
        <v>0</v>
      </c>
      <c r="N5" s="110">
        <v>35640000</v>
      </c>
      <c r="O5" s="110">
        <v>1</v>
      </c>
      <c r="P5" s="110">
        <v>35640000</v>
      </c>
      <c r="Q5" s="110">
        <v>0</v>
      </c>
      <c r="R5" s="110">
        <v>35640000</v>
      </c>
      <c r="S5" s="110">
        <v>35640000</v>
      </c>
      <c r="T5" s="110">
        <v>0</v>
      </c>
      <c r="U5" s="110">
        <v>100</v>
      </c>
      <c r="V5" s="110">
        <v>35640000</v>
      </c>
      <c r="W5" s="109"/>
      <c r="X5" s="109"/>
      <c r="Y5" s="109" t="s">
        <v>179</v>
      </c>
      <c r="Z5" s="109"/>
      <c r="AA5" s="109"/>
      <c r="AB5" s="109"/>
    </row>
    <row r="6" spans="1:28" x14ac:dyDescent="0.25">
      <c r="A6" s="107"/>
      <c r="B6" s="107" t="s">
        <v>137</v>
      </c>
      <c r="C6" s="107" t="s">
        <v>126</v>
      </c>
      <c r="D6" s="107" t="s">
        <v>129</v>
      </c>
      <c r="E6" s="107" t="s">
        <v>132</v>
      </c>
      <c r="F6" s="107" t="s">
        <v>172</v>
      </c>
      <c r="G6" s="107" t="s">
        <v>122</v>
      </c>
      <c r="H6" s="107" t="s">
        <v>123</v>
      </c>
      <c r="I6" s="107" t="s">
        <v>131</v>
      </c>
      <c r="J6" s="107" t="s">
        <v>125</v>
      </c>
      <c r="K6" s="107"/>
      <c r="L6" s="108">
        <v>11934701</v>
      </c>
      <c r="M6" s="108">
        <v>0</v>
      </c>
      <c r="N6" s="108">
        <v>11934701</v>
      </c>
      <c r="O6" s="108">
        <v>1</v>
      </c>
      <c r="P6" s="108">
        <v>11934701</v>
      </c>
      <c r="Q6" s="108">
        <v>0</v>
      </c>
      <c r="R6" s="108">
        <v>11934701</v>
      </c>
      <c r="S6" s="108">
        <v>11934701</v>
      </c>
      <c r="T6" s="108">
        <v>0</v>
      </c>
      <c r="U6" s="108">
        <v>100</v>
      </c>
      <c r="V6" s="108">
        <v>11934701</v>
      </c>
      <c r="W6" s="107"/>
      <c r="X6" s="107"/>
      <c r="Y6" s="107" t="s">
        <v>180</v>
      </c>
      <c r="Z6" s="107"/>
      <c r="AA6" s="107"/>
      <c r="AB6" s="107"/>
    </row>
    <row r="7" spans="1:28" x14ac:dyDescent="0.25">
      <c r="A7" s="109"/>
      <c r="B7" s="109" t="s">
        <v>137</v>
      </c>
      <c r="C7" s="109" t="s">
        <v>128</v>
      </c>
      <c r="D7" s="109" t="s">
        <v>129</v>
      </c>
      <c r="E7" s="109" t="s">
        <v>132</v>
      </c>
      <c r="F7" s="109" t="s">
        <v>173</v>
      </c>
      <c r="G7" s="109" t="s">
        <v>122</v>
      </c>
      <c r="H7" s="109" t="s">
        <v>123</v>
      </c>
      <c r="I7" s="109" t="s">
        <v>131</v>
      </c>
      <c r="J7" s="109" t="s">
        <v>125</v>
      </c>
      <c r="K7" s="109"/>
      <c r="L7" s="110">
        <v>5878286</v>
      </c>
      <c r="M7" s="110">
        <v>0</v>
      </c>
      <c r="N7" s="110">
        <v>5878286</v>
      </c>
      <c r="O7" s="110">
        <v>1</v>
      </c>
      <c r="P7" s="110">
        <v>5878286</v>
      </c>
      <c r="Q7" s="110">
        <v>0</v>
      </c>
      <c r="R7" s="110">
        <v>5878286</v>
      </c>
      <c r="S7" s="110">
        <v>5878286</v>
      </c>
      <c r="T7" s="110">
        <v>0</v>
      </c>
      <c r="U7" s="110">
        <v>100</v>
      </c>
      <c r="V7" s="110">
        <v>5878286</v>
      </c>
      <c r="W7" s="109"/>
      <c r="X7" s="109"/>
      <c r="Y7" s="109" t="s">
        <v>181</v>
      </c>
      <c r="Z7" s="109"/>
      <c r="AA7" s="109"/>
      <c r="AB7" s="109"/>
    </row>
    <row r="8" spans="1:28" x14ac:dyDescent="0.25">
      <c r="A8" s="107"/>
      <c r="B8" s="107" t="s">
        <v>137</v>
      </c>
      <c r="C8" s="107" t="s">
        <v>128</v>
      </c>
      <c r="D8" s="107" t="s">
        <v>133</v>
      </c>
      <c r="E8" s="107" t="s">
        <v>134</v>
      </c>
      <c r="F8" s="107" t="s">
        <v>182</v>
      </c>
      <c r="G8" s="107" t="s">
        <v>122</v>
      </c>
      <c r="H8" s="107" t="s">
        <v>123</v>
      </c>
      <c r="I8" s="107" t="s">
        <v>131</v>
      </c>
      <c r="J8" s="107" t="s">
        <v>125</v>
      </c>
      <c r="K8" s="107"/>
      <c r="L8" s="108">
        <v>5524200</v>
      </c>
      <c r="M8" s="108">
        <v>0</v>
      </c>
      <c r="N8" s="108">
        <v>5524200</v>
      </c>
      <c r="O8" s="108">
        <v>1</v>
      </c>
      <c r="P8" s="108">
        <v>5524200</v>
      </c>
      <c r="Q8" s="108">
        <v>0</v>
      </c>
      <c r="R8" s="108">
        <v>5524200</v>
      </c>
      <c r="S8" s="108">
        <v>5524200</v>
      </c>
      <c r="T8" s="108">
        <v>0</v>
      </c>
      <c r="U8" s="108">
        <v>100</v>
      </c>
      <c r="V8" s="108">
        <v>5524200</v>
      </c>
      <c r="W8" s="107"/>
      <c r="X8" s="107"/>
      <c r="Y8" s="107" t="s">
        <v>183</v>
      </c>
      <c r="Z8" s="107"/>
      <c r="AA8" s="107"/>
      <c r="AB8" s="107"/>
    </row>
    <row r="9" spans="1:28" x14ac:dyDescent="0.25">
      <c r="A9" s="109"/>
      <c r="B9" s="109" t="s">
        <v>137</v>
      </c>
      <c r="C9" s="109" t="s">
        <v>126</v>
      </c>
      <c r="D9" s="109" t="s">
        <v>133</v>
      </c>
      <c r="E9" s="109" t="s">
        <v>134</v>
      </c>
      <c r="F9" s="109" t="s">
        <v>184</v>
      </c>
      <c r="G9" s="109" t="s">
        <v>122</v>
      </c>
      <c r="H9" s="109" t="s">
        <v>123</v>
      </c>
      <c r="I9" s="109" t="s">
        <v>131</v>
      </c>
      <c r="J9" s="109" t="s">
        <v>125</v>
      </c>
      <c r="K9" s="109"/>
      <c r="L9" s="110">
        <v>11215800</v>
      </c>
      <c r="M9" s="110">
        <v>0</v>
      </c>
      <c r="N9" s="110">
        <v>11215800</v>
      </c>
      <c r="O9" s="110">
        <v>1</v>
      </c>
      <c r="P9" s="110">
        <v>11215800</v>
      </c>
      <c r="Q9" s="110">
        <v>0</v>
      </c>
      <c r="R9" s="110">
        <v>11215800</v>
      </c>
      <c r="S9" s="110">
        <v>11215800</v>
      </c>
      <c r="T9" s="110">
        <v>0</v>
      </c>
      <c r="U9" s="110">
        <v>100</v>
      </c>
      <c r="V9" s="110">
        <v>11215800</v>
      </c>
      <c r="W9" s="109"/>
      <c r="X9" s="109"/>
      <c r="Y9" s="109" t="s">
        <v>185</v>
      </c>
      <c r="Z9" s="109"/>
      <c r="AA9" s="109"/>
      <c r="AB9" s="109"/>
    </row>
    <row r="10" spans="1:28" x14ac:dyDescent="0.25">
      <c r="A10" s="107"/>
      <c r="B10" s="107" t="s">
        <v>137</v>
      </c>
      <c r="C10" s="107" t="s">
        <v>128</v>
      </c>
      <c r="D10" s="107" t="s">
        <v>133</v>
      </c>
      <c r="E10" s="107" t="s">
        <v>135</v>
      </c>
      <c r="F10" s="107" t="s">
        <v>186</v>
      </c>
      <c r="G10" s="107" t="s">
        <v>122</v>
      </c>
      <c r="H10" s="107" t="s">
        <v>123</v>
      </c>
      <c r="I10" s="107" t="s">
        <v>131</v>
      </c>
      <c r="J10" s="107" t="s">
        <v>125</v>
      </c>
      <c r="K10" s="107"/>
      <c r="L10" s="108">
        <v>911134</v>
      </c>
      <c r="M10" s="108">
        <v>0</v>
      </c>
      <c r="N10" s="108">
        <v>911134</v>
      </c>
      <c r="O10" s="108">
        <v>1</v>
      </c>
      <c r="P10" s="108">
        <v>911134</v>
      </c>
      <c r="Q10" s="108">
        <v>0</v>
      </c>
      <c r="R10" s="108">
        <v>911134</v>
      </c>
      <c r="S10" s="108">
        <v>911134</v>
      </c>
      <c r="T10" s="108">
        <v>0</v>
      </c>
      <c r="U10" s="108">
        <v>100</v>
      </c>
      <c r="V10" s="108">
        <v>911134</v>
      </c>
      <c r="W10" s="107"/>
      <c r="X10" s="107"/>
      <c r="Y10" s="107" t="s">
        <v>181</v>
      </c>
      <c r="Z10" s="107"/>
      <c r="AA10" s="107"/>
      <c r="AB10" s="107"/>
    </row>
    <row r="11" spans="1:28" x14ac:dyDescent="0.25">
      <c r="A11" s="109"/>
      <c r="B11" s="109" t="s">
        <v>137</v>
      </c>
      <c r="C11" s="109" t="s">
        <v>126</v>
      </c>
      <c r="D11" s="109" t="s">
        <v>133</v>
      </c>
      <c r="E11" s="109" t="s">
        <v>135</v>
      </c>
      <c r="F11" s="109" t="s">
        <v>187</v>
      </c>
      <c r="G11" s="109" t="s">
        <v>122</v>
      </c>
      <c r="H11" s="109" t="s">
        <v>123</v>
      </c>
      <c r="I11" s="109" t="s">
        <v>131</v>
      </c>
      <c r="J11" s="109" t="s">
        <v>125</v>
      </c>
      <c r="K11" s="109"/>
      <c r="L11" s="110">
        <v>1849879</v>
      </c>
      <c r="M11" s="110">
        <v>0</v>
      </c>
      <c r="N11" s="110">
        <v>1849879</v>
      </c>
      <c r="O11" s="110">
        <v>1</v>
      </c>
      <c r="P11" s="110">
        <v>1849879</v>
      </c>
      <c r="Q11" s="110">
        <v>0</v>
      </c>
      <c r="R11" s="110">
        <v>1849879</v>
      </c>
      <c r="S11" s="110">
        <v>1849879</v>
      </c>
      <c r="T11" s="110">
        <v>0</v>
      </c>
      <c r="U11" s="110">
        <v>100</v>
      </c>
      <c r="V11" s="110">
        <v>1849879</v>
      </c>
      <c r="W11" s="109"/>
      <c r="X11" s="109"/>
      <c r="Y11" s="109" t="s">
        <v>180</v>
      </c>
      <c r="Z11" s="109"/>
      <c r="AA11" s="109"/>
      <c r="AB11" s="10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7"/>
  <sheetViews>
    <sheetView topLeftCell="A4" workbookViewId="0">
      <selection activeCell="A23" sqref="A23:A27"/>
    </sheetView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  <row r="4" spans="1:1" x14ac:dyDescent="0.25">
      <c r="A4" t="s">
        <v>39</v>
      </c>
    </row>
    <row r="5" spans="1:1" x14ac:dyDescent="0.25">
      <c r="A5" t="s">
        <v>40</v>
      </c>
    </row>
    <row r="6" spans="1:1" x14ac:dyDescent="0.25">
      <c r="A6" t="s">
        <v>41</v>
      </c>
    </row>
    <row r="7" spans="1:1" x14ac:dyDescent="0.25">
      <c r="A7" t="s">
        <v>42</v>
      </c>
    </row>
    <row r="8" spans="1:1" x14ac:dyDescent="0.25">
      <c r="A8" t="s">
        <v>43</v>
      </c>
    </row>
    <row r="9" spans="1:1" x14ac:dyDescent="0.25">
      <c r="A9" t="s">
        <v>44</v>
      </c>
    </row>
    <row r="10" spans="1:1" x14ac:dyDescent="0.25">
      <c r="A10" t="s">
        <v>45</v>
      </c>
    </row>
    <row r="11" spans="1:1" x14ac:dyDescent="0.25">
      <c r="A11" t="s">
        <v>46</v>
      </c>
    </row>
    <row r="12" spans="1:1" x14ac:dyDescent="0.25">
      <c r="A12" t="s">
        <v>47</v>
      </c>
    </row>
    <row r="13" spans="1:1" x14ac:dyDescent="0.25">
      <c r="A13" t="s">
        <v>48</v>
      </c>
    </row>
    <row r="14" spans="1:1" x14ac:dyDescent="0.25">
      <c r="A14" t="s">
        <v>49</v>
      </c>
    </row>
    <row r="15" spans="1:1" x14ac:dyDescent="0.25">
      <c r="A15" t="s">
        <v>50</v>
      </c>
    </row>
    <row r="16" spans="1:1" x14ac:dyDescent="0.25">
      <c r="A16" t="s">
        <v>51</v>
      </c>
    </row>
    <row r="17" spans="1:1" x14ac:dyDescent="0.25">
      <c r="A17" s="45" t="s">
        <v>64</v>
      </c>
    </row>
    <row r="18" spans="1:1" x14ac:dyDescent="0.25">
      <c r="A18" s="46" t="s">
        <v>65</v>
      </c>
    </row>
    <row r="19" spans="1:1" x14ac:dyDescent="0.25">
      <c r="A19" s="45" t="s">
        <v>66</v>
      </c>
    </row>
    <row r="20" spans="1:1" x14ac:dyDescent="0.25">
      <c r="A20" s="46" t="s">
        <v>67</v>
      </c>
    </row>
    <row r="21" spans="1:1" x14ac:dyDescent="0.25">
      <c r="A21" s="45" t="s">
        <v>68</v>
      </c>
    </row>
    <row r="22" spans="1:1" x14ac:dyDescent="0.25">
      <c r="A22" s="46" t="s">
        <v>69</v>
      </c>
    </row>
    <row r="23" spans="1:1" x14ac:dyDescent="0.25">
      <c r="A23" s="45" t="s">
        <v>70</v>
      </c>
    </row>
    <row r="24" spans="1:1" x14ac:dyDescent="0.25">
      <c r="A24" s="46" t="s">
        <v>71</v>
      </c>
    </row>
    <row r="25" spans="1:1" x14ac:dyDescent="0.25">
      <c r="A25" s="45" t="s">
        <v>72</v>
      </c>
    </row>
    <row r="26" spans="1:1" x14ac:dyDescent="0.25">
      <c r="A26" s="46" t="s">
        <v>73</v>
      </c>
    </row>
    <row r="27" spans="1:1" x14ac:dyDescent="0.25">
      <c r="A27" s="45" t="s">
        <v>74</v>
      </c>
    </row>
    <row r="28" spans="1:1" x14ac:dyDescent="0.25">
      <c r="A28" s="46" t="s">
        <v>139</v>
      </c>
    </row>
    <row r="29" spans="1:1" x14ac:dyDescent="0.25">
      <c r="A29" s="46" t="s">
        <v>140</v>
      </c>
    </row>
    <row r="30" spans="1:1" x14ac:dyDescent="0.25">
      <c r="A30" s="46" t="s">
        <v>141</v>
      </c>
    </row>
    <row r="31" spans="1:1" x14ac:dyDescent="0.25">
      <c r="A31" s="46" t="s">
        <v>142</v>
      </c>
    </row>
    <row r="32" spans="1:1" x14ac:dyDescent="0.25">
      <c r="A32" s="46" t="s">
        <v>143</v>
      </c>
    </row>
    <row r="33" spans="1:1" x14ac:dyDescent="0.25">
      <c r="A33" s="46" t="s">
        <v>144</v>
      </c>
    </row>
    <row r="34" spans="1:1" x14ac:dyDescent="0.25">
      <c r="A34" s="46" t="s">
        <v>211</v>
      </c>
    </row>
    <row r="35" spans="1:1" x14ac:dyDescent="0.25">
      <c r="A35" s="46" t="s">
        <v>212</v>
      </c>
    </row>
    <row r="36" spans="1:1" x14ac:dyDescent="0.25">
      <c r="A36" s="46" t="s">
        <v>213</v>
      </c>
    </row>
    <row r="37" spans="1:1" x14ac:dyDescent="0.25">
      <c r="A37" s="46" t="s">
        <v>214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workbookViewId="0">
      <selection activeCell="E16" sqref="E16"/>
    </sheetView>
  </sheetViews>
  <sheetFormatPr defaultRowHeight="15" x14ac:dyDescent="0.25"/>
  <cols>
    <col min="1" max="1" width="42.7109375" customWidth="1"/>
    <col min="2" max="2" width="35.85546875" customWidth="1"/>
    <col min="3" max="3" width="31.140625" customWidth="1"/>
    <col min="4" max="4" width="53.5703125" customWidth="1"/>
    <col min="5" max="5" width="28.5703125" customWidth="1"/>
  </cols>
  <sheetData>
    <row r="1" spans="1:5" s="8" customFormat="1" ht="18.75" customHeight="1" x14ac:dyDescent="0.25">
      <c r="A1" s="8" t="s">
        <v>174</v>
      </c>
      <c r="B1" s="72" t="s">
        <v>90</v>
      </c>
    </row>
    <row r="2" spans="1:5" s="8" customFormat="1" ht="18.75" customHeight="1" x14ac:dyDescent="0.25">
      <c r="B2" s="73" t="s">
        <v>76</v>
      </c>
    </row>
    <row r="3" spans="1:5" s="8" customFormat="1" ht="18.75" customHeight="1" x14ac:dyDescent="0.25">
      <c r="B3" s="73" t="s">
        <v>77</v>
      </c>
    </row>
    <row r="4" spans="1:5" s="8" customFormat="1" ht="18.75" customHeight="1" x14ac:dyDescent="0.25">
      <c r="B4" s="73" t="s">
        <v>91</v>
      </c>
    </row>
    <row r="5" spans="1:5" s="8" customFormat="1" ht="18.75" customHeight="1" thickBot="1" x14ac:dyDescent="0.3">
      <c r="A5" s="8" t="s">
        <v>8</v>
      </c>
      <c r="B5" s="74" t="s">
        <v>92</v>
      </c>
    </row>
    <row r="6" spans="1:5" s="8" customFormat="1" ht="18.75" customHeight="1" x14ac:dyDescent="0.25">
      <c r="A6" s="8" t="s">
        <v>9</v>
      </c>
    </row>
    <row r="7" spans="1:5" s="8" customFormat="1" ht="18.75" customHeight="1" thickBot="1" x14ac:dyDescent="0.3"/>
    <row r="8" spans="1:5" s="8" customFormat="1" ht="18.75" customHeight="1" x14ac:dyDescent="0.25">
      <c r="A8" s="75" t="s">
        <v>78</v>
      </c>
    </row>
    <row r="9" spans="1:5" s="8" customFormat="1" ht="18.75" customHeight="1" x14ac:dyDescent="0.25">
      <c r="A9" s="76" t="s">
        <v>17</v>
      </c>
    </row>
    <row r="10" spans="1:5" s="8" customFormat="1" ht="18.75" customHeight="1" thickBot="1" x14ac:dyDescent="0.3">
      <c r="A10" s="77" t="s">
        <v>89</v>
      </c>
    </row>
    <row r="12" spans="1:5" x14ac:dyDescent="0.25">
      <c r="A12" s="106" t="s">
        <v>85</v>
      </c>
      <c r="B12" s="106" t="s">
        <v>53</v>
      </c>
      <c r="C12" s="106" t="s">
        <v>84</v>
      </c>
      <c r="D12" s="106" t="s">
        <v>6</v>
      </c>
      <c r="E12" s="111" t="s">
        <v>138</v>
      </c>
    </row>
    <row r="13" spans="1:5" x14ac:dyDescent="0.25">
      <c r="A13" s="107" t="s">
        <v>167</v>
      </c>
      <c r="B13" s="107" t="s">
        <v>121</v>
      </c>
      <c r="C13" s="107" t="s">
        <v>169</v>
      </c>
      <c r="D13" s="107" t="s">
        <v>169</v>
      </c>
    </row>
    <row r="14" spans="1:5" x14ac:dyDescent="0.25">
      <c r="A14" s="109" t="s">
        <v>168</v>
      </c>
      <c r="B14" s="109" t="s">
        <v>126</v>
      </c>
      <c r="C14" s="109" t="s">
        <v>127</v>
      </c>
      <c r="D14" s="109" t="s">
        <v>127</v>
      </c>
    </row>
    <row r="15" spans="1:5" x14ac:dyDescent="0.25">
      <c r="A15" s="109"/>
      <c r="B15" s="109"/>
      <c r="C15" s="109"/>
      <c r="D15" s="109"/>
    </row>
    <row r="16" spans="1:5" x14ac:dyDescent="0.25">
      <c r="A16" s="107" t="s">
        <v>170</v>
      </c>
      <c r="B16" s="107" t="s">
        <v>126</v>
      </c>
      <c r="C16" s="107" t="s">
        <v>129</v>
      </c>
      <c r="D16" s="107" t="s">
        <v>130</v>
      </c>
      <c r="E16" t="s">
        <v>90</v>
      </c>
    </row>
    <row r="17" spans="1:5" x14ac:dyDescent="0.25">
      <c r="A17" s="109" t="s">
        <v>171</v>
      </c>
      <c r="B17" s="109" t="s">
        <v>128</v>
      </c>
      <c r="C17" s="109" t="s">
        <v>129</v>
      </c>
      <c r="D17" s="109" t="s">
        <v>130</v>
      </c>
      <c r="E17" t="s">
        <v>90</v>
      </c>
    </row>
    <row r="18" spans="1:5" x14ac:dyDescent="0.25">
      <c r="A18" s="107" t="s">
        <v>172</v>
      </c>
      <c r="B18" s="107" t="s">
        <v>126</v>
      </c>
      <c r="C18" s="107" t="s">
        <v>129</v>
      </c>
      <c r="D18" s="107" t="s">
        <v>132</v>
      </c>
      <c r="E18" t="s">
        <v>76</v>
      </c>
    </row>
    <row r="19" spans="1:5" x14ac:dyDescent="0.25">
      <c r="A19" s="109" t="s">
        <v>173</v>
      </c>
      <c r="B19" s="109" t="s">
        <v>128</v>
      </c>
      <c r="C19" s="109" t="s">
        <v>129</v>
      </c>
      <c r="D19" s="109" t="s">
        <v>132</v>
      </c>
      <c r="E19" t="s">
        <v>76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20C8-2CDE-4460-93C5-F00BB9632BBD}">
  <dimension ref="A1:E31"/>
  <sheetViews>
    <sheetView workbookViewId="0">
      <selection activeCell="A2" sqref="A2:E14"/>
    </sheetView>
  </sheetViews>
  <sheetFormatPr defaultRowHeight="15" x14ac:dyDescent="0.25"/>
  <cols>
    <col min="1" max="5" width="18.5703125" customWidth="1"/>
  </cols>
  <sheetData>
    <row r="1" spans="1:5" x14ac:dyDescent="0.25">
      <c r="A1" s="214" t="s">
        <v>238</v>
      </c>
      <c r="B1" s="214" t="s">
        <v>239</v>
      </c>
      <c r="C1" s="214" t="s">
        <v>240</v>
      </c>
      <c r="D1" s="214" t="s">
        <v>236</v>
      </c>
      <c r="E1" s="214" t="s">
        <v>237</v>
      </c>
    </row>
    <row r="2" spans="1:5" x14ac:dyDescent="0.25">
      <c r="A2" s="234" t="s">
        <v>200</v>
      </c>
      <c r="B2" s="215" t="s">
        <v>222</v>
      </c>
      <c r="C2" s="89" t="s">
        <v>195</v>
      </c>
      <c r="D2" s="216">
        <v>600000</v>
      </c>
      <c r="E2" s="216">
        <v>89115</v>
      </c>
    </row>
    <row r="3" spans="1:5" x14ac:dyDescent="0.25">
      <c r="A3" s="234" t="s">
        <v>241</v>
      </c>
      <c r="B3" s="215" t="s">
        <v>221</v>
      </c>
      <c r="C3" s="89" t="s">
        <v>194</v>
      </c>
      <c r="D3" s="216">
        <v>860001</v>
      </c>
      <c r="E3" s="216">
        <v>111800</v>
      </c>
    </row>
    <row r="4" spans="1:5" x14ac:dyDescent="0.25">
      <c r="A4" s="234" t="s">
        <v>242</v>
      </c>
      <c r="B4" s="215" t="s">
        <v>223</v>
      </c>
      <c r="C4" s="89" t="s">
        <v>193</v>
      </c>
      <c r="D4" s="216">
        <v>1210000</v>
      </c>
      <c r="E4" s="216">
        <v>175084</v>
      </c>
    </row>
    <row r="5" spans="1:5" x14ac:dyDescent="0.25">
      <c r="A5" s="234" t="s">
        <v>243</v>
      </c>
      <c r="B5" s="215" t="s">
        <v>224</v>
      </c>
      <c r="C5" s="89" t="s">
        <v>194</v>
      </c>
      <c r="D5" s="216">
        <v>1575000</v>
      </c>
      <c r="E5" s="216">
        <v>347750</v>
      </c>
    </row>
    <row r="6" spans="1:5" x14ac:dyDescent="0.25">
      <c r="A6" s="234" t="s">
        <v>244</v>
      </c>
      <c r="B6" s="215" t="s">
        <v>220</v>
      </c>
      <c r="C6" s="89" t="s">
        <v>194</v>
      </c>
      <c r="D6" s="216">
        <v>670000</v>
      </c>
      <c r="E6" s="216">
        <v>101140</v>
      </c>
    </row>
    <row r="7" spans="1:5" x14ac:dyDescent="0.25">
      <c r="A7" s="234" t="s">
        <v>245</v>
      </c>
      <c r="B7" s="215" t="s">
        <v>232</v>
      </c>
      <c r="C7" s="89" t="s">
        <v>193</v>
      </c>
      <c r="D7" s="216">
        <v>180000</v>
      </c>
      <c r="E7" s="216">
        <v>23400</v>
      </c>
    </row>
    <row r="8" spans="1:5" x14ac:dyDescent="0.25">
      <c r="A8" s="234" t="s">
        <v>207</v>
      </c>
      <c r="B8" s="215" t="s">
        <v>225</v>
      </c>
      <c r="C8" s="89" t="s">
        <v>206</v>
      </c>
      <c r="D8" s="216">
        <v>700000</v>
      </c>
      <c r="E8" s="216">
        <v>159640</v>
      </c>
    </row>
    <row r="9" spans="1:5" x14ac:dyDescent="0.25">
      <c r="A9" s="234" t="s">
        <v>202</v>
      </c>
      <c r="B9" s="215" t="s">
        <v>226</v>
      </c>
      <c r="C9" s="89" t="s">
        <v>203</v>
      </c>
      <c r="D9" s="216">
        <v>555500</v>
      </c>
      <c r="E9" s="216">
        <v>124735</v>
      </c>
    </row>
    <row r="10" spans="1:5" x14ac:dyDescent="0.25">
      <c r="A10" s="234" t="s">
        <v>205</v>
      </c>
      <c r="B10" s="215" t="s">
        <v>230</v>
      </c>
      <c r="C10" s="89" t="s">
        <v>206</v>
      </c>
      <c r="D10" s="216">
        <v>1150000</v>
      </c>
      <c r="E10" s="216">
        <v>259199</v>
      </c>
    </row>
    <row r="11" spans="1:5" x14ac:dyDescent="0.25">
      <c r="A11" s="234" t="s">
        <v>210</v>
      </c>
      <c r="B11" s="215" t="s">
        <v>231</v>
      </c>
      <c r="C11" s="89" t="s">
        <v>195</v>
      </c>
      <c r="D11" s="216">
        <v>517599</v>
      </c>
      <c r="E11" s="216">
        <v>116220</v>
      </c>
    </row>
    <row r="12" spans="1:5" x14ac:dyDescent="0.25">
      <c r="A12" s="234" t="s">
        <v>192</v>
      </c>
      <c r="B12" s="215" t="s">
        <v>234</v>
      </c>
      <c r="C12" s="89" t="s">
        <v>250</v>
      </c>
      <c r="D12" s="216">
        <v>721000</v>
      </c>
      <c r="E12" s="216">
        <v>148330</v>
      </c>
    </row>
    <row r="13" spans="1:5" x14ac:dyDescent="0.25">
      <c r="A13" s="234" t="s">
        <v>246</v>
      </c>
      <c r="B13" s="215" t="s">
        <v>247</v>
      </c>
      <c r="C13" s="89" t="s">
        <v>206</v>
      </c>
      <c r="D13" s="216">
        <v>150800</v>
      </c>
      <c r="E13" s="216"/>
    </row>
    <row r="14" spans="1:5" x14ac:dyDescent="0.25">
      <c r="A14" s="234" t="s">
        <v>251</v>
      </c>
      <c r="B14" s="215" t="s">
        <v>252</v>
      </c>
      <c r="C14" s="89" t="s">
        <v>194</v>
      </c>
      <c r="D14" s="216">
        <v>700000</v>
      </c>
      <c r="E14" s="216">
        <v>91000</v>
      </c>
    </row>
    <row r="15" spans="1:5" x14ac:dyDescent="0.25">
      <c r="A15" s="234"/>
      <c r="B15" s="215"/>
      <c r="C15" s="89"/>
      <c r="D15" s="216"/>
      <c r="E15" s="216"/>
    </row>
    <row r="16" spans="1:5" x14ac:dyDescent="0.25">
      <c r="A16" s="234"/>
      <c r="B16" s="215"/>
      <c r="C16" s="89"/>
      <c r="D16" s="216"/>
      <c r="E16" s="216"/>
    </row>
    <row r="17" spans="1:5" x14ac:dyDescent="0.25">
      <c r="A17" s="217"/>
      <c r="B17" s="218"/>
      <c r="C17" s="89"/>
      <c r="D17" s="216"/>
      <c r="E17" s="216"/>
    </row>
    <row r="18" spans="1:5" x14ac:dyDescent="0.25">
      <c r="A18" s="215"/>
      <c r="B18" s="215"/>
      <c r="C18" s="89"/>
      <c r="D18" s="216"/>
      <c r="E18" s="216"/>
    </row>
    <row r="19" spans="1:5" x14ac:dyDescent="0.25">
      <c r="A19" s="217"/>
      <c r="B19" s="218"/>
      <c r="C19" s="89"/>
      <c r="D19" s="216"/>
      <c r="E19" s="216"/>
    </row>
    <row r="20" spans="1:5" x14ac:dyDescent="0.25">
      <c r="A20" s="215"/>
      <c r="B20" s="215"/>
      <c r="C20" s="89"/>
      <c r="D20" s="216"/>
      <c r="E20" s="216"/>
    </row>
    <row r="21" spans="1:5" x14ac:dyDescent="0.25">
      <c r="A21" s="217"/>
      <c r="B21" s="218"/>
      <c r="C21" s="89"/>
      <c r="D21" s="216"/>
      <c r="E21" s="216"/>
    </row>
    <row r="22" spans="1:5" x14ac:dyDescent="0.25">
      <c r="A22" s="215"/>
      <c r="B22" s="215"/>
      <c r="C22" s="89"/>
      <c r="D22" s="216"/>
      <c r="E22" s="216"/>
    </row>
    <row r="23" spans="1:5" x14ac:dyDescent="0.25">
      <c r="A23" s="218"/>
      <c r="B23" s="218"/>
      <c r="C23" s="89"/>
      <c r="D23" s="216"/>
      <c r="E23" s="216"/>
    </row>
    <row r="24" spans="1:5" x14ac:dyDescent="0.25">
      <c r="A24" s="217"/>
      <c r="B24" s="218"/>
      <c r="C24" s="89"/>
      <c r="D24" s="216"/>
      <c r="E24" s="216"/>
    </row>
    <row r="25" spans="1:5" x14ac:dyDescent="0.25">
      <c r="A25" s="215"/>
      <c r="B25" s="215"/>
      <c r="C25" s="89"/>
      <c r="D25" s="216"/>
      <c r="E25" s="216"/>
    </row>
    <row r="26" spans="1:5" x14ac:dyDescent="0.25">
      <c r="A26" s="217"/>
      <c r="B26" s="218"/>
      <c r="C26" s="89"/>
      <c r="D26" s="216"/>
      <c r="E26" s="216"/>
    </row>
    <row r="27" spans="1:5" x14ac:dyDescent="0.25">
      <c r="A27" s="215"/>
      <c r="B27" s="215"/>
      <c r="C27" s="89"/>
      <c r="D27" s="216"/>
      <c r="E27" s="216"/>
    </row>
    <row r="28" spans="1:5" x14ac:dyDescent="0.25">
      <c r="A28" s="217"/>
      <c r="B28" s="218"/>
      <c r="C28" s="89"/>
      <c r="D28" s="216"/>
      <c r="E28" s="216"/>
    </row>
    <row r="29" spans="1:5" x14ac:dyDescent="0.25">
      <c r="A29" s="215"/>
      <c r="B29" s="215"/>
      <c r="C29" s="89"/>
      <c r="D29" s="216"/>
      <c r="E29" s="216"/>
    </row>
    <row r="30" spans="1:5" x14ac:dyDescent="0.25">
      <c r="A30" s="218"/>
      <c r="B30" s="218"/>
      <c r="C30" s="89"/>
      <c r="D30" s="216"/>
      <c r="E30" s="216"/>
    </row>
    <row r="31" spans="1:5" x14ac:dyDescent="0.25">
      <c r="A31" s="217"/>
      <c r="B31" s="218"/>
      <c r="C31" s="89"/>
      <c r="D31" s="216"/>
      <c r="E31" s="2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Összesítő_Terv-tény</vt:lpstr>
      <vt:lpstr>Bérköltség</vt:lpstr>
      <vt:lpstr>Dologi_felhalm.</vt:lpstr>
      <vt:lpstr>EPTK költségvetés export fájl</vt:lpstr>
      <vt:lpstr>Hónapok</vt:lpstr>
      <vt:lpstr>Admin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2020-02-13T08:37:49Z</cp:lastPrinted>
  <dcterms:created xsi:type="dcterms:W3CDTF">2012-04-12T14:47:49Z</dcterms:created>
  <dcterms:modified xsi:type="dcterms:W3CDTF">2023-06-05T12:03:24Z</dcterms:modified>
</cp:coreProperties>
</file>