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Munka\!PROJEKTEK\ERASMUS\ERASMUS_GTK\SKIPPER_KA220-HED-000086240\"/>
    </mc:Choice>
  </mc:AlternateContent>
  <xr:revisionPtr revIDLastSave="0" documentId="13_ncr:1_{91D510B0-7019-4E2B-BEAA-F43A016251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érköltség" sheetId="17" r:id="rId1"/>
    <sheet name="Dologi_Felhalm." sheetId="13" r:id="rId2"/>
    <sheet name="Monitoring" sheetId="19" r:id="rId3"/>
    <sheet name="Hónapok" sheetId="20" r:id="rId4"/>
    <sheet name="Havi béradatok" sheetId="21" r:id="rId5"/>
  </sheets>
  <definedNames>
    <definedName name="_xlnm._FilterDatabase" localSheetId="0" hidden="1">Bérköltség!$A$5:$X$105</definedName>
    <definedName name="_xlnm._FilterDatabase" localSheetId="1" hidden="1">Dologi_Felhalm.!$A$9:$I$52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8" i="17" l="1"/>
  <c r="M58" i="17"/>
  <c r="N58" i="17" s="1"/>
  <c r="I58" i="17"/>
  <c r="P58" i="17" s="1"/>
  <c r="H58" i="17"/>
  <c r="O57" i="17"/>
  <c r="P57" i="17" s="1"/>
  <c r="M57" i="17"/>
  <c r="N57" i="17" s="1"/>
  <c r="I57" i="17"/>
  <c r="H57" i="17"/>
  <c r="O56" i="17"/>
  <c r="P56" i="17" s="1"/>
  <c r="M56" i="17"/>
  <c r="N56" i="17" s="1"/>
  <c r="I56" i="17"/>
  <c r="H56" i="17"/>
  <c r="P55" i="17"/>
  <c r="O55" i="17"/>
  <c r="M55" i="17"/>
  <c r="N55" i="17" s="1"/>
  <c r="I55" i="17"/>
  <c r="H55" i="17"/>
  <c r="O54" i="17"/>
  <c r="P54" i="17" s="1"/>
  <c r="M54" i="17"/>
  <c r="N54" i="17" s="1"/>
  <c r="I54" i="17"/>
  <c r="H54" i="17"/>
  <c r="P53" i="17"/>
  <c r="O53" i="17"/>
  <c r="M53" i="17"/>
  <c r="N53" i="17" s="1"/>
  <c r="I53" i="17"/>
  <c r="H53" i="17"/>
  <c r="O48" i="17"/>
  <c r="M48" i="17"/>
  <c r="N48" i="17" s="1"/>
  <c r="I48" i="17"/>
  <c r="H48" i="17"/>
  <c r="O47" i="17"/>
  <c r="M47" i="17"/>
  <c r="N47" i="17" s="1"/>
  <c r="I47" i="17"/>
  <c r="H47" i="17"/>
  <c r="O46" i="17"/>
  <c r="M46" i="17"/>
  <c r="N46" i="17" s="1"/>
  <c r="I46" i="17"/>
  <c r="H46" i="17"/>
  <c r="O45" i="17"/>
  <c r="M45" i="17"/>
  <c r="N45" i="17" s="1"/>
  <c r="I45" i="17"/>
  <c r="H45" i="17"/>
  <c r="O44" i="17"/>
  <c r="M44" i="17"/>
  <c r="N44" i="17" s="1"/>
  <c r="I44" i="17"/>
  <c r="H44" i="17"/>
  <c r="O43" i="17"/>
  <c r="M43" i="17"/>
  <c r="N43" i="17" s="1"/>
  <c r="I43" i="17"/>
  <c r="H43" i="17"/>
  <c r="O82" i="17"/>
  <c r="M82" i="17"/>
  <c r="N82" i="17" s="1"/>
  <c r="I82" i="17"/>
  <c r="H82" i="17"/>
  <c r="O81" i="17"/>
  <c r="M81" i="17"/>
  <c r="N81" i="17" s="1"/>
  <c r="I81" i="17"/>
  <c r="H81" i="17"/>
  <c r="O18" i="17"/>
  <c r="M18" i="17"/>
  <c r="N18" i="17" s="1"/>
  <c r="I18" i="17"/>
  <c r="H18" i="17"/>
  <c r="O17" i="17"/>
  <c r="M17" i="17"/>
  <c r="N17" i="17" s="1"/>
  <c r="I17" i="17"/>
  <c r="H17" i="17"/>
  <c r="O64" i="17"/>
  <c r="M64" i="17"/>
  <c r="N64" i="17" s="1"/>
  <c r="I64" i="17"/>
  <c r="H64" i="17"/>
  <c r="O63" i="17"/>
  <c r="M63" i="17"/>
  <c r="N63" i="17" s="1"/>
  <c r="I63" i="17"/>
  <c r="H63" i="17"/>
  <c r="O94" i="17"/>
  <c r="M94" i="17"/>
  <c r="N94" i="17" s="1"/>
  <c r="I94" i="17"/>
  <c r="H94" i="17"/>
  <c r="O93" i="17"/>
  <c r="M93" i="17"/>
  <c r="N93" i="17" s="1"/>
  <c r="I93" i="17"/>
  <c r="H93" i="17"/>
  <c r="O88" i="17"/>
  <c r="M88" i="17"/>
  <c r="N88" i="17" s="1"/>
  <c r="I88" i="17"/>
  <c r="H88" i="17"/>
  <c r="O87" i="17"/>
  <c r="M87" i="17"/>
  <c r="N87" i="17" s="1"/>
  <c r="I87" i="17"/>
  <c r="H87" i="17"/>
  <c r="O70" i="17"/>
  <c r="M70" i="17"/>
  <c r="N70" i="17" s="1"/>
  <c r="I70" i="17"/>
  <c r="H70" i="17"/>
  <c r="O69" i="17"/>
  <c r="M69" i="17"/>
  <c r="N69" i="17" s="1"/>
  <c r="I69" i="17"/>
  <c r="H69" i="17"/>
  <c r="O12" i="17"/>
  <c r="M12" i="17"/>
  <c r="N12" i="17" s="1"/>
  <c r="I12" i="17"/>
  <c r="H12" i="17"/>
  <c r="O11" i="17"/>
  <c r="M11" i="17"/>
  <c r="N11" i="17" s="1"/>
  <c r="I11" i="17"/>
  <c r="H11" i="17"/>
  <c r="H61" i="17"/>
  <c r="X61" i="17" s="1"/>
  <c r="I61" i="17"/>
  <c r="M61" i="17"/>
  <c r="N61" i="17" s="1"/>
  <c r="O61" i="17"/>
  <c r="V61" i="17"/>
  <c r="W61" i="17"/>
  <c r="W91" i="17"/>
  <c r="V91" i="17"/>
  <c r="W85" i="17"/>
  <c r="V85" i="17"/>
  <c r="W79" i="17"/>
  <c r="V79" i="17"/>
  <c r="W73" i="17"/>
  <c r="V73" i="17"/>
  <c r="W67" i="17"/>
  <c r="V67" i="17"/>
  <c r="W51" i="17"/>
  <c r="V51" i="17"/>
  <c r="W41" i="17"/>
  <c r="V41" i="17"/>
  <c r="W35" i="17"/>
  <c r="V35" i="17"/>
  <c r="W29" i="17"/>
  <c r="V29" i="17"/>
  <c r="W21" i="17"/>
  <c r="V21" i="17"/>
  <c r="W15" i="17"/>
  <c r="V15" i="17"/>
  <c r="W9" i="17"/>
  <c r="V9" i="17"/>
  <c r="X2" i="17"/>
  <c r="W2" i="17"/>
  <c r="V2" i="17"/>
  <c r="O76" i="17"/>
  <c r="M76" i="17"/>
  <c r="N76" i="17" s="1"/>
  <c r="I76" i="17"/>
  <c r="H76" i="17"/>
  <c r="O75" i="17"/>
  <c r="M75" i="17"/>
  <c r="N75" i="17" s="1"/>
  <c r="I75" i="17"/>
  <c r="H75" i="17"/>
  <c r="O38" i="17"/>
  <c r="M38" i="17"/>
  <c r="N38" i="17" s="1"/>
  <c r="I38" i="17"/>
  <c r="H38" i="17"/>
  <c r="O37" i="17"/>
  <c r="M37" i="17"/>
  <c r="N37" i="17" s="1"/>
  <c r="I37" i="17"/>
  <c r="H37" i="17"/>
  <c r="W90" i="17"/>
  <c r="V90" i="17"/>
  <c r="W84" i="17"/>
  <c r="V84" i="17"/>
  <c r="W78" i="17"/>
  <c r="V78" i="17"/>
  <c r="W72" i="17"/>
  <c r="V72" i="17"/>
  <c r="W66" i="17"/>
  <c r="V66" i="17"/>
  <c r="W60" i="17"/>
  <c r="V60" i="17"/>
  <c r="W50" i="17"/>
  <c r="V50" i="17"/>
  <c r="W40" i="17"/>
  <c r="V40" i="17"/>
  <c r="W34" i="17"/>
  <c r="V34" i="17"/>
  <c r="W28" i="17"/>
  <c r="V28" i="17"/>
  <c r="W20" i="17"/>
  <c r="V20" i="17"/>
  <c r="W14" i="17"/>
  <c r="V14" i="17"/>
  <c r="W8" i="17"/>
  <c r="V8" i="17"/>
  <c r="O26" i="17"/>
  <c r="M26" i="17"/>
  <c r="N26" i="17" s="1"/>
  <c r="I26" i="17"/>
  <c r="H26" i="17"/>
  <c r="O25" i="17"/>
  <c r="M25" i="17"/>
  <c r="N25" i="17" s="1"/>
  <c r="I25" i="17"/>
  <c r="H25" i="17"/>
  <c r="O24" i="17"/>
  <c r="M24" i="17"/>
  <c r="N24" i="17" s="1"/>
  <c r="I24" i="17"/>
  <c r="H24" i="17"/>
  <c r="O23" i="17"/>
  <c r="M23" i="17"/>
  <c r="N23" i="17" s="1"/>
  <c r="I23" i="17"/>
  <c r="H23" i="17"/>
  <c r="O22" i="17"/>
  <c r="M22" i="17"/>
  <c r="N22" i="17" s="1"/>
  <c r="I22" i="17"/>
  <c r="H22" i="17"/>
  <c r="O21" i="17"/>
  <c r="M21" i="17"/>
  <c r="N21" i="17" s="1"/>
  <c r="I21" i="17"/>
  <c r="H21" i="17"/>
  <c r="X21" i="17" s="1"/>
  <c r="O68" i="17"/>
  <c r="M68" i="17"/>
  <c r="N68" i="17" s="1"/>
  <c r="I68" i="17"/>
  <c r="H68" i="17"/>
  <c r="O86" i="17"/>
  <c r="M86" i="17"/>
  <c r="N86" i="17" s="1"/>
  <c r="I86" i="17"/>
  <c r="H86" i="17"/>
  <c r="O85" i="17"/>
  <c r="M85" i="17"/>
  <c r="N85" i="17" s="1"/>
  <c r="I85" i="17"/>
  <c r="H85" i="17"/>
  <c r="X85" i="17" s="1"/>
  <c r="O92" i="17"/>
  <c r="M92" i="17"/>
  <c r="N92" i="17" s="1"/>
  <c r="I92" i="17"/>
  <c r="H92" i="17"/>
  <c r="O91" i="17"/>
  <c r="M91" i="17"/>
  <c r="N91" i="17" s="1"/>
  <c r="I91" i="17"/>
  <c r="H91" i="17"/>
  <c r="X91" i="17" s="1"/>
  <c r="O16" i="17"/>
  <c r="M16" i="17"/>
  <c r="N16" i="17" s="1"/>
  <c r="I16" i="17"/>
  <c r="H16" i="17"/>
  <c r="P43" i="17" l="1"/>
  <c r="P46" i="17"/>
  <c r="P44" i="17"/>
  <c r="P47" i="17"/>
  <c r="P45" i="17"/>
  <c r="P48" i="17"/>
  <c r="P17" i="17"/>
  <c r="P82" i="17"/>
  <c r="P63" i="17"/>
  <c r="P18" i="17"/>
  <c r="P64" i="17"/>
  <c r="P81" i="17"/>
  <c r="P70" i="17"/>
  <c r="P87" i="17"/>
  <c r="P94" i="17"/>
  <c r="P93" i="17"/>
  <c r="P88" i="17"/>
  <c r="P12" i="17"/>
  <c r="P69" i="17"/>
  <c r="P11" i="17"/>
  <c r="P61" i="17"/>
  <c r="P75" i="17"/>
  <c r="P38" i="17"/>
  <c r="P76" i="17"/>
  <c r="P37" i="17"/>
  <c r="P21" i="17"/>
  <c r="P23" i="17"/>
  <c r="P26" i="17"/>
  <c r="P24" i="17"/>
  <c r="P22" i="17"/>
  <c r="P25" i="17"/>
  <c r="P86" i="17"/>
  <c r="P92" i="17"/>
  <c r="P68" i="17"/>
  <c r="P85" i="17"/>
  <c r="P16" i="17"/>
  <c r="P91" i="17"/>
  <c r="O15" i="17"/>
  <c r="M15" i="17"/>
  <c r="N15" i="17" s="1"/>
  <c r="I15" i="17"/>
  <c r="H15" i="17"/>
  <c r="X15" i="17" s="1"/>
  <c r="O36" i="17"/>
  <c r="M36" i="17"/>
  <c r="N36" i="17" s="1"/>
  <c r="I36" i="17"/>
  <c r="H36" i="17"/>
  <c r="O35" i="17"/>
  <c r="M35" i="17"/>
  <c r="N35" i="17" s="1"/>
  <c r="I35" i="17"/>
  <c r="H35" i="17"/>
  <c r="X35" i="17" s="1"/>
  <c r="O62" i="17"/>
  <c r="M62" i="17"/>
  <c r="N62" i="17" s="1"/>
  <c r="I62" i="17"/>
  <c r="H62" i="17"/>
  <c r="P36" i="17" l="1"/>
  <c r="P35" i="17"/>
  <c r="P15" i="17"/>
  <c r="P62" i="17"/>
  <c r="O34" i="17"/>
  <c r="M34" i="17"/>
  <c r="N34" i="17" s="1"/>
  <c r="I34" i="17"/>
  <c r="H34" i="17"/>
  <c r="X34" i="17" s="1"/>
  <c r="M99" i="17"/>
  <c r="N99" i="17" s="1"/>
  <c r="M100" i="17"/>
  <c r="N100" i="17" s="1"/>
  <c r="M101" i="17"/>
  <c r="N101" i="17" s="1"/>
  <c r="M102" i="17"/>
  <c r="N102" i="17" s="1"/>
  <c r="M103" i="17"/>
  <c r="N103" i="17" s="1"/>
  <c r="M104" i="17"/>
  <c r="N104" i="17" s="1"/>
  <c r="M105" i="17"/>
  <c r="N105" i="17" s="1"/>
  <c r="N95" i="17"/>
  <c r="N96" i="17"/>
  <c r="N97" i="17"/>
  <c r="L109" i="17"/>
  <c r="O14" i="17"/>
  <c r="M14" i="17"/>
  <c r="N14" i="17" s="1"/>
  <c r="I14" i="17"/>
  <c r="H14" i="17"/>
  <c r="X14" i="17" s="1"/>
  <c r="O13" i="17"/>
  <c r="M13" i="17"/>
  <c r="N13" i="17" s="1"/>
  <c r="I13" i="17"/>
  <c r="H13" i="17"/>
  <c r="O90" i="17"/>
  <c r="M90" i="17"/>
  <c r="N90" i="17" s="1"/>
  <c r="I90" i="17"/>
  <c r="H90" i="17"/>
  <c r="X90" i="17" s="1"/>
  <c r="O89" i="17"/>
  <c r="M89" i="17"/>
  <c r="N89" i="17" s="1"/>
  <c r="I89" i="17"/>
  <c r="H89" i="17"/>
  <c r="O84" i="17"/>
  <c r="M84" i="17"/>
  <c r="N84" i="17" s="1"/>
  <c r="I84" i="17"/>
  <c r="H84" i="17"/>
  <c r="X84" i="17" s="1"/>
  <c r="O83" i="17"/>
  <c r="M83" i="17"/>
  <c r="N83" i="17" s="1"/>
  <c r="I83" i="17"/>
  <c r="H83" i="17"/>
  <c r="O60" i="17"/>
  <c r="M60" i="17"/>
  <c r="N60" i="17" s="1"/>
  <c r="I60" i="17"/>
  <c r="H60" i="17"/>
  <c r="X60" i="17" s="1"/>
  <c r="O59" i="17"/>
  <c r="M59" i="17"/>
  <c r="N59" i="17" s="1"/>
  <c r="I59" i="17"/>
  <c r="H59" i="17"/>
  <c r="O74" i="17"/>
  <c r="M74" i="17"/>
  <c r="N74" i="17" s="1"/>
  <c r="I74" i="17"/>
  <c r="H74" i="17"/>
  <c r="O73" i="17"/>
  <c r="M73" i="17"/>
  <c r="N73" i="17" s="1"/>
  <c r="I73" i="17"/>
  <c r="H73" i="17"/>
  <c r="X73" i="17" s="1"/>
  <c r="O72" i="17"/>
  <c r="M72" i="17"/>
  <c r="N72" i="17" s="1"/>
  <c r="I72" i="17"/>
  <c r="H72" i="17"/>
  <c r="X72" i="17" s="1"/>
  <c r="O71" i="17"/>
  <c r="M71" i="17"/>
  <c r="N71" i="17" s="1"/>
  <c r="I71" i="17"/>
  <c r="H71" i="17"/>
  <c r="O42" i="17"/>
  <c r="M42" i="17"/>
  <c r="N42" i="17" s="1"/>
  <c r="I42" i="17"/>
  <c r="H42" i="17"/>
  <c r="O41" i="17"/>
  <c r="M41" i="17"/>
  <c r="N41" i="17" s="1"/>
  <c r="I41" i="17"/>
  <c r="H41" i="17"/>
  <c r="X41" i="17" s="1"/>
  <c r="O40" i="17"/>
  <c r="M40" i="17"/>
  <c r="N40" i="17" s="1"/>
  <c r="I40" i="17"/>
  <c r="H40" i="17"/>
  <c r="X40" i="17" s="1"/>
  <c r="O52" i="17"/>
  <c r="M52" i="17"/>
  <c r="N52" i="17" s="1"/>
  <c r="I52" i="17"/>
  <c r="H52" i="17"/>
  <c r="O51" i="17"/>
  <c r="M51" i="17"/>
  <c r="N51" i="17" s="1"/>
  <c r="I51" i="17"/>
  <c r="H51" i="17"/>
  <c r="X51" i="17" s="1"/>
  <c r="O50" i="17"/>
  <c r="M50" i="17"/>
  <c r="N50" i="17" s="1"/>
  <c r="I50" i="17"/>
  <c r="H50" i="17"/>
  <c r="X50" i="17" s="1"/>
  <c r="O49" i="17"/>
  <c r="M49" i="17"/>
  <c r="N49" i="17" s="1"/>
  <c r="I49" i="17"/>
  <c r="H49" i="17"/>
  <c r="O39" i="17"/>
  <c r="M39" i="17"/>
  <c r="N39" i="17" s="1"/>
  <c r="I39" i="17"/>
  <c r="H39" i="17"/>
  <c r="O32" i="17"/>
  <c r="M32" i="17"/>
  <c r="N32" i="17" s="1"/>
  <c r="I32" i="17"/>
  <c r="H32" i="17"/>
  <c r="O31" i="17"/>
  <c r="M31" i="17"/>
  <c r="N31" i="17" s="1"/>
  <c r="I31" i="17"/>
  <c r="H31" i="17"/>
  <c r="O30" i="17"/>
  <c r="M30" i="17"/>
  <c r="N30" i="17" s="1"/>
  <c r="I30" i="17"/>
  <c r="H30" i="17"/>
  <c r="O29" i="17"/>
  <c r="M29" i="17"/>
  <c r="N29" i="17" s="1"/>
  <c r="I29" i="17"/>
  <c r="H29" i="17"/>
  <c r="X29" i="17" s="1"/>
  <c r="O28" i="17"/>
  <c r="M28" i="17"/>
  <c r="N28" i="17" s="1"/>
  <c r="I28" i="17"/>
  <c r="H28" i="17"/>
  <c r="X28" i="17" s="1"/>
  <c r="O20" i="17"/>
  <c r="M20" i="17"/>
  <c r="N20" i="17" s="1"/>
  <c r="I20" i="17"/>
  <c r="H20" i="17"/>
  <c r="X20" i="17" s="1"/>
  <c r="O19" i="17"/>
  <c r="M19" i="17"/>
  <c r="N19" i="17" s="1"/>
  <c r="I19" i="17"/>
  <c r="H19" i="17"/>
  <c r="O67" i="17"/>
  <c r="M67" i="17"/>
  <c r="N67" i="17" s="1"/>
  <c r="I67" i="17"/>
  <c r="H67" i="17"/>
  <c r="X67" i="17" s="1"/>
  <c r="O66" i="17"/>
  <c r="M66" i="17"/>
  <c r="N66" i="17" s="1"/>
  <c r="I66" i="17"/>
  <c r="H66" i="17"/>
  <c r="X66" i="17" s="1"/>
  <c r="O65" i="17"/>
  <c r="M65" i="17"/>
  <c r="N65" i="17" s="1"/>
  <c r="I65" i="17"/>
  <c r="H65" i="17"/>
  <c r="O33" i="17"/>
  <c r="M33" i="17"/>
  <c r="N33" i="17" s="1"/>
  <c r="I33" i="17"/>
  <c r="H33" i="17"/>
  <c r="O10" i="17"/>
  <c r="M10" i="17"/>
  <c r="N10" i="17" s="1"/>
  <c r="I10" i="17"/>
  <c r="H10" i="17"/>
  <c r="O9" i="17"/>
  <c r="M9" i="17"/>
  <c r="I9" i="17"/>
  <c r="H9" i="17"/>
  <c r="X9" i="17" s="1"/>
  <c r="O8" i="17"/>
  <c r="M8" i="17"/>
  <c r="N8" i="17" s="1"/>
  <c r="I8" i="17"/>
  <c r="H8" i="17"/>
  <c r="X8" i="17" s="1"/>
  <c r="I7" i="17"/>
  <c r="H7" i="17"/>
  <c r="I27" i="17"/>
  <c r="H27" i="17"/>
  <c r="O80" i="17"/>
  <c r="M80" i="17"/>
  <c r="N80" i="17" s="1"/>
  <c r="I80" i="17"/>
  <c r="H80" i="17"/>
  <c r="O79" i="17"/>
  <c r="M79" i="17"/>
  <c r="N79" i="17" s="1"/>
  <c r="I79" i="17"/>
  <c r="H79" i="17"/>
  <c r="X79" i="17" s="1"/>
  <c r="O78" i="17"/>
  <c r="M78" i="17"/>
  <c r="N78" i="17" s="1"/>
  <c r="I78" i="17"/>
  <c r="H78" i="17"/>
  <c r="X78" i="17" s="1"/>
  <c r="N9" i="17" l="1"/>
  <c r="I4" i="19"/>
  <c r="P34" i="17"/>
  <c r="P13" i="17"/>
  <c r="P14" i="17"/>
  <c r="P74" i="17"/>
  <c r="P90" i="17"/>
  <c r="P60" i="17"/>
  <c r="P73" i="17"/>
  <c r="P84" i="17"/>
  <c r="P89" i="17"/>
  <c r="P83" i="17"/>
  <c r="P59" i="17"/>
  <c r="P72" i="17"/>
  <c r="P71" i="17"/>
  <c r="P52" i="17"/>
  <c r="P51" i="17"/>
  <c r="P41" i="17"/>
  <c r="P50" i="17"/>
  <c r="P40" i="17"/>
  <c r="P49" i="17"/>
  <c r="P42" i="17"/>
  <c r="P28" i="17"/>
  <c r="P32" i="17"/>
  <c r="P39" i="17"/>
  <c r="P67" i="17"/>
  <c r="P29" i="17"/>
  <c r="P31" i="17"/>
  <c r="P20" i="17"/>
  <c r="P30" i="17"/>
  <c r="P19" i="17"/>
  <c r="P66" i="17"/>
  <c r="P65" i="17"/>
  <c r="P10" i="17"/>
  <c r="P9" i="17"/>
  <c r="P80" i="17"/>
  <c r="P33" i="17"/>
  <c r="P8" i="17"/>
  <c r="M7" i="17"/>
  <c r="O7" i="17"/>
  <c r="P7" i="17" s="1"/>
  <c r="P79" i="17"/>
  <c r="P78" i="17"/>
  <c r="O27" i="17"/>
  <c r="P27" i="17" s="1"/>
  <c r="M27" i="17"/>
  <c r="N27" i="17" s="1"/>
  <c r="N7" i="17" l="1"/>
  <c r="I77" i="17"/>
  <c r="H77" i="17"/>
  <c r="H6" i="17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O77" i="17" l="1"/>
  <c r="P77" i="17" s="1"/>
  <c r="M77" i="17"/>
  <c r="I3" i="19" s="1"/>
  <c r="G50" i="13"/>
  <c r="G49" i="13"/>
  <c r="G48" i="13"/>
  <c r="G47" i="13"/>
  <c r="G46" i="13"/>
  <c r="G45" i="13"/>
  <c r="G44" i="13"/>
  <c r="G52" i="13"/>
  <c r="G51" i="13"/>
  <c r="N77" i="17" l="1"/>
  <c r="N109" i="17" s="1"/>
  <c r="M109" i="17"/>
  <c r="I6" i="17"/>
  <c r="C6" i="19" l="1"/>
  <c r="B9" i="19"/>
  <c r="B10" i="19" s="1"/>
  <c r="D7" i="19"/>
  <c r="C7" i="19"/>
  <c r="D6" i="19"/>
  <c r="D5" i="19"/>
  <c r="D4" i="19"/>
  <c r="C4" i="19"/>
  <c r="C5" i="19" l="1"/>
  <c r="E5" i="19" s="1"/>
  <c r="E7" i="19"/>
  <c r="E4" i="19"/>
  <c r="E6" i="19"/>
  <c r="O6" i="17" l="1"/>
  <c r="P6" i="17" l="1"/>
  <c r="D9" i="19" l="1"/>
  <c r="G53" i="13"/>
  <c r="O105" i="17" l="1"/>
  <c r="P105" i="17" s="1"/>
  <c r="O104" i="17"/>
  <c r="P104" i="17" s="1"/>
  <c r="O103" i="17"/>
  <c r="P103" i="17" s="1"/>
  <c r="O102" i="17"/>
  <c r="P102" i="17" s="1"/>
  <c r="O101" i="17"/>
  <c r="P101" i="17" s="1"/>
  <c r="O100" i="17"/>
  <c r="P100" i="17" s="1"/>
  <c r="O99" i="17"/>
  <c r="P99" i="17" s="1"/>
  <c r="F53" i="13"/>
  <c r="B19" i="19" l="1"/>
  <c r="B20" i="19" l="1"/>
  <c r="B22" i="19" s="1"/>
  <c r="C9" i="19" l="1"/>
  <c r="E9" i="1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Domján Gábor</author>
  </authors>
  <commentList>
    <comment ref="W2" authorId="0" shapeId="0" xr:uid="{441B0007-43E7-4D6B-889F-D3E197B4FB1A}">
      <text>
        <r>
          <rPr>
            <b/>
            <sz val="9"/>
            <color indexed="81"/>
            <rFont val="Tahoma"/>
            <family val="2"/>
            <charset val="238"/>
          </rPr>
          <t>Ha mínusz 1-2 forint az eltérés, akkor én lecsökkentem a bruttó bért annyival. Ha plusz 1-2 forint, akkor marad az alaplevél szerinti bére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34" authorId="0" shapeId="0" xr:uid="{111B7221-B643-40FA-8900-E15691211F0C}">
      <text>
        <r>
          <rPr>
            <b/>
            <sz val="9"/>
            <color indexed="81"/>
            <rFont val="Tahoma"/>
            <family val="2"/>
            <charset val="238"/>
          </rPr>
          <t>betegszabi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<sst xmlns="http://schemas.openxmlformats.org/spreadsheetml/2006/main" count="815" uniqueCount="158">
  <si>
    <t>résztvevő</t>
  </si>
  <si>
    <t>projekt pozíció</t>
  </si>
  <si>
    <t>óra</t>
  </si>
  <si>
    <t>bér arány</t>
  </si>
  <si>
    <t>ÖSSZESEN</t>
  </si>
  <si>
    <t>időszak</t>
  </si>
  <si>
    <t>Összeg</t>
  </si>
  <si>
    <t>Költségsor</t>
  </si>
  <si>
    <t>Szállító</t>
  </si>
  <si>
    <t>Megnevezés</t>
  </si>
  <si>
    <t>Tény/kötváll</t>
  </si>
  <si>
    <t>Tény</t>
  </si>
  <si>
    <t>Megjegyzés</t>
  </si>
  <si>
    <t>elszámolt bruttó</t>
  </si>
  <si>
    <t>Tény/Köt. váll.</t>
  </si>
  <si>
    <t>Köt. váll.</t>
  </si>
  <si>
    <t>Kifizetési kérelem</t>
  </si>
  <si>
    <t>EUR</t>
  </si>
  <si>
    <t>MEGBÍZÁSI SZERZŐDÉSEK</t>
  </si>
  <si>
    <t>NR</t>
  </si>
  <si>
    <t>Iktatószám (sorszám)</t>
  </si>
  <si>
    <t>Futamidő:</t>
  </si>
  <si>
    <t>Költségvetés</t>
  </si>
  <si>
    <t>Total:</t>
  </si>
  <si>
    <t xml:space="preserve">Központi </t>
  </si>
  <si>
    <t>bruttó bér</t>
  </si>
  <si>
    <t>munkában</t>
  </si>
  <si>
    <t>munkaidő</t>
  </si>
  <si>
    <t xml:space="preserve">Szakmai megvalósításban </t>
  </si>
  <si>
    <t>témaszám</t>
  </si>
  <si>
    <t>komp.</t>
  </si>
  <si>
    <t>töltött</t>
  </si>
  <si>
    <t>elszámolt</t>
  </si>
  <si>
    <t>elszámolt bér</t>
  </si>
  <si>
    <t>közreműködő munkatársak (Név)</t>
  </si>
  <si>
    <t>(Hónap)</t>
  </si>
  <si>
    <t>(számfejtés)</t>
  </si>
  <si>
    <t>nélkül</t>
  </si>
  <si>
    <t>arány</t>
  </si>
  <si>
    <t>bér</t>
  </si>
  <si>
    <t>járulék</t>
  </si>
  <si>
    <t>különbsége</t>
  </si>
  <si>
    <t>okmány</t>
  </si>
  <si>
    <t>Kinevezés</t>
  </si>
  <si>
    <t>szerződés</t>
  </si>
  <si>
    <t>elkészült?</t>
  </si>
  <si>
    <t>Project management</t>
  </si>
  <si>
    <t>Euróban</t>
  </si>
  <si>
    <t>Felhasználás forintban</t>
  </si>
  <si>
    <t xml:space="preserve">Euróban  </t>
  </si>
  <si>
    <t>összesen</t>
  </si>
  <si>
    <t>Árfolyam</t>
  </si>
  <si>
    <t>Ft / EUR</t>
  </si>
  <si>
    <t>Árfolyam dátuma</t>
  </si>
  <si>
    <t>Felhasználás - bér</t>
  </si>
  <si>
    <t>Felhasználás - dologi</t>
  </si>
  <si>
    <t>Maradvány</t>
  </si>
  <si>
    <t>Támogatás</t>
  </si>
  <si>
    <t>alaplevél dátuma</t>
  </si>
  <si>
    <t>Szociális</t>
  </si>
  <si>
    <t xml:space="preserve">hozzájárulási </t>
  </si>
  <si>
    <t>adó mértéke</t>
  </si>
  <si>
    <t xml:space="preserve">havi </t>
  </si>
  <si>
    <t>projekt</t>
  </si>
  <si>
    <t>2023.01</t>
  </si>
  <si>
    <t>2023.02</t>
  </si>
  <si>
    <t>2023.03</t>
  </si>
  <si>
    <t>2023.04</t>
  </si>
  <si>
    <t>2023.05</t>
  </si>
  <si>
    <t>Forintban (árf. Függő)</t>
  </si>
  <si>
    <t>A021100000</t>
  </si>
  <si>
    <t>A011110000</t>
  </si>
  <si>
    <t>1. támogatási részlet (80%)</t>
  </si>
  <si>
    <t>i</t>
  </si>
  <si>
    <t>A061110000</t>
  </si>
  <si>
    <t>Projekt</t>
  </si>
  <si>
    <t>pénzügyi központ</t>
  </si>
  <si>
    <t>terhelés</t>
  </si>
  <si>
    <t>Dolgozó</t>
  </si>
  <si>
    <t>adóazonosító</t>
  </si>
  <si>
    <t>teljes bér</t>
  </si>
  <si>
    <t>jár.</t>
  </si>
  <si>
    <t>Témaszám</t>
  </si>
  <si>
    <t>Bér</t>
  </si>
  <si>
    <t>Járulék</t>
  </si>
  <si>
    <t>eltérés</t>
  </si>
  <si>
    <t>Név</t>
  </si>
  <si>
    <t>Adóazonosító</t>
  </si>
  <si>
    <t>Számfejtés</t>
  </si>
  <si>
    <t>SKIPPER - A017600072</t>
  </si>
  <si>
    <t>A017600072</t>
  </si>
  <si>
    <t>2023.06</t>
  </si>
  <si>
    <t>2023.07</t>
  </si>
  <si>
    <t>2023.08</t>
  </si>
  <si>
    <t>2023.09</t>
  </si>
  <si>
    <t>2023.10</t>
  </si>
  <si>
    <t>2023.11</t>
  </si>
  <si>
    <t>2023.12</t>
  </si>
  <si>
    <t>2024.01</t>
  </si>
  <si>
    <t>2024.02</t>
  </si>
  <si>
    <t>2024.03</t>
  </si>
  <si>
    <t>2024.04</t>
  </si>
  <si>
    <t>2024.05</t>
  </si>
  <si>
    <t>2024.06</t>
  </si>
  <si>
    <t>2024.07</t>
  </si>
  <si>
    <t>2024.08</t>
  </si>
  <si>
    <t>2024.09</t>
  </si>
  <si>
    <t>2024.10</t>
  </si>
  <si>
    <t>2024.11</t>
  </si>
  <si>
    <t>2024.12</t>
  </si>
  <si>
    <t>2025.01</t>
  </si>
  <si>
    <t>2025.02</t>
  </si>
  <si>
    <t>2025.03</t>
  </si>
  <si>
    <t>WP2</t>
  </si>
  <si>
    <t>WP3</t>
  </si>
  <si>
    <t>WP4</t>
  </si>
  <si>
    <t>A041100000</t>
  </si>
  <si>
    <t>Tobak Júlia</t>
  </si>
  <si>
    <t>Kigyós Tamás</t>
  </si>
  <si>
    <t>Csizmadia Tibor</t>
  </si>
  <si>
    <t>Madarász Eszter</t>
  </si>
  <si>
    <t>Raffay-Danyi Ágnes Nóra</t>
  </si>
  <si>
    <t>Iván Katalin</t>
  </si>
  <si>
    <t>Nánási Barbara</t>
  </si>
  <si>
    <t>Sasné Dr. Grósz Annamária</t>
  </si>
  <si>
    <t>Németh Eszter Júlia</t>
  </si>
  <si>
    <t>A041110000</t>
  </si>
  <si>
    <t>Vámosi Réka</t>
  </si>
  <si>
    <t>Fehérvölgyi Beáta</t>
  </si>
  <si>
    <t>Vámosi Réka 2022.12.02-i emailje alapján.</t>
  </si>
  <si>
    <t>Allegro Cafe Kft.</t>
  </si>
  <si>
    <t>catering szolgáltatás kickoff meetingre</t>
  </si>
  <si>
    <t>8426803148</t>
  </si>
  <si>
    <t>Vámosi Réka Mária</t>
  </si>
  <si>
    <t>8414381804</t>
  </si>
  <si>
    <t>Dr. Csizmadia Tibor Gábor</t>
  </si>
  <si>
    <t>8396640823</t>
  </si>
  <si>
    <t>Dr. Fehérvölgyi Beáta</t>
  </si>
  <si>
    <t>8398703792</t>
  </si>
  <si>
    <t>Dr. Madarász Eszter</t>
  </si>
  <si>
    <t>8402144543</t>
  </si>
  <si>
    <t>Dr. Raffay-Danyi Ágnes Nóra</t>
  </si>
  <si>
    <t>8395384386</t>
  </si>
  <si>
    <t>8382142222</t>
  </si>
  <si>
    <t>Kigyós Tamás Attila</t>
  </si>
  <si>
    <t>8431812710</t>
  </si>
  <si>
    <t>8403794029</t>
  </si>
  <si>
    <t>8473390040</t>
  </si>
  <si>
    <t>Dr. Tobak Júlia</t>
  </si>
  <si>
    <t>8451923488</t>
  </si>
  <si>
    <t>EGYEZIK</t>
  </si>
  <si>
    <t>5100012030</t>
  </si>
  <si>
    <t>Összes Tény</t>
  </si>
  <si>
    <t>Összes Kötváll</t>
  </si>
  <si>
    <t>A017600065</t>
  </si>
  <si>
    <t>Hónap</t>
  </si>
  <si>
    <t>Kihagyás</t>
  </si>
  <si>
    <t>Terhelés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</si>
</sst>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* #,##0.00\ &quot;Ft&quot;_-;\-* #,##0.00\ &quot;Ft&quot;_-;_-* &quot;-&quot;??\ &quot;Ft&quot;_-;_-@_-"/>
    <numFmt numFmtId="164" formatCode="_-* #,##0.00\ _F_t_-;\-* #,##0.00\ _F_t_-;_-* &quot;-&quot;??\ _F_t_-;_-@_-"/>
    <numFmt numFmtId="165" formatCode="_-* #,##0\ _F_t_-;\-* #,##0\ _F_t_-;_-* &quot;-&quot;??\ _F_t_-;_-@_-"/>
    <numFmt numFmtId="166" formatCode="#,##0\ &quot;Ft&quot;"/>
    <numFmt numFmtId="167" formatCode="_-* #,##0.00\ [$€-1]_-;\-* #,##0.00\ [$€-1]_-;_-* &quot;-&quot;??\ [$€-1]_-;_-@_-"/>
    <numFmt numFmtId="168" formatCode="_-* #,##0\ [$Ft-40E]_-;\-* #,##0\ [$Ft-40E]_-;_-* &quot;-&quot;??\ [$Ft-40E]_-;_-@_-"/>
    <numFmt numFmtId="169" formatCode="_-* #,##0\ &quot;Ft&quot;_-;\-* #,##0\ &quot;Ft&quot;_-;_-* &quot;-&quot;??\ &quot;Ft&quot;_-;_-@_-"/>
    <numFmt numFmtId="170" formatCode="_-* #,##0\ [$€-1]_-;\-* #,##0\ [$€-1]_-;_-* &quot;-&quot;??\ [$€-1]_-;_-@_-"/>
    <numFmt numFmtId="171" formatCode="_-* #,##0_-;\-* #,##0_-;_-* &quot;-&quot;??_-;_-@_-"/>
    <numFmt numFmtId="172" formatCode="#,##0.00\ &quot;Ft&quot;"/>
  </numFmts>
  <fonts count="45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0"/>
      <name val="Times New Roman"/>
      <family val="1"/>
      <charset val="238"/>
    </font>
    <font>
      <b/>
      <sz val="11"/>
      <color indexed="8"/>
      <name val="Calibri"/>
      <family val="2"/>
      <charset val="238"/>
    </font>
    <font>
      <sz val="10"/>
      <color indexed="8"/>
      <name val="Times New Roman"/>
      <family val="1"/>
      <charset val="238"/>
    </font>
    <font>
      <sz val="11"/>
      <color indexed="8"/>
      <name val="Calibri"/>
      <family val="2"/>
      <charset val="238"/>
    </font>
    <font>
      <sz val="11"/>
      <name val="Calibri"/>
      <family val="2"/>
      <charset val="238"/>
    </font>
    <font>
      <b/>
      <sz val="14"/>
      <name val="Times New Roman"/>
      <family val="1"/>
      <charset val="238"/>
    </font>
    <font>
      <b/>
      <sz val="1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u/>
      <sz val="10"/>
      <color theme="11"/>
      <name val="Arial"/>
      <family val="2"/>
      <charset val="238"/>
    </font>
    <font>
      <sz val="12"/>
      <color theme="0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b/>
      <sz val="10"/>
      <color rgb="FF000000"/>
      <name val="Calibri"/>
      <family val="2"/>
      <charset val="238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sz val="11"/>
      <color rgb="FF00B050"/>
      <name val="Calibri"/>
      <family val="2"/>
      <charset val="238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45">
    <xf numFmtId="0" fontId="0" fillId="0" borderId="0"/>
    <xf numFmtId="0" fontId="10" fillId="4" borderId="12" applyNumberFormat="0" applyAlignment="0" applyProtection="0"/>
    <xf numFmtId="164" fontId="5" fillId="0" borderId="0" applyFont="0" applyFill="0" applyBorder="0" applyAlignment="0" applyProtection="0"/>
    <xf numFmtId="0" fontId="12" fillId="0" borderId="0"/>
    <xf numFmtId="0" fontId="13" fillId="0" borderId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5" fillId="12" borderId="13" applyNumberFormat="0" applyAlignment="0" applyProtection="0"/>
    <xf numFmtId="0" fontId="16" fillId="0" borderId="0" applyNumberFormat="0" applyFill="0" applyBorder="0" applyAlignment="0" applyProtection="0"/>
    <xf numFmtId="0" fontId="17" fillId="0" borderId="14" applyNumberFormat="0" applyFill="0" applyAlignment="0" applyProtection="0"/>
    <xf numFmtId="0" fontId="18" fillId="0" borderId="15" applyNumberFormat="0" applyFill="0" applyAlignment="0" applyProtection="0"/>
    <xf numFmtId="0" fontId="19" fillId="0" borderId="16" applyNumberFormat="0" applyFill="0" applyAlignment="0" applyProtection="0"/>
    <xf numFmtId="0" fontId="19" fillId="0" borderId="0" applyNumberFormat="0" applyFill="0" applyBorder="0" applyAlignment="0" applyProtection="0"/>
    <xf numFmtId="0" fontId="20" fillId="21" borderId="17" applyNumberFormat="0" applyAlignment="0" applyProtection="0"/>
    <xf numFmtId="0" fontId="21" fillId="0" borderId="0" applyNumberFormat="0" applyFill="0" applyBorder="0" applyAlignment="0" applyProtection="0"/>
    <xf numFmtId="0" fontId="22" fillId="0" borderId="18" applyNumberFormat="0" applyFill="0" applyAlignment="0" applyProtection="0"/>
    <xf numFmtId="0" fontId="1" fillId="22" borderId="19" applyNumberFormat="0" applyFont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6" borderId="0" applyNumberFormat="0" applyBorder="0" applyAlignment="0" applyProtection="0"/>
    <xf numFmtId="0" fontId="23" fillId="9" borderId="0" applyNumberFormat="0" applyBorder="0" applyAlignment="0" applyProtection="0"/>
    <xf numFmtId="0" fontId="24" fillId="27" borderId="20" applyNumberFormat="0" applyAlignment="0" applyProtection="0"/>
    <xf numFmtId="0" fontId="25" fillId="0" borderId="0" applyNumberFormat="0" applyFill="0" applyBorder="0" applyAlignment="0" applyProtection="0"/>
    <xf numFmtId="0" fontId="3" fillId="0" borderId="21" applyNumberFormat="0" applyFill="0" applyAlignment="0" applyProtection="0"/>
    <xf numFmtId="0" fontId="26" fillId="8" borderId="0" applyNumberFormat="0" applyBorder="0" applyAlignment="0" applyProtection="0"/>
    <xf numFmtId="0" fontId="27" fillId="28" borderId="0" applyNumberFormat="0" applyBorder="0" applyAlignment="0" applyProtection="0"/>
    <xf numFmtId="0" fontId="28" fillId="27" borderId="13" applyNumberFormat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29" fillId="0" borderId="0"/>
    <xf numFmtId="0" fontId="15" fillId="12" borderId="13" applyNumberFormat="0" applyAlignment="0" applyProtection="0"/>
    <xf numFmtId="0" fontId="1" fillId="22" borderId="19" applyNumberFormat="0" applyFont="0" applyAlignment="0" applyProtection="0"/>
    <xf numFmtId="0" fontId="24" fillId="27" borderId="20" applyNumberFormat="0" applyAlignment="0" applyProtection="0"/>
    <xf numFmtId="0" fontId="3" fillId="0" borderId="21" applyNumberFormat="0" applyFill="0" applyAlignment="0" applyProtection="0"/>
    <xf numFmtId="0" fontId="28" fillId="27" borderId="13" applyNumberFormat="0" applyAlignment="0" applyProtection="0"/>
    <xf numFmtId="0" fontId="9" fillId="6" borderId="0" applyNumberFormat="0" applyBorder="0" applyAlignment="0" applyProtection="0"/>
    <xf numFmtId="0" fontId="9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5" borderId="0" applyNumberFormat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3" fillId="0" borderId="21" applyNumberFormat="0" applyFill="0" applyAlignment="0" applyProtection="0"/>
    <xf numFmtId="0" fontId="24" fillId="27" borderId="20" applyNumberFormat="0" applyAlignment="0" applyProtection="0"/>
    <xf numFmtId="0" fontId="28" fillId="27" borderId="13" applyNumberFormat="0" applyAlignment="0" applyProtection="0"/>
    <xf numFmtId="0" fontId="3" fillId="0" borderId="21" applyNumberFormat="0" applyFill="0" applyAlignment="0" applyProtection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0" fontId="1" fillId="22" borderId="19" applyNumberFormat="0" applyFon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0" fontId="24" fillId="27" borderId="20" applyNumberFormat="0" applyAlignment="0" applyProtection="0"/>
    <xf numFmtId="0" fontId="3" fillId="0" borderId="21" applyNumberFormat="0" applyFill="0" applyAlignment="0" applyProtection="0"/>
    <xf numFmtId="0" fontId="28" fillId="27" borderId="13" applyNumberFormat="0" applyAlignment="0" applyProtection="0"/>
    <xf numFmtId="0" fontId="28" fillId="27" borderId="13" applyNumberFormat="0" applyAlignment="0" applyProtection="0"/>
    <xf numFmtId="0" fontId="15" fillId="12" borderId="13" applyNumberFormat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0" fontId="28" fillId="27" borderId="13" applyNumberFormat="0" applyAlignment="0" applyProtection="0"/>
    <xf numFmtId="0" fontId="28" fillId="27" borderId="13" applyNumberFormat="0" applyAlignment="0" applyProtection="0"/>
    <xf numFmtId="0" fontId="3" fillId="0" borderId="21" applyNumberFormat="0" applyFill="0" applyAlignment="0" applyProtection="0"/>
    <xf numFmtId="0" fontId="15" fillId="12" borderId="13" applyNumberFormat="0" applyAlignment="0" applyProtection="0"/>
    <xf numFmtId="0" fontId="28" fillId="27" borderId="13" applyNumberFormat="0" applyAlignment="0" applyProtection="0"/>
    <xf numFmtId="0" fontId="3" fillId="0" borderId="21" applyNumberFormat="0" applyFill="0" applyAlignment="0" applyProtection="0"/>
    <xf numFmtId="0" fontId="3" fillId="0" borderId="21" applyNumberFormat="0" applyFill="0" applyAlignment="0" applyProtection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0" fontId="28" fillId="27" borderId="13" applyNumberFormat="0" applyAlignment="0" applyProtection="0"/>
    <xf numFmtId="0" fontId="3" fillId="0" borderId="21" applyNumberFormat="0" applyFill="0" applyAlignment="0" applyProtection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9" fillId="0" borderId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44" fontId="9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72">
    <xf numFmtId="0" fontId="0" fillId="0" borderId="0" xfId="0"/>
    <xf numFmtId="3" fontId="2" fillId="0" borderId="1" xfId="0" applyNumberFormat="1" applyFont="1" applyBorder="1" applyAlignment="1">
      <alignment horizontal="left"/>
    </xf>
    <xf numFmtId="49" fontId="0" fillId="0" borderId="0" xfId="0" applyNumberFormat="1"/>
    <xf numFmtId="0" fontId="11" fillId="0" borderId="1" xfId="0" applyFont="1" applyBorder="1"/>
    <xf numFmtId="3" fontId="11" fillId="0" borderId="1" xfId="1" applyNumberFormat="1" applyFont="1" applyFill="1" applyBorder="1" applyAlignment="1" applyProtection="1">
      <alignment wrapText="1"/>
      <protection locked="0"/>
    </xf>
    <xf numFmtId="9" fontId="11" fillId="3" borderId="1" xfId="1" applyNumberFormat="1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166" fontId="6" fillId="0" borderId="1" xfId="0" applyNumberFormat="1" applyFont="1" applyBorder="1" applyAlignment="1">
      <alignment wrapText="1"/>
    </xf>
    <xf numFmtId="9" fontId="6" fillId="0" borderId="1" xfId="0" applyNumberFormat="1" applyFont="1" applyBorder="1" applyAlignment="1">
      <alignment wrapText="1"/>
    </xf>
    <xf numFmtId="0" fontId="8" fillId="0" borderId="1" xfId="0" applyFont="1" applyBorder="1"/>
    <xf numFmtId="166" fontId="33" fillId="0" borderId="1" xfId="0" applyNumberFormat="1" applyFont="1" applyBorder="1" applyAlignment="1">
      <alignment wrapText="1"/>
    </xf>
    <xf numFmtId="10" fontId="6" fillId="0" borderId="1" xfId="0" applyNumberFormat="1" applyFont="1" applyBorder="1" applyAlignment="1">
      <alignment wrapText="1"/>
    </xf>
    <xf numFmtId="0" fontId="11" fillId="0" borderId="0" xfId="0" applyFont="1"/>
    <xf numFmtId="0" fontId="11" fillId="0" borderId="22" xfId="0" applyFont="1" applyBorder="1"/>
    <xf numFmtId="3" fontId="11" fillId="0" borderId="22" xfId="1" applyNumberFormat="1" applyFont="1" applyFill="1" applyBorder="1" applyAlignment="1" applyProtection="1">
      <alignment wrapText="1"/>
      <protection locked="0"/>
    </xf>
    <xf numFmtId="0" fontId="6" fillId="0" borderId="22" xfId="0" applyFont="1" applyBorder="1" applyAlignment="1">
      <alignment wrapText="1"/>
    </xf>
    <xf numFmtId="166" fontId="33" fillId="0" borderId="22" xfId="0" applyNumberFormat="1" applyFont="1" applyBorder="1" applyAlignment="1">
      <alignment wrapText="1"/>
    </xf>
    <xf numFmtId="9" fontId="6" fillId="0" borderId="22" xfId="138" applyFont="1" applyFill="1" applyBorder="1" applyAlignment="1">
      <alignment wrapText="1"/>
    </xf>
    <xf numFmtId="10" fontId="6" fillId="0" borderId="22" xfId="0" applyNumberFormat="1" applyFont="1" applyBorder="1" applyAlignment="1">
      <alignment wrapText="1"/>
    </xf>
    <xf numFmtId="9" fontId="6" fillId="0" borderId="22" xfId="0" applyNumberFormat="1" applyFont="1" applyBorder="1" applyAlignment="1">
      <alignment wrapText="1"/>
    </xf>
    <xf numFmtId="3" fontId="2" fillId="0" borderId="22" xfId="0" applyNumberFormat="1" applyFont="1" applyBorder="1" applyAlignment="1">
      <alignment horizontal="left"/>
    </xf>
    <xf numFmtId="165" fontId="6" fillId="0" borderId="22" xfId="2" applyNumberFormat="1" applyFont="1" applyFill="1" applyBorder="1" applyAlignment="1">
      <alignment wrapText="1"/>
    </xf>
    <xf numFmtId="165" fontId="0" fillId="0" borderId="0" xfId="2" applyNumberFormat="1" applyFont="1" applyFill="1"/>
    <xf numFmtId="0" fontId="34" fillId="0" borderId="0" xfId="0" applyFont="1" applyAlignment="1">
      <alignment horizontal="center"/>
    </xf>
    <xf numFmtId="0" fontId="0" fillId="29" borderId="0" xfId="0" applyFill="1"/>
    <xf numFmtId="165" fontId="0" fillId="29" borderId="0" xfId="2" applyNumberFormat="1" applyFont="1" applyFill="1"/>
    <xf numFmtId="0" fontId="7" fillId="0" borderId="0" xfId="0" applyFont="1" applyAlignment="1">
      <alignment horizontal="center" vertical="center" wrapText="1"/>
    </xf>
    <xf numFmtId="3" fontId="2" fillId="2" borderId="7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49" fontId="0" fillId="29" borderId="0" xfId="0" applyNumberFormat="1" applyFill="1"/>
    <xf numFmtId="0" fontId="35" fillId="29" borderId="0" xfId="0" applyFont="1" applyFill="1"/>
    <xf numFmtId="0" fontId="34" fillId="29" borderId="0" xfId="0" applyFont="1" applyFill="1" applyAlignment="1">
      <alignment horizontal="center"/>
    </xf>
    <xf numFmtId="0" fontId="11" fillId="29" borderId="0" xfId="0" applyFont="1" applyFill="1"/>
    <xf numFmtId="166" fontId="33" fillId="29" borderId="0" xfId="0" applyNumberFormat="1" applyFont="1" applyFill="1" applyAlignment="1">
      <alignment wrapText="1"/>
    </xf>
    <xf numFmtId="166" fontId="0" fillId="29" borderId="0" xfId="0" applyNumberFormat="1" applyFill="1"/>
    <xf numFmtId="165" fontId="0" fillId="29" borderId="0" xfId="2" applyNumberFormat="1" applyFont="1" applyFill="1" applyAlignment="1">
      <alignment horizontal="center"/>
    </xf>
    <xf numFmtId="165" fontId="0" fillId="0" borderId="0" xfId="2" applyNumberFormat="1" applyFont="1" applyFill="1" applyAlignment="1">
      <alignment horizontal="center"/>
    </xf>
    <xf numFmtId="165" fontId="34" fillId="0" borderId="0" xfId="2" applyNumberFormat="1" applyFont="1" applyFill="1" applyAlignment="1">
      <alignment horizontal="center"/>
    </xf>
    <xf numFmtId="0" fontId="0" fillId="0" borderId="7" xfId="0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165" fontId="0" fillId="0" borderId="0" xfId="2" applyNumberFormat="1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/>
    </xf>
    <xf numFmtId="165" fontId="0" fillId="0" borderId="0" xfId="2" applyNumberFormat="1" applyFont="1" applyFill="1" applyBorder="1" applyAlignment="1">
      <alignment vertical="center" wrapText="1"/>
    </xf>
    <xf numFmtId="165" fontId="0" fillId="0" borderId="0" xfId="2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65" fontId="0" fillId="0" borderId="2" xfId="2" applyNumberFormat="1" applyFont="1" applyFill="1" applyBorder="1" applyAlignment="1">
      <alignment vertical="center" wrapText="1"/>
    </xf>
    <xf numFmtId="165" fontId="0" fillId="0" borderId="2" xfId="2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34" fillId="30" borderId="9" xfId="0" applyFont="1" applyFill="1" applyBorder="1" applyAlignment="1">
      <alignment horizontal="center" vertical="center" wrapText="1"/>
    </xf>
    <xf numFmtId="0" fontId="34" fillId="30" borderId="10" xfId="0" applyFont="1" applyFill="1" applyBorder="1" applyAlignment="1">
      <alignment horizontal="center" vertical="center"/>
    </xf>
    <xf numFmtId="165" fontId="34" fillId="30" borderId="10" xfId="2" applyNumberFormat="1" applyFont="1" applyFill="1" applyBorder="1" applyAlignment="1">
      <alignment horizontal="center" vertical="center"/>
    </xf>
    <xf numFmtId="0" fontId="34" fillId="30" borderId="11" xfId="0" applyFont="1" applyFill="1" applyBorder="1" applyAlignment="1">
      <alignment horizontal="center" vertical="center"/>
    </xf>
    <xf numFmtId="166" fontId="33" fillId="0" borderId="0" xfId="0" applyNumberFormat="1" applyFont="1" applyAlignment="1">
      <alignment wrapText="1"/>
    </xf>
    <xf numFmtId="166" fontId="0" fillId="0" borderId="0" xfId="0" applyNumberFormat="1"/>
    <xf numFmtId="3" fontId="2" fillId="31" borderId="1" xfId="0" applyNumberFormat="1" applyFont="1" applyFill="1" applyBorder="1" applyAlignment="1">
      <alignment horizontal="left"/>
    </xf>
    <xf numFmtId="3" fontId="11" fillId="31" borderId="1" xfId="1" applyNumberFormat="1" applyFont="1" applyFill="1" applyBorder="1" applyAlignment="1" applyProtection="1">
      <alignment wrapText="1"/>
      <protection locked="0"/>
    </xf>
    <xf numFmtId="0" fontId="11" fillId="31" borderId="1" xfId="0" applyFont="1" applyFill="1" applyBorder="1"/>
    <xf numFmtId="0" fontId="36" fillId="31" borderId="1" xfId="0" applyFont="1" applyFill="1" applyBorder="1" applyAlignment="1">
      <alignment horizontal="center"/>
    </xf>
    <xf numFmtId="0" fontId="34" fillId="30" borderId="10" xfId="0" applyFont="1" applyFill="1" applyBorder="1" applyAlignment="1">
      <alignment horizontal="center" vertical="center" wrapText="1"/>
    </xf>
    <xf numFmtId="14" fontId="0" fillId="0" borderId="0" xfId="0" applyNumberFormat="1"/>
    <xf numFmtId="0" fontId="34" fillId="0" borderId="0" xfId="0" applyFont="1"/>
    <xf numFmtId="170" fontId="0" fillId="0" borderId="0" xfId="0" applyNumberFormat="1"/>
    <xf numFmtId="0" fontId="34" fillId="0" borderId="23" xfId="0" applyFont="1" applyBorder="1"/>
    <xf numFmtId="0" fontId="0" fillId="0" borderId="24" xfId="0" applyBorder="1"/>
    <xf numFmtId="170" fontId="0" fillId="0" borderId="25" xfId="0" applyNumberFormat="1" applyBorder="1"/>
    <xf numFmtId="0" fontId="0" fillId="0" borderId="23" xfId="0" applyBorder="1"/>
    <xf numFmtId="0" fontId="37" fillId="0" borderId="0" xfId="0" applyFont="1"/>
    <xf numFmtId="0" fontId="0" fillId="0" borderId="0" xfId="0" applyAlignment="1">
      <alignment horizontal="left" indent="2"/>
    </xf>
    <xf numFmtId="168" fontId="0" fillId="0" borderId="0" xfId="0" applyNumberFormat="1"/>
    <xf numFmtId="167" fontId="0" fillId="0" borderId="0" xfId="0" applyNumberFormat="1"/>
    <xf numFmtId="169" fontId="34" fillId="0" borderId="0" xfId="143" applyNumberFormat="1" applyFont="1" applyFill="1"/>
    <xf numFmtId="0" fontId="0" fillId="32" borderId="0" xfId="0" applyFill="1" applyAlignment="1">
      <alignment horizontal="left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27" xfId="0" applyNumberFormat="1" applyFont="1" applyFill="1" applyBorder="1" applyAlignment="1">
      <alignment horizontal="center" vertical="center"/>
    </xf>
    <xf numFmtId="3" fontId="2" fillId="2" borderId="27" xfId="0" applyNumberFormat="1" applyFont="1" applyFill="1" applyBorder="1" applyAlignment="1">
      <alignment horizontal="center" vertical="center" wrapText="1"/>
    </xf>
    <xf numFmtId="3" fontId="2" fillId="2" borderId="28" xfId="0" applyNumberFormat="1" applyFont="1" applyFill="1" applyBorder="1" applyAlignment="1">
      <alignment horizontal="center" vertical="center" wrapText="1"/>
    </xf>
    <xf numFmtId="0" fontId="4" fillId="33" borderId="28" xfId="0" applyFont="1" applyFill="1" applyBorder="1" applyAlignment="1">
      <alignment horizontal="center" vertical="center" wrapText="1"/>
    </xf>
    <xf numFmtId="3" fontId="2" fillId="33" borderId="26" xfId="0" applyNumberFormat="1" applyFont="1" applyFill="1" applyBorder="1" applyAlignment="1">
      <alignment horizontal="center" vertical="center"/>
    </xf>
    <xf numFmtId="0" fontId="4" fillId="33" borderId="29" xfId="0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/>
    </xf>
    <xf numFmtId="0" fontId="4" fillId="33" borderId="7" xfId="0" applyFont="1" applyFill="1" applyBorder="1" applyAlignment="1">
      <alignment horizontal="center" vertical="center" wrapText="1"/>
    </xf>
    <xf numFmtId="3" fontId="2" fillId="33" borderId="0" xfId="0" applyNumberFormat="1" applyFont="1" applyFill="1" applyAlignment="1">
      <alignment horizontal="center" vertical="center" wrapText="1"/>
    </xf>
    <xf numFmtId="49" fontId="2" fillId="33" borderId="0" xfId="0" applyNumberFormat="1" applyFont="1" applyFill="1" applyAlignment="1">
      <alignment horizontal="center" vertical="center"/>
    </xf>
    <xf numFmtId="3" fontId="2" fillId="33" borderId="0" xfId="0" applyNumberFormat="1" applyFont="1" applyFill="1" applyAlignment="1">
      <alignment horizontal="center" vertical="center"/>
    </xf>
    <xf numFmtId="0" fontId="4" fillId="33" borderId="3" xfId="0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/>
    </xf>
    <xf numFmtId="0" fontId="4" fillId="33" borderId="8" xfId="0" applyFont="1" applyFill="1" applyBorder="1" applyAlignment="1">
      <alignment horizontal="center" vertical="center" wrapText="1"/>
    </xf>
    <xf numFmtId="3" fontId="2" fillId="33" borderId="2" xfId="0" applyNumberFormat="1" applyFont="1" applyFill="1" applyBorder="1" applyAlignment="1">
      <alignment horizontal="center" vertical="center" wrapText="1"/>
    </xf>
    <xf numFmtId="49" fontId="2" fillId="33" borderId="2" xfId="0" applyNumberFormat="1" applyFont="1" applyFill="1" applyBorder="1" applyAlignment="1">
      <alignment horizontal="center" vertical="center"/>
    </xf>
    <xf numFmtId="3" fontId="2" fillId="33" borderId="2" xfId="0" applyNumberFormat="1" applyFont="1" applyFill="1" applyBorder="1" applyAlignment="1">
      <alignment horizontal="center" vertical="center"/>
    </xf>
    <xf numFmtId="0" fontId="4" fillId="33" borderId="4" xfId="0" applyFont="1" applyFill="1" applyBorder="1" applyAlignment="1">
      <alignment horizontal="center" vertical="center" wrapText="1"/>
    </xf>
    <xf numFmtId="165" fontId="0" fillId="0" borderId="0" xfId="2" applyNumberFormat="1" applyFont="1"/>
    <xf numFmtId="166" fontId="6" fillId="31" borderId="1" xfId="0" applyNumberFormat="1" applyFont="1" applyFill="1" applyBorder="1" applyAlignment="1">
      <alignment wrapText="1"/>
    </xf>
    <xf numFmtId="9" fontId="11" fillId="31" borderId="1" xfId="1" applyNumberFormat="1" applyFont="1" applyFill="1" applyBorder="1" applyAlignment="1">
      <alignment wrapText="1"/>
    </xf>
    <xf numFmtId="0" fontId="6" fillId="31" borderId="1" xfId="0" applyFont="1" applyFill="1" applyBorder="1" applyAlignment="1">
      <alignment wrapText="1"/>
    </xf>
    <xf numFmtId="166" fontId="33" fillId="31" borderId="1" xfId="0" applyNumberFormat="1" applyFont="1" applyFill="1" applyBorder="1" applyAlignment="1">
      <alignment wrapText="1"/>
    </xf>
    <xf numFmtId="9" fontId="6" fillId="31" borderId="1" xfId="0" applyNumberFormat="1" applyFont="1" applyFill="1" applyBorder="1" applyAlignment="1">
      <alignment wrapText="1"/>
    </xf>
    <xf numFmtId="10" fontId="6" fillId="31" borderId="1" xfId="0" applyNumberFormat="1" applyFont="1" applyFill="1" applyBorder="1" applyAlignment="1">
      <alignment wrapText="1"/>
    </xf>
    <xf numFmtId="49" fontId="0" fillId="0" borderId="0" xfId="0" applyNumberFormat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31" borderId="1" xfId="0" applyFont="1" applyFill="1" applyBorder="1" applyAlignment="1">
      <alignment horizontal="center" wrapText="1"/>
    </xf>
    <xf numFmtId="0" fontId="6" fillId="0" borderId="22" xfId="0" applyFont="1" applyBorder="1" applyAlignment="1">
      <alignment horizontal="center" wrapText="1"/>
    </xf>
    <xf numFmtId="49" fontId="0" fillId="29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5" fontId="4" fillId="0" borderId="29" xfId="2" applyNumberFormat="1" applyFont="1" applyFill="1" applyBorder="1" applyAlignment="1">
      <alignment horizontal="center" vertical="center" wrapText="1"/>
    </xf>
    <xf numFmtId="165" fontId="4" fillId="0" borderId="3" xfId="2" applyNumberFormat="1" applyFont="1" applyFill="1" applyBorder="1" applyAlignment="1">
      <alignment horizontal="center" vertical="center" wrapText="1"/>
    </xf>
    <xf numFmtId="165" fontId="4" fillId="0" borderId="4" xfId="2" applyNumberFormat="1" applyFont="1" applyFill="1" applyBorder="1" applyAlignment="1">
      <alignment horizontal="center" vertical="center" wrapText="1"/>
    </xf>
    <xf numFmtId="165" fontId="11" fillId="0" borderId="0" xfId="2" applyNumberFormat="1" applyFont="1" applyFill="1"/>
    <xf numFmtId="0" fontId="35" fillId="0" borderId="0" xfId="0" applyFont="1" applyAlignment="1">
      <alignment horizontal="center"/>
    </xf>
    <xf numFmtId="167" fontId="33" fillId="0" borderId="1" xfId="0" applyNumberFormat="1" applyFont="1" applyBorder="1" applyAlignment="1">
      <alignment wrapText="1"/>
    </xf>
    <xf numFmtId="167" fontId="0" fillId="0" borderId="0" xfId="2" applyNumberFormat="1" applyFont="1" applyFill="1" applyBorder="1" applyAlignment="1">
      <alignment vertical="center" wrapText="1"/>
    </xf>
    <xf numFmtId="167" fontId="34" fillId="0" borderId="0" xfId="143" applyNumberFormat="1" applyFont="1" applyFill="1"/>
    <xf numFmtId="167" fontId="0" fillId="32" borderId="0" xfId="144" applyNumberFormat="1" applyFont="1" applyFill="1"/>
    <xf numFmtId="0" fontId="0" fillId="34" borderId="0" xfId="0" applyFill="1"/>
    <xf numFmtId="167" fontId="0" fillId="34" borderId="0" xfId="0" applyNumberFormat="1" applyFill="1"/>
    <xf numFmtId="168" fontId="0" fillId="32" borderId="0" xfId="144" applyNumberFormat="1" applyFont="1" applyFill="1"/>
    <xf numFmtId="0" fontId="34" fillId="0" borderId="24" xfId="0" applyFont="1" applyBorder="1" applyAlignment="1">
      <alignment horizontal="center"/>
    </xf>
    <xf numFmtId="170" fontId="34" fillId="0" borderId="25" xfId="0" applyNumberFormat="1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167" fontId="0" fillId="0" borderId="24" xfId="0" applyNumberFormat="1" applyBorder="1"/>
    <xf numFmtId="167" fontId="34" fillId="0" borderId="24" xfId="0" applyNumberFormat="1" applyFont="1" applyBorder="1"/>
    <xf numFmtId="167" fontId="0" fillId="0" borderId="1" xfId="0" applyNumberFormat="1" applyBorder="1"/>
    <xf numFmtId="0" fontId="4" fillId="35" borderId="26" xfId="0" applyFont="1" applyFill="1" applyBorder="1" applyAlignment="1">
      <alignment horizontal="center" vertical="center" wrapText="1"/>
    </xf>
    <xf numFmtId="0" fontId="4" fillId="35" borderId="0" xfId="0" applyFont="1" applyFill="1" applyAlignment="1">
      <alignment horizontal="center" vertical="center" wrapText="1"/>
    </xf>
    <xf numFmtId="0" fontId="4" fillId="35" borderId="2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wrapText="1"/>
    </xf>
    <xf numFmtId="14" fontId="6" fillId="31" borderId="1" xfId="0" applyNumberFormat="1" applyFont="1" applyFill="1" applyBorder="1" applyAlignment="1">
      <alignment wrapText="1"/>
    </xf>
    <xf numFmtId="14" fontId="6" fillId="0" borderId="22" xfId="0" applyNumberFormat="1" applyFont="1" applyBorder="1" applyAlignment="1">
      <alignment wrapText="1"/>
    </xf>
    <xf numFmtId="0" fontId="38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4" fillId="33" borderId="26" xfId="0" applyFont="1" applyFill="1" applyBorder="1" applyAlignment="1">
      <alignment horizontal="center" vertical="center" wrapText="1"/>
    </xf>
    <xf numFmtId="0" fontId="4" fillId="33" borderId="0" xfId="0" applyFont="1" applyFill="1" applyAlignment="1">
      <alignment horizontal="center" vertical="center" wrapText="1"/>
    </xf>
    <xf numFmtId="0" fontId="4" fillId="33" borderId="2" xfId="0" applyFont="1" applyFill="1" applyBorder="1" applyAlignment="1">
      <alignment horizontal="center" vertical="center" wrapText="1"/>
    </xf>
    <xf numFmtId="14" fontId="11" fillId="0" borderId="0" xfId="0" applyNumberFormat="1" applyFont="1" applyAlignment="1">
      <alignment horizontal="center"/>
    </xf>
    <xf numFmtId="0" fontId="36" fillId="0" borderId="0" xfId="0" applyFont="1"/>
    <xf numFmtId="17" fontId="0" fillId="29" borderId="0" xfId="0" quotePrefix="1" applyNumberFormat="1" applyFill="1"/>
    <xf numFmtId="167" fontId="33" fillId="31" borderId="1" xfId="0" applyNumberFormat="1" applyFont="1" applyFill="1" applyBorder="1" applyAlignment="1">
      <alignment wrapText="1"/>
    </xf>
    <xf numFmtId="167" fontId="33" fillId="0" borderId="1" xfId="143" applyNumberFormat="1" applyFont="1" applyFill="1" applyBorder="1" applyAlignment="1">
      <alignment wrapText="1"/>
    </xf>
    <xf numFmtId="0" fontId="0" fillId="29" borderId="0" xfId="0" quotePrefix="1" applyFill="1"/>
    <xf numFmtId="0" fontId="0" fillId="0" borderId="7" xfId="0" applyBorder="1"/>
    <xf numFmtId="0" fontId="0" fillId="0" borderId="3" xfId="0" applyBorder="1"/>
    <xf numFmtId="169" fontId="33" fillId="0" borderId="1" xfId="143" applyNumberFormat="1" applyFont="1" applyFill="1" applyBorder="1" applyAlignment="1">
      <alignment wrapText="1"/>
    </xf>
    <xf numFmtId="169" fontId="33" fillId="31" borderId="1" xfId="143" applyNumberFormat="1" applyFont="1" applyFill="1" applyBorder="1" applyAlignment="1">
      <alignment wrapText="1"/>
    </xf>
    <xf numFmtId="169" fontId="33" fillId="0" borderId="22" xfId="143" applyNumberFormat="1" applyFont="1" applyFill="1" applyBorder="1" applyAlignment="1">
      <alignment wrapText="1"/>
    </xf>
    <xf numFmtId="167" fontId="0" fillId="0" borderId="2" xfId="2" applyNumberFormat="1" applyFont="1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0" fillId="36" borderId="0" xfId="0" applyFill="1" applyAlignment="1">
      <alignment vertical="center"/>
    </xf>
    <xf numFmtId="0" fontId="34" fillId="36" borderId="0" xfId="0" applyFont="1" applyFill="1" applyAlignment="1">
      <alignment horizontal="center" vertical="center"/>
    </xf>
    <xf numFmtId="0" fontId="39" fillId="36" borderId="0" xfId="0" applyFont="1" applyFill="1" applyAlignment="1">
      <alignment horizontal="center" vertical="center" wrapText="1"/>
    </xf>
    <xf numFmtId="0" fontId="34" fillId="37" borderId="0" xfId="0" applyFont="1" applyFill="1" applyAlignment="1">
      <alignment horizontal="center"/>
    </xf>
    <xf numFmtId="0" fontId="40" fillId="0" borderId="0" xfId="0" applyFont="1" applyAlignment="1">
      <alignment horizontal="left"/>
    </xf>
    <xf numFmtId="0" fontId="0" fillId="0" borderId="0" xfId="0" applyAlignment="1">
      <alignment horizontal="left"/>
    </xf>
    <xf numFmtId="171" fontId="0" fillId="0" borderId="0" xfId="0" applyNumberFormat="1"/>
    <xf numFmtId="0" fontId="40" fillId="0" borderId="0" xfId="0" applyFont="1"/>
    <xf numFmtId="0" fontId="40" fillId="0" borderId="30" xfId="0" applyFont="1" applyBorder="1"/>
    <xf numFmtId="17" fontId="0" fillId="0" borderId="0" xfId="0" quotePrefix="1" applyNumberFormat="1"/>
    <xf numFmtId="172" fontId="33" fillId="0" borderId="1" xfId="0" applyNumberFormat="1" applyFont="1" applyBorder="1" applyAlignment="1">
      <alignment wrapText="1"/>
    </xf>
    <xf numFmtId="10" fontId="11" fillId="0" borderId="1" xfId="138" applyNumberFormat="1" applyFont="1" applyFill="1" applyBorder="1" applyAlignment="1">
      <alignment wrapText="1"/>
    </xf>
    <xf numFmtId="10" fontId="11" fillId="0" borderId="1" xfId="1" applyNumberFormat="1" applyFont="1" applyFill="1" applyBorder="1" applyAlignment="1">
      <alignment wrapText="1"/>
    </xf>
    <xf numFmtId="3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1" xfId="0" quotePrefix="1" applyFont="1" applyBorder="1" applyAlignment="1">
      <alignment horizontal="center" wrapText="1"/>
    </xf>
    <xf numFmtId="0" fontId="44" fillId="0" borderId="0" xfId="0" applyFont="1"/>
    <xf numFmtId="0" fontId="40" fillId="0" borderId="30" xfId="0" applyFont="1" applyBorder="1" applyAlignment="1">
      <alignment horizontal="left"/>
    </xf>
    <xf numFmtId="0" fontId="35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center" wrapText="1"/>
    </xf>
  </cellXfs>
  <cellStyles count="145">
    <cellStyle name="20% - 1. jelölőszín 2" xfId="9" xr:uid="{00000000-0005-0000-0000-000000000000}"/>
    <cellStyle name="20% - 2. jelölőszín 2" xfId="10" xr:uid="{00000000-0005-0000-0000-000001000000}"/>
    <cellStyle name="20% - 3. jelölőszín 2" xfId="11" xr:uid="{00000000-0005-0000-0000-000002000000}"/>
    <cellStyle name="20% - 4. jelölőszín 2" xfId="12" xr:uid="{00000000-0005-0000-0000-000003000000}"/>
    <cellStyle name="20% - 5. jelölőszín 2" xfId="13" xr:uid="{00000000-0005-0000-0000-000004000000}"/>
    <cellStyle name="20% - 6. jelölőszín 2" xfId="14" xr:uid="{00000000-0005-0000-0000-000005000000}"/>
    <cellStyle name="40% - 1. jelölőszín 2" xfId="15" xr:uid="{00000000-0005-0000-0000-000006000000}"/>
    <cellStyle name="40% - 2. jelölőszín 2" xfId="16" xr:uid="{00000000-0005-0000-0000-000007000000}"/>
    <cellStyle name="40% - 3. jelölőszín 2" xfId="17" xr:uid="{00000000-0005-0000-0000-000008000000}"/>
    <cellStyle name="40% - 4. jelölőszín 2" xfId="18" xr:uid="{00000000-0005-0000-0000-000009000000}"/>
    <cellStyle name="40% - 4. jelölőszín 3" xfId="53" xr:uid="{00000000-0005-0000-0000-00000A000000}"/>
    <cellStyle name="40% - 4. jelölőszín 3 2" xfId="116" xr:uid="{00000000-0005-0000-0000-00000B000000}"/>
    <cellStyle name="40% - 4. jelölőszín 4" xfId="61" xr:uid="{00000000-0005-0000-0000-00000C000000}"/>
    <cellStyle name="40% - 4. jelölőszín 4 2" xfId="118" xr:uid="{00000000-0005-0000-0000-00000D000000}"/>
    <cellStyle name="40% - 5. jelölőszín 2" xfId="19" xr:uid="{00000000-0005-0000-0000-00000E000000}"/>
    <cellStyle name="40% - 6. jelölőszín 2" xfId="20" xr:uid="{00000000-0005-0000-0000-00000F000000}"/>
    <cellStyle name="60% - 1. jelölőszín 2" xfId="21" xr:uid="{00000000-0005-0000-0000-000010000000}"/>
    <cellStyle name="60% - 2. jelölőszín 2" xfId="22" xr:uid="{00000000-0005-0000-0000-000011000000}"/>
    <cellStyle name="60% - 3. jelölőszín 2" xfId="23" xr:uid="{00000000-0005-0000-0000-000012000000}"/>
    <cellStyle name="60% - 4. jelölőszín 2" xfId="24" xr:uid="{00000000-0005-0000-0000-000013000000}"/>
    <cellStyle name="60% - 5. jelölőszín 2" xfId="25" xr:uid="{00000000-0005-0000-0000-000014000000}"/>
    <cellStyle name="60% - 6. jelölőszín 2" xfId="26" xr:uid="{00000000-0005-0000-0000-000015000000}"/>
    <cellStyle name="Bevitel" xfId="1" builtinId="20"/>
    <cellStyle name="Bevitel 2" xfId="27" xr:uid="{00000000-0005-0000-0000-000017000000}"/>
    <cellStyle name="Bevitel 2 2" xfId="56" xr:uid="{00000000-0005-0000-0000-000018000000}"/>
    <cellStyle name="Bevitel 2 2 2" xfId="106" xr:uid="{00000000-0005-0000-0000-000019000000}"/>
    <cellStyle name="Bevitel 2 2 3" xfId="109" xr:uid="{00000000-0005-0000-0000-00001A000000}"/>
    <cellStyle name="Bevitel 2 2 4" xfId="132" xr:uid="{00000000-0005-0000-0000-00001B000000}"/>
    <cellStyle name="Bevitel 2 2 5" xfId="137" xr:uid="{00000000-0005-0000-0000-00001C000000}"/>
    <cellStyle name="Bevitel 2 3" xfId="114" xr:uid="{00000000-0005-0000-0000-00001D000000}"/>
    <cellStyle name="Bevitel 2 4" xfId="126" xr:uid="{00000000-0005-0000-0000-00001E000000}"/>
    <cellStyle name="Bevitel 2 5" xfId="122" xr:uid="{00000000-0005-0000-0000-00001F000000}"/>
    <cellStyle name="Cím 2" xfId="28" xr:uid="{00000000-0005-0000-0000-000020000000}"/>
    <cellStyle name="Címsor 1 2" xfId="29" xr:uid="{00000000-0005-0000-0000-000021000000}"/>
    <cellStyle name="Címsor 2 2" xfId="30" xr:uid="{00000000-0005-0000-0000-000022000000}"/>
    <cellStyle name="Címsor 3 2" xfId="31" xr:uid="{00000000-0005-0000-0000-000023000000}"/>
    <cellStyle name="Címsor 4 2" xfId="32" xr:uid="{00000000-0005-0000-0000-000024000000}"/>
    <cellStyle name="Ellenőrzőcella 2" xfId="33" xr:uid="{00000000-0005-0000-0000-000025000000}"/>
    <cellStyle name="Ezres" xfId="2" builtinId="3"/>
    <cellStyle name="Ezres 2" xfId="139" xr:uid="{00000000-0005-0000-0000-000027000000}"/>
    <cellStyle name="Ezres 2 2" xfId="141" xr:uid="{00000000-0005-0000-0000-000028000000}"/>
    <cellStyle name="Ezres 3" xfId="142" xr:uid="{00000000-0005-0000-0000-000029000000}"/>
    <cellStyle name="Ezres 4" xfId="144" xr:uid="{00000000-0005-0000-0000-00002A000000}"/>
    <cellStyle name="Figyelmeztetés 2" xfId="34" xr:uid="{00000000-0005-0000-0000-00002B000000}"/>
    <cellStyle name="Hivatkozás 10" xfId="80" xr:uid="{00000000-0005-0000-0000-00002C000000}"/>
    <cellStyle name="Hivatkozás 11" xfId="82" xr:uid="{00000000-0005-0000-0000-00002D000000}"/>
    <cellStyle name="Hivatkozás 12" xfId="84" xr:uid="{00000000-0005-0000-0000-00002E000000}"/>
    <cellStyle name="Hivatkozás 13" xfId="86" xr:uid="{00000000-0005-0000-0000-00002F000000}"/>
    <cellStyle name="Hivatkozás 14" xfId="88" xr:uid="{00000000-0005-0000-0000-000030000000}"/>
    <cellStyle name="Hivatkozás 15" xfId="90" xr:uid="{00000000-0005-0000-0000-000031000000}"/>
    <cellStyle name="Hivatkozás 16" xfId="92" xr:uid="{00000000-0005-0000-0000-000032000000}"/>
    <cellStyle name="Hivatkozás 17" xfId="94" xr:uid="{00000000-0005-0000-0000-000033000000}"/>
    <cellStyle name="Hivatkozás 18" xfId="96" xr:uid="{00000000-0005-0000-0000-000034000000}"/>
    <cellStyle name="Hivatkozás 2" xfId="63" xr:uid="{00000000-0005-0000-0000-000035000000}"/>
    <cellStyle name="Hivatkozás 3" xfId="65" xr:uid="{00000000-0005-0000-0000-000036000000}"/>
    <cellStyle name="Hivatkozás 4" xfId="68" xr:uid="{00000000-0005-0000-0000-000037000000}"/>
    <cellStyle name="Hivatkozás 5" xfId="70" xr:uid="{00000000-0005-0000-0000-000038000000}"/>
    <cellStyle name="Hivatkozás 6" xfId="72" xr:uid="{00000000-0005-0000-0000-000039000000}"/>
    <cellStyle name="Hivatkozás 7" xfId="74" xr:uid="{00000000-0005-0000-0000-00003A000000}"/>
    <cellStyle name="Hivatkozás 8" xfId="76" xr:uid="{00000000-0005-0000-0000-00003B000000}"/>
    <cellStyle name="Hivatkozás 9" xfId="78" xr:uid="{00000000-0005-0000-0000-00003C000000}"/>
    <cellStyle name="Hivatkozott cella 2" xfId="35" xr:uid="{00000000-0005-0000-0000-00003D000000}"/>
    <cellStyle name="Jegyzet 2" xfId="36" xr:uid="{00000000-0005-0000-0000-00003E000000}"/>
    <cellStyle name="Jegyzet 2 2" xfId="57" xr:uid="{00000000-0005-0000-0000-00003F000000}"/>
    <cellStyle name="Jegyzet 2 2 2" xfId="105" xr:uid="{00000000-0005-0000-0000-000040000000}"/>
    <cellStyle name="Jegyzet 2 2 3" xfId="121" xr:uid="{00000000-0005-0000-0000-000041000000}"/>
    <cellStyle name="Jegyzet 2 2 4" xfId="131" xr:uid="{00000000-0005-0000-0000-000042000000}"/>
    <cellStyle name="Jegyzet 2 2 5" xfId="136" xr:uid="{00000000-0005-0000-0000-000043000000}"/>
    <cellStyle name="Jegyzet 2 3" xfId="108" xr:uid="{00000000-0005-0000-0000-000044000000}"/>
    <cellStyle name="Jegyzet 2 4" xfId="107" xr:uid="{00000000-0005-0000-0000-000045000000}"/>
    <cellStyle name="Jegyzet 2 5" xfId="99" xr:uid="{00000000-0005-0000-0000-000046000000}"/>
    <cellStyle name="Jelölőszín (1) 2" xfId="37" xr:uid="{00000000-0005-0000-0000-000047000000}"/>
    <cellStyle name="Jelölőszín (2) 2" xfId="38" xr:uid="{00000000-0005-0000-0000-000048000000}"/>
    <cellStyle name="Jelölőszín (2) 3" xfId="67" xr:uid="{00000000-0005-0000-0000-000049000000}"/>
    <cellStyle name="Jelölőszín (3) 2" xfId="39" xr:uid="{00000000-0005-0000-0000-00004A000000}"/>
    <cellStyle name="Jelölőszín (4) 2" xfId="40" xr:uid="{00000000-0005-0000-0000-00004B000000}"/>
    <cellStyle name="Jelölőszín (5) 2" xfId="41" xr:uid="{00000000-0005-0000-0000-00004C000000}"/>
    <cellStyle name="Jelölőszín (6) 2" xfId="42" xr:uid="{00000000-0005-0000-0000-00004D000000}"/>
    <cellStyle name="Jó 2" xfId="43" xr:uid="{00000000-0005-0000-0000-00004E000000}"/>
    <cellStyle name="Kimenet 2" xfId="44" xr:uid="{00000000-0005-0000-0000-00004F000000}"/>
    <cellStyle name="Kimenet 2 2" xfId="58" xr:uid="{00000000-0005-0000-0000-000050000000}"/>
    <cellStyle name="Kimenet 2 2 2" xfId="104" xr:uid="{00000000-0005-0000-0000-000051000000}"/>
    <cellStyle name="Kimenet 2 2 3" xfId="110" xr:uid="{00000000-0005-0000-0000-000052000000}"/>
    <cellStyle name="Kimenet 2 2 4" xfId="130" xr:uid="{00000000-0005-0000-0000-000053000000}"/>
    <cellStyle name="Kimenet 2 2 5" xfId="135" xr:uid="{00000000-0005-0000-0000-000054000000}"/>
    <cellStyle name="Kimenet 2 3" xfId="120" xr:uid="{00000000-0005-0000-0000-000055000000}"/>
    <cellStyle name="Kimenet 2 4" xfId="101" xr:uid="{00000000-0005-0000-0000-000056000000}"/>
    <cellStyle name="Kimenet 2 5" xfId="98" xr:uid="{00000000-0005-0000-0000-000057000000}"/>
    <cellStyle name="Látott hivatkozás 10" xfId="81" xr:uid="{00000000-0005-0000-0000-000058000000}"/>
    <cellStyle name="Látott hivatkozás 11" xfId="83" xr:uid="{00000000-0005-0000-0000-000059000000}"/>
    <cellStyle name="Látott hivatkozás 12" xfId="85" xr:uid="{00000000-0005-0000-0000-00005A000000}"/>
    <cellStyle name="Látott hivatkozás 13" xfId="87" xr:uid="{00000000-0005-0000-0000-00005B000000}"/>
    <cellStyle name="Látott hivatkozás 14" xfId="89" xr:uid="{00000000-0005-0000-0000-00005C000000}"/>
    <cellStyle name="Látott hivatkozás 15" xfId="91" xr:uid="{00000000-0005-0000-0000-00005D000000}"/>
    <cellStyle name="Látott hivatkozás 16" xfId="93" xr:uid="{00000000-0005-0000-0000-00005E000000}"/>
    <cellStyle name="Látott hivatkozás 17" xfId="95" xr:uid="{00000000-0005-0000-0000-00005F000000}"/>
    <cellStyle name="Látott hivatkozás 18" xfId="97" xr:uid="{00000000-0005-0000-0000-000060000000}"/>
    <cellStyle name="Látott hivatkozás 2" xfId="64" xr:uid="{00000000-0005-0000-0000-000061000000}"/>
    <cellStyle name="Látott hivatkozás 3" xfId="66" xr:uid="{00000000-0005-0000-0000-000062000000}"/>
    <cellStyle name="Látott hivatkozás 4" xfId="69" xr:uid="{00000000-0005-0000-0000-000063000000}"/>
    <cellStyle name="Látott hivatkozás 5" xfId="71" xr:uid="{00000000-0005-0000-0000-000064000000}"/>
    <cellStyle name="Látott hivatkozás 6" xfId="73" xr:uid="{00000000-0005-0000-0000-000065000000}"/>
    <cellStyle name="Látott hivatkozás 7" xfId="75" xr:uid="{00000000-0005-0000-0000-000066000000}"/>
    <cellStyle name="Látott hivatkozás 8" xfId="77" xr:uid="{00000000-0005-0000-0000-000067000000}"/>
    <cellStyle name="Látott hivatkozás 9" xfId="79" xr:uid="{00000000-0005-0000-0000-000068000000}"/>
    <cellStyle name="Magyarázó szöveg 2" xfId="45" xr:uid="{00000000-0005-0000-0000-000069000000}"/>
    <cellStyle name="Normál" xfId="0" builtinId="0"/>
    <cellStyle name="Normál 2" xfId="4" xr:uid="{00000000-0005-0000-0000-00006B000000}"/>
    <cellStyle name="Normál 2 2" xfId="8" xr:uid="{00000000-0005-0000-0000-00006C000000}"/>
    <cellStyle name="Normál 3" xfId="52" xr:uid="{00000000-0005-0000-0000-00006D000000}"/>
    <cellStyle name="Normál 3 2" xfId="54" xr:uid="{00000000-0005-0000-0000-00006E000000}"/>
    <cellStyle name="Normál 3 2 2" xfId="117" xr:uid="{00000000-0005-0000-0000-00006F000000}"/>
    <cellStyle name="Normál 3 3" xfId="62" xr:uid="{00000000-0005-0000-0000-000070000000}"/>
    <cellStyle name="Normál 3 3 2" xfId="119" xr:uid="{00000000-0005-0000-0000-000071000000}"/>
    <cellStyle name="Normál 3 4" xfId="115" xr:uid="{00000000-0005-0000-0000-000072000000}"/>
    <cellStyle name="Normál 4" xfId="7" xr:uid="{00000000-0005-0000-0000-000073000000}"/>
    <cellStyle name="Normál 5" xfId="3" xr:uid="{00000000-0005-0000-0000-000074000000}"/>
    <cellStyle name="Normál 6" xfId="140" xr:uid="{00000000-0005-0000-0000-000075000000}"/>
    <cellStyle name="Összesen 2" xfId="46" xr:uid="{00000000-0005-0000-0000-000076000000}"/>
    <cellStyle name="Összesen 2 2" xfId="59" xr:uid="{00000000-0005-0000-0000-000077000000}"/>
    <cellStyle name="Összesen 2 2 2" xfId="103" xr:uid="{00000000-0005-0000-0000-000078000000}"/>
    <cellStyle name="Összesen 2 2 3" xfId="111" xr:uid="{00000000-0005-0000-0000-000079000000}"/>
    <cellStyle name="Összesen 2 2 4" xfId="129" xr:uid="{00000000-0005-0000-0000-00007A000000}"/>
    <cellStyle name="Összesen 2 2 5" xfId="134" xr:uid="{00000000-0005-0000-0000-00007B000000}"/>
    <cellStyle name="Összesen 2 3" xfId="125" xr:uid="{00000000-0005-0000-0000-00007C000000}"/>
    <cellStyle name="Összesen 2 4" xfId="128" xr:uid="{00000000-0005-0000-0000-00007D000000}"/>
    <cellStyle name="Összesen 2 5" xfId="100" xr:uid="{00000000-0005-0000-0000-00007E000000}"/>
    <cellStyle name="Pénznem" xfId="143" builtinId="4"/>
    <cellStyle name="Pénznem 2" xfId="50" xr:uid="{00000000-0005-0000-0000-000080000000}"/>
    <cellStyle name="Pénznem 3" xfId="5" xr:uid="{00000000-0005-0000-0000-000081000000}"/>
    <cellStyle name="Rossz 2" xfId="47" xr:uid="{00000000-0005-0000-0000-000082000000}"/>
    <cellStyle name="Semleges 2" xfId="48" xr:uid="{00000000-0005-0000-0000-000083000000}"/>
    <cellStyle name="Számítás 2" xfId="49" xr:uid="{00000000-0005-0000-0000-000084000000}"/>
    <cellStyle name="Számítás 2 2" xfId="60" xr:uid="{00000000-0005-0000-0000-000085000000}"/>
    <cellStyle name="Számítás 2 2 2" xfId="102" xr:uid="{00000000-0005-0000-0000-000086000000}"/>
    <cellStyle name="Számítás 2 2 3" xfId="112" xr:uid="{00000000-0005-0000-0000-000087000000}"/>
    <cellStyle name="Számítás 2 2 4" xfId="123" xr:uid="{00000000-0005-0000-0000-000088000000}"/>
    <cellStyle name="Számítás 2 2 5" xfId="133" xr:uid="{00000000-0005-0000-0000-000089000000}"/>
    <cellStyle name="Számítás 2 3" xfId="124" xr:uid="{00000000-0005-0000-0000-00008A000000}"/>
    <cellStyle name="Számítás 2 4" xfId="127" xr:uid="{00000000-0005-0000-0000-00008B000000}"/>
    <cellStyle name="Számítás 2 5" xfId="113" xr:uid="{00000000-0005-0000-0000-00008C000000}"/>
    <cellStyle name="Százalék" xfId="138" builtinId="5"/>
    <cellStyle name="Százalék 2" xfId="51" xr:uid="{00000000-0005-0000-0000-00008E000000}"/>
    <cellStyle name="Százalék 3" xfId="6" xr:uid="{00000000-0005-0000-0000-00008F000000}"/>
    <cellStyle name="TableStyleLight1" xfId="55" xr:uid="{00000000-0005-0000-0000-00009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6"/>
  <sheetViews>
    <sheetView tabSelected="1" topLeftCell="D1" zoomScaleNormal="100" workbookViewId="0">
      <pane ySplit="5" topLeftCell="A75" activePane="bottomLeft" state="frozen"/>
      <selection pane="bottomLeft" activeCell="T1" sqref="T1"/>
    </sheetView>
  </sheetViews>
  <sheetFormatPr defaultRowHeight="15" outlineLevelRow="1" x14ac:dyDescent="0.25"/>
  <cols>
    <col min="1" max="1" width="33.7109375" customWidth="1"/>
    <col min="2" max="2" width="19.7109375" bestFit="1" customWidth="1"/>
    <col min="3" max="3" width="11.85546875" bestFit="1" customWidth="1"/>
    <col min="4" max="4" width="14.140625" customWidth="1"/>
    <col min="5" max="5" width="14.5703125" customWidth="1"/>
    <col min="6" max="6" width="10.7109375" bestFit="1" customWidth="1"/>
    <col min="7" max="8" width="11.85546875" customWidth="1"/>
    <col min="9" max="10" width="11" customWidth="1"/>
    <col min="11" max="11" width="8.140625" style="2" customWidth="1"/>
    <col min="12" max="14" width="13.28515625" style="2" bestFit="1" customWidth="1"/>
    <col min="15" max="15" width="13.28515625" bestFit="1" customWidth="1"/>
    <col min="16" max="16" width="14.42578125" bestFit="1" customWidth="1"/>
    <col min="17" max="17" width="14.7109375" bestFit="1" customWidth="1"/>
    <col min="18" max="18" width="13.140625" customWidth="1"/>
    <col min="19" max="20" width="13.5703125" style="104" customWidth="1"/>
    <col min="21" max="21" width="9.5703125" style="97" bestFit="1" customWidth="1"/>
    <col min="22" max="22" width="11.42578125" customWidth="1"/>
    <col min="23" max="23" width="11" customWidth="1"/>
    <col min="24" max="24" width="10.7109375" customWidth="1"/>
  </cols>
  <sheetData>
    <row r="1" spans="1:25" x14ac:dyDescent="0.25">
      <c r="A1" t="s">
        <v>86</v>
      </c>
      <c r="C1" t="s">
        <v>155</v>
      </c>
      <c r="D1" t="s">
        <v>157</v>
      </c>
      <c r="E1" t="s">
        <v>88</v>
      </c>
      <c r="L1" s="2" t="s">
        <v>83</v>
      </c>
      <c r="M1" s="2" t="s">
        <v>84</v>
      </c>
      <c r="T1" s="104" t="s">
        <v>87</v>
      </c>
      <c r="Y1" t="s">
        <v>156</v>
      </c>
    </row>
    <row r="2" spans="1:25" ht="18.75" x14ac:dyDescent="0.3">
      <c r="A2" s="171" t="s">
        <v>89</v>
      </c>
      <c r="B2" s="171"/>
      <c r="C2" s="171"/>
      <c r="D2" s="171"/>
      <c r="E2" s="171"/>
      <c r="F2" s="26"/>
      <c r="N2" s="134"/>
      <c r="O2" s="135"/>
      <c r="P2" s="135"/>
      <c r="Q2" s="135"/>
      <c r="U2" s="22"/>
      <c r="V2" s="151" t="e">
        <f>IF(VLOOKUP(LEFT($T2,10),'Havi béradatok'!$B:$E,2,FALSE)=E2,"EGYEZIK","HIBÁS")</f>
        <v>#N/A</v>
      </c>
      <c r="W2" s="165" t="e">
        <f>VLOOKUP(LEFT($T2,10),'Havi béradatok'!$B:$E,3,FALSE)-G2</f>
        <v>#N/A</v>
      </c>
      <c r="X2" s="166" t="e">
        <f>VLOOKUP(LEFT($T2,10),'Havi béradatok'!$B:$E,4,FALSE)-H2</f>
        <v>#N/A</v>
      </c>
    </row>
    <row r="3" spans="1:25" ht="15" customHeight="1" x14ac:dyDescent="0.25">
      <c r="A3" s="79" t="s">
        <v>0</v>
      </c>
      <c r="B3" s="80"/>
      <c r="C3" s="80"/>
      <c r="D3" s="80" t="s">
        <v>75</v>
      </c>
      <c r="E3" s="80" t="s">
        <v>24</v>
      </c>
      <c r="F3" s="81"/>
      <c r="G3" s="82" t="s">
        <v>25</v>
      </c>
      <c r="H3" s="136"/>
      <c r="I3" s="83" t="s">
        <v>26</v>
      </c>
      <c r="J3" s="83" t="s">
        <v>62</v>
      </c>
      <c r="K3" s="83" t="s">
        <v>63</v>
      </c>
      <c r="L3" s="83"/>
      <c r="M3" s="83"/>
      <c r="N3" s="83"/>
      <c r="O3" s="83"/>
      <c r="P3" s="84" t="s">
        <v>27</v>
      </c>
      <c r="Q3" s="136" t="s">
        <v>59</v>
      </c>
      <c r="R3" s="128"/>
      <c r="S3" s="83" t="s">
        <v>43</v>
      </c>
      <c r="T3" s="83"/>
      <c r="U3" s="110"/>
      <c r="V3" s="152"/>
      <c r="W3" s="152"/>
      <c r="X3" s="152"/>
    </row>
    <row r="4" spans="1:25" ht="24.75" customHeight="1" x14ac:dyDescent="0.25">
      <c r="A4" s="85" t="s">
        <v>28</v>
      </c>
      <c r="B4" s="77" t="s">
        <v>1</v>
      </c>
      <c r="C4" s="77" t="s">
        <v>5</v>
      </c>
      <c r="D4" s="77" t="s">
        <v>76</v>
      </c>
      <c r="E4" s="77" t="s">
        <v>29</v>
      </c>
      <c r="F4" s="27" t="s">
        <v>10</v>
      </c>
      <c r="G4" s="86" t="s">
        <v>30</v>
      </c>
      <c r="H4" s="137" t="s">
        <v>80</v>
      </c>
      <c r="I4" s="87" t="s">
        <v>31</v>
      </c>
      <c r="J4" s="87" t="s">
        <v>27</v>
      </c>
      <c r="K4" s="88" t="s">
        <v>2</v>
      </c>
      <c r="L4" s="89" t="s">
        <v>13</v>
      </c>
      <c r="M4" s="89" t="s">
        <v>32</v>
      </c>
      <c r="N4" s="89" t="s">
        <v>49</v>
      </c>
      <c r="O4" s="89" t="s">
        <v>3</v>
      </c>
      <c r="P4" s="90" t="s">
        <v>33</v>
      </c>
      <c r="Q4" s="137" t="s">
        <v>60</v>
      </c>
      <c r="R4" s="129" t="s">
        <v>58</v>
      </c>
      <c r="S4" s="88" t="s">
        <v>44</v>
      </c>
      <c r="T4" s="88" t="s">
        <v>78</v>
      </c>
      <c r="U4" s="111"/>
      <c r="V4" s="153" t="s">
        <v>82</v>
      </c>
      <c r="W4" s="153" t="s">
        <v>83</v>
      </c>
      <c r="X4" s="153" t="s">
        <v>84</v>
      </c>
    </row>
    <row r="5" spans="1:25" ht="18.75" customHeight="1" x14ac:dyDescent="0.25">
      <c r="A5" s="91" t="s">
        <v>34</v>
      </c>
      <c r="B5" s="78"/>
      <c r="C5" s="78" t="s">
        <v>35</v>
      </c>
      <c r="D5" s="78" t="s">
        <v>77</v>
      </c>
      <c r="E5" s="78" t="s">
        <v>36</v>
      </c>
      <c r="F5" s="28"/>
      <c r="G5" s="92" t="s">
        <v>37</v>
      </c>
      <c r="H5" s="138" t="s">
        <v>81</v>
      </c>
      <c r="I5" s="93" t="s">
        <v>38</v>
      </c>
      <c r="J5" s="93"/>
      <c r="K5" s="94"/>
      <c r="L5" s="93" t="s">
        <v>39</v>
      </c>
      <c r="M5" s="93" t="s">
        <v>40</v>
      </c>
      <c r="N5" s="93" t="s">
        <v>50</v>
      </c>
      <c r="O5" s="95"/>
      <c r="P5" s="96" t="s">
        <v>41</v>
      </c>
      <c r="Q5" s="138" t="s">
        <v>61</v>
      </c>
      <c r="R5" s="130"/>
      <c r="S5" s="94" t="s">
        <v>45</v>
      </c>
      <c r="T5" s="94" t="s">
        <v>79</v>
      </c>
      <c r="U5" s="112" t="s">
        <v>42</v>
      </c>
      <c r="V5" s="154" t="s">
        <v>85</v>
      </c>
      <c r="W5" s="154" t="s">
        <v>85</v>
      </c>
      <c r="X5" s="154" t="s">
        <v>85</v>
      </c>
    </row>
    <row r="6" spans="1:25" ht="15" customHeight="1" x14ac:dyDescent="0.25">
      <c r="A6" s="3"/>
      <c r="B6" s="1"/>
      <c r="C6" s="4"/>
      <c r="D6" s="4"/>
      <c r="E6" s="3"/>
      <c r="F6" s="3"/>
      <c r="G6" s="7"/>
      <c r="H6" s="7">
        <f t="shared" ref="H6:H90" si="0">ROUND(G6*Q6,0)</f>
        <v>0</v>
      </c>
      <c r="I6" s="163" t="e">
        <f>K6/J6</f>
        <v>#DIV/0!</v>
      </c>
      <c r="J6" s="6"/>
      <c r="K6" s="6"/>
      <c r="L6" s="147"/>
      <c r="M6" s="10"/>
      <c r="N6" s="143"/>
      <c r="O6" s="8" t="e">
        <f t="shared" ref="O6:O90" si="1">L6/G6</f>
        <v>#DIV/0!</v>
      </c>
      <c r="P6" s="11" t="e">
        <f t="shared" ref="P6:P90" si="2">I6-O6</f>
        <v>#DIV/0!</v>
      </c>
      <c r="Q6" s="11">
        <v>0.13</v>
      </c>
      <c r="R6" s="131"/>
      <c r="S6" s="105"/>
      <c r="T6" s="105"/>
      <c r="U6" s="22"/>
    </row>
    <row r="7" spans="1:25" ht="15" customHeight="1" x14ac:dyDescent="0.25">
      <c r="A7" s="3" t="s">
        <v>119</v>
      </c>
      <c r="B7" s="1" t="s">
        <v>113</v>
      </c>
      <c r="C7" s="4" t="s">
        <v>64</v>
      </c>
      <c r="D7" s="4" t="s">
        <v>90</v>
      </c>
      <c r="E7" s="3" t="s">
        <v>116</v>
      </c>
      <c r="F7" s="3" t="s">
        <v>11</v>
      </c>
      <c r="G7" s="7">
        <v>1337166</v>
      </c>
      <c r="H7" s="7">
        <f t="shared" si="0"/>
        <v>173832</v>
      </c>
      <c r="I7" s="163">
        <f>K7/J7</f>
        <v>9.7701149425287362E-2</v>
      </c>
      <c r="J7" s="6">
        <v>174</v>
      </c>
      <c r="K7" s="6">
        <v>17</v>
      </c>
      <c r="L7" s="147">
        <v>119168</v>
      </c>
      <c r="M7" s="10">
        <f t="shared" ref="M7" si="3">ROUND(L7*Q7,0)</f>
        <v>15492</v>
      </c>
      <c r="N7" s="143">
        <f>SUM(L7:M7)/Monitoring!$B$14</f>
        <v>332.49382716049382</v>
      </c>
      <c r="O7" s="8">
        <f t="shared" si="1"/>
        <v>8.9119825062856817E-2</v>
      </c>
      <c r="P7" s="11">
        <f t="shared" si="2"/>
        <v>8.5813243624305452E-3</v>
      </c>
      <c r="Q7" s="11">
        <v>0.13</v>
      </c>
      <c r="R7" s="131"/>
      <c r="S7" s="105" t="s">
        <v>73</v>
      </c>
      <c r="T7" s="105" t="s">
        <v>136</v>
      </c>
      <c r="U7" s="22">
        <v>4</v>
      </c>
      <c r="V7" t="s">
        <v>150</v>
      </c>
      <c r="W7">
        <v>0</v>
      </c>
      <c r="X7">
        <v>0</v>
      </c>
    </row>
    <row r="8" spans="1:25" ht="15" customHeight="1" x14ac:dyDescent="0.25">
      <c r="A8" s="3" t="s">
        <v>119</v>
      </c>
      <c r="B8" s="1" t="s">
        <v>113</v>
      </c>
      <c r="C8" s="4" t="s">
        <v>65</v>
      </c>
      <c r="D8" s="4" t="s">
        <v>90</v>
      </c>
      <c r="E8" s="3" t="s">
        <v>116</v>
      </c>
      <c r="F8" s="3" t="s">
        <v>11</v>
      </c>
      <c r="G8" s="7">
        <v>1337167</v>
      </c>
      <c r="H8" s="7">
        <f t="shared" si="0"/>
        <v>173832</v>
      </c>
      <c r="I8" s="163">
        <f t="shared" ref="I8:I10" si="4">K8/J8</f>
        <v>9.7701149425287362E-2</v>
      </c>
      <c r="J8" s="6">
        <v>174</v>
      </c>
      <c r="K8" s="6">
        <v>17</v>
      </c>
      <c r="L8" s="147">
        <v>119168</v>
      </c>
      <c r="M8" s="10">
        <f t="shared" ref="M8:M19" si="5">ROUND(L8*Q8,0)</f>
        <v>15492</v>
      </c>
      <c r="N8" s="143">
        <f>SUM(L8:M8)/Monitoring!$B$14</f>
        <v>332.49382716049382</v>
      </c>
      <c r="O8" s="8">
        <f t="shared" si="1"/>
        <v>8.9119758414618375E-2</v>
      </c>
      <c r="P8" s="11">
        <f t="shared" si="2"/>
        <v>8.5813910106689872E-3</v>
      </c>
      <c r="Q8" s="11">
        <v>0.13</v>
      </c>
      <c r="R8" s="131"/>
      <c r="S8" s="105" t="s">
        <v>73</v>
      </c>
      <c r="T8" s="167" t="s">
        <v>136</v>
      </c>
      <c r="U8" s="22">
        <v>2</v>
      </c>
      <c r="V8" t="str">
        <f>IF(VLOOKUP($T8,'Havi béradatok'!$B:$E,2,FALSE)=E8,"EGYEZIK","HIBÁS")</f>
        <v>EGYEZIK</v>
      </c>
      <c r="W8">
        <f>VLOOKUP($T8,'Havi béradatok'!$B:$E,3,FALSE)-G8</f>
        <v>0</v>
      </c>
      <c r="X8">
        <f>VLOOKUP($T8,'Havi béradatok'!$B:$E,4,FALSE)-H8</f>
        <v>0</v>
      </c>
    </row>
    <row r="9" spans="1:25" ht="15" customHeight="1" x14ac:dyDescent="0.25">
      <c r="A9" s="3" t="s">
        <v>119</v>
      </c>
      <c r="B9" s="1" t="s">
        <v>113</v>
      </c>
      <c r="C9" s="4" t="s">
        <v>66</v>
      </c>
      <c r="D9" s="4" t="s">
        <v>90</v>
      </c>
      <c r="E9" s="3" t="s">
        <v>116</v>
      </c>
      <c r="F9" s="3" t="s">
        <v>11</v>
      </c>
      <c r="G9" s="7">
        <v>1337167</v>
      </c>
      <c r="H9" s="7">
        <f t="shared" si="0"/>
        <v>173832</v>
      </c>
      <c r="I9" s="163">
        <f t="shared" si="4"/>
        <v>9.7701149425287362E-2</v>
      </c>
      <c r="J9" s="6">
        <v>174</v>
      </c>
      <c r="K9" s="6">
        <v>17</v>
      </c>
      <c r="L9" s="147">
        <v>119168</v>
      </c>
      <c r="M9" s="10">
        <f t="shared" si="5"/>
        <v>15492</v>
      </c>
      <c r="N9" s="143">
        <f>SUM(L9:M9)/Monitoring!$B$14</f>
        <v>332.49382716049382</v>
      </c>
      <c r="O9" s="8">
        <f t="shared" si="1"/>
        <v>8.9119758414618375E-2</v>
      </c>
      <c r="P9" s="11">
        <f t="shared" si="2"/>
        <v>8.5813910106689872E-3</v>
      </c>
      <c r="Q9" s="11">
        <v>0.13</v>
      </c>
      <c r="R9" s="131"/>
      <c r="S9" s="105" t="s">
        <v>73</v>
      </c>
      <c r="T9" s="105">
        <v>8396640823</v>
      </c>
      <c r="U9" s="22">
        <v>3</v>
      </c>
      <c r="V9" t="str">
        <f>IF(VLOOKUP(LEFT($T9,10),'Havi béradatok'!$B:$E,2,FALSE)=E9,"EGYEZIK","HIBÁS")</f>
        <v>EGYEZIK</v>
      </c>
      <c r="W9">
        <f>VLOOKUP(LEFT($T9,10),'Havi béradatok'!$B:$E,3,FALSE)-G9</f>
        <v>0</v>
      </c>
      <c r="X9">
        <f>VLOOKUP(LEFT($T9,10),'Havi béradatok'!$B:$E,4,FALSE)-H9</f>
        <v>0</v>
      </c>
    </row>
    <row r="10" spans="1:25" ht="15" customHeight="1" x14ac:dyDescent="0.25">
      <c r="A10" s="3" t="s">
        <v>119</v>
      </c>
      <c r="B10" s="1" t="s">
        <v>113</v>
      </c>
      <c r="C10" s="4" t="s">
        <v>67</v>
      </c>
      <c r="D10" s="4" t="s">
        <v>90</v>
      </c>
      <c r="E10" s="3" t="s">
        <v>116</v>
      </c>
      <c r="F10" s="3" t="s">
        <v>15</v>
      </c>
      <c r="G10" s="7">
        <v>1337167</v>
      </c>
      <c r="H10" s="7">
        <f t="shared" si="0"/>
        <v>173832</v>
      </c>
      <c r="I10" s="163">
        <f t="shared" si="4"/>
        <v>9.7701149425287362E-2</v>
      </c>
      <c r="J10" s="6">
        <v>174</v>
      </c>
      <c r="K10" s="6">
        <v>17</v>
      </c>
      <c r="L10" s="147">
        <v>119168</v>
      </c>
      <c r="M10" s="10">
        <f t="shared" si="5"/>
        <v>15492</v>
      </c>
      <c r="N10" s="143">
        <f>SUM(L10:M10)/Monitoring!$B$14</f>
        <v>332.49382716049382</v>
      </c>
      <c r="O10" s="8">
        <f t="shared" si="1"/>
        <v>8.9119758414618375E-2</v>
      </c>
      <c r="P10" s="11">
        <f t="shared" si="2"/>
        <v>8.5813910106689872E-3</v>
      </c>
      <c r="Q10" s="11">
        <v>0.13</v>
      </c>
      <c r="R10" s="131"/>
      <c r="S10" s="105" t="s">
        <v>73</v>
      </c>
      <c r="T10" s="105">
        <v>8396640823</v>
      </c>
      <c r="U10" s="22"/>
    </row>
    <row r="11" spans="1:25" ht="15" customHeight="1" x14ac:dyDescent="0.25">
      <c r="A11" s="3" t="s">
        <v>119</v>
      </c>
      <c r="B11" s="1" t="s">
        <v>113</v>
      </c>
      <c r="C11" s="4" t="s">
        <v>68</v>
      </c>
      <c r="D11" s="4" t="s">
        <v>90</v>
      </c>
      <c r="E11" s="3" t="s">
        <v>116</v>
      </c>
      <c r="F11" s="3" t="s">
        <v>15</v>
      </c>
      <c r="G11" s="7">
        <v>1352058</v>
      </c>
      <c r="H11" s="7">
        <f t="shared" ref="H11" si="6">ROUND(G11*Q11,0)</f>
        <v>175768</v>
      </c>
      <c r="I11" s="163">
        <f t="shared" ref="I11" si="7">K11/J11</f>
        <v>8.0459770114942528E-2</v>
      </c>
      <c r="J11" s="6">
        <v>174</v>
      </c>
      <c r="K11" s="6">
        <v>14</v>
      </c>
      <c r="L11" s="147">
        <v>102144</v>
      </c>
      <c r="M11" s="10">
        <f t="shared" ref="M11" si="8">ROUND(L11*Q11,0)</f>
        <v>13279</v>
      </c>
      <c r="N11" s="143">
        <f>SUM(L11:M11)/Monitoring!$B$14</f>
        <v>284.99506172839506</v>
      </c>
      <c r="O11" s="8">
        <f t="shared" ref="O11" si="9">L11/G11</f>
        <v>7.5547054934033894E-2</v>
      </c>
      <c r="P11" s="11">
        <f t="shared" ref="P11" si="10">I11-O11</f>
        <v>4.9127151809086334E-3</v>
      </c>
      <c r="Q11" s="11">
        <v>0.13</v>
      </c>
      <c r="R11" s="131">
        <v>45030</v>
      </c>
      <c r="S11" s="105"/>
      <c r="T11" s="105">
        <v>8396640823</v>
      </c>
      <c r="U11" s="22"/>
    </row>
    <row r="12" spans="1:25" ht="15" customHeight="1" x14ac:dyDescent="0.25">
      <c r="A12" s="3" t="s">
        <v>119</v>
      </c>
      <c r="B12" s="1" t="s">
        <v>113</v>
      </c>
      <c r="C12" s="4" t="s">
        <v>91</v>
      </c>
      <c r="D12" s="4" t="s">
        <v>90</v>
      </c>
      <c r="E12" s="3" t="s">
        <v>116</v>
      </c>
      <c r="F12" s="3" t="s">
        <v>15</v>
      </c>
      <c r="G12" s="7">
        <v>1352058</v>
      </c>
      <c r="H12" s="7">
        <f t="shared" ref="H12" si="11">ROUND(G12*Q12,0)</f>
        <v>175768</v>
      </c>
      <c r="I12" s="163">
        <f t="shared" ref="I12" si="12">K12/J12</f>
        <v>8.0459770114942528E-2</v>
      </c>
      <c r="J12" s="6">
        <v>174</v>
      </c>
      <c r="K12" s="6">
        <v>14</v>
      </c>
      <c r="L12" s="147">
        <v>102144</v>
      </c>
      <c r="M12" s="10">
        <f t="shared" ref="M12" si="13">ROUND(L12*Q12,0)</f>
        <v>13279</v>
      </c>
      <c r="N12" s="143">
        <f>SUM(L12:M12)/Monitoring!$B$14</f>
        <v>284.99506172839506</v>
      </c>
      <c r="O12" s="8">
        <f t="shared" ref="O12" si="14">L12/G12</f>
        <v>7.5547054934033894E-2</v>
      </c>
      <c r="P12" s="11">
        <f t="shared" ref="P12" si="15">I12-O12</f>
        <v>4.9127151809086334E-3</v>
      </c>
      <c r="Q12" s="11">
        <v>0.13</v>
      </c>
      <c r="R12" s="131">
        <v>45030</v>
      </c>
      <c r="S12" s="105"/>
      <c r="T12" s="105">
        <v>8396640823</v>
      </c>
      <c r="U12" s="22"/>
    </row>
    <row r="13" spans="1:25" ht="15" customHeight="1" x14ac:dyDescent="0.25">
      <c r="A13" s="3" t="s">
        <v>128</v>
      </c>
      <c r="B13" s="1" t="s">
        <v>113</v>
      </c>
      <c r="C13" s="4" t="s">
        <v>64</v>
      </c>
      <c r="D13" s="4" t="s">
        <v>90</v>
      </c>
      <c r="E13" s="3" t="s">
        <v>116</v>
      </c>
      <c r="F13" s="3" t="s">
        <v>11</v>
      </c>
      <c r="G13" s="7">
        <v>2036739</v>
      </c>
      <c r="H13" s="7">
        <f t="shared" si="0"/>
        <v>264776</v>
      </c>
      <c r="I13" s="163">
        <f>K13/J13</f>
        <v>4.0229885057471264E-2</v>
      </c>
      <c r="J13" s="6">
        <v>174</v>
      </c>
      <c r="K13" s="6">
        <v>7</v>
      </c>
      <c r="L13" s="147">
        <v>78848</v>
      </c>
      <c r="M13" s="10">
        <f t="shared" si="5"/>
        <v>10250</v>
      </c>
      <c r="N13" s="143">
        <f>SUM(L13:M13)/Monitoring!$B$14</f>
        <v>219.99506172839506</v>
      </c>
      <c r="O13" s="8">
        <f t="shared" si="1"/>
        <v>3.8712864043944757E-2</v>
      </c>
      <c r="P13" s="11">
        <f t="shared" si="2"/>
        <v>1.5170210135265066E-3</v>
      </c>
      <c r="Q13" s="11">
        <v>0.13</v>
      </c>
      <c r="R13" s="131"/>
      <c r="S13" s="105" t="s">
        <v>73</v>
      </c>
      <c r="T13" s="167" t="s">
        <v>138</v>
      </c>
      <c r="U13" s="22">
        <v>4</v>
      </c>
      <c r="V13" t="s">
        <v>150</v>
      </c>
      <c r="W13">
        <v>0</v>
      </c>
      <c r="X13">
        <v>0</v>
      </c>
    </row>
    <row r="14" spans="1:25" ht="15" customHeight="1" x14ac:dyDescent="0.25">
      <c r="A14" s="3" t="s">
        <v>128</v>
      </c>
      <c r="B14" s="1" t="s">
        <v>113</v>
      </c>
      <c r="C14" s="4" t="s">
        <v>65</v>
      </c>
      <c r="D14" s="4" t="s">
        <v>90</v>
      </c>
      <c r="E14" s="3" t="s">
        <v>116</v>
      </c>
      <c r="F14" s="3" t="s">
        <v>11</v>
      </c>
      <c r="G14" s="7">
        <v>2036739</v>
      </c>
      <c r="H14" s="7">
        <f t="shared" si="0"/>
        <v>264776</v>
      </c>
      <c r="I14" s="163">
        <f t="shared" ref="I14" si="16">K14/J14</f>
        <v>4.0229885057471264E-2</v>
      </c>
      <c r="J14" s="6">
        <v>174</v>
      </c>
      <c r="K14" s="6">
        <v>7</v>
      </c>
      <c r="L14" s="147">
        <v>78848</v>
      </c>
      <c r="M14" s="10">
        <f t="shared" ref="M14" si="17">ROUND(L14*Q14,0)</f>
        <v>10250</v>
      </c>
      <c r="N14" s="143">
        <f>SUM(L14:M14)/Monitoring!$B$14</f>
        <v>219.99506172839506</v>
      </c>
      <c r="O14" s="8">
        <f t="shared" si="1"/>
        <v>3.8712864043944757E-2</v>
      </c>
      <c r="P14" s="11">
        <f t="shared" si="2"/>
        <v>1.5170210135265066E-3</v>
      </c>
      <c r="Q14" s="11">
        <v>0.13</v>
      </c>
      <c r="R14" s="131"/>
      <c r="S14" s="105" t="s">
        <v>73</v>
      </c>
      <c r="T14" s="167" t="s">
        <v>138</v>
      </c>
      <c r="U14" s="22">
        <v>2</v>
      </c>
      <c r="V14" t="str">
        <f>IF(VLOOKUP($T14,'Havi béradatok'!$B:$E,2,FALSE)=E14,"EGYEZIK","HIBÁS")</f>
        <v>EGYEZIK</v>
      </c>
      <c r="W14">
        <f>VLOOKUP($T14,'Havi béradatok'!$B:$E,3,FALSE)-G14</f>
        <v>-115000</v>
      </c>
      <c r="X14">
        <f>VLOOKUP($T14,'Havi béradatok'!$B:$E,4,FALSE)-H14</f>
        <v>-14950</v>
      </c>
    </row>
    <row r="15" spans="1:25" ht="15" customHeight="1" x14ac:dyDescent="0.25">
      <c r="A15" s="3" t="s">
        <v>128</v>
      </c>
      <c r="B15" s="1" t="s">
        <v>113</v>
      </c>
      <c r="C15" s="4" t="s">
        <v>66</v>
      </c>
      <c r="D15" s="4" t="s">
        <v>90</v>
      </c>
      <c r="E15" s="3" t="s">
        <v>116</v>
      </c>
      <c r="F15" s="3" t="s">
        <v>11</v>
      </c>
      <c r="G15" s="7">
        <v>1921739</v>
      </c>
      <c r="H15" s="7">
        <f t="shared" ref="H15" si="18">ROUND(G15*Q15,0)</f>
        <v>249826</v>
      </c>
      <c r="I15" s="163">
        <f t="shared" ref="I15" si="19">K15/J15</f>
        <v>4.5977011494252873E-2</v>
      </c>
      <c r="J15" s="6">
        <v>174</v>
      </c>
      <c r="K15" s="6">
        <v>8</v>
      </c>
      <c r="L15" s="147">
        <v>78848</v>
      </c>
      <c r="M15" s="10">
        <f t="shared" ref="M15" si="20">ROUND(L15*Q15,0)</f>
        <v>10250</v>
      </c>
      <c r="N15" s="143">
        <f>SUM(L15:M15)/Monitoring!$B$14</f>
        <v>219.99506172839506</v>
      </c>
      <c r="O15" s="8">
        <f t="shared" ref="O15" si="21">L15/G15</f>
        <v>4.1029505047251474E-2</v>
      </c>
      <c r="P15" s="11">
        <f t="shared" ref="P15" si="22">I15-O15</f>
        <v>4.9475064470013985E-3</v>
      </c>
      <c r="Q15" s="11">
        <v>0.13</v>
      </c>
      <c r="R15" s="131">
        <v>44980</v>
      </c>
      <c r="S15" s="105" t="s">
        <v>73</v>
      </c>
      <c r="T15" s="105">
        <v>8398703792</v>
      </c>
      <c r="U15" s="22">
        <v>3</v>
      </c>
      <c r="V15" t="str">
        <f>IF(VLOOKUP(LEFT($T15,10),'Havi béradatok'!$B:$E,2,FALSE)=E15,"EGYEZIK","HIBÁS")</f>
        <v>EGYEZIK</v>
      </c>
      <c r="W15">
        <f>VLOOKUP(LEFT($T15,10),'Havi béradatok'!$B:$E,3,FALSE)-G15</f>
        <v>0</v>
      </c>
      <c r="X15">
        <f>VLOOKUP(LEFT($T15,10),'Havi béradatok'!$B:$E,4,FALSE)-H15</f>
        <v>0</v>
      </c>
    </row>
    <row r="16" spans="1:25" ht="15" customHeight="1" x14ac:dyDescent="0.25">
      <c r="A16" s="3" t="s">
        <v>128</v>
      </c>
      <c r="B16" s="1" t="s">
        <v>113</v>
      </c>
      <c r="C16" s="4" t="s">
        <v>67</v>
      </c>
      <c r="D16" s="4" t="s">
        <v>90</v>
      </c>
      <c r="E16" s="3" t="s">
        <v>116</v>
      </c>
      <c r="F16" s="3" t="s">
        <v>15</v>
      </c>
      <c r="G16" s="7">
        <v>1921739</v>
      </c>
      <c r="H16" s="7">
        <f t="shared" ref="H16" si="23">ROUND(G16*Q16,0)</f>
        <v>249826</v>
      </c>
      <c r="I16" s="163">
        <f t="shared" ref="I16" si="24">K16/J16</f>
        <v>4.5977011494252873E-2</v>
      </c>
      <c r="J16" s="6">
        <v>174</v>
      </c>
      <c r="K16" s="6">
        <v>8</v>
      </c>
      <c r="L16" s="147">
        <v>78848</v>
      </c>
      <c r="M16" s="10">
        <f t="shared" ref="M16" si="25">ROUND(L16*Q16,0)</f>
        <v>10250</v>
      </c>
      <c r="N16" s="143">
        <f>SUM(L16:M16)/Monitoring!$B$14</f>
        <v>219.99506172839506</v>
      </c>
      <c r="O16" s="8">
        <f t="shared" ref="O16" si="26">L16/G16</f>
        <v>4.1029505047251474E-2</v>
      </c>
      <c r="P16" s="11">
        <f t="shared" ref="P16" si="27">I16-O16</f>
        <v>4.9475064470013985E-3</v>
      </c>
      <c r="Q16" s="11">
        <v>0.13</v>
      </c>
      <c r="R16" s="131">
        <v>44980</v>
      </c>
      <c r="S16" s="105" t="s">
        <v>73</v>
      </c>
      <c r="T16" s="105">
        <v>8398703792</v>
      </c>
      <c r="U16" s="22"/>
    </row>
    <row r="17" spans="1:24" ht="15" customHeight="1" x14ac:dyDescent="0.25">
      <c r="A17" s="3" t="s">
        <v>128</v>
      </c>
      <c r="B17" s="1" t="s">
        <v>113</v>
      </c>
      <c r="C17" s="4" t="s">
        <v>68</v>
      </c>
      <c r="D17" s="4" t="s">
        <v>90</v>
      </c>
      <c r="E17" s="3" t="s">
        <v>116</v>
      </c>
      <c r="F17" s="3" t="s">
        <v>15</v>
      </c>
      <c r="G17" s="7">
        <v>1906739</v>
      </c>
      <c r="H17" s="7">
        <f t="shared" ref="H17" si="28">ROUND(G17*Q17,0)</f>
        <v>247876</v>
      </c>
      <c r="I17" s="163">
        <f t="shared" ref="I17" si="29">K17/J17</f>
        <v>4.5977011494252873E-2</v>
      </c>
      <c r="J17" s="6">
        <v>174</v>
      </c>
      <c r="K17" s="6">
        <v>8</v>
      </c>
      <c r="L17" s="147">
        <v>78848</v>
      </c>
      <c r="M17" s="10">
        <f t="shared" ref="M17" si="30">ROUND(L17*Q17,0)</f>
        <v>10250</v>
      </c>
      <c r="N17" s="143">
        <f>SUM(L17:M17)/Monitoring!$B$14</f>
        <v>219.99506172839506</v>
      </c>
      <c r="O17" s="8">
        <f t="shared" ref="O17" si="31">L17/G17</f>
        <v>4.1352277369896981E-2</v>
      </c>
      <c r="P17" s="11">
        <f t="shared" ref="P17" si="32">I17-O17</f>
        <v>4.624734124355892E-3</v>
      </c>
      <c r="Q17" s="11">
        <v>0.13</v>
      </c>
      <c r="R17" s="131">
        <v>45034</v>
      </c>
      <c r="S17" s="105"/>
      <c r="T17" s="105">
        <v>8398703792</v>
      </c>
      <c r="U17" s="22"/>
    </row>
    <row r="18" spans="1:24" ht="15" customHeight="1" x14ac:dyDescent="0.25">
      <c r="A18" s="3" t="s">
        <v>128</v>
      </c>
      <c r="B18" s="1" t="s">
        <v>113</v>
      </c>
      <c r="C18" s="4" t="s">
        <v>91</v>
      </c>
      <c r="D18" s="4" t="s">
        <v>90</v>
      </c>
      <c r="E18" s="3" t="s">
        <v>116</v>
      </c>
      <c r="F18" s="3" t="s">
        <v>15</v>
      </c>
      <c r="G18" s="7">
        <v>1906739</v>
      </c>
      <c r="H18" s="7">
        <f t="shared" ref="H18" si="33">ROUND(G18*Q18,0)</f>
        <v>247876</v>
      </c>
      <c r="I18" s="163">
        <f t="shared" ref="I18" si="34">K18/J18</f>
        <v>4.5977011494252873E-2</v>
      </c>
      <c r="J18" s="6">
        <v>174</v>
      </c>
      <c r="K18" s="6">
        <v>8</v>
      </c>
      <c r="L18" s="147">
        <v>78848</v>
      </c>
      <c r="M18" s="10">
        <f t="shared" ref="M18" si="35">ROUND(L18*Q18,0)</f>
        <v>10250</v>
      </c>
      <c r="N18" s="143">
        <f>SUM(L18:M18)/Monitoring!$B$14</f>
        <v>219.99506172839506</v>
      </c>
      <c r="O18" s="8">
        <f t="shared" ref="O18" si="36">L18/G18</f>
        <v>4.1352277369896981E-2</v>
      </c>
      <c r="P18" s="11">
        <f t="shared" ref="P18" si="37">I18-O18</f>
        <v>4.624734124355892E-3</v>
      </c>
      <c r="Q18" s="11">
        <v>0.13</v>
      </c>
      <c r="R18" s="131">
        <v>45034</v>
      </c>
      <c r="S18" s="105"/>
      <c r="T18" s="105">
        <v>8398703792</v>
      </c>
      <c r="U18" s="22"/>
    </row>
    <row r="19" spans="1:24" ht="15" customHeight="1" x14ac:dyDescent="0.25">
      <c r="A19" s="3" t="s">
        <v>122</v>
      </c>
      <c r="B19" s="1" t="s">
        <v>46</v>
      </c>
      <c r="C19" s="4" t="s">
        <v>64</v>
      </c>
      <c r="D19" s="4" t="s">
        <v>90</v>
      </c>
      <c r="E19" s="3" t="s">
        <v>74</v>
      </c>
      <c r="F19" s="3" t="s">
        <v>11</v>
      </c>
      <c r="G19" s="7">
        <v>760829</v>
      </c>
      <c r="H19" s="7">
        <f t="shared" si="0"/>
        <v>98908</v>
      </c>
      <c r="I19" s="163">
        <f>K19/J19</f>
        <v>6.8965517241379309E-2</v>
      </c>
      <c r="J19" s="6">
        <v>174</v>
      </c>
      <c r="K19" s="6">
        <v>12</v>
      </c>
      <c r="L19" s="147">
        <v>51072</v>
      </c>
      <c r="M19" s="10">
        <f t="shared" si="5"/>
        <v>6639</v>
      </c>
      <c r="N19" s="143">
        <f>SUM(L19:M19)/Monitoring!$B$14</f>
        <v>142.49629629629629</v>
      </c>
      <c r="O19" s="8">
        <f t="shared" si="1"/>
        <v>6.7126778816264887E-2</v>
      </c>
      <c r="P19" s="11">
        <f t="shared" si="2"/>
        <v>1.8387384251144223E-3</v>
      </c>
      <c r="Q19" s="11">
        <v>0.13</v>
      </c>
      <c r="R19" s="131"/>
      <c r="S19" s="105" t="s">
        <v>73</v>
      </c>
      <c r="T19" s="167" t="s">
        <v>132</v>
      </c>
      <c r="U19" s="22">
        <v>4</v>
      </c>
      <c r="V19" t="s">
        <v>150</v>
      </c>
      <c r="W19">
        <v>0</v>
      </c>
      <c r="X19">
        <v>0</v>
      </c>
    </row>
    <row r="20" spans="1:24" ht="15" customHeight="1" x14ac:dyDescent="0.25">
      <c r="A20" s="3" t="s">
        <v>122</v>
      </c>
      <c r="B20" s="1" t="s">
        <v>46</v>
      </c>
      <c r="C20" s="4" t="s">
        <v>65</v>
      </c>
      <c r="D20" s="4" t="s">
        <v>90</v>
      </c>
      <c r="E20" s="3" t="s">
        <v>74</v>
      </c>
      <c r="F20" s="3" t="s">
        <v>11</v>
      </c>
      <c r="G20" s="7">
        <v>760829</v>
      </c>
      <c r="H20" s="7">
        <f t="shared" si="0"/>
        <v>98908</v>
      </c>
      <c r="I20" s="163">
        <f t="shared" ref="I20" si="38">K20/J20</f>
        <v>6.8965517241379309E-2</v>
      </c>
      <c r="J20" s="6">
        <v>174</v>
      </c>
      <c r="K20" s="6">
        <v>12</v>
      </c>
      <c r="L20" s="147">
        <v>51072</v>
      </c>
      <c r="M20" s="10">
        <f t="shared" ref="M20" si="39">ROUND(L20*Q20,0)</f>
        <v>6639</v>
      </c>
      <c r="N20" s="143">
        <f>SUM(L20:M20)/Monitoring!$B$14</f>
        <v>142.49629629629629</v>
      </c>
      <c r="O20" s="8">
        <f t="shared" si="1"/>
        <v>6.7126778816264887E-2</v>
      </c>
      <c r="P20" s="11">
        <f t="shared" si="2"/>
        <v>1.8387384251144223E-3</v>
      </c>
      <c r="Q20" s="11">
        <v>0.13</v>
      </c>
      <c r="R20" s="131"/>
      <c r="S20" s="105" t="s">
        <v>73</v>
      </c>
      <c r="T20" s="167" t="s">
        <v>132</v>
      </c>
      <c r="U20" s="22">
        <v>2</v>
      </c>
      <c r="V20" t="str">
        <f>IF(VLOOKUP($T20,'Havi béradatok'!$B:$E,2,FALSE)=E20,"EGYEZIK","HIBÁS")</f>
        <v>EGYEZIK</v>
      </c>
      <c r="W20">
        <f>VLOOKUP($T20,'Havi béradatok'!$B:$E,3,FALSE)-G20</f>
        <v>-24000</v>
      </c>
      <c r="X20">
        <f>VLOOKUP($T20,'Havi béradatok'!$B:$E,4,FALSE)-H20</f>
        <v>-3120</v>
      </c>
    </row>
    <row r="21" spans="1:24" ht="15" customHeight="1" x14ac:dyDescent="0.25">
      <c r="A21" s="3" t="s">
        <v>122</v>
      </c>
      <c r="B21" s="1" t="s">
        <v>46</v>
      </c>
      <c r="C21" s="4" t="s">
        <v>66</v>
      </c>
      <c r="D21" s="4" t="s">
        <v>90</v>
      </c>
      <c r="E21" s="3" t="s">
        <v>74</v>
      </c>
      <c r="F21" s="3" t="s">
        <v>11</v>
      </c>
      <c r="G21" s="7">
        <v>736829</v>
      </c>
      <c r="H21" s="7">
        <f t="shared" ref="H21" si="40">ROUND(G21*Q21,0)</f>
        <v>95788</v>
      </c>
      <c r="I21" s="163">
        <f t="shared" ref="I21" si="41">K21/J21</f>
        <v>7.4712643678160925E-2</v>
      </c>
      <c r="J21" s="6">
        <v>174</v>
      </c>
      <c r="K21" s="6">
        <v>13</v>
      </c>
      <c r="L21" s="147">
        <v>55050</v>
      </c>
      <c r="M21" s="10">
        <f t="shared" ref="M21" si="42">ROUND(L21*Q21,0)</f>
        <v>7157</v>
      </c>
      <c r="N21" s="143">
        <f>SUM(L21:M21)/Monitoring!$B$14</f>
        <v>153.59753086419752</v>
      </c>
      <c r="O21" s="8">
        <f t="shared" ref="O21" si="43">L21/G21</f>
        <v>7.4712043092766439E-2</v>
      </c>
      <c r="P21" s="11">
        <f t="shared" ref="P21" si="44">I21-O21</f>
        <v>6.005853944862638E-7</v>
      </c>
      <c r="Q21" s="11">
        <v>0.13</v>
      </c>
      <c r="R21" s="131">
        <v>44991</v>
      </c>
      <c r="S21" s="105" t="s">
        <v>73</v>
      </c>
      <c r="T21" s="105">
        <v>8426803148</v>
      </c>
      <c r="U21" s="22">
        <v>3</v>
      </c>
      <c r="V21" t="str">
        <f>IF(VLOOKUP(LEFT($T21,10),'Havi béradatok'!$B:$E,2,FALSE)=E21,"EGYEZIK","HIBÁS")</f>
        <v>EGYEZIK</v>
      </c>
      <c r="W21">
        <f>VLOOKUP(LEFT($T21,10),'Havi béradatok'!$B:$E,3,FALSE)-G21</f>
        <v>0</v>
      </c>
      <c r="X21">
        <f>VLOOKUP(LEFT($T21,10),'Havi béradatok'!$B:$E,4,FALSE)-H21</f>
        <v>0</v>
      </c>
    </row>
    <row r="22" spans="1:24" ht="15" customHeight="1" x14ac:dyDescent="0.25">
      <c r="A22" s="3" t="s">
        <v>122</v>
      </c>
      <c r="B22" s="1" t="s">
        <v>46</v>
      </c>
      <c r="C22" s="4" t="s">
        <v>67</v>
      </c>
      <c r="D22" s="4" t="s">
        <v>90</v>
      </c>
      <c r="E22" s="3" t="s">
        <v>116</v>
      </c>
      <c r="F22" s="3" t="s">
        <v>15</v>
      </c>
      <c r="G22" s="7">
        <v>736829</v>
      </c>
      <c r="H22" s="7">
        <f t="shared" ref="H22:H26" si="45">ROUND(G22*Q22,0)</f>
        <v>95788</v>
      </c>
      <c r="I22" s="163">
        <f t="shared" ref="I22:I26" si="46">K22/J22</f>
        <v>7.4712643678160925E-2</v>
      </c>
      <c r="J22" s="6">
        <v>174</v>
      </c>
      <c r="K22" s="6">
        <v>13</v>
      </c>
      <c r="L22" s="147">
        <v>55050</v>
      </c>
      <c r="M22" s="10">
        <f t="shared" ref="M22:M26" si="47">ROUND(L22*Q22,0)</f>
        <v>7157</v>
      </c>
      <c r="N22" s="143">
        <f>SUM(L22:M22)/Monitoring!$B$14</f>
        <v>153.59753086419752</v>
      </c>
      <c r="O22" s="8">
        <f t="shared" ref="O22:O26" si="48">L22/G22</f>
        <v>7.4712043092766439E-2</v>
      </c>
      <c r="P22" s="11">
        <f t="shared" ref="P22:P26" si="49">I22-O22</f>
        <v>6.005853944862638E-7</v>
      </c>
      <c r="Q22" s="11">
        <v>0.13</v>
      </c>
      <c r="R22" s="131">
        <v>44991</v>
      </c>
      <c r="S22" s="105" t="s">
        <v>73</v>
      </c>
      <c r="T22" s="105">
        <v>8426803148</v>
      </c>
      <c r="U22" s="22"/>
    </row>
    <row r="23" spans="1:24" ht="15" customHeight="1" x14ac:dyDescent="0.25">
      <c r="A23" s="3" t="s">
        <v>122</v>
      </c>
      <c r="B23" s="1" t="s">
        <v>46</v>
      </c>
      <c r="C23" s="4" t="s">
        <v>68</v>
      </c>
      <c r="D23" s="4" t="s">
        <v>90</v>
      </c>
      <c r="E23" s="3" t="s">
        <v>116</v>
      </c>
      <c r="F23" s="3" t="s">
        <v>15</v>
      </c>
      <c r="G23" s="7">
        <v>736829</v>
      </c>
      <c r="H23" s="7">
        <f t="shared" si="45"/>
        <v>95788</v>
      </c>
      <c r="I23" s="163">
        <f t="shared" si="46"/>
        <v>7.4712643678160925E-2</v>
      </c>
      <c r="J23" s="6">
        <v>174</v>
      </c>
      <c r="K23" s="6">
        <v>13</v>
      </c>
      <c r="L23" s="147">
        <v>55050</v>
      </c>
      <c r="M23" s="10">
        <f t="shared" si="47"/>
        <v>7157</v>
      </c>
      <c r="N23" s="143">
        <f>SUM(L23:M23)/Monitoring!$B$14</f>
        <v>153.59753086419752</v>
      </c>
      <c r="O23" s="8">
        <f t="shared" si="48"/>
        <v>7.4712043092766439E-2</v>
      </c>
      <c r="P23" s="11">
        <f t="shared" si="49"/>
        <v>6.005853944862638E-7</v>
      </c>
      <c r="Q23" s="11">
        <v>0.13</v>
      </c>
      <c r="R23" s="131">
        <v>44991</v>
      </c>
      <c r="S23" s="105" t="s">
        <v>73</v>
      </c>
      <c r="T23" s="105">
        <v>8426803148</v>
      </c>
      <c r="U23" s="22"/>
    </row>
    <row r="24" spans="1:24" ht="15" customHeight="1" x14ac:dyDescent="0.25">
      <c r="A24" s="3" t="s">
        <v>122</v>
      </c>
      <c r="B24" s="1" t="s">
        <v>46</v>
      </c>
      <c r="C24" s="4" t="s">
        <v>91</v>
      </c>
      <c r="D24" s="4" t="s">
        <v>90</v>
      </c>
      <c r="E24" s="3" t="s">
        <v>116</v>
      </c>
      <c r="F24" s="3" t="s">
        <v>15</v>
      </c>
      <c r="G24" s="7">
        <v>736829</v>
      </c>
      <c r="H24" s="7">
        <f t="shared" si="45"/>
        <v>95788</v>
      </c>
      <c r="I24" s="163">
        <f t="shared" si="46"/>
        <v>7.4712643678160925E-2</v>
      </c>
      <c r="J24" s="6">
        <v>174</v>
      </c>
      <c r="K24" s="6">
        <v>13</v>
      </c>
      <c r="L24" s="147">
        <v>55050</v>
      </c>
      <c r="M24" s="10">
        <f t="shared" si="47"/>
        <v>7157</v>
      </c>
      <c r="N24" s="143">
        <f>SUM(L24:M24)/Monitoring!$B$14</f>
        <v>153.59753086419752</v>
      </c>
      <c r="O24" s="8">
        <f t="shared" si="48"/>
        <v>7.4712043092766439E-2</v>
      </c>
      <c r="P24" s="11">
        <f t="shared" si="49"/>
        <v>6.005853944862638E-7</v>
      </c>
      <c r="Q24" s="11">
        <v>0.13</v>
      </c>
      <c r="R24" s="131">
        <v>44991</v>
      </c>
      <c r="S24" s="105" t="s">
        <v>73</v>
      </c>
      <c r="T24" s="105">
        <v>8426803148</v>
      </c>
      <c r="U24" s="22"/>
    </row>
    <row r="25" spans="1:24" ht="15" customHeight="1" x14ac:dyDescent="0.25">
      <c r="A25" s="3" t="s">
        <v>122</v>
      </c>
      <c r="B25" s="1" t="s">
        <v>46</v>
      </c>
      <c r="C25" s="4" t="s">
        <v>92</v>
      </c>
      <c r="D25" s="4" t="s">
        <v>90</v>
      </c>
      <c r="E25" s="3" t="s">
        <v>116</v>
      </c>
      <c r="F25" s="3" t="s">
        <v>15</v>
      </c>
      <c r="G25" s="7">
        <v>736829</v>
      </c>
      <c r="H25" s="7">
        <f t="shared" si="45"/>
        <v>95788</v>
      </c>
      <c r="I25" s="163">
        <f t="shared" si="46"/>
        <v>7.4712643678160925E-2</v>
      </c>
      <c r="J25" s="6">
        <v>174</v>
      </c>
      <c r="K25" s="6">
        <v>13</v>
      </c>
      <c r="L25" s="147">
        <v>55050</v>
      </c>
      <c r="M25" s="10">
        <f t="shared" si="47"/>
        <v>7157</v>
      </c>
      <c r="N25" s="143">
        <f>SUM(L25:M25)/Monitoring!$B$14</f>
        <v>153.59753086419752</v>
      </c>
      <c r="O25" s="8">
        <f t="shared" si="48"/>
        <v>7.4712043092766439E-2</v>
      </c>
      <c r="P25" s="11">
        <f t="shared" si="49"/>
        <v>6.005853944862638E-7</v>
      </c>
      <c r="Q25" s="11">
        <v>0.13</v>
      </c>
      <c r="R25" s="131">
        <v>44991</v>
      </c>
      <c r="S25" s="105" t="s">
        <v>73</v>
      </c>
      <c r="T25" s="105">
        <v>8426803148</v>
      </c>
      <c r="U25" s="22"/>
    </row>
    <row r="26" spans="1:24" ht="15" customHeight="1" x14ac:dyDescent="0.25">
      <c r="A26" s="3" t="s">
        <v>122</v>
      </c>
      <c r="B26" s="1" t="s">
        <v>46</v>
      </c>
      <c r="C26" s="4" t="s">
        <v>93</v>
      </c>
      <c r="D26" s="4" t="s">
        <v>90</v>
      </c>
      <c r="E26" s="3" t="s">
        <v>116</v>
      </c>
      <c r="F26" s="3" t="s">
        <v>15</v>
      </c>
      <c r="G26" s="7">
        <v>736829</v>
      </c>
      <c r="H26" s="7">
        <f t="shared" si="45"/>
        <v>95788</v>
      </c>
      <c r="I26" s="163">
        <f t="shared" si="46"/>
        <v>7.4712643678160925E-2</v>
      </c>
      <c r="J26" s="6">
        <v>174</v>
      </c>
      <c r="K26" s="6">
        <v>13</v>
      </c>
      <c r="L26" s="147">
        <v>55050</v>
      </c>
      <c r="M26" s="10">
        <f t="shared" si="47"/>
        <v>7157</v>
      </c>
      <c r="N26" s="143">
        <f>SUM(L26:M26)/Monitoring!$B$14</f>
        <v>153.59753086419752</v>
      </c>
      <c r="O26" s="8">
        <f t="shared" si="48"/>
        <v>7.4712043092766439E-2</v>
      </c>
      <c r="P26" s="11">
        <f t="shared" si="49"/>
        <v>6.005853944862638E-7</v>
      </c>
      <c r="Q26" s="11">
        <v>0.13</v>
      </c>
      <c r="R26" s="131">
        <v>44991</v>
      </c>
      <c r="S26" s="105" t="s">
        <v>73</v>
      </c>
      <c r="T26" s="105">
        <v>8426803148</v>
      </c>
      <c r="U26" s="22"/>
    </row>
    <row r="27" spans="1:24" ht="15" customHeight="1" x14ac:dyDescent="0.25">
      <c r="A27" s="3" t="s">
        <v>118</v>
      </c>
      <c r="B27" s="1" t="s">
        <v>113</v>
      </c>
      <c r="C27" s="4" t="s">
        <v>64</v>
      </c>
      <c r="D27" s="4" t="s">
        <v>90</v>
      </c>
      <c r="E27" s="3" t="s">
        <v>116</v>
      </c>
      <c r="F27" s="3" t="s">
        <v>11</v>
      </c>
      <c r="G27" s="7">
        <v>746700</v>
      </c>
      <c r="H27" s="7">
        <f t="shared" si="0"/>
        <v>97071</v>
      </c>
      <c r="I27" s="163">
        <f>K27/J27</f>
        <v>0.32183908045977011</v>
      </c>
      <c r="J27" s="6">
        <v>174</v>
      </c>
      <c r="K27" s="6">
        <v>56</v>
      </c>
      <c r="L27" s="147">
        <v>236544</v>
      </c>
      <c r="M27" s="10">
        <f t="shared" ref="M27" si="50">ROUND(L27*Q27,0)</f>
        <v>30751</v>
      </c>
      <c r="N27" s="143">
        <f>SUM(L27:M27)/Monitoring!$B$14</f>
        <v>659.98765432098764</v>
      </c>
      <c r="O27" s="8">
        <f t="shared" si="1"/>
        <v>0.31678585777420654</v>
      </c>
      <c r="P27" s="11">
        <f t="shared" si="2"/>
        <v>5.0532226855635742E-3</v>
      </c>
      <c r="Q27" s="11">
        <v>0.13</v>
      </c>
      <c r="R27" s="131"/>
      <c r="S27" s="105" t="s">
        <v>73</v>
      </c>
      <c r="T27" s="167" t="s">
        <v>145</v>
      </c>
      <c r="U27" s="22">
        <v>4</v>
      </c>
      <c r="V27" t="s">
        <v>150</v>
      </c>
      <c r="W27">
        <v>0</v>
      </c>
      <c r="X27">
        <v>0</v>
      </c>
    </row>
    <row r="28" spans="1:24" ht="15" customHeight="1" x14ac:dyDescent="0.25">
      <c r="A28" s="3" t="s">
        <v>118</v>
      </c>
      <c r="B28" s="1" t="s">
        <v>113</v>
      </c>
      <c r="C28" s="4" t="s">
        <v>65</v>
      </c>
      <c r="D28" s="4" t="s">
        <v>90</v>
      </c>
      <c r="E28" s="3" t="s">
        <v>116</v>
      </c>
      <c r="F28" s="3" t="s">
        <v>11</v>
      </c>
      <c r="G28" s="7">
        <v>746700</v>
      </c>
      <c r="H28" s="7">
        <f t="shared" si="0"/>
        <v>97071</v>
      </c>
      <c r="I28" s="163">
        <f t="shared" ref="I28:I32" si="51">K28/J28</f>
        <v>0.32183908045977011</v>
      </c>
      <c r="J28" s="6">
        <v>174</v>
      </c>
      <c r="K28" s="6">
        <v>56</v>
      </c>
      <c r="L28" s="147">
        <v>236544</v>
      </c>
      <c r="M28" s="10">
        <f t="shared" ref="M28:M32" si="52">ROUND(L28*Q28,0)</f>
        <v>30751</v>
      </c>
      <c r="N28" s="143">
        <f>SUM(L28:M28)/Monitoring!$B$14</f>
        <v>659.98765432098764</v>
      </c>
      <c r="O28" s="8">
        <f t="shared" si="1"/>
        <v>0.31678585777420654</v>
      </c>
      <c r="P28" s="11">
        <f t="shared" si="2"/>
        <v>5.0532226855635742E-3</v>
      </c>
      <c r="Q28" s="11">
        <v>0.13</v>
      </c>
      <c r="R28" s="131"/>
      <c r="S28" s="105" t="s">
        <v>73</v>
      </c>
      <c r="T28" s="167" t="s">
        <v>145</v>
      </c>
      <c r="U28" s="22">
        <v>2</v>
      </c>
      <c r="V28" t="str">
        <f>IF(VLOOKUP($T28,'Havi béradatok'!$B:$E,2,FALSE)=E28,"EGYEZIK","HIBÁS")</f>
        <v>EGYEZIK</v>
      </c>
      <c r="W28">
        <f>VLOOKUP($T28,'Havi béradatok'!$B:$E,3,FALSE)-G28</f>
        <v>0</v>
      </c>
      <c r="X28">
        <f>VLOOKUP($T28,'Havi béradatok'!$B:$E,4,FALSE)-H28</f>
        <v>0</v>
      </c>
    </row>
    <row r="29" spans="1:24" s="12" customFormat="1" ht="15" customHeight="1" x14ac:dyDescent="0.25">
      <c r="A29" s="3" t="s">
        <v>118</v>
      </c>
      <c r="B29" s="1" t="s">
        <v>113</v>
      </c>
      <c r="C29" s="4" t="s">
        <v>66</v>
      </c>
      <c r="D29" s="4" t="s">
        <v>90</v>
      </c>
      <c r="E29" s="3" t="s">
        <v>116</v>
      </c>
      <c r="F29" s="3" t="s">
        <v>11</v>
      </c>
      <c r="G29" s="7">
        <v>746700</v>
      </c>
      <c r="H29" s="7">
        <f t="shared" si="0"/>
        <v>97071</v>
      </c>
      <c r="I29" s="163">
        <f t="shared" si="51"/>
        <v>0.32183908045977011</v>
      </c>
      <c r="J29" s="6">
        <v>174</v>
      </c>
      <c r="K29" s="6">
        <v>56</v>
      </c>
      <c r="L29" s="147">
        <v>236544</v>
      </c>
      <c r="M29" s="10">
        <f t="shared" si="52"/>
        <v>30751</v>
      </c>
      <c r="N29" s="143">
        <f>SUM(L29:M29)/Monitoring!$B$14</f>
        <v>659.98765432098764</v>
      </c>
      <c r="O29" s="8">
        <f t="shared" si="1"/>
        <v>0.31678585777420654</v>
      </c>
      <c r="P29" s="11">
        <f t="shared" si="2"/>
        <v>5.0532226855635742E-3</v>
      </c>
      <c r="Q29" s="11">
        <v>0.13</v>
      </c>
      <c r="R29" s="131"/>
      <c r="S29" s="105" t="s">
        <v>73</v>
      </c>
      <c r="T29" s="105">
        <v>8431812710</v>
      </c>
      <c r="U29" s="22">
        <v>3</v>
      </c>
      <c r="V29" t="str">
        <f>IF(VLOOKUP(LEFT($T29,10),'Havi béradatok'!$B:$E,2,FALSE)=E29,"EGYEZIK","HIBÁS")</f>
        <v>EGYEZIK</v>
      </c>
      <c r="W29">
        <f>VLOOKUP(LEFT($T29,10),'Havi béradatok'!$B:$E,3,FALSE)-G29</f>
        <v>0</v>
      </c>
      <c r="X29">
        <f>VLOOKUP(LEFT($T29,10),'Havi béradatok'!$B:$E,4,FALSE)-H29</f>
        <v>0</v>
      </c>
    </row>
    <row r="30" spans="1:24" s="12" customFormat="1" ht="15" customHeight="1" x14ac:dyDescent="0.25">
      <c r="A30" s="3" t="s">
        <v>118</v>
      </c>
      <c r="B30" s="1" t="s">
        <v>113</v>
      </c>
      <c r="C30" s="4" t="s">
        <v>67</v>
      </c>
      <c r="D30" s="4" t="s">
        <v>90</v>
      </c>
      <c r="E30" s="3" t="s">
        <v>116</v>
      </c>
      <c r="F30" s="3" t="s">
        <v>15</v>
      </c>
      <c r="G30" s="7">
        <v>746700</v>
      </c>
      <c r="H30" s="7">
        <f t="shared" si="0"/>
        <v>97071</v>
      </c>
      <c r="I30" s="163">
        <f t="shared" si="51"/>
        <v>0.32183908045977011</v>
      </c>
      <c r="J30" s="6">
        <v>174</v>
      </c>
      <c r="K30" s="6">
        <v>56</v>
      </c>
      <c r="L30" s="147">
        <v>236544</v>
      </c>
      <c r="M30" s="10">
        <f t="shared" si="52"/>
        <v>30751</v>
      </c>
      <c r="N30" s="143">
        <f>SUM(L30:M30)/Monitoring!$B$14</f>
        <v>659.98765432098764</v>
      </c>
      <c r="O30" s="8">
        <f t="shared" si="1"/>
        <v>0.31678585777420654</v>
      </c>
      <c r="P30" s="11">
        <f t="shared" si="2"/>
        <v>5.0532226855635742E-3</v>
      </c>
      <c r="Q30" s="11">
        <v>0.13</v>
      </c>
      <c r="R30" s="131"/>
      <c r="S30" s="105" t="s">
        <v>73</v>
      </c>
      <c r="T30" s="105">
        <v>8431812710</v>
      </c>
      <c r="U30" s="113"/>
    </row>
    <row r="31" spans="1:24" s="12" customFormat="1" ht="15" customHeight="1" x14ac:dyDescent="0.25">
      <c r="A31" s="3" t="s">
        <v>118</v>
      </c>
      <c r="B31" s="1" t="s">
        <v>113</v>
      </c>
      <c r="C31" s="4" t="s">
        <v>68</v>
      </c>
      <c r="D31" s="4" t="s">
        <v>90</v>
      </c>
      <c r="E31" s="3" t="s">
        <v>116</v>
      </c>
      <c r="F31" s="3" t="s">
        <v>15</v>
      </c>
      <c r="G31" s="7">
        <v>746700</v>
      </c>
      <c r="H31" s="7">
        <f t="shared" si="0"/>
        <v>97071</v>
      </c>
      <c r="I31" s="163">
        <f t="shared" si="51"/>
        <v>0.32183908045977011</v>
      </c>
      <c r="J31" s="6">
        <v>174</v>
      </c>
      <c r="K31" s="6">
        <v>56</v>
      </c>
      <c r="L31" s="147">
        <v>236544</v>
      </c>
      <c r="M31" s="10">
        <f t="shared" si="52"/>
        <v>30751</v>
      </c>
      <c r="N31" s="143">
        <f>SUM(L31:M31)/Monitoring!$B$14</f>
        <v>659.98765432098764</v>
      </c>
      <c r="O31" s="8">
        <f t="shared" si="1"/>
        <v>0.31678585777420654</v>
      </c>
      <c r="P31" s="11">
        <f t="shared" si="2"/>
        <v>5.0532226855635742E-3</v>
      </c>
      <c r="Q31" s="11">
        <v>0.13</v>
      </c>
      <c r="R31" s="131"/>
      <c r="S31" s="105" t="s">
        <v>73</v>
      </c>
      <c r="T31" s="105">
        <v>8431812710</v>
      </c>
      <c r="U31" s="113"/>
    </row>
    <row r="32" spans="1:24" s="12" customFormat="1" ht="15" customHeight="1" x14ac:dyDescent="0.25">
      <c r="A32" s="3" t="s">
        <v>118</v>
      </c>
      <c r="B32" s="1" t="s">
        <v>113</v>
      </c>
      <c r="C32" s="4" t="s">
        <v>91</v>
      </c>
      <c r="D32" s="4" t="s">
        <v>90</v>
      </c>
      <c r="E32" s="3" t="s">
        <v>116</v>
      </c>
      <c r="F32" s="3" t="s">
        <v>15</v>
      </c>
      <c r="G32" s="7">
        <v>746700</v>
      </c>
      <c r="H32" s="7">
        <f t="shared" si="0"/>
        <v>97071</v>
      </c>
      <c r="I32" s="163">
        <f t="shared" si="51"/>
        <v>0.32183908045977011</v>
      </c>
      <c r="J32" s="6">
        <v>174</v>
      </c>
      <c r="K32" s="6">
        <v>56</v>
      </c>
      <c r="L32" s="147">
        <v>236544</v>
      </c>
      <c r="M32" s="10">
        <f t="shared" si="52"/>
        <v>30751</v>
      </c>
      <c r="N32" s="143">
        <f>SUM(L32:M32)/Monitoring!$B$14</f>
        <v>659.98765432098764</v>
      </c>
      <c r="O32" s="8">
        <f t="shared" si="1"/>
        <v>0.31678585777420654</v>
      </c>
      <c r="P32" s="11">
        <f t="shared" si="2"/>
        <v>5.0532226855635742E-3</v>
      </c>
      <c r="Q32" s="11">
        <v>0.13</v>
      </c>
      <c r="R32" s="131"/>
      <c r="S32" s="105" t="s">
        <v>73</v>
      </c>
      <c r="T32" s="105">
        <v>8431812710</v>
      </c>
      <c r="U32" s="113"/>
    </row>
    <row r="33" spans="1:24" s="12" customFormat="1" ht="15" customHeight="1" x14ac:dyDescent="0.25">
      <c r="A33" s="3" t="s">
        <v>120</v>
      </c>
      <c r="B33" s="1" t="s">
        <v>113</v>
      </c>
      <c r="C33" s="4" t="s">
        <v>64</v>
      </c>
      <c r="D33" s="4" t="s">
        <v>90</v>
      </c>
      <c r="E33" s="3" t="s">
        <v>70</v>
      </c>
      <c r="F33" s="3" t="s">
        <v>11</v>
      </c>
      <c r="G33" s="7">
        <v>792894</v>
      </c>
      <c r="H33" s="7">
        <f t="shared" si="0"/>
        <v>103076</v>
      </c>
      <c r="I33" s="163">
        <f>K33/J33</f>
        <v>0.32758620689655171</v>
      </c>
      <c r="J33" s="6">
        <v>174</v>
      </c>
      <c r="K33" s="6">
        <v>57</v>
      </c>
      <c r="L33" s="147">
        <v>255360</v>
      </c>
      <c r="M33" s="10">
        <f t="shared" ref="M33:M65" si="53">ROUND(L33*Q33,0)</f>
        <v>33197</v>
      </c>
      <c r="N33" s="143">
        <f>SUM(L33:M33)/Monitoring!$B$14</f>
        <v>712.48641975308647</v>
      </c>
      <c r="O33" s="8">
        <f t="shared" si="1"/>
        <v>0.3220607042051018</v>
      </c>
      <c r="P33" s="11">
        <f t="shared" si="2"/>
        <v>5.5255026914499128E-3</v>
      </c>
      <c r="Q33" s="11">
        <v>0.13</v>
      </c>
      <c r="R33" s="131"/>
      <c r="S33" s="105" t="s">
        <v>73</v>
      </c>
      <c r="T33" s="167" t="s">
        <v>140</v>
      </c>
      <c r="U33" s="22">
        <v>4</v>
      </c>
      <c r="V33" t="s">
        <v>150</v>
      </c>
      <c r="W33" s="168">
        <v>1</v>
      </c>
      <c r="X33">
        <v>0</v>
      </c>
    </row>
    <row r="34" spans="1:24" s="12" customFormat="1" ht="15" customHeight="1" x14ac:dyDescent="0.25">
      <c r="A34" s="3" t="s">
        <v>120</v>
      </c>
      <c r="B34" s="1" t="s">
        <v>113</v>
      </c>
      <c r="C34" s="4" t="s">
        <v>65</v>
      </c>
      <c r="D34" s="4" t="s">
        <v>90</v>
      </c>
      <c r="E34" s="3" t="s">
        <v>70</v>
      </c>
      <c r="F34" s="3" t="s">
        <v>11</v>
      </c>
      <c r="G34" s="7">
        <v>752957</v>
      </c>
      <c r="H34" s="7">
        <f t="shared" ref="H34" si="54">ROUND(G34*Q34,0)</f>
        <v>97884</v>
      </c>
      <c r="I34" s="163">
        <f>K34/J34</f>
        <v>0.33333333333333331</v>
      </c>
      <c r="J34" s="6">
        <v>174</v>
      </c>
      <c r="K34" s="6">
        <v>58</v>
      </c>
      <c r="L34" s="147">
        <v>255360</v>
      </c>
      <c r="M34" s="10">
        <f t="shared" ref="M34" si="55">ROUND(L34*Q34,0)</f>
        <v>33197</v>
      </c>
      <c r="N34" s="143">
        <f>SUM(L34:M34)/Monitoring!$B$14</f>
        <v>712.48641975308647</v>
      </c>
      <c r="O34" s="8">
        <f t="shared" ref="O34" si="56">L34/G34</f>
        <v>0.33914287270056592</v>
      </c>
      <c r="P34" s="11">
        <f t="shared" ref="P34" si="57">I34-O34</f>
        <v>-5.8095393672326079E-3</v>
      </c>
      <c r="Q34" s="11">
        <v>0.13</v>
      </c>
      <c r="R34" s="131">
        <v>44960</v>
      </c>
      <c r="S34" s="105" t="s">
        <v>73</v>
      </c>
      <c r="T34" s="167" t="s">
        <v>140</v>
      </c>
      <c r="U34" s="22">
        <v>2</v>
      </c>
      <c r="V34" t="str">
        <f>IF(VLOOKUP($T34,'Havi béradatok'!$B:$E,2,FALSE)=E34,"EGYEZIK","HIBÁS")</f>
        <v>EGYEZIK</v>
      </c>
      <c r="W34">
        <f>VLOOKUP($T34,'Havi béradatok'!$B:$E,3,FALSE)-G34</f>
        <v>-6713</v>
      </c>
      <c r="X34">
        <f>VLOOKUP($T34,'Havi béradatok'!$B:$E,4,FALSE)-H34</f>
        <v>-872</v>
      </c>
    </row>
    <row r="35" spans="1:24" s="12" customFormat="1" ht="15" customHeight="1" x14ac:dyDescent="0.25">
      <c r="A35" s="3" t="s">
        <v>120</v>
      </c>
      <c r="B35" s="1" t="s">
        <v>113</v>
      </c>
      <c r="C35" s="4" t="s">
        <v>66</v>
      </c>
      <c r="D35" s="4" t="s">
        <v>90</v>
      </c>
      <c r="E35" s="3" t="s">
        <v>70</v>
      </c>
      <c r="F35" s="3" t="s">
        <v>11</v>
      </c>
      <c r="G35" s="7">
        <v>746244</v>
      </c>
      <c r="H35" s="7">
        <f t="shared" ref="H35" si="58">ROUND(G35*Q35,0)</f>
        <v>97012</v>
      </c>
      <c r="I35" s="163">
        <f t="shared" ref="I35" si="59">K35/J35</f>
        <v>0.34482758620689657</v>
      </c>
      <c r="J35" s="6">
        <v>174</v>
      </c>
      <c r="K35" s="6">
        <v>60</v>
      </c>
      <c r="L35" s="147">
        <v>255360</v>
      </c>
      <c r="M35" s="10">
        <f t="shared" ref="M35" si="60">ROUND(L35*Q35,0)</f>
        <v>33197</v>
      </c>
      <c r="N35" s="143">
        <f>SUM(L35:M35)/Monitoring!$B$14</f>
        <v>712.48641975308647</v>
      </c>
      <c r="O35" s="8">
        <f t="shared" ref="O35" si="61">L35/G35</f>
        <v>0.3421937060800489</v>
      </c>
      <c r="P35" s="11">
        <f t="shared" ref="P35" si="62">I35-O35</f>
        <v>2.6338801268476764E-3</v>
      </c>
      <c r="Q35" s="11">
        <v>0.13</v>
      </c>
      <c r="R35" s="131">
        <v>44978</v>
      </c>
      <c r="S35" s="105" t="s">
        <v>73</v>
      </c>
      <c r="T35" s="167" t="s">
        <v>140</v>
      </c>
      <c r="U35" s="22">
        <v>3</v>
      </c>
      <c r="V35" t="str">
        <f>IF(VLOOKUP(LEFT($T35,10),'Havi béradatok'!$B:$E,2,FALSE)=E35,"EGYEZIK","HIBÁS")</f>
        <v>EGYEZIK</v>
      </c>
      <c r="W35">
        <f>VLOOKUP(LEFT($T35,10),'Havi béradatok'!$B:$E,3,FALSE)-G35</f>
        <v>0</v>
      </c>
      <c r="X35">
        <f>VLOOKUP(LEFT($T35,10),'Havi béradatok'!$B:$E,4,FALSE)-H35</f>
        <v>0</v>
      </c>
    </row>
    <row r="36" spans="1:24" s="12" customFormat="1" ht="15" customHeight="1" x14ac:dyDescent="0.25">
      <c r="A36" s="3" t="s">
        <v>120</v>
      </c>
      <c r="B36" s="1" t="s">
        <v>113</v>
      </c>
      <c r="C36" s="4" t="s">
        <v>67</v>
      </c>
      <c r="D36" s="4" t="s">
        <v>90</v>
      </c>
      <c r="E36" s="3" t="s">
        <v>70</v>
      </c>
      <c r="F36" s="3" t="s">
        <v>15</v>
      </c>
      <c r="G36" s="7">
        <v>746244</v>
      </c>
      <c r="H36" s="7">
        <f t="shared" ref="H36" si="63">ROUND(G36*Q36,0)</f>
        <v>97012</v>
      </c>
      <c r="I36" s="163">
        <f t="shared" ref="I36" si="64">K36/J36</f>
        <v>0.34482758620689657</v>
      </c>
      <c r="J36" s="6">
        <v>174</v>
      </c>
      <c r="K36" s="6">
        <v>60</v>
      </c>
      <c r="L36" s="147">
        <v>255360</v>
      </c>
      <c r="M36" s="10">
        <f t="shared" ref="M36" si="65">ROUND(L36*Q36,0)</f>
        <v>33197</v>
      </c>
      <c r="N36" s="143">
        <f>SUM(L36:M36)/Monitoring!$B$14</f>
        <v>712.48641975308647</v>
      </c>
      <c r="O36" s="8">
        <f t="shared" ref="O36" si="66">L36/G36</f>
        <v>0.3421937060800489</v>
      </c>
      <c r="P36" s="11">
        <f t="shared" ref="P36" si="67">I36-O36</f>
        <v>2.6338801268476764E-3</v>
      </c>
      <c r="Q36" s="11">
        <v>0.13</v>
      </c>
      <c r="R36" s="131">
        <v>44978</v>
      </c>
      <c r="S36" s="105" t="s">
        <v>73</v>
      </c>
      <c r="T36" s="167" t="s">
        <v>140</v>
      </c>
      <c r="U36" s="113"/>
    </row>
    <row r="37" spans="1:24" s="12" customFormat="1" ht="15" customHeight="1" x14ac:dyDescent="0.25">
      <c r="A37" s="3" t="s">
        <v>120</v>
      </c>
      <c r="B37" s="1" t="s">
        <v>113</v>
      </c>
      <c r="C37" s="4" t="s">
        <v>68</v>
      </c>
      <c r="D37" s="4" t="s">
        <v>90</v>
      </c>
      <c r="E37" s="3" t="s">
        <v>70</v>
      </c>
      <c r="F37" s="3" t="s">
        <v>15</v>
      </c>
      <c r="G37" s="7">
        <v>739434</v>
      </c>
      <c r="H37" s="7">
        <f t="shared" ref="H37" si="68">ROUND(G37*Q37,0)</f>
        <v>96126</v>
      </c>
      <c r="I37" s="163">
        <f t="shared" ref="I37" si="69">K37/J37</f>
        <v>0.32758620689655171</v>
      </c>
      <c r="J37" s="6">
        <v>174</v>
      </c>
      <c r="K37" s="6">
        <v>57</v>
      </c>
      <c r="L37" s="147">
        <v>238336</v>
      </c>
      <c r="M37" s="10">
        <f t="shared" ref="M37" si="70">ROUND(L37*Q37,0)</f>
        <v>30984</v>
      </c>
      <c r="N37" s="143">
        <f>SUM(L37:M37)/Monitoring!$B$14</f>
        <v>664.98765432098764</v>
      </c>
      <c r="O37" s="8">
        <f t="shared" ref="O37" si="71">L37/G37</f>
        <v>0.32232220860820576</v>
      </c>
      <c r="P37" s="11">
        <f t="shared" ref="P37" si="72">I37-O37</f>
        <v>5.2639982883459502E-3</v>
      </c>
      <c r="Q37" s="11">
        <v>0.13</v>
      </c>
      <c r="R37" s="131">
        <v>45029</v>
      </c>
      <c r="S37" s="105"/>
      <c r="T37" s="167" t="s">
        <v>140</v>
      </c>
      <c r="U37" s="113"/>
    </row>
    <row r="38" spans="1:24" s="12" customFormat="1" ht="15" customHeight="1" x14ac:dyDescent="0.25">
      <c r="A38" s="3" t="s">
        <v>120</v>
      </c>
      <c r="B38" s="1" t="s">
        <v>113</v>
      </c>
      <c r="C38" s="4" t="s">
        <v>91</v>
      </c>
      <c r="D38" s="4" t="s">
        <v>90</v>
      </c>
      <c r="E38" s="3" t="s">
        <v>70</v>
      </c>
      <c r="F38" s="3" t="s">
        <v>15</v>
      </c>
      <c r="G38" s="7">
        <v>739434</v>
      </c>
      <c r="H38" s="7">
        <f t="shared" ref="H38" si="73">ROUND(G38*Q38,0)</f>
        <v>96126</v>
      </c>
      <c r="I38" s="163">
        <f t="shared" ref="I38" si="74">K38/J38</f>
        <v>0.32758620689655171</v>
      </c>
      <c r="J38" s="6">
        <v>174</v>
      </c>
      <c r="K38" s="6">
        <v>57</v>
      </c>
      <c r="L38" s="147">
        <v>238336</v>
      </c>
      <c r="M38" s="10">
        <f t="shared" ref="M38" si="75">ROUND(L38*Q38,0)</f>
        <v>30984</v>
      </c>
      <c r="N38" s="143">
        <f>SUM(L38:M38)/Monitoring!$B$14</f>
        <v>664.98765432098764</v>
      </c>
      <c r="O38" s="8">
        <f t="shared" ref="O38" si="76">L38/G38</f>
        <v>0.32232220860820576</v>
      </c>
      <c r="P38" s="11">
        <f t="shared" ref="P38" si="77">I38-O38</f>
        <v>5.2639982883459502E-3</v>
      </c>
      <c r="Q38" s="11">
        <v>0.13</v>
      </c>
      <c r="R38" s="131">
        <v>45029</v>
      </c>
      <c r="S38" s="105"/>
      <c r="T38" s="167" t="s">
        <v>140</v>
      </c>
      <c r="U38" s="113"/>
    </row>
    <row r="39" spans="1:24" s="12" customFormat="1" ht="15" customHeight="1" x14ac:dyDescent="0.25">
      <c r="A39" s="3" t="s">
        <v>123</v>
      </c>
      <c r="B39" s="1" t="s">
        <v>46</v>
      </c>
      <c r="C39" s="4" t="s">
        <v>64</v>
      </c>
      <c r="D39" s="4" t="s">
        <v>90</v>
      </c>
      <c r="E39" s="3" t="s">
        <v>71</v>
      </c>
      <c r="F39" s="3" t="s">
        <v>11</v>
      </c>
      <c r="G39" s="7">
        <v>558643</v>
      </c>
      <c r="H39" s="7">
        <f t="shared" si="0"/>
        <v>72624</v>
      </c>
      <c r="I39" s="163">
        <f>K39/J39</f>
        <v>6.3218390804597707E-2</v>
      </c>
      <c r="J39" s="6">
        <v>174</v>
      </c>
      <c r="K39" s="6">
        <v>11</v>
      </c>
      <c r="L39" s="147">
        <v>34048</v>
      </c>
      <c r="M39" s="10">
        <f t="shared" ref="M39" si="78">ROUND(L39*Q39,0)</f>
        <v>4426</v>
      </c>
      <c r="N39" s="143">
        <f>SUM(L39:M39)/Monitoring!$B$14</f>
        <v>94.997530864197529</v>
      </c>
      <c r="O39" s="8">
        <f t="shared" si="1"/>
        <v>6.0947689311420708E-2</v>
      </c>
      <c r="P39" s="11">
        <f t="shared" si="2"/>
        <v>2.2707014931769992E-3</v>
      </c>
      <c r="Q39" s="11">
        <v>0.13</v>
      </c>
      <c r="R39" s="131"/>
      <c r="S39" s="105" t="s">
        <v>73</v>
      </c>
      <c r="T39" s="167" t="s">
        <v>146</v>
      </c>
      <c r="U39" s="22">
        <v>4</v>
      </c>
      <c r="V39" t="s">
        <v>150</v>
      </c>
      <c r="W39">
        <v>0</v>
      </c>
      <c r="X39" s="168">
        <v>72623</v>
      </c>
    </row>
    <row r="40" spans="1:24" s="12" customFormat="1" ht="15" customHeight="1" x14ac:dyDescent="0.25">
      <c r="A40" s="3" t="s">
        <v>123</v>
      </c>
      <c r="B40" s="1" t="s">
        <v>46</v>
      </c>
      <c r="C40" s="4" t="s">
        <v>65</v>
      </c>
      <c r="D40" s="4" t="s">
        <v>90</v>
      </c>
      <c r="E40" s="3" t="s">
        <v>71</v>
      </c>
      <c r="F40" s="3" t="s">
        <v>11</v>
      </c>
      <c r="G40" s="7">
        <v>558642</v>
      </c>
      <c r="H40" s="7">
        <f t="shared" si="0"/>
        <v>72623</v>
      </c>
      <c r="I40" s="163">
        <f t="shared" ref="I40:I42" si="79">K40/J40</f>
        <v>6.3218390804597707E-2</v>
      </c>
      <c r="J40" s="6">
        <v>174</v>
      </c>
      <c r="K40" s="6">
        <v>11</v>
      </c>
      <c r="L40" s="147">
        <v>34048</v>
      </c>
      <c r="M40" s="10">
        <f t="shared" ref="M40:M42" si="80">ROUND(L40*Q40,0)</f>
        <v>4426</v>
      </c>
      <c r="N40" s="143">
        <f>SUM(L40:M40)/Monitoring!$B$14</f>
        <v>94.997530864197529</v>
      </c>
      <c r="O40" s="8">
        <f t="shared" si="1"/>
        <v>6.0947798411147031E-2</v>
      </c>
      <c r="P40" s="11">
        <f t="shared" si="2"/>
        <v>2.2705923934506766E-3</v>
      </c>
      <c r="Q40" s="11">
        <v>0.13</v>
      </c>
      <c r="R40" s="131"/>
      <c r="S40" s="105" t="s">
        <v>73</v>
      </c>
      <c r="T40" s="167" t="s">
        <v>146</v>
      </c>
      <c r="U40" s="22">
        <v>2</v>
      </c>
      <c r="V40" t="str">
        <f>IF(VLOOKUP($T40,'Havi béradatok'!$B:$E,2,FALSE)=E40,"EGYEZIK","HIBÁS")</f>
        <v>EGYEZIK</v>
      </c>
      <c r="W40">
        <f>VLOOKUP($T40,'Havi béradatok'!$B:$E,3,FALSE)-G40</f>
        <v>1</v>
      </c>
      <c r="X40">
        <f>VLOOKUP($T40,'Havi béradatok'!$B:$E,4,FALSE)-H40</f>
        <v>1</v>
      </c>
    </row>
    <row r="41" spans="1:24" s="12" customFormat="1" ht="15" customHeight="1" x14ac:dyDescent="0.25">
      <c r="A41" s="3" t="s">
        <v>123</v>
      </c>
      <c r="B41" s="1" t="s">
        <v>46</v>
      </c>
      <c r="C41" s="4" t="s">
        <v>66</v>
      </c>
      <c r="D41" s="4" t="s">
        <v>90</v>
      </c>
      <c r="E41" s="3" t="s">
        <v>71</v>
      </c>
      <c r="F41" s="3" t="s">
        <v>11</v>
      </c>
      <c r="G41" s="7">
        <v>558643</v>
      </c>
      <c r="H41" s="7">
        <f t="shared" si="0"/>
        <v>72624</v>
      </c>
      <c r="I41" s="163">
        <f t="shared" si="79"/>
        <v>6.3218390804597707E-2</v>
      </c>
      <c r="J41" s="6">
        <v>174</v>
      </c>
      <c r="K41" s="6">
        <v>11</v>
      </c>
      <c r="L41" s="147">
        <v>34048</v>
      </c>
      <c r="M41" s="10">
        <f t="shared" si="80"/>
        <v>4426</v>
      </c>
      <c r="N41" s="143">
        <f>SUM(L41:M41)/Monitoring!$B$14</f>
        <v>94.997530864197529</v>
      </c>
      <c r="O41" s="8">
        <f t="shared" si="1"/>
        <v>6.0947689311420708E-2</v>
      </c>
      <c r="P41" s="11">
        <f t="shared" si="2"/>
        <v>2.2707014931769992E-3</v>
      </c>
      <c r="Q41" s="11">
        <v>0.13</v>
      </c>
      <c r="R41" s="131"/>
      <c r="S41" s="105" t="s">
        <v>73</v>
      </c>
      <c r="T41" s="105">
        <v>8403794029</v>
      </c>
      <c r="U41" s="22">
        <v>3</v>
      </c>
      <c r="V41" t="str">
        <f>IF(VLOOKUP(LEFT($T41,10),'Havi béradatok'!$B:$E,2,FALSE)=E41,"EGYEZIK","HIBÁS")</f>
        <v>EGYEZIK</v>
      </c>
      <c r="W41">
        <f>VLOOKUP(LEFT($T41,10),'Havi béradatok'!$B:$E,3,FALSE)-G41</f>
        <v>0</v>
      </c>
      <c r="X41">
        <f>VLOOKUP(LEFT($T41,10),'Havi béradatok'!$B:$E,4,FALSE)-H41</f>
        <v>0</v>
      </c>
    </row>
    <row r="42" spans="1:24" s="12" customFormat="1" ht="15" customHeight="1" x14ac:dyDescent="0.25">
      <c r="A42" s="3" t="s">
        <v>123</v>
      </c>
      <c r="B42" s="1" t="s">
        <v>46</v>
      </c>
      <c r="C42" s="4" t="s">
        <v>67</v>
      </c>
      <c r="D42" s="4" t="s">
        <v>90</v>
      </c>
      <c r="E42" s="3" t="s">
        <v>71</v>
      </c>
      <c r="F42" s="3" t="s">
        <v>15</v>
      </c>
      <c r="G42" s="7">
        <v>558643</v>
      </c>
      <c r="H42" s="7">
        <f t="shared" si="0"/>
        <v>72624</v>
      </c>
      <c r="I42" s="163">
        <f t="shared" si="79"/>
        <v>6.3218390804597707E-2</v>
      </c>
      <c r="J42" s="6">
        <v>174</v>
      </c>
      <c r="K42" s="6">
        <v>11</v>
      </c>
      <c r="L42" s="147">
        <v>34048</v>
      </c>
      <c r="M42" s="10">
        <f t="shared" si="80"/>
        <v>4426</v>
      </c>
      <c r="N42" s="143">
        <f>SUM(L42:M42)/Monitoring!$B$14</f>
        <v>94.997530864197529</v>
      </c>
      <c r="O42" s="8">
        <f t="shared" si="1"/>
        <v>6.0947689311420708E-2</v>
      </c>
      <c r="P42" s="11">
        <f t="shared" si="2"/>
        <v>2.2707014931769992E-3</v>
      </c>
      <c r="Q42" s="11">
        <v>0.13</v>
      </c>
      <c r="R42" s="131"/>
      <c r="S42" s="105" t="s">
        <v>73</v>
      </c>
      <c r="T42" s="105">
        <v>8403794029</v>
      </c>
      <c r="U42" s="113"/>
    </row>
    <row r="43" spans="1:24" s="12" customFormat="1" ht="15" customHeight="1" x14ac:dyDescent="0.25">
      <c r="A43" s="3" t="s">
        <v>123</v>
      </c>
      <c r="B43" s="1" t="s">
        <v>46</v>
      </c>
      <c r="C43" s="4" t="s">
        <v>68</v>
      </c>
      <c r="D43" s="4" t="s">
        <v>90</v>
      </c>
      <c r="E43" s="3" t="s">
        <v>71</v>
      </c>
      <c r="F43" s="3" t="s">
        <v>15</v>
      </c>
      <c r="G43" s="7">
        <v>558643</v>
      </c>
      <c r="H43" s="7">
        <f t="shared" ref="H43" si="81">ROUND(G43*Q43,0)</f>
        <v>72624</v>
      </c>
      <c r="I43" s="163">
        <f t="shared" ref="I43" si="82">K43/J43</f>
        <v>6.3218390804597707E-2</v>
      </c>
      <c r="J43" s="6">
        <v>174</v>
      </c>
      <c r="K43" s="6">
        <v>11</v>
      </c>
      <c r="L43" s="147">
        <v>34048</v>
      </c>
      <c r="M43" s="10">
        <f t="shared" ref="M43" si="83">ROUND(L43*Q43,0)</f>
        <v>4426</v>
      </c>
      <c r="N43" s="143">
        <f>SUM(L43:M43)/Monitoring!$B$14</f>
        <v>94.997530864197529</v>
      </c>
      <c r="O43" s="8">
        <f t="shared" ref="O43" si="84">L43/G43</f>
        <v>6.0947689311420708E-2</v>
      </c>
      <c r="P43" s="11">
        <f t="shared" ref="P43" si="85">I43-O43</f>
        <v>2.2707014931769992E-3</v>
      </c>
      <c r="Q43" s="11">
        <v>0.13</v>
      </c>
      <c r="R43" s="131">
        <v>45034</v>
      </c>
      <c r="S43" s="105"/>
      <c r="T43" s="105">
        <v>8403794029</v>
      </c>
      <c r="U43" s="113"/>
    </row>
    <row r="44" spans="1:24" s="12" customFormat="1" ht="15" customHeight="1" x14ac:dyDescent="0.25">
      <c r="A44" s="3" t="s">
        <v>123</v>
      </c>
      <c r="B44" s="1" t="s">
        <v>46</v>
      </c>
      <c r="C44" s="4" t="s">
        <v>91</v>
      </c>
      <c r="D44" s="4" t="s">
        <v>90</v>
      </c>
      <c r="E44" s="3" t="s">
        <v>71</v>
      </c>
      <c r="F44" s="3" t="s">
        <v>15</v>
      </c>
      <c r="G44" s="7">
        <v>558643</v>
      </c>
      <c r="H44" s="7">
        <f t="shared" ref="H44:H48" si="86">ROUND(G44*Q44,0)</f>
        <v>72624</v>
      </c>
      <c r="I44" s="163">
        <f t="shared" ref="I44:I48" si="87">K44/J44</f>
        <v>6.3218390804597707E-2</v>
      </c>
      <c r="J44" s="6">
        <v>174</v>
      </c>
      <c r="K44" s="6">
        <v>11</v>
      </c>
      <c r="L44" s="147">
        <v>34048</v>
      </c>
      <c r="M44" s="10">
        <f t="shared" ref="M44:M48" si="88">ROUND(L44*Q44,0)</f>
        <v>4426</v>
      </c>
      <c r="N44" s="143">
        <f>SUM(L44:M44)/Monitoring!$B$14</f>
        <v>94.997530864197529</v>
      </c>
      <c r="O44" s="8">
        <f t="shared" ref="O44:O48" si="89">L44/G44</f>
        <v>6.0947689311420708E-2</v>
      </c>
      <c r="P44" s="11">
        <f t="shared" ref="P44:P48" si="90">I44-O44</f>
        <v>2.2707014931769992E-3</v>
      </c>
      <c r="Q44" s="11">
        <v>0.13</v>
      </c>
      <c r="R44" s="131">
        <v>45034</v>
      </c>
      <c r="S44" s="105"/>
      <c r="T44" s="105">
        <v>8403794029</v>
      </c>
      <c r="U44" s="113"/>
    </row>
    <row r="45" spans="1:24" s="12" customFormat="1" ht="15" customHeight="1" x14ac:dyDescent="0.25">
      <c r="A45" s="3" t="s">
        <v>123</v>
      </c>
      <c r="B45" s="1" t="s">
        <v>46</v>
      </c>
      <c r="C45" s="4" t="s">
        <v>92</v>
      </c>
      <c r="D45" s="4" t="s">
        <v>90</v>
      </c>
      <c r="E45" s="3" t="s">
        <v>71</v>
      </c>
      <c r="F45" s="3" t="s">
        <v>15</v>
      </c>
      <c r="G45" s="7">
        <v>558643</v>
      </c>
      <c r="H45" s="7">
        <f t="shared" si="86"/>
        <v>72624</v>
      </c>
      <c r="I45" s="163">
        <f t="shared" si="87"/>
        <v>6.3218390804597707E-2</v>
      </c>
      <c r="J45" s="6">
        <v>174</v>
      </c>
      <c r="K45" s="6">
        <v>11</v>
      </c>
      <c r="L45" s="147">
        <v>34048</v>
      </c>
      <c r="M45" s="10">
        <f t="shared" si="88"/>
        <v>4426</v>
      </c>
      <c r="N45" s="143">
        <f>SUM(L45:M45)/Monitoring!$B$14</f>
        <v>94.997530864197529</v>
      </c>
      <c r="O45" s="8">
        <f t="shared" si="89"/>
        <v>6.0947689311420708E-2</v>
      </c>
      <c r="P45" s="11">
        <f t="shared" si="90"/>
        <v>2.2707014931769992E-3</v>
      </c>
      <c r="Q45" s="11">
        <v>0.13</v>
      </c>
      <c r="R45" s="131">
        <v>45034</v>
      </c>
      <c r="S45" s="105"/>
      <c r="T45" s="105">
        <v>8403794029</v>
      </c>
      <c r="U45" s="113"/>
    </row>
    <row r="46" spans="1:24" s="12" customFormat="1" ht="15" customHeight="1" x14ac:dyDescent="0.25">
      <c r="A46" s="3" t="s">
        <v>123</v>
      </c>
      <c r="B46" s="1" t="s">
        <v>46</v>
      </c>
      <c r="C46" s="4" t="s">
        <v>93</v>
      </c>
      <c r="D46" s="4" t="s">
        <v>90</v>
      </c>
      <c r="E46" s="3" t="s">
        <v>71</v>
      </c>
      <c r="F46" s="3" t="s">
        <v>15</v>
      </c>
      <c r="G46" s="7">
        <v>558643</v>
      </c>
      <c r="H46" s="7">
        <f t="shared" si="86"/>
        <v>72624</v>
      </c>
      <c r="I46" s="163">
        <f t="shared" si="87"/>
        <v>6.3218390804597707E-2</v>
      </c>
      <c r="J46" s="6">
        <v>174</v>
      </c>
      <c r="K46" s="6">
        <v>11</v>
      </c>
      <c r="L46" s="147">
        <v>34048</v>
      </c>
      <c r="M46" s="10">
        <f t="shared" si="88"/>
        <v>4426</v>
      </c>
      <c r="N46" s="143">
        <f>SUM(L46:M46)/Monitoring!$B$14</f>
        <v>94.997530864197529</v>
      </c>
      <c r="O46" s="8">
        <f t="shared" si="89"/>
        <v>6.0947689311420708E-2</v>
      </c>
      <c r="P46" s="11">
        <f t="shared" si="90"/>
        <v>2.2707014931769992E-3</v>
      </c>
      <c r="Q46" s="11">
        <v>0.13</v>
      </c>
      <c r="R46" s="131">
        <v>45034</v>
      </c>
      <c r="S46" s="105"/>
      <c r="T46" s="105">
        <v>8403794029</v>
      </c>
      <c r="U46" s="113"/>
    </row>
    <row r="47" spans="1:24" s="12" customFormat="1" ht="15" customHeight="1" x14ac:dyDescent="0.25">
      <c r="A47" s="3" t="s">
        <v>123</v>
      </c>
      <c r="B47" s="1" t="s">
        <v>46</v>
      </c>
      <c r="C47" s="4" t="s">
        <v>94</v>
      </c>
      <c r="D47" s="4" t="s">
        <v>90</v>
      </c>
      <c r="E47" s="3" t="s">
        <v>71</v>
      </c>
      <c r="F47" s="3" t="s">
        <v>15</v>
      </c>
      <c r="G47" s="7">
        <v>558643</v>
      </c>
      <c r="H47" s="7">
        <f t="shared" si="86"/>
        <v>72624</v>
      </c>
      <c r="I47" s="163">
        <f t="shared" si="87"/>
        <v>6.3218390804597707E-2</v>
      </c>
      <c r="J47" s="6">
        <v>174</v>
      </c>
      <c r="K47" s="6">
        <v>11</v>
      </c>
      <c r="L47" s="147">
        <v>34048</v>
      </c>
      <c r="M47" s="10">
        <f t="shared" si="88"/>
        <v>4426</v>
      </c>
      <c r="N47" s="143">
        <f>SUM(L47:M47)/Monitoring!$B$14</f>
        <v>94.997530864197529</v>
      </c>
      <c r="O47" s="8">
        <f t="shared" si="89"/>
        <v>6.0947689311420708E-2</v>
      </c>
      <c r="P47" s="11">
        <f t="shared" si="90"/>
        <v>2.2707014931769992E-3</v>
      </c>
      <c r="Q47" s="11">
        <v>0.13</v>
      </c>
      <c r="R47" s="131">
        <v>45034</v>
      </c>
      <c r="S47" s="105"/>
      <c r="T47" s="105">
        <v>8403794029</v>
      </c>
      <c r="U47" s="113"/>
    </row>
    <row r="48" spans="1:24" s="12" customFormat="1" ht="15" customHeight="1" x14ac:dyDescent="0.25">
      <c r="A48" s="3" t="s">
        <v>123</v>
      </c>
      <c r="B48" s="1" t="s">
        <v>46</v>
      </c>
      <c r="C48" s="4" t="s">
        <v>95</v>
      </c>
      <c r="D48" s="4" t="s">
        <v>90</v>
      </c>
      <c r="E48" s="3" t="s">
        <v>71</v>
      </c>
      <c r="F48" s="3" t="s">
        <v>15</v>
      </c>
      <c r="G48" s="7">
        <v>558643</v>
      </c>
      <c r="H48" s="7">
        <f t="shared" si="86"/>
        <v>72624</v>
      </c>
      <c r="I48" s="163">
        <f t="shared" si="87"/>
        <v>6.3218390804597707E-2</v>
      </c>
      <c r="J48" s="6">
        <v>174</v>
      </c>
      <c r="K48" s="6">
        <v>11</v>
      </c>
      <c r="L48" s="147">
        <v>34048</v>
      </c>
      <c r="M48" s="10">
        <f t="shared" si="88"/>
        <v>4426</v>
      </c>
      <c r="N48" s="143">
        <f>SUM(L48:M48)/Monitoring!$B$14</f>
        <v>94.997530864197529</v>
      </c>
      <c r="O48" s="8">
        <f t="shared" si="89"/>
        <v>6.0947689311420708E-2</v>
      </c>
      <c r="P48" s="11">
        <f t="shared" si="90"/>
        <v>2.2707014931769992E-3</v>
      </c>
      <c r="Q48" s="11">
        <v>0.13</v>
      </c>
      <c r="R48" s="131">
        <v>45034</v>
      </c>
      <c r="S48" s="105"/>
      <c r="T48" s="105">
        <v>8403794029</v>
      </c>
      <c r="U48" s="113"/>
    </row>
    <row r="49" spans="1:24" s="12" customFormat="1" ht="15" customHeight="1" x14ac:dyDescent="0.25">
      <c r="A49" s="3" t="s">
        <v>123</v>
      </c>
      <c r="B49" s="1" t="s">
        <v>46</v>
      </c>
      <c r="C49" s="4" t="s">
        <v>64</v>
      </c>
      <c r="D49" s="4" t="s">
        <v>90</v>
      </c>
      <c r="E49" s="3" t="s">
        <v>71</v>
      </c>
      <c r="F49" s="3" t="s">
        <v>11</v>
      </c>
      <c r="G49" s="7">
        <v>558643</v>
      </c>
      <c r="H49" s="7">
        <f t="shared" si="0"/>
        <v>72624</v>
      </c>
      <c r="I49" s="163">
        <f>K49/J49</f>
        <v>3.4482758620689655E-2</v>
      </c>
      <c r="J49" s="6">
        <v>174</v>
      </c>
      <c r="K49" s="6">
        <v>6</v>
      </c>
      <c r="L49" s="147">
        <v>17024</v>
      </c>
      <c r="M49" s="10">
        <f t="shared" ref="M49" si="91">ROUND(L49*Q49,0)</f>
        <v>2213</v>
      </c>
      <c r="N49" s="143">
        <f>SUM(L49:M49)/Monitoring!$B$14</f>
        <v>47.498765432098764</v>
      </c>
      <c r="O49" s="8">
        <f t="shared" si="1"/>
        <v>3.0473844655710354E-2</v>
      </c>
      <c r="P49" s="11">
        <f t="shared" si="2"/>
        <v>4.0089139649793007E-3</v>
      </c>
      <c r="Q49" s="11">
        <v>0.13</v>
      </c>
      <c r="R49" s="131"/>
      <c r="S49" s="105" t="s">
        <v>73</v>
      </c>
      <c r="T49" s="167" t="s">
        <v>146</v>
      </c>
      <c r="U49" s="22">
        <v>4</v>
      </c>
      <c r="V49" t="s">
        <v>150</v>
      </c>
      <c r="W49">
        <v>0</v>
      </c>
      <c r="X49" s="168">
        <v>72623</v>
      </c>
    </row>
    <row r="50" spans="1:24" s="12" customFormat="1" ht="15" customHeight="1" x14ac:dyDescent="0.25">
      <c r="A50" s="3" t="s">
        <v>123</v>
      </c>
      <c r="B50" s="1" t="s">
        <v>46</v>
      </c>
      <c r="C50" s="4" t="s">
        <v>65</v>
      </c>
      <c r="D50" s="4" t="s">
        <v>90</v>
      </c>
      <c r="E50" s="3" t="s">
        <v>71</v>
      </c>
      <c r="F50" s="3" t="s">
        <v>11</v>
      </c>
      <c r="G50" s="7">
        <v>558642</v>
      </c>
      <c r="H50" s="7">
        <f t="shared" si="0"/>
        <v>72623</v>
      </c>
      <c r="I50" s="163">
        <f t="shared" ref="I50:I52" si="92">K50/J50</f>
        <v>3.4482758620689655E-2</v>
      </c>
      <c r="J50" s="6">
        <v>174</v>
      </c>
      <c r="K50" s="6">
        <v>6</v>
      </c>
      <c r="L50" s="147">
        <v>17024</v>
      </c>
      <c r="M50" s="10">
        <f t="shared" ref="M50:M59" si="93">ROUND(L50*Q50,0)</f>
        <v>2213</v>
      </c>
      <c r="N50" s="143">
        <f>SUM(L50:M50)/Monitoring!$B$14</f>
        <v>47.498765432098764</v>
      </c>
      <c r="O50" s="8">
        <f t="shared" si="1"/>
        <v>3.0473899205573515E-2</v>
      </c>
      <c r="P50" s="11">
        <f t="shared" si="2"/>
        <v>4.0088594151161394E-3</v>
      </c>
      <c r="Q50" s="11">
        <v>0.13</v>
      </c>
      <c r="R50" s="131"/>
      <c r="S50" s="105" t="s">
        <v>73</v>
      </c>
      <c r="T50" s="167" t="s">
        <v>146</v>
      </c>
      <c r="U50" s="22">
        <v>2</v>
      </c>
      <c r="V50" t="str">
        <f>IF(VLOOKUP($T50,'Havi béradatok'!$B:$E,2,FALSE)=E50,"EGYEZIK","HIBÁS")</f>
        <v>EGYEZIK</v>
      </c>
      <c r="W50">
        <f>VLOOKUP($T50,'Havi béradatok'!$B:$E,3,FALSE)-G50</f>
        <v>1</v>
      </c>
      <c r="X50">
        <f>VLOOKUP($T50,'Havi béradatok'!$B:$E,4,FALSE)-H50</f>
        <v>1</v>
      </c>
    </row>
    <row r="51" spans="1:24" s="12" customFormat="1" ht="15" customHeight="1" x14ac:dyDescent="0.25">
      <c r="A51" s="3" t="s">
        <v>123</v>
      </c>
      <c r="B51" s="1" t="s">
        <v>46</v>
      </c>
      <c r="C51" s="4" t="s">
        <v>66</v>
      </c>
      <c r="D51" s="4" t="s">
        <v>90</v>
      </c>
      <c r="E51" s="3" t="s">
        <v>71</v>
      </c>
      <c r="F51" s="3" t="s">
        <v>11</v>
      </c>
      <c r="G51" s="7">
        <v>558643</v>
      </c>
      <c r="H51" s="7">
        <f t="shared" si="0"/>
        <v>72624</v>
      </c>
      <c r="I51" s="163">
        <f t="shared" si="92"/>
        <v>3.4482758620689655E-2</v>
      </c>
      <c r="J51" s="6">
        <v>174</v>
      </c>
      <c r="K51" s="6">
        <v>6</v>
      </c>
      <c r="L51" s="147">
        <v>17024</v>
      </c>
      <c r="M51" s="10">
        <f t="shared" si="93"/>
        <v>2213</v>
      </c>
      <c r="N51" s="143">
        <f>SUM(L51:M51)/Monitoring!$B$14</f>
        <v>47.498765432098764</v>
      </c>
      <c r="O51" s="8">
        <f t="shared" si="1"/>
        <v>3.0473844655710354E-2</v>
      </c>
      <c r="P51" s="11">
        <f t="shared" si="2"/>
        <v>4.0089139649793007E-3</v>
      </c>
      <c r="Q51" s="11">
        <v>0.13</v>
      </c>
      <c r="R51" s="131"/>
      <c r="S51" s="105" t="s">
        <v>73</v>
      </c>
      <c r="T51" s="105">
        <v>8403794029</v>
      </c>
      <c r="U51" s="22">
        <v>3</v>
      </c>
      <c r="V51" t="str">
        <f>IF(VLOOKUP(LEFT($T51,10),'Havi béradatok'!$B:$E,2,FALSE)=E51,"EGYEZIK","HIBÁS")</f>
        <v>EGYEZIK</v>
      </c>
      <c r="W51">
        <f>VLOOKUP(LEFT($T51,10),'Havi béradatok'!$B:$E,3,FALSE)-G51</f>
        <v>0</v>
      </c>
      <c r="X51">
        <f>VLOOKUP(LEFT($T51,10),'Havi béradatok'!$B:$E,4,FALSE)-H51</f>
        <v>0</v>
      </c>
    </row>
    <row r="52" spans="1:24" s="12" customFormat="1" ht="15" customHeight="1" x14ac:dyDescent="0.25">
      <c r="A52" s="3" t="s">
        <v>123</v>
      </c>
      <c r="B52" s="1" t="s">
        <v>46</v>
      </c>
      <c r="C52" s="4" t="s">
        <v>67</v>
      </c>
      <c r="D52" s="4" t="s">
        <v>90</v>
      </c>
      <c r="E52" s="3" t="s">
        <v>71</v>
      </c>
      <c r="F52" s="3" t="s">
        <v>15</v>
      </c>
      <c r="G52" s="7">
        <v>558643</v>
      </c>
      <c r="H52" s="7">
        <f t="shared" si="0"/>
        <v>72624</v>
      </c>
      <c r="I52" s="163">
        <f t="shared" si="92"/>
        <v>3.4482758620689655E-2</v>
      </c>
      <c r="J52" s="6">
        <v>174</v>
      </c>
      <c r="K52" s="6">
        <v>6</v>
      </c>
      <c r="L52" s="147">
        <v>17024</v>
      </c>
      <c r="M52" s="10">
        <f t="shared" si="93"/>
        <v>2213</v>
      </c>
      <c r="N52" s="143">
        <f>SUM(L52:M52)/Monitoring!$B$14</f>
        <v>47.498765432098764</v>
      </c>
      <c r="O52" s="8">
        <f t="shared" si="1"/>
        <v>3.0473844655710354E-2</v>
      </c>
      <c r="P52" s="11">
        <f t="shared" si="2"/>
        <v>4.0089139649793007E-3</v>
      </c>
      <c r="Q52" s="11">
        <v>0.13</v>
      </c>
      <c r="R52" s="131"/>
      <c r="S52" s="105" t="s">
        <v>73</v>
      </c>
      <c r="T52" s="105">
        <v>8403794029</v>
      </c>
      <c r="U52" s="113"/>
    </row>
    <row r="53" spans="1:24" s="12" customFormat="1" ht="15" customHeight="1" x14ac:dyDescent="0.25">
      <c r="A53" s="3" t="s">
        <v>123</v>
      </c>
      <c r="B53" s="1" t="s">
        <v>46</v>
      </c>
      <c r="C53" s="4" t="s">
        <v>68</v>
      </c>
      <c r="D53" s="4" t="s">
        <v>90</v>
      </c>
      <c r="E53" s="3" t="s">
        <v>71</v>
      </c>
      <c r="F53" s="3" t="s">
        <v>15</v>
      </c>
      <c r="G53" s="7">
        <v>558643</v>
      </c>
      <c r="H53" s="7">
        <f t="shared" ref="H53" si="94">ROUND(G53*Q53,0)</f>
        <v>72624</v>
      </c>
      <c r="I53" s="163">
        <f t="shared" ref="I53" si="95">K53/J53</f>
        <v>3.4482758620689655E-2</v>
      </c>
      <c r="J53" s="6">
        <v>174</v>
      </c>
      <c r="K53" s="6">
        <v>6</v>
      </c>
      <c r="L53" s="147">
        <v>17024</v>
      </c>
      <c r="M53" s="10">
        <f t="shared" ref="M53" si="96">ROUND(L53*Q53,0)</f>
        <v>2213</v>
      </c>
      <c r="N53" s="143">
        <f>SUM(L53:M53)/Monitoring!$B$14</f>
        <v>47.498765432098764</v>
      </c>
      <c r="O53" s="8">
        <f t="shared" ref="O53" si="97">L53/G53</f>
        <v>3.0473844655710354E-2</v>
      </c>
      <c r="P53" s="11">
        <f t="shared" ref="P53" si="98">I53-O53</f>
        <v>4.0089139649793007E-3</v>
      </c>
      <c r="Q53" s="11">
        <v>0.13</v>
      </c>
      <c r="R53" s="131">
        <v>45034</v>
      </c>
      <c r="S53" s="105"/>
      <c r="T53" s="105">
        <v>8403794029</v>
      </c>
      <c r="U53" s="113"/>
    </row>
    <row r="54" spans="1:24" s="12" customFormat="1" ht="15" customHeight="1" x14ac:dyDescent="0.25">
      <c r="A54" s="3" t="s">
        <v>123</v>
      </c>
      <c r="B54" s="1" t="s">
        <v>46</v>
      </c>
      <c r="C54" s="4" t="s">
        <v>91</v>
      </c>
      <c r="D54" s="4" t="s">
        <v>90</v>
      </c>
      <c r="E54" s="3" t="s">
        <v>71</v>
      </c>
      <c r="F54" s="3" t="s">
        <v>15</v>
      </c>
      <c r="G54" s="7">
        <v>558643</v>
      </c>
      <c r="H54" s="7">
        <f t="shared" ref="H54:H58" si="99">ROUND(G54*Q54,0)</f>
        <v>72624</v>
      </c>
      <c r="I54" s="163">
        <f t="shared" ref="I54:I58" si="100">K54/J54</f>
        <v>3.4482758620689655E-2</v>
      </c>
      <c r="J54" s="6">
        <v>174</v>
      </c>
      <c r="K54" s="6">
        <v>6</v>
      </c>
      <c r="L54" s="147">
        <v>17024</v>
      </c>
      <c r="M54" s="10">
        <f t="shared" ref="M54:M58" si="101">ROUND(L54*Q54,0)</f>
        <v>2213</v>
      </c>
      <c r="N54" s="143">
        <f>SUM(L54:M54)/Monitoring!$B$14</f>
        <v>47.498765432098764</v>
      </c>
      <c r="O54" s="8">
        <f t="shared" ref="O54:O58" si="102">L54/G54</f>
        <v>3.0473844655710354E-2</v>
      </c>
      <c r="P54" s="11">
        <f t="shared" ref="P54:P58" si="103">I54-O54</f>
        <v>4.0089139649793007E-3</v>
      </c>
      <c r="Q54" s="11">
        <v>0.13</v>
      </c>
      <c r="R54" s="131">
        <v>45034</v>
      </c>
      <c r="S54" s="105"/>
      <c r="T54" s="105">
        <v>8403794029</v>
      </c>
      <c r="U54" s="113"/>
    </row>
    <row r="55" spans="1:24" s="12" customFormat="1" ht="15" customHeight="1" x14ac:dyDescent="0.25">
      <c r="A55" s="3" t="s">
        <v>123</v>
      </c>
      <c r="B55" s="1" t="s">
        <v>46</v>
      </c>
      <c r="C55" s="4" t="s">
        <v>92</v>
      </c>
      <c r="D55" s="4" t="s">
        <v>90</v>
      </c>
      <c r="E55" s="3" t="s">
        <v>71</v>
      </c>
      <c r="F55" s="3" t="s">
        <v>15</v>
      </c>
      <c r="G55" s="7">
        <v>558643</v>
      </c>
      <c r="H55" s="7">
        <f t="shared" si="99"/>
        <v>72624</v>
      </c>
      <c r="I55" s="163">
        <f t="shared" si="100"/>
        <v>3.4482758620689655E-2</v>
      </c>
      <c r="J55" s="6">
        <v>174</v>
      </c>
      <c r="K55" s="6">
        <v>6</v>
      </c>
      <c r="L55" s="147">
        <v>17024</v>
      </c>
      <c r="M55" s="10">
        <f t="shared" si="101"/>
        <v>2213</v>
      </c>
      <c r="N55" s="143">
        <f>SUM(L55:M55)/Monitoring!$B$14</f>
        <v>47.498765432098764</v>
      </c>
      <c r="O55" s="8">
        <f t="shared" si="102"/>
        <v>3.0473844655710354E-2</v>
      </c>
      <c r="P55" s="11">
        <f t="shared" si="103"/>
        <v>4.0089139649793007E-3</v>
      </c>
      <c r="Q55" s="11">
        <v>0.13</v>
      </c>
      <c r="R55" s="131">
        <v>45034</v>
      </c>
      <c r="S55" s="105"/>
      <c r="T55" s="105">
        <v>8403794029</v>
      </c>
      <c r="U55" s="113"/>
    </row>
    <row r="56" spans="1:24" s="12" customFormat="1" ht="15" customHeight="1" x14ac:dyDescent="0.25">
      <c r="A56" s="3" t="s">
        <v>123</v>
      </c>
      <c r="B56" s="1" t="s">
        <v>46</v>
      </c>
      <c r="C56" s="4" t="s">
        <v>93</v>
      </c>
      <c r="D56" s="4" t="s">
        <v>90</v>
      </c>
      <c r="E56" s="3" t="s">
        <v>71</v>
      </c>
      <c r="F56" s="3" t="s">
        <v>15</v>
      </c>
      <c r="G56" s="7">
        <v>558643</v>
      </c>
      <c r="H56" s="7">
        <f t="shared" si="99"/>
        <v>72624</v>
      </c>
      <c r="I56" s="163">
        <f t="shared" si="100"/>
        <v>3.4482758620689655E-2</v>
      </c>
      <c r="J56" s="6">
        <v>174</v>
      </c>
      <c r="K56" s="6">
        <v>6</v>
      </c>
      <c r="L56" s="147">
        <v>17024</v>
      </c>
      <c r="M56" s="10">
        <f t="shared" si="101"/>
        <v>2213</v>
      </c>
      <c r="N56" s="143">
        <f>SUM(L56:M56)/Monitoring!$B$14</f>
        <v>47.498765432098764</v>
      </c>
      <c r="O56" s="8">
        <f t="shared" si="102"/>
        <v>3.0473844655710354E-2</v>
      </c>
      <c r="P56" s="11">
        <f t="shared" si="103"/>
        <v>4.0089139649793007E-3</v>
      </c>
      <c r="Q56" s="11">
        <v>0.13</v>
      </c>
      <c r="R56" s="131">
        <v>45034</v>
      </c>
      <c r="S56" s="105"/>
      <c r="T56" s="105">
        <v>8403794029</v>
      </c>
      <c r="U56" s="113"/>
    </row>
    <row r="57" spans="1:24" s="12" customFormat="1" ht="15" customHeight="1" x14ac:dyDescent="0.25">
      <c r="A57" s="3" t="s">
        <v>123</v>
      </c>
      <c r="B57" s="1" t="s">
        <v>46</v>
      </c>
      <c r="C57" s="4" t="s">
        <v>94</v>
      </c>
      <c r="D57" s="4" t="s">
        <v>90</v>
      </c>
      <c r="E57" s="3" t="s">
        <v>71</v>
      </c>
      <c r="F57" s="3" t="s">
        <v>15</v>
      </c>
      <c r="G57" s="7">
        <v>558643</v>
      </c>
      <c r="H57" s="7">
        <f t="shared" si="99"/>
        <v>72624</v>
      </c>
      <c r="I57" s="163">
        <f t="shared" si="100"/>
        <v>3.4482758620689655E-2</v>
      </c>
      <c r="J57" s="6">
        <v>174</v>
      </c>
      <c r="K57" s="6">
        <v>6</v>
      </c>
      <c r="L57" s="147">
        <v>17024</v>
      </c>
      <c r="M57" s="10">
        <f t="shared" si="101"/>
        <v>2213</v>
      </c>
      <c r="N57" s="143">
        <f>SUM(L57:M57)/Monitoring!$B$14</f>
        <v>47.498765432098764</v>
      </c>
      <c r="O57" s="8">
        <f t="shared" si="102"/>
        <v>3.0473844655710354E-2</v>
      </c>
      <c r="P57" s="11">
        <f t="shared" si="103"/>
        <v>4.0089139649793007E-3</v>
      </c>
      <c r="Q57" s="11">
        <v>0.13</v>
      </c>
      <c r="R57" s="131">
        <v>45034</v>
      </c>
      <c r="S57" s="105"/>
      <c r="T57" s="105">
        <v>8403794029</v>
      </c>
      <c r="U57" s="113"/>
    </row>
    <row r="58" spans="1:24" s="12" customFormat="1" ht="15" customHeight="1" x14ac:dyDescent="0.25">
      <c r="A58" s="3" t="s">
        <v>123</v>
      </c>
      <c r="B58" s="1" t="s">
        <v>46</v>
      </c>
      <c r="C58" s="4" t="s">
        <v>95</v>
      </c>
      <c r="D58" s="4" t="s">
        <v>90</v>
      </c>
      <c r="E58" s="3" t="s">
        <v>71</v>
      </c>
      <c r="F58" s="3" t="s">
        <v>15</v>
      </c>
      <c r="G58" s="7">
        <v>558643</v>
      </c>
      <c r="H58" s="7">
        <f t="shared" si="99"/>
        <v>72624</v>
      </c>
      <c r="I58" s="163">
        <f t="shared" si="100"/>
        <v>3.4482758620689655E-2</v>
      </c>
      <c r="J58" s="6">
        <v>174</v>
      </c>
      <c r="K58" s="6">
        <v>6</v>
      </c>
      <c r="L58" s="147">
        <v>17024</v>
      </c>
      <c r="M58" s="10">
        <f t="shared" si="101"/>
        <v>2213</v>
      </c>
      <c r="N58" s="143">
        <f>SUM(L58:M58)/Monitoring!$B$14</f>
        <v>47.498765432098764</v>
      </c>
      <c r="O58" s="8">
        <f t="shared" si="102"/>
        <v>3.0473844655710354E-2</v>
      </c>
      <c r="P58" s="11">
        <f t="shared" si="103"/>
        <v>4.0089139649793007E-3</v>
      </c>
      <c r="Q58" s="11">
        <v>0.13</v>
      </c>
      <c r="R58" s="131">
        <v>45034</v>
      </c>
      <c r="S58" s="105"/>
      <c r="T58" s="105">
        <v>8403794029</v>
      </c>
      <c r="U58" s="113"/>
    </row>
    <row r="59" spans="1:24" s="12" customFormat="1" ht="15" customHeight="1" x14ac:dyDescent="0.25">
      <c r="A59" s="3" t="s">
        <v>125</v>
      </c>
      <c r="B59" s="1" t="s">
        <v>113</v>
      </c>
      <c r="C59" s="4" t="s">
        <v>64</v>
      </c>
      <c r="D59" s="4" t="s">
        <v>90</v>
      </c>
      <c r="E59" s="3" t="s">
        <v>126</v>
      </c>
      <c r="F59" s="3" t="s">
        <v>11</v>
      </c>
      <c r="G59" s="7">
        <v>578544</v>
      </c>
      <c r="H59" s="7">
        <f t="shared" si="0"/>
        <v>75211</v>
      </c>
      <c r="I59" s="163">
        <f>K59/J59</f>
        <v>0.44252873563218392</v>
      </c>
      <c r="J59" s="6">
        <v>174</v>
      </c>
      <c r="K59" s="6">
        <v>77</v>
      </c>
      <c r="L59" s="147">
        <v>255360</v>
      </c>
      <c r="M59" s="10">
        <f t="shared" si="93"/>
        <v>33197</v>
      </c>
      <c r="N59" s="143">
        <f>SUM(L59:M59)/Monitoring!$B$14</f>
        <v>712.48641975308647</v>
      </c>
      <c r="O59" s="8">
        <f t="shared" si="1"/>
        <v>0.44138388782875632</v>
      </c>
      <c r="P59" s="11">
        <f t="shared" si="2"/>
        <v>1.1448478034276066E-3</v>
      </c>
      <c r="Q59" s="11">
        <v>0.13</v>
      </c>
      <c r="R59" s="131"/>
      <c r="S59" s="105" t="s">
        <v>73</v>
      </c>
      <c r="T59" s="167" t="s">
        <v>147</v>
      </c>
      <c r="U59" s="22">
        <v>4</v>
      </c>
      <c r="V59" t="s">
        <v>150</v>
      </c>
      <c r="W59">
        <v>0</v>
      </c>
      <c r="X59">
        <v>0</v>
      </c>
    </row>
    <row r="60" spans="1:24" s="12" customFormat="1" ht="15" customHeight="1" x14ac:dyDescent="0.25">
      <c r="A60" s="3" t="s">
        <v>125</v>
      </c>
      <c r="B60" s="1" t="s">
        <v>113</v>
      </c>
      <c r="C60" s="4" t="s">
        <v>65</v>
      </c>
      <c r="D60" s="4" t="s">
        <v>90</v>
      </c>
      <c r="E60" s="3" t="s">
        <v>126</v>
      </c>
      <c r="F60" s="3" t="s">
        <v>11</v>
      </c>
      <c r="G60" s="7">
        <v>578544</v>
      </c>
      <c r="H60" s="7">
        <f t="shared" si="0"/>
        <v>75211</v>
      </c>
      <c r="I60" s="163">
        <f t="shared" ref="I60" si="104">K60/J60</f>
        <v>0.44252873563218392</v>
      </c>
      <c r="J60" s="6">
        <v>174</v>
      </c>
      <c r="K60" s="6">
        <v>77</v>
      </c>
      <c r="L60" s="147">
        <v>255360</v>
      </c>
      <c r="M60" s="10">
        <f t="shared" ref="M60" si="105">ROUND(L60*Q60,0)</f>
        <v>33197</v>
      </c>
      <c r="N60" s="143">
        <f>SUM(L60:M60)/Monitoring!$B$14</f>
        <v>712.48641975308647</v>
      </c>
      <c r="O60" s="8">
        <f t="shared" si="1"/>
        <v>0.44138388782875632</v>
      </c>
      <c r="P60" s="11">
        <f t="shared" si="2"/>
        <v>1.1448478034276066E-3</v>
      </c>
      <c r="Q60" s="11">
        <v>0.13</v>
      </c>
      <c r="R60" s="131"/>
      <c r="S60" s="105" t="s">
        <v>73</v>
      </c>
      <c r="T60" s="167" t="s">
        <v>147</v>
      </c>
      <c r="U60" s="22">
        <v>2</v>
      </c>
      <c r="V60" t="str">
        <f>IF(VLOOKUP($T60,'Havi béradatok'!$B:$E,2,FALSE)=E60,"EGYEZIK","HIBÁS")</f>
        <v>EGYEZIK</v>
      </c>
      <c r="W60">
        <f>VLOOKUP($T60,'Havi béradatok'!$B:$E,3,FALSE)-G60</f>
        <v>0</v>
      </c>
      <c r="X60">
        <f>VLOOKUP($T60,'Havi béradatok'!$B:$E,4,FALSE)-H60</f>
        <v>0</v>
      </c>
    </row>
    <row r="61" spans="1:24" s="12" customFormat="1" ht="15" customHeight="1" x14ac:dyDescent="0.25">
      <c r="A61" s="3" t="s">
        <v>125</v>
      </c>
      <c r="B61" s="1" t="s">
        <v>113</v>
      </c>
      <c r="C61" s="4" t="s">
        <v>66</v>
      </c>
      <c r="D61" s="4" t="s">
        <v>90</v>
      </c>
      <c r="E61" s="3" t="s">
        <v>126</v>
      </c>
      <c r="F61" s="3" t="s">
        <v>11</v>
      </c>
      <c r="G61" s="7">
        <v>578544</v>
      </c>
      <c r="H61" s="7">
        <f t="shared" ref="H61" si="106">ROUND(G61*Q61,0)</f>
        <v>75211</v>
      </c>
      <c r="I61" s="163">
        <f t="shared" ref="I61" si="107">K61/J61</f>
        <v>0.48275862068965519</v>
      </c>
      <c r="J61" s="6">
        <v>174</v>
      </c>
      <c r="K61" s="6">
        <v>84</v>
      </c>
      <c r="L61" s="147">
        <v>255360</v>
      </c>
      <c r="M61" s="10">
        <f t="shared" ref="M61" si="108">ROUND(L61*Q61,0)</f>
        <v>33197</v>
      </c>
      <c r="N61" s="143">
        <f>SUM(L61:M61)/Monitoring!$B$14</f>
        <v>712.48641975308647</v>
      </c>
      <c r="O61" s="8">
        <f t="shared" ref="O61" si="109">L61/G61</f>
        <v>0.44138388782875632</v>
      </c>
      <c r="P61" s="11">
        <f t="shared" ref="P61" si="110">I61-O61</f>
        <v>4.1374732860898877E-2</v>
      </c>
      <c r="Q61" s="11">
        <v>0.13</v>
      </c>
      <c r="R61" s="131">
        <v>44977</v>
      </c>
      <c r="S61" s="105" t="s">
        <v>73</v>
      </c>
      <c r="T61" s="105">
        <v>8473390040</v>
      </c>
      <c r="U61" s="22">
        <v>3</v>
      </c>
      <c r="V61" t="str">
        <f>IF(VLOOKUP(LEFT($T61,10),'Havi béradatok'!$B:$E,2,FALSE)=E61,"EGYEZIK","HIBÁS")</f>
        <v>EGYEZIK</v>
      </c>
      <c r="W61">
        <f>VLOOKUP(LEFT($T61,10),'Havi béradatok'!$B:$E,3,FALSE)-G61</f>
        <v>0</v>
      </c>
      <c r="X61">
        <f>VLOOKUP(LEFT($T61,10),'Havi béradatok'!$B:$E,4,FALSE)-H61</f>
        <v>0</v>
      </c>
    </row>
    <row r="62" spans="1:24" s="12" customFormat="1" ht="15" customHeight="1" x14ac:dyDescent="0.25">
      <c r="A62" s="3" t="s">
        <v>125</v>
      </c>
      <c r="B62" s="1" t="s">
        <v>113</v>
      </c>
      <c r="C62" s="4" t="s">
        <v>67</v>
      </c>
      <c r="D62" s="4" t="s">
        <v>90</v>
      </c>
      <c r="E62" s="3" t="s">
        <v>71</v>
      </c>
      <c r="F62" s="3" t="s">
        <v>15</v>
      </c>
      <c r="G62" s="7">
        <v>608544</v>
      </c>
      <c r="H62" s="7">
        <f t="shared" ref="H62" si="111">ROUND(G62*Q62,0)</f>
        <v>79111</v>
      </c>
      <c r="I62" s="163">
        <f t="shared" ref="I62" si="112">K62/J62</f>
        <v>0.42528735632183906</v>
      </c>
      <c r="J62" s="6">
        <v>174</v>
      </c>
      <c r="K62" s="6">
        <v>74</v>
      </c>
      <c r="L62" s="147">
        <v>255360</v>
      </c>
      <c r="M62" s="10">
        <f t="shared" ref="M62" si="113">ROUND(L62*Q62,0)</f>
        <v>33197</v>
      </c>
      <c r="N62" s="143">
        <f>SUM(L62:M62)/Monitoring!$B$14</f>
        <v>712.48641975308647</v>
      </c>
      <c r="O62" s="8">
        <f t="shared" ref="O62" si="114">L62/G62</f>
        <v>0.41962454645843195</v>
      </c>
      <c r="P62" s="11">
        <f t="shared" ref="P62" si="115">I62-O62</f>
        <v>5.6628098634071145E-3</v>
      </c>
      <c r="Q62" s="11">
        <v>0.13</v>
      </c>
      <c r="R62" s="131">
        <v>44999</v>
      </c>
      <c r="S62" s="105" t="s">
        <v>73</v>
      </c>
      <c r="T62" s="105">
        <v>8473390040</v>
      </c>
      <c r="U62" s="113"/>
    </row>
    <row r="63" spans="1:24" s="12" customFormat="1" ht="15" customHeight="1" x14ac:dyDescent="0.25">
      <c r="A63" s="3" t="s">
        <v>125</v>
      </c>
      <c r="B63" s="1" t="s">
        <v>113</v>
      </c>
      <c r="C63" s="4" t="s">
        <v>68</v>
      </c>
      <c r="D63" s="4" t="s">
        <v>90</v>
      </c>
      <c r="E63" s="3" t="s">
        <v>71</v>
      </c>
      <c r="F63" s="3" t="s">
        <v>15</v>
      </c>
      <c r="G63" s="7">
        <v>681734</v>
      </c>
      <c r="H63" s="7">
        <f t="shared" ref="H63" si="116">ROUND(G63*Q63,0)</f>
        <v>88625</v>
      </c>
      <c r="I63" s="163">
        <f t="shared" ref="I63" si="117">K63/J63</f>
        <v>0.35057471264367818</v>
      </c>
      <c r="J63" s="6">
        <v>174</v>
      </c>
      <c r="K63" s="6">
        <v>61</v>
      </c>
      <c r="L63" s="147">
        <v>238999</v>
      </c>
      <c r="M63" s="10">
        <f t="shared" ref="M63" si="118">ROUND(L63*Q63,0)</f>
        <v>31070</v>
      </c>
      <c r="N63" s="143">
        <f>SUM(L63:M63)/Monitoring!$B$14</f>
        <v>666.83703703703702</v>
      </c>
      <c r="O63" s="8">
        <f t="shared" ref="O63" si="119">L63/G63</f>
        <v>0.35057515101197828</v>
      </c>
      <c r="P63" s="11">
        <f t="shared" ref="P63" si="120">I63-O63</f>
        <v>-4.3836830010413053E-7</v>
      </c>
      <c r="Q63" s="11">
        <v>0.13</v>
      </c>
      <c r="R63" s="131">
        <v>45033</v>
      </c>
      <c r="S63" s="105"/>
      <c r="T63" s="105">
        <v>8473390040</v>
      </c>
      <c r="U63" s="113"/>
    </row>
    <row r="64" spans="1:24" s="12" customFormat="1" ht="15" customHeight="1" x14ac:dyDescent="0.25">
      <c r="A64" s="3" t="s">
        <v>125</v>
      </c>
      <c r="B64" s="1" t="s">
        <v>113</v>
      </c>
      <c r="C64" s="4" t="s">
        <v>91</v>
      </c>
      <c r="D64" s="4" t="s">
        <v>90</v>
      </c>
      <c r="E64" s="3" t="s">
        <v>71</v>
      </c>
      <c r="F64" s="3" t="s">
        <v>15</v>
      </c>
      <c r="G64" s="7">
        <v>681734</v>
      </c>
      <c r="H64" s="7">
        <f t="shared" ref="H64" si="121">ROUND(G64*Q64,0)</f>
        <v>88625</v>
      </c>
      <c r="I64" s="163">
        <f t="shared" ref="I64" si="122">K64/J64</f>
        <v>0.35057471264367818</v>
      </c>
      <c r="J64" s="6">
        <v>174</v>
      </c>
      <c r="K64" s="6">
        <v>61</v>
      </c>
      <c r="L64" s="147">
        <v>238999</v>
      </c>
      <c r="M64" s="10">
        <f t="shared" ref="M64" si="123">ROUND(L64*Q64,0)</f>
        <v>31070</v>
      </c>
      <c r="N64" s="143">
        <f>SUM(L64:M64)/Monitoring!$B$14</f>
        <v>666.83703703703702</v>
      </c>
      <c r="O64" s="8">
        <f t="shared" ref="O64" si="124">L64/G64</f>
        <v>0.35057515101197828</v>
      </c>
      <c r="P64" s="11">
        <f t="shared" ref="P64" si="125">I64-O64</f>
        <v>-4.3836830010413053E-7</v>
      </c>
      <c r="Q64" s="11">
        <v>0.13</v>
      </c>
      <c r="R64" s="131">
        <v>45033</v>
      </c>
      <c r="S64" s="105"/>
      <c r="T64" s="105">
        <v>8473390040</v>
      </c>
      <c r="U64" s="113"/>
    </row>
    <row r="65" spans="1:24" s="12" customFormat="1" ht="15" customHeight="1" x14ac:dyDescent="0.25">
      <c r="A65" s="3" t="s">
        <v>121</v>
      </c>
      <c r="B65" s="1" t="s">
        <v>113</v>
      </c>
      <c r="C65" s="4" t="s">
        <v>64</v>
      </c>
      <c r="D65" s="4" t="s">
        <v>90</v>
      </c>
      <c r="E65" s="3" t="s">
        <v>70</v>
      </c>
      <c r="F65" s="3" t="s">
        <v>11</v>
      </c>
      <c r="G65" s="7">
        <v>1034242</v>
      </c>
      <c r="H65" s="7">
        <f t="shared" si="0"/>
        <v>134451</v>
      </c>
      <c r="I65" s="163">
        <f>K65/J65</f>
        <v>0.2471264367816092</v>
      </c>
      <c r="J65" s="6">
        <v>174</v>
      </c>
      <c r="K65" s="6">
        <v>43</v>
      </c>
      <c r="L65" s="147">
        <v>255360</v>
      </c>
      <c r="M65" s="10">
        <f t="shared" si="53"/>
        <v>33197</v>
      </c>
      <c r="N65" s="143">
        <f>SUM(L65:M65)/Monitoring!$B$14</f>
        <v>712.48641975308647</v>
      </c>
      <c r="O65" s="8">
        <f t="shared" si="1"/>
        <v>0.24690546313145278</v>
      </c>
      <c r="P65" s="11">
        <f t="shared" si="2"/>
        <v>2.2097365015641413E-4</v>
      </c>
      <c r="Q65" s="11">
        <v>0.13</v>
      </c>
      <c r="R65" s="131"/>
      <c r="S65" s="105" t="s">
        <v>73</v>
      </c>
      <c r="T65" s="167" t="s">
        <v>142</v>
      </c>
      <c r="U65" s="22">
        <v>4</v>
      </c>
      <c r="V65" t="s">
        <v>150</v>
      </c>
      <c r="W65">
        <v>0</v>
      </c>
      <c r="X65">
        <v>0</v>
      </c>
    </row>
    <row r="66" spans="1:24" s="12" customFormat="1" ht="15" customHeight="1" x14ac:dyDescent="0.25">
      <c r="A66" s="3" t="s">
        <v>121</v>
      </c>
      <c r="B66" s="1" t="s">
        <v>113</v>
      </c>
      <c r="C66" s="4" t="s">
        <v>65</v>
      </c>
      <c r="D66" s="4" t="s">
        <v>90</v>
      </c>
      <c r="E66" s="3" t="s">
        <v>70</v>
      </c>
      <c r="F66" s="3" t="s">
        <v>11</v>
      </c>
      <c r="G66" s="7">
        <v>1034244</v>
      </c>
      <c r="H66" s="7">
        <f t="shared" si="0"/>
        <v>134452</v>
      </c>
      <c r="I66" s="163">
        <f t="shared" ref="I66:I67" si="126">K66/J66</f>
        <v>0.2471264367816092</v>
      </c>
      <c r="J66" s="6">
        <v>174</v>
      </c>
      <c r="K66" s="6">
        <v>43</v>
      </c>
      <c r="L66" s="147">
        <v>255360</v>
      </c>
      <c r="M66" s="10">
        <f t="shared" ref="M66:M71" si="127">ROUND(L66*Q66,0)</f>
        <v>33197</v>
      </c>
      <c r="N66" s="143">
        <f>SUM(L66:M66)/Monitoring!$B$14</f>
        <v>712.48641975308647</v>
      </c>
      <c r="O66" s="8">
        <f t="shared" si="1"/>
        <v>0.2469049856706928</v>
      </c>
      <c r="P66" s="11">
        <f t="shared" si="2"/>
        <v>2.2145111091639857E-4</v>
      </c>
      <c r="Q66" s="11">
        <v>0.13</v>
      </c>
      <c r="R66" s="131"/>
      <c r="S66" s="105" t="s">
        <v>73</v>
      </c>
      <c r="T66" s="167" t="s">
        <v>142</v>
      </c>
      <c r="U66" s="22">
        <v>2</v>
      </c>
      <c r="V66" t="str">
        <f>IF(VLOOKUP($T66,'Havi béradatok'!$B:$E,2,FALSE)=E66,"EGYEZIK","HIBÁS")</f>
        <v>EGYEZIK</v>
      </c>
      <c r="W66">
        <f>VLOOKUP($T66,'Havi béradatok'!$B:$E,3,FALSE)-G66</f>
        <v>19999</v>
      </c>
      <c r="X66">
        <f>VLOOKUP($T66,'Havi béradatok'!$B:$E,4,FALSE)-H66</f>
        <v>2600</v>
      </c>
    </row>
    <row r="67" spans="1:24" s="12" customFormat="1" ht="15" customHeight="1" x14ac:dyDescent="0.25">
      <c r="A67" s="3" t="s">
        <v>121</v>
      </c>
      <c r="B67" s="1" t="s">
        <v>113</v>
      </c>
      <c r="C67" s="4" t="s">
        <v>66</v>
      </c>
      <c r="D67" s="4" t="s">
        <v>90</v>
      </c>
      <c r="E67" s="3" t="s">
        <v>70</v>
      </c>
      <c r="F67" s="3" t="s">
        <v>11</v>
      </c>
      <c r="G67" s="7">
        <v>1054243</v>
      </c>
      <c r="H67" s="7">
        <f t="shared" si="0"/>
        <v>137052</v>
      </c>
      <c r="I67" s="163">
        <f t="shared" si="126"/>
        <v>0.25862068965517243</v>
      </c>
      <c r="J67" s="6">
        <v>174</v>
      </c>
      <c r="K67" s="6">
        <v>45</v>
      </c>
      <c r="L67" s="147">
        <v>255360</v>
      </c>
      <c r="M67" s="10">
        <f t="shared" si="127"/>
        <v>33197</v>
      </c>
      <c r="N67" s="143">
        <f>SUM(L67:M67)/Monitoring!$B$14</f>
        <v>712.48641975308647</v>
      </c>
      <c r="O67" s="8">
        <f t="shared" si="1"/>
        <v>0.24222119568258932</v>
      </c>
      <c r="P67" s="11">
        <f t="shared" si="2"/>
        <v>1.6399493972583112E-2</v>
      </c>
      <c r="Q67" s="11">
        <v>0.13</v>
      </c>
      <c r="R67" s="131">
        <v>44987</v>
      </c>
      <c r="S67" s="105" t="s">
        <v>73</v>
      </c>
      <c r="T67" s="105">
        <v>8395384386</v>
      </c>
      <c r="U67" s="22">
        <v>3</v>
      </c>
      <c r="V67" t="str">
        <f>IF(VLOOKUP(LEFT($T67,10),'Havi béradatok'!$B:$E,2,FALSE)=E67,"EGYEZIK","HIBÁS")</f>
        <v>EGYEZIK</v>
      </c>
      <c r="W67">
        <f>VLOOKUP(LEFT($T67,10),'Havi béradatok'!$B:$E,3,FALSE)-G67</f>
        <v>0</v>
      </c>
      <c r="X67">
        <f>VLOOKUP(LEFT($T67,10),'Havi béradatok'!$B:$E,4,FALSE)-H67</f>
        <v>0</v>
      </c>
    </row>
    <row r="68" spans="1:24" s="12" customFormat="1" ht="15" customHeight="1" x14ac:dyDescent="0.25">
      <c r="A68" s="3" t="s">
        <v>121</v>
      </c>
      <c r="B68" s="1" t="s">
        <v>113</v>
      </c>
      <c r="C68" s="4" t="s">
        <v>67</v>
      </c>
      <c r="D68" s="4" t="s">
        <v>90</v>
      </c>
      <c r="E68" s="3" t="s">
        <v>70</v>
      </c>
      <c r="F68" s="3" t="s">
        <v>15</v>
      </c>
      <c r="G68" s="7">
        <v>1054244</v>
      </c>
      <c r="H68" s="7">
        <f t="shared" ref="H68" si="128">ROUND(G68*Q68,0)</f>
        <v>137052</v>
      </c>
      <c r="I68" s="163">
        <f t="shared" ref="I68" si="129">K68/J68</f>
        <v>0.25862068965517243</v>
      </c>
      <c r="J68" s="6">
        <v>174</v>
      </c>
      <c r="K68" s="6">
        <v>45</v>
      </c>
      <c r="L68" s="147">
        <v>255360</v>
      </c>
      <c r="M68" s="10">
        <f t="shared" ref="M68" si="130">ROUND(L68*Q68,0)</f>
        <v>33197</v>
      </c>
      <c r="N68" s="143">
        <f>SUM(L68:M68)/Monitoring!$B$14</f>
        <v>712.48641975308647</v>
      </c>
      <c r="O68" s="8">
        <f t="shared" ref="O68" si="131">L68/G68</f>
        <v>0.24222096592439701</v>
      </c>
      <c r="P68" s="11">
        <f t="shared" ref="P68" si="132">I68-O68</f>
        <v>1.6399723730775417E-2</v>
      </c>
      <c r="Q68" s="11">
        <v>0.13</v>
      </c>
      <c r="R68" s="131">
        <v>44987</v>
      </c>
      <c r="S68" s="105" t="s">
        <v>73</v>
      </c>
      <c r="T68" s="105">
        <v>8395384386</v>
      </c>
      <c r="U68" s="113"/>
    </row>
    <row r="69" spans="1:24" s="12" customFormat="1" ht="15" customHeight="1" x14ac:dyDescent="0.25">
      <c r="A69" s="3" t="s">
        <v>121</v>
      </c>
      <c r="B69" s="1" t="s">
        <v>113</v>
      </c>
      <c r="C69" s="4" t="s">
        <v>68</v>
      </c>
      <c r="D69" s="4" t="s">
        <v>90</v>
      </c>
      <c r="E69" s="3" t="s">
        <v>70</v>
      </c>
      <c r="F69" s="3" t="s">
        <v>15</v>
      </c>
      <c r="G69" s="7">
        <v>1037434</v>
      </c>
      <c r="H69" s="7">
        <f t="shared" ref="H69" si="133">ROUND(G69*Q69,0)</f>
        <v>134866</v>
      </c>
      <c r="I69" s="163">
        <f t="shared" ref="I69" si="134">K69/J69</f>
        <v>0.22988505747126436</v>
      </c>
      <c r="J69" s="6">
        <v>174</v>
      </c>
      <c r="K69" s="6">
        <v>40</v>
      </c>
      <c r="L69" s="147">
        <v>238336</v>
      </c>
      <c r="M69" s="10">
        <f t="shared" ref="M69" si="135">ROUND(L69*Q69,0)</f>
        <v>30984</v>
      </c>
      <c r="N69" s="143">
        <f>SUM(L69:M69)/Monitoring!$B$14</f>
        <v>664.98765432098764</v>
      </c>
      <c r="O69" s="8">
        <f t="shared" ref="O69" si="136">L69/G69</f>
        <v>0.22973606031805396</v>
      </c>
      <c r="P69" s="11">
        <f t="shared" ref="P69" si="137">I69-O69</f>
        <v>1.4899715321040063E-4</v>
      </c>
      <c r="Q69" s="11">
        <v>0.13</v>
      </c>
      <c r="R69" s="131">
        <v>45030</v>
      </c>
      <c r="S69" s="105"/>
      <c r="T69" s="105">
        <v>8395384386</v>
      </c>
      <c r="U69" s="113"/>
    </row>
    <row r="70" spans="1:24" s="12" customFormat="1" ht="15" customHeight="1" x14ac:dyDescent="0.25">
      <c r="A70" s="3" t="s">
        <v>121</v>
      </c>
      <c r="B70" s="1" t="s">
        <v>113</v>
      </c>
      <c r="C70" s="4" t="s">
        <v>91</v>
      </c>
      <c r="D70" s="4" t="s">
        <v>90</v>
      </c>
      <c r="E70" s="3" t="s">
        <v>70</v>
      </c>
      <c r="F70" s="3" t="s">
        <v>15</v>
      </c>
      <c r="G70" s="7">
        <v>1037434</v>
      </c>
      <c r="H70" s="7">
        <f t="shared" ref="H70" si="138">ROUND(G70*Q70,0)</f>
        <v>134866</v>
      </c>
      <c r="I70" s="163">
        <f t="shared" ref="I70" si="139">K70/J70</f>
        <v>0.22988505747126436</v>
      </c>
      <c r="J70" s="6">
        <v>174</v>
      </c>
      <c r="K70" s="6">
        <v>40</v>
      </c>
      <c r="L70" s="147">
        <v>238336</v>
      </c>
      <c r="M70" s="10">
        <f t="shared" ref="M70" si="140">ROUND(L70*Q70,0)</f>
        <v>30984</v>
      </c>
      <c r="N70" s="143">
        <f>SUM(L70:M70)/Monitoring!$B$14</f>
        <v>664.98765432098764</v>
      </c>
      <c r="O70" s="8">
        <f t="shared" ref="O70" si="141">L70/G70</f>
        <v>0.22973606031805396</v>
      </c>
      <c r="P70" s="11">
        <f t="shared" ref="P70" si="142">I70-O70</f>
        <v>1.4899715321040063E-4</v>
      </c>
      <c r="Q70" s="11">
        <v>0.13</v>
      </c>
      <c r="R70" s="131">
        <v>45030</v>
      </c>
      <c r="S70" s="105"/>
      <c r="T70" s="105">
        <v>8395384386</v>
      </c>
      <c r="U70" s="113"/>
    </row>
    <row r="71" spans="1:24" s="12" customFormat="1" ht="15" customHeight="1" x14ac:dyDescent="0.25">
      <c r="A71" s="3" t="s">
        <v>124</v>
      </c>
      <c r="B71" s="1" t="s">
        <v>113</v>
      </c>
      <c r="C71" s="4" t="s">
        <v>64</v>
      </c>
      <c r="D71" s="4" t="s">
        <v>90</v>
      </c>
      <c r="E71" s="3" t="s">
        <v>70</v>
      </c>
      <c r="F71" s="3" t="s">
        <v>11</v>
      </c>
      <c r="G71" s="7">
        <v>1157639</v>
      </c>
      <c r="H71" s="7">
        <f t="shared" si="0"/>
        <v>150493</v>
      </c>
      <c r="I71" s="163">
        <f>K71/J71</f>
        <v>6.8965517241379309E-2</v>
      </c>
      <c r="J71" s="6">
        <v>174</v>
      </c>
      <c r="K71" s="6">
        <v>12</v>
      </c>
      <c r="L71" s="147">
        <v>78848</v>
      </c>
      <c r="M71" s="10">
        <f t="shared" si="127"/>
        <v>10250</v>
      </c>
      <c r="N71" s="143">
        <f>SUM(L71:M71)/Monitoring!$B$14</f>
        <v>219.99506172839506</v>
      </c>
      <c r="O71" s="8">
        <f t="shared" si="1"/>
        <v>6.811104325268931E-2</v>
      </c>
      <c r="P71" s="11">
        <f t="shared" si="2"/>
        <v>8.5447398868999935E-4</v>
      </c>
      <c r="Q71" s="11">
        <v>0.13</v>
      </c>
      <c r="R71" s="131"/>
      <c r="S71" s="105" t="s">
        <v>73</v>
      </c>
      <c r="T71" s="167" t="s">
        <v>143</v>
      </c>
      <c r="U71" s="22">
        <v>4</v>
      </c>
      <c r="V71" t="s">
        <v>150</v>
      </c>
      <c r="W71" s="168">
        <v>1</v>
      </c>
      <c r="X71">
        <v>0</v>
      </c>
    </row>
    <row r="72" spans="1:24" s="12" customFormat="1" ht="15" customHeight="1" x14ac:dyDescent="0.25">
      <c r="A72" s="3" t="s">
        <v>124</v>
      </c>
      <c r="B72" s="1" t="s">
        <v>113</v>
      </c>
      <c r="C72" s="4" t="s">
        <v>65</v>
      </c>
      <c r="D72" s="4" t="s">
        <v>90</v>
      </c>
      <c r="E72" s="3" t="s">
        <v>70</v>
      </c>
      <c r="F72" s="3" t="s">
        <v>11</v>
      </c>
      <c r="G72" s="7">
        <v>1157639</v>
      </c>
      <c r="H72" s="7">
        <f t="shared" si="0"/>
        <v>150493</v>
      </c>
      <c r="I72" s="163">
        <f t="shared" ref="I72:I74" si="143">K72/J72</f>
        <v>6.8965517241379309E-2</v>
      </c>
      <c r="J72" s="6">
        <v>174</v>
      </c>
      <c r="K72" s="6">
        <v>12</v>
      </c>
      <c r="L72" s="147">
        <v>78848</v>
      </c>
      <c r="M72" s="10">
        <f t="shared" ref="M72:M74" si="144">ROUND(L72*Q72,0)</f>
        <v>10250</v>
      </c>
      <c r="N72" s="143">
        <f>SUM(L72:M72)/Monitoring!$B$14</f>
        <v>219.99506172839506</v>
      </c>
      <c r="O72" s="8">
        <f t="shared" si="1"/>
        <v>6.811104325268931E-2</v>
      </c>
      <c r="P72" s="11">
        <f t="shared" si="2"/>
        <v>8.5447398868999935E-4</v>
      </c>
      <c r="Q72" s="11">
        <v>0.13</v>
      </c>
      <c r="R72" s="131"/>
      <c r="S72" s="105" t="s">
        <v>73</v>
      </c>
      <c r="T72" s="167" t="s">
        <v>143</v>
      </c>
      <c r="U72" s="22">
        <v>2</v>
      </c>
      <c r="V72" t="str">
        <f>IF(VLOOKUP($T72,'Havi béradatok'!$B:$E,2,FALSE)=E72,"EGYEZIK","HIBÁS")</f>
        <v>EGYEZIK</v>
      </c>
      <c r="W72">
        <f>VLOOKUP($T72,'Havi béradatok'!$B:$E,3,FALSE)-G72</f>
        <v>0</v>
      </c>
      <c r="X72">
        <f>VLOOKUP($T72,'Havi béradatok'!$B:$E,4,FALSE)-H72</f>
        <v>0</v>
      </c>
    </row>
    <row r="73" spans="1:24" s="12" customFormat="1" ht="15" customHeight="1" x14ac:dyDescent="0.25">
      <c r="A73" s="3" t="s">
        <v>124</v>
      </c>
      <c r="B73" s="1" t="s">
        <v>113</v>
      </c>
      <c r="C73" s="4" t="s">
        <v>66</v>
      </c>
      <c r="D73" s="4" t="s">
        <v>90</v>
      </c>
      <c r="E73" s="3" t="s">
        <v>70</v>
      </c>
      <c r="F73" s="3" t="s">
        <v>11</v>
      </c>
      <c r="G73" s="7">
        <v>1157639</v>
      </c>
      <c r="H73" s="7">
        <f t="shared" si="0"/>
        <v>150493</v>
      </c>
      <c r="I73" s="163">
        <f t="shared" si="143"/>
        <v>6.8965517241379309E-2</v>
      </c>
      <c r="J73" s="6">
        <v>174</v>
      </c>
      <c r="K73" s="6">
        <v>12</v>
      </c>
      <c r="L73" s="147">
        <v>78848</v>
      </c>
      <c r="M73" s="10">
        <f t="shared" si="144"/>
        <v>10250</v>
      </c>
      <c r="N73" s="143">
        <f>SUM(L73:M73)/Monitoring!$B$14</f>
        <v>219.99506172839506</v>
      </c>
      <c r="O73" s="8">
        <f t="shared" si="1"/>
        <v>6.811104325268931E-2</v>
      </c>
      <c r="P73" s="11">
        <f t="shared" si="2"/>
        <v>8.5447398868999935E-4</v>
      </c>
      <c r="Q73" s="11">
        <v>0.13</v>
      </c>
      <c r="R73" s="131"/>
      <c r="S73" s="105" t="s">
        <v>73</v>
      </c>
      <c r="T73" s="105">
        <v>8382142222</v>
      </c>
      <c r="U73" s="22">
        <v>3</v>
      </c>
      <c r="V73" t="str">
        <f>IF(VLOOKUP(LEFT($T73,10),'Havi béradatok'!$B:$E,2,FALSE)=E73,"EGYEZIK","HIBÁS")</f>
        <v>EGYEZIK</v>
      </c>
      <c r="W73">
        <f>VLOOKUP(LEFT($T73,10),'Havi béradatok'!$B:$E,3,FALSE)-G73</f>
        <v>0</v>
      </c>
      <c r="X73">
        <f>VLOOKUP(LEFT($T73,10),'Havi béradatok'!$B:$E,4,FALSE)-H73</f>
        <v>0</v>
      </c>
    </row>
    <row r="74" spans="1:24" s="12" customFormat="1" ht="15" customHeight="1" x14ac:dyDescent="0.25">
      <c r="A74" s="3" t="s">
        <v>124</v>
      </c>
      <c r="B74" s="1" t="s">
        <v>113</v>
      </c>
      <c r="C74" s="4" t="s">
        <v>67</v>
      </c>
      <c r="D74" s="4" t="s">
        <v>90</v>
      </c>
      <c r="E74" s="3" t="s">
        <v>70</v>
      </c>
      <c r="F74" s="3" t="s">
        <v>15</v>
      </c>
      <c r="G74" s="7">
        <v>1157639</v>
      </c>
      <c r="H74" s="7">
        <f t="shared" si="0"/>
        <v>150493</v>
      </c>
      <c r="I74" s="163">
        <f t="shared" si="143"/>
        <v>6.8965517241379309E-2</v>
      </c>
      <c r="J74" s="6">
        <v>174</v>
      </c>
      <c r="K74" s="6">
        <v>12</v>
      </c>
      <c r="L74" s="147">
        <v>78848</v>
      </c>
      <c r="M74" s="10">
        <f t="shared" si="144"/>
        <v>10250</v>
      </c>
      <c r="N74" s="143">
        <f>SUM(L74:M74)/Monitoring!$B$14</f>
        <v>219.99506172839506</v>
      </c>
      <c r="O74" s="8">
        <f t="shared" si="1"/>
        <v>6.811104325268931E-2</v>
      </c>
      <c r="P74" s="11">
        <f t="shared" si="2"/>
        <v>8.5447398868999935E-4</v>
      </c>
      <c r="Q74" s="11">
        <v>0.13</v>
      </c>
      <c r="R74" s="131"/>
      <c r="S74" s="105" t="s">
        <v>73</v>
      </c>
      <c r="T74" s="105">
        <v>8382142222</v>
      </c>
      <c r="U74" s="113"/>
    </row>
    <row r="75" spans="1:24" s="12" customFormat="1" ht="15" customHeight="1" x14ac:dyDescent="0.25">
      <c r="A75" s="3" t="s">
        <v>124</v>
      </c>
      <c r="B75" s="1" t="s">
        <v>113</v>
      </c>
      <c r="C75" s="4" t="s">
        <v>68</v>
      </c>
      <c r="D75" s="4" t="s">
        <v>90</v>
      </c>
      <c r="E75" s="3" t="s">
        <v>70</v>
      </c>
      <c r="F75" s="3" t="s">
        <v>15</v>
      </c>
      <c r="G75" s="7">
        <v>1177639</v>
      </c>
      <c r="H75" s="7">
        <f t="shared" ref="H75" si="145">ROUND(G75*Q75,0)</f>
        <v>153093</v>
      </c>
      <c r="I75" s="163">
        <f t="shared" ref="I75" si="146">K75/J75</f>
        <v>6.8965517241379309E-2</v>
      </c>
      <c r="J75" s="6">
        <v>174</v>
      </c>
      <c r="K75" s="6">
        <v>12</v>
      </c>
      <c r="L75" s="147">
        <v>78848</v>
      </c>
      <c r="M75" s="10">
        <f t="shared" ref="M75" si="147">ROUND(L75*Q75,0)</f>
        <v>10250</v>
      </c>
      <c r="N75" s="143">
        <f>SUM(L75:M75)/Monitoring!$B$14</f>
        <v>219.99506172839506</v>
      </c>
      <c r="O75" s="8">
        <f t="shared" ref="O75" si="148">L75/G75</f>
        <v>6.6954304332652023E-2</v>
      </c>
      <c r="P75" s="11">
        <f t="shared" ref="P75" si="149">I75-O75</f>
        <v>2.0112129087272862E-3</v>
      </c>
      <c r="Q75" s="11">
        <v>0.13</v>
      </c>
      <c r="R75" s="131">
        <v>45029</v>
      </c>
      <c r="S75" s="105"/>
      <c r="T75" s="105">
        <v>8382142222</v>
      </c>
      <c r="U75" s="113"/>
    </row>
    <row r="76" spans="1:24" s="12" customFormat="1" ht="15" customHeight="1" x14ac:dyDescent="0.25">
      <c r="A76" s="3" t="s">
        <v>124</v>
      </c>
      <c r="B76" s="1" t="s">
        <v>113</v>
      </c>
      <c r="C76" s="4" t="s">
        <v>91</v>
      </c>
      <c r="D76" s="4" t="s">
        <v>90</v>
      </c>
      <c r="E76" s="3" t="s">
        <v>70</v>
      </c>
      <c r="F76" s="3" t="s">
        <v>15</v>
      </c>
      <c r="G76" s="7">
        <v>1177639</v>
      </c>
      <c r="H76" s="7">
        <f t="shared" ref="H76" si="150">ROUND(G76*Q76,0)</f>
        <v>153093</v>
      </c>
      <c r="I76" s="163">
        <f t="shared" ref="I76" si="151">K76/J76</f>
        <v>6.8965517241379309E-2</v>
      </c>
      <c r="J76" s="6">
        <v>174</v>
      </c>
      <c r="K76" s="6">
        <v>12</v>
      </c>
      <c r="L76" s="147">
        <v>78848</v>
      </c>
      <c r="M76" s="10">
        <f t="shared" ref="M76" si="152">ROUND(L76*Q76,0)</f>
        <v>10250</v>
      </c>
      <c r="N76" s="143">
        <f>SUM(L76:M76)/Monitoring!$B$14</f>
        <v>219.99506172839506</v>
      </c>
      <c r="O76" s="8">
        <f t="shared" ref="O76" si="153">L76/G76</f>
        <v>6.6954304332652023E-2</v>
      </c>
      <c r="P76" s="11">
        <f t="shared" ref="P76" si="154">I76-O76</f>
        <v>2.0112129087272862E-3</v>
      </c>
      <c r="Q76" s="11">
        <v>0.13</v>
      </c>
      <c r="R76" s="131">
        <v>45029</v>
      </c>
      <c r="S76" s="105"/>
      <c r="T76" s="105">
        <v>8382142222</v>
      </c>
      <c r="U76" s="113"/>
    </row>
    <row r="77" spans="1:24" s="12" customFormat="1" ht="15" customHeight="1" x14ac:dyDescent="0.25">
      <c r="A77" s="3" t="s">
        <v>117</v>
      </c>
      <c r="B77" s="1" t="s">
        <v>113</v>
      </c>
      <c r="C77" s="4" t="s">
        <v>64</v>
      </c>
      <c r="D77" s="4" t="s">
        <v>90</v>
      </c>
      <c r="E77" s="3" t="s">
        <v>116</v>
      </c>
      <c r="F77" s="3" t="s">
        <v>11</v>
      </c>
      <c r="G77" s="7">
        <v>607144</v>
      </c>
      <c r="H77" s="7">
        <f t="shared" si="0"/>
        <v>78929</v>
      </c>
      <c r="I77" s="163">
        <f>K77/J77</f>
        <v>0.42528735632183906</v>
      </c>
      <c r="J77" s="6">
        <v>174</v>
      </c>
      <c r="K77" s="6">
        <v>74</v>
      </c>
      <c r="L77" s="147">
        <v>255360</v>
      </c>
      <c r="M77" s="10">
        <f t="shared" ref="M77" si="155">ROUND(L77*Q77,0)</f>
        <v>33197</v>
      </c>
      <c r="N77" s="143">
        <f>SUM(L77:M77)/Monitoring!$B$14</f>
        <v>712.48641975308647</v>
      </c>
      <c r="O77" s="8">
        <f t="shared" si="1"/>
        <v>0.42059214947360102</v>
      </c>
      <c r="P77" s="11">
        <f t="shared" si="2"/>
        <v>4.6952068482380427E-3</v>
      </c>
      <c r="Q77" s="11">
        <v>0.13</v>
      </c>
      <c r="R77" s="131"/>
      <c r="S77" s="105" t="s">
        <v>73</v>
      </c>
      <c r="T77" s="167" t="s">
        <v>149</v>
      </c>
      <c r="U77" s="22">
        <v>4</v>
      </c>
      <c r="V77" t="s">
        <v>150</v>
      </c>
      <c r="W77">
        <v>0</v>
      </c>
      <c r="X77">
        <v>0</v>
      </c>
    </row>
    <row r="78" spans="1:24" s="12" customFormat="1" ht="15" customHeight="1" x14ac:dyDescent="0.25">
      <c r="A78" s="3" t="s">
        <v>117</v>
      </c>
      <c r="B78" s="1" t="s">
        <v>113</v>
      </c>
      <c r="C78" s="4" t="s">
        <v>65</v>
      </c>
      <c r="D78" s="4" t="s">
        <v>90</v>
      </c>
      <c r="E78" s="3" t="s">
        <v>116</v>
      </c>
      <c r="F78" s="3" t="s">
        <v>11</v>
      </c>
      <c r="G78" s="7">
        <v>607144</v>
      </c>
      <c r="H78" s="7">
        <f t="shared" si="0"/>
        <v>78929</v>
      </c>
      <c r="I78" s="163">
        <f t="shared" ref="I78:I80" si="156">K78/J78</f>
        <v>0.42528735632183906</v>
      </c>
      <c r="J78" s="6">
        <v>174</v>
      </c>
      <c r="K78" s="6">
        <v>74</v>
      </c>
      <c r="L78" s="147">
        <v>255360</v>
      </c>
      <c r="M78" s="10">
        <f t="shared" ref="M78:M80" si="157">ROUND(L78*Q78,0)</f>
        <v>33197</v>
      </c>
      <c r="N78" s="143">
        <f>SUM(L78:M78)/Monitoring!$B$14</f>
        <v>712.48641975308647</v>
      </c>
      <c r="O78" s="8">
        <f t="shared" si="1"/>
        <v>0.42059214947360102</v>
      </c>
      <c r="P78" s="11">
        <f t="shared" si="2"/>
        <v>4.6952068482380427E-3</v>
      </c>
      <c r="Q78" s="11">
        <v>0.13</v>
      </c>
      <c r="R78" s="131"/>
      <c r="S78" s="105" t="s">
        <v>73</v>
      </c>
      <c r="T78" s="167" t="s">
        <v>149</v>
      </c>
      <c r="U78" s="22">
        <v>2</v>
      </c>
      <c r="V78" t="str">
        <f>IF(VLOOKUP($T78,'Havi béradatok'!$B:$E,2,FALSE)=E78,"EGYEZIK","HIBÁS")</f>
        <v>EGYEZIK</v>
      </c>
      <c r="W78">
        <f>VLOOKUP($T78,'Havi béradatok'!$B:$E,3,FALSE)-G78</f>
        <v>0</v>
      </c>
      <c r="X78">
        <f>VLOOKUP($T78,'Havi béradatok'!$B:$E,4,FALSE)-H78</f>
        <v>0</v>
      </c>
    </row>
    <row r="79" spans="1:24" s="12" customFormat="1" ht="15" customHeight="1" x14ac:dyDescent="0.25">
      <c r="A79" s="3" t="s">
        <v>117</v>
      </c>
      <c r="B79" s="1" t="s">
        <v>113</v>
      </c>
      <c r="C79" s="4" t="s">
        <v>66</v>
      </c>
      <c r="D79" s="4" t="s">
        <v>90</v>
      </c>
      <c r="E79" s="3" t="s">
        <v>116</v>
      </c>
      <c r="F79" s="3" t="s">
        <v>11</v>
      </c>
      <c r="G79" s="7">
        <v>607144</v>
      </c>
      <c r="H79" s="7">
        <f t="shared" si="0"/>
        <v>78929</v>
      </c>
      <c r="I79" s="163">
        <f t="shared" si="156"/>
        <v>0.42528735632183906</v>
      </c>
      <c r="J79" s="6">
        <v>174</v>
      </c>
      <c r="K79" s="6">
        <v>74</v>
      </c>
      <c r="L79" s="147">
        <v>255360</v>
      </c>
      <c r="M79" s="10">
        <f t="shared" si="157"/>
        <v>33197</v>
      </c>
      <c r="N79" s="143">
        <f>SUM(L79:M79)/Monitoring!$B$14</f>
        <v>712.48641975308647</v>
      </c>
      <c r="O79" s="8">
        <f t="shared" si="1"/>
        <v>0.42059214947360102</v>
      </c>
      <c r="P79" s="11">
        <f t="shared" si="2"/>
        <v>4.6952068482380427E-3</v>
      </c>
      <c r="Q79" s="11">
        <v>0.13</v>
      </c>
      <c r="R79" s="131"/>
      <c r="S79" s="105" t="s">
        <v>73</v>
      </c>
      <c r="T79" s="105">
        <v>8451923488</v>
      </c>
      <c r="U79" s="22">
        <v>3</v>
      </c>
      <c r="V79" t="str">
        <f>IF(VLOOKUP(LEFT($T79,10),'Havi béradatok'!$B:$E,2,FALSE)=E79,"EGYEZIK","HIBÁS")</f>
        <v>EGYEZIK</v>
      </c>
      <c r="W79">
        <f>VLOOKUP(LEFT($T79,10),'Havi béradatok'!$B:$E,3,FALSE)-G79</f>
        <v>0</v>
      </c>
      <c r="X79">
        <f>VLOOKUP(LEFT($T79,10),'Havi béradatok'!$B:$E,4,FALSE)-H79</f>
        <v>0</v>
      </c>
    </row>
    <row r="80" spans="1:24" s="12" customFormat="1" ht="15" customHeight="1" x14ac:dyDescent="0.25">
      <c r="A80" s="3" t="s">
        <v>117</v>
      </c>
      <c r="B80" s="1" t="s">
        <v>113</v>
      </c>
      <c r="C80" s="4" t="s">
        <v>67</v>
      </c>
      <c r="D80" s="4" t="s">
        <v>90</v>
      </c>
      <c r="E80" s="3" t="s">
        <v>116</v>
      </c>
      <c r="F80" s="3" t="s">
        <v>15</v>
      </c>
      <c r="G80" s="7">
        <v>607144</v>
      </c>
      <c r="H80" s="7">
        <f t="shared" si="0"/>
        <v>78929</v>
      </c>
      <c r="I80" s="163">
        <f t="shared" si="156"/>
        <v>0.42528735632183906</v>
      </c>
      <c r="J80" s="6">
        <v>174</v>
      </c>
      <c r="K80" s="6">
        <v>74</v>
      </c>
      <c r="L80" s="147">
        <v>255360</v>
      </c>
      <c r="M80" s="10">
        <f t="shared" si="157"/>
        <v>33197</v>
      </c>
      <c r="N80" s="143">
        <f>SUM(L80:M80)/Monitoring!$B$14</f>
        <v>712.48641975308647</v>
      </c>
      <c r="O80" s="8">
        <f t="shared" si="1"/>
        <v>0.42059214947360102</v>
      </c>
      <c r="P80" s="11">
        <f t="shared" si="2"/>
        <v>4.6952068482380427E-3</v>
      </c>
      <c r="Q80" s="11">
        <v>0.13</v>
      </c>
      <c r="R80" s="131"/>
      <c r="S80" s="105" t="s">
        <v>73</v>
      </c>
      <c r="T80" s="105">
        <v>8451923488</v>
      </c>
      <c r="U80" s="113"/>
      <c r="V80" s="151"/>
      <c r="W80" s="151"/>
      <c r="X80" s="151"/>
    </row>
    <row r="81" spans="1:24" s="12" customFormat="1" ht="15" customHeight="1" x14ac:dyDescent="0.25">
      <c r="A81" s="3" t="s">
        <v>117</v>
      </c>
      <c r="B81" s="1" t="s">
        <v>113</v>
      </c>
      <c r="C81" s="4" t="s">
        <v>68</v>
      </c>
      <c r="D81" s="4" t="s">
        <v>90</v>
      </c>
      <c r="E81" s="3" t="s">
        <v>116</v>
      </c>
      <c r="F81" s="3" t="s">
        <v>15</v>
      </c>
      <c r="G81" s="7">
        <v>855000</v>
      </c>
      <c r="H81" s="7">
        <f t="shared" ref="H81" si="158">ROUND(G81*Q81,0)</f>
        <v>111150</v>
      </c>
      <c r="I81" s="163">
        <f t="shared" ref="I81" si="159">K81/J81</f>
        <v>0.28160919540229884</v>
      </c>
      <c r="J81" s="6">
        <v>174</v>
      </c>
      <c r="K81" s="6">
        <v>49</v>
      </c>
      <c r="L81" s="147">
        <v>240776</v>
      </c>
      <c r="M81" s="10">
        <f t="shared" ref="M81" si="160">ROUND(L81*Q81,0)</f>
        <v>31301</v>
      </c>
      <c r="N81" s="143">
        <f>SUM(L81:M81)/Monitoring!$B$14</f>
        <v>671.79506172839501</v>
      </c>
      <c r="O81" s="8">
        <f t="shared" ref="O81" si="161">L81/G81</f>
        <v>0.2816093567251462</v>
      </c>
      <c r="P81" s="11">
        <f t="shared" ref="P81" si="162">I81-O81</f>
        <v>-1.6132284735848046E-7</v>
      </c>
      <c r="Q81" s="11">
        <v>0.13</v>
      </c>
      <c r="R81" s="131">
        <v>45034</v>
      </c>
      <c r="S81" s="105"/>
      <c r="T81" s="105">
        <v>8451923488</v>
      </c>
      <c r="U81" s="113"/>
      <c r="V81" s="151"/>
      <c r="W81" s="151"/>
      <c r="X81" s="151"/>
    </row>
    <row r="82" spans="1:24" s="12" customFormat="1" ht="15" customHeight="1" x14ac:dyDescent="0.25">
      <c r="A82" s="3" t="s">
        <v>117</v>
      </c>
      <c r="B82" s="1" t="s">
        <v>113</v>
      </c>
      <c r="C82" s="4" t="s">
        <v>91</v>
      </c>
      <c r="D82" s="4" t="s">
        <v>90</v>
      </c>
      <c r="E82" s="3" t="s">
        <v>116</v>
      </c>
      <c r="F82" s="3" t="s">
        <v>15</v>
      </c>
      <c r="G82" s="7">
        <v>855000</v>
      </c>
      <c r="H82" s="7">
        <f t="shared" ref="H82" si="163">ROUND(G82*Q82,0)</f>
        <v>111150</v>
      </c>
      <c r="I82" s="163">
        <f t="shared" ref="I82" si="164">K82/J82</f>
        <v>0.28160919540229884</v>
      </c>
      <c r="J82" s="6">
        <v>174</v>
      </c>
      <c r="K82" s="6">
        <v>49</v>
      </c>
      <c r="L82" s="147">
        <v>240776</v>
      </c>
      <c r="M82" s="10">
        <f t="shared" ref="M82" si="165">ROUND(L82*Q82,0)</f>
        <v>31301</v>
      </c>
      <c r="N82" s="143">
        <f>SUM(L82:M82)/Monitoring!$B$14</f>
        <v>671.79506172839501</v>
      </c>
      <c r="O82" s="8">
        <f t="shared" ref="O82" si="166">L82/G82</f>
        <v>0.2816093567251462</v>
      </c>
      <c r="P82" s="11">
        <f t="shared" ref="P82" si="167">I82-O82</f>
        <v>-1.6132284735848046E-7</v>
      </c>
      <c r="Q82" s="11">
        <v>0.13</v>
      </c>
      <c r="R82" s="131">
        <v>45034</v>
      </c>
      <c r="S82" s="105"/>
      <c r="T82" s="105">
        <v>8451923488</v>
      </c>
      <c r="U82" s="113"/>
      <c r="V82" s="151"/>
      <c r="W82" s="151"/>
      <c r="X82" s="151"/>
    </row>
    <row r="83" spans="1:24" s="12" customFormat="1" ht="15" customHeight="1" x14ac:dyDescent="0.25">
      <c r="A83" s="3" t="s">
        <v>127</v>
      </c>
      <c r="B83" s="1" t="s">
        <v>46</v>
      </c>
      <c r="C83" s="4" t="s">
        <v>64</v>
      </c>
      <c r="D83" s="4" t="s">
        <v>90</v>
      </c>
      <c r="E83" s="3" t="s">
        <v>71</v>
      </c>
      <c r="F83" s="3" t="s">
        <v>11</v>
      </c>
      <c r="G83" s="7">
        <v>863606</v>
      </c>
      <c r="H83" s="7">
        <f t="shared" si="0"/>
        <v>112269</v>
      </c>
      <c r="I83" s="163">
        <f t="shared" ref="I83" si="168">K83/J83</f>
        <v>0.14367816091954022</v>
      </c>
      <c r="J83" s="6">
        <v>174</v>
      </c>
      <c r="K83" s="6">
        <v>25</v>
      </c>
      <c r="L83" s="147">
        <v>119168</v>
      </c>
      <c r="M83" s="10">
        <f t="shared" ref="M83" si="169">ROUND(L83*Q83,0)</f>
        <v>15492</v>
      </c>
      <c r="N83" s="143">
        <f>SUM(L83:M83)/Monitoring!$B$14</f>
        <v>332.49382716049382</v>
      </c>
      <c r="O83" s="8">
        <f t="shared" si="1"/>
        <v>0.1379888513975123</v>
      </c>
      <c r="P83" s="11">
        <f t="shared" si="2"/>
        <v>5.6893095220279244E-3</v>
      </c>
      <c r="Q83" s="11">
        <v>0.13</v>
      </c>
      <c r="R83" s="131"/>
      <c r="S83" s="105" t="s">
        <v>73</v>
      </c>
      <c r="T83" s="167" t="s">
        <v>134</v>
      </c>
      <c r="U83" s="22">
        <v>4</v>
      </c>
      <c r="V83" t="s">
        <v>150</v>
      </c>
      <c r="W83">
        <v>0</v>
      </c>
      <c r="X83">
        <v>0</v>
      </c>
    </row>
    <row r="84" spans="1:24" s="12" customFormat="1" ht="15" customHeight="1" x14ac:dyDescent="0.25">
      <c r="A84" s="3" t="s">
        <v>127</v>
      </c>
      <c r="B84" s="1" t="s">
        <v>46</v>
      </c>
      <c r="C84" s="4" t="s">
        <v>65</v>
      </c>
      <c r="D84" s="4" t="s">
        <v>90</v>
      </c>
      <c r="E84" s="3" t="s">
        <v>71</v>
      </c>
      <c r="F84" s="3" t="s">
        <v>11</v>
      </c>
      <c r="G84" s="7">
        <v>863606</v>
      </c>
      <c r="H84" s="7">
        <f t="shared" si="0"/>
        <v>112269</v>
      </c>
      <c r="I84" s="163">
        <f t="shared" ref="I84:I89" si="170">K84/J84</f>
        <v>0.14367816091954022</v>
      </c>
      <c r="J84" s="6">
        <v>174</v>
      </c>
      <c r="K84" s="6">
        <v>25</v>
      </c>
      <c r="L84" s="147">
        <v>119168</v>
      </c>
      <c r="M84" s="10">
        <f t="shared" ref="M84:M89" si="171">ROUND(L84*Q84,0)</f>
        <v>15492</v>
      </c>
      <c r="N84" s="143">
        <f>SUM(L84:M84)/Monitoring!$B$14</f>
        <v>332.49382716049382</v>
      </c>
      <c r="O84" s="8">
        <f t="shared" si="1"/>
        <v>0.1379888513975123</v>
      </c>
      <c r="P84" s="11">
        <f t="shared" si="2"/>
        <v>5.6893095220279244E-3</v>
      </c>
      <c r="Q84" s="11">
        <v>0.13</v>
      </c>
      <c r="R84" s="131"/>
      <c r="S84" s="105" t="s">
        <v>73</v>
      </c>
      <c r="T84" s="167" t="s">
        <v>134</v>
      </c>
      <c r="U84" s="22">
        <v>2</v>
      </c>
      <c r="V84" t="str">
        <f>IF(VLOOKUP($T84,'Havi béradatok'!$B:$E,2,FALSE)=E84,"EGYEZIK","HIBÁS")</f>
        <v>EGYEZIK</v>
      </c>
      <c r="W84">
        <f>VLOOKUP($T84,'Havi béradatok'!$B:$E,3,FALSE)-G84</f>
        <v>14088</v>
      </c>
      <c r="X84">
        <f>VLOOKUP($T84,'Havi béradatok'!$B:$E,4,FALSE)-H84</f>
        <v>1831</v>
      </c>
    </row>
    <row r="85" spans="1:24" s="12" customFormat="1" ht="15" customHeight="1" x14ac:dyDescent="0.25">
      <c r="A85" s="3" t="s">
        <v>127</v>
      </c>
      <c r="B85" s="1" t="s">
        <v>46</v>
      </c>
      <c r="C85" s="4" t="s">
        <v>66</v>
      </c>
      <c r="D85" s="4" t="s">
        <v>90</v>
      </c>
      <c r="E85" s="3" t="s">
        <v>71</v>
      </c>
      <c r="F85" s="3" t="s">
        <v>11</v>
      </c>
      <c r="G85" s="7">
        <v>877694</v>
      </c>
      <c r="H85" s="7">
        <f t="shared" ref="H85" si="172">ROUND(G85*Q85,0)</f>
        <v>114100</v>
      </c>
      <c r="I85" s="163">
        <f t="shared" ref="I85" si="173">K85/J85</f>
        <v>0.13793103448275862</v>
      </c>
      <c r="J85" s="6">
        <v>174</v>
      </c>
      <c r="K85" s="6">
        <v>24</v>
      </c>
      <c r="L85" s="147">
        <v>119168</v>
      </c>
      <c r="M85" s="10">
        <f t="shared" ref="M85" si="174">ROUND(L85*Q85,0)</f>
        <v>15492</v>
      </c>
      <c r="N85" s="143">
        <f>SUM(L85:M85)/Monitoring!$B$14</f>
        <v>332.49382716049382</v>
      </c>
      <c r="O85" s="8">
        <f t="shared" ref="O85" si="175">L85/G85</f>
        <v>0.13577397133853028</v>
      </c>
      <c r="P85" s="11">
        <f t="shared" ref="P85" si="176">I85-O85</f>
        <v>2.1570631442283383E-3</v>
      </c>
      <c r="Q85" s="11">
        <v>0.13</v>
      </c>
      <c r="R85" s="131">
        <v>44986</v>
      </c>
      <c r="S85" s="105" t="s">
        <v>73</v>
      </c>
      <c r="T85" s="105">
        <v>8414381804</v>
      </c>
      <c r="U85" s="22">
        <v>3</v>
      </c>
      <c r="V85" t="str">
        <f>IF(VLOOKUP(LEFT($T85,10),'Havi béradatok'!$B:$E,2,FALSE)=E85,"EGYEZIK","HIBÁS")</f>
        <v>EGYEZIK</v>
      </c>
      <c r="W85">
        <f>VLOOKUP(LEFT($T85,10),'Havi béradatok'!$B:$E,3,FALSE)-G85</f>
        <v>0</v>
      </c>
      <c r="X85">
        <f>VLOOKUP(LEFT($T85,10),'Havi béradatok'!$B:$E,4,FALSE)-H85</f>
        <v>0</v>
      </c>
    </row>
    <row r="86" spans="1:24" s="12" customFormat="1" ht="15" customHeight="1" x14ac:dyDescent="0.25">
      <c r="A86" s="3" t="s">
        <v>127</v>
      </c>
      <c r="B86" s="1" t="s">
        <v>46</v>
      </c>
      <c r="C86" s="4" t="s">
        <v>67</v>
      </c>
      <c r="D86" s="4" t="s">
        <v>90</v>
      </c>
      <c r="E86" s="3" t="s">
        <v>71</v>
      </c>
      <c r="F86" s="3" t="s">
        <v>15</v>
      </c>
      <c r="G86" s="7">
        <v>877694</v>
      </c>
      <c r="H86" s="7">
        <f t="shared" ref="H86" si="177">ROUND(G86*Q86,0)</f>
        <v>114100</v>
      </c>
      <c r="I86" s="163">
        <f t="shared" ref="I86" si="178">K86/J86</f>
        <v>0.13793103448275862</v>
      </c>
      <c r="J86" s="6">
        <v>174</v>
      </c>
      <c r="K86" s="6">
        <v>24</v>
      </c>
      <c r="L86" s="147">
        <v>119168</v>
      </c>
      <c r="M86" s="10">
        <f t="shared" ref="M86" si="179">ROUND(L86*Q86,0)</f>
        <v>15492</v>
      </c>
      <c r="N86" s="143">
        <f>SUM(L86:M86)/Monitoring!$B$14</f>
        <v>332.49382716049382</v>
      </c>
      <c r="O86" s="8">
        <f t="shared" ref="O86" si="180">L86/G86</f>
        <v>0.13577397133853028</v>
      </c>
      <c r="P86" s="11">
        <f t="shared" ref="P86" si="181">I86-O86</f>
        <v>2.1570631442283383E-3</v>
      </c>
      <c r="Q86" s="11">
        <v>0.13</v>
      </c>
      <c r="R86" s="131">
        <v>44986</v>
      </c>
      <c r="S86" s="105" t="s">
        <v>73</v>
      </c>
      <c r="T86" s="105">
        <v>8414381804</v>
      </c>
      <c r="U86" s="113"/>
    </row>
    <row r="87" spans="1:24" s="12" customFormat="1" ht="15" customHeight="1" x14ac:dyDescent="0.25">
      <c r="A87" s="3" t="s">
        <v>127</v>
      </c>
      <c r="B87" s="1" t="s">
        <v>46</v>
      </c>
      <c r="C87" s="4" t="s">
        <v>68</v>
      </c>
      <c r="D87" s="4" t="s">
        <v>90</v>
      </c>
      <c r="E87" s="3" t="s">
        <v>71</v>
      </c>
      <c r="F87" s="3" t="s">
        <v>15</v>
      </c>
      <c r="G87" s="7">
        <v>877694</v>
      </c>
      <c r="H87" s="7">
        <f t="shared" ref="H87" si="182">ROUND(G87*Q87,0)</f>
        <v>114100</v>
      </c>
      <c r="I87" s="163">
        <f t="shared" ref="I87" si="183">K87/J87</f>
        <v>0.13793103448275862</v>
      </c>
      <c r="J87" s="6">
        <v>174</v>
      </c>
      <c r="K87" s="6">
        <v>24</v>
      </c>
      <c r="L87" s="147">
        <v>119168</v>
      </c>
      <c r="M87" s="10">
        <f t="shared" ref="M87" si="184">ROUND(L87*Q87,0)</f>
        <v>15492</v>
      </c>
      <c r="N87" s="143">
        <f>SUM(L87:M87)/Monitoring!$B$14</f>
        <v>332.49382716049382</v>
      </c>
      <c r="O87" s="8">
        <f t="shared" ref="O87" si="185">L87/G87</f>
        <v>0.13577397133853028</v>
      </c>
      <c r="P87" s="11">
        <f t="shared" ref="P87" si="186">I87-O87</f>
        <v>2.1570631442283383E-3</v>
      </c>
      <c r="Q87" s="11">
        <v>0.13</v>
      </c>
      <c r="R87" s="131">
        <v>45030</v>
      </c>
      <c r="S87" s="105"/>
      <c r="T87" s="105">
        <v>8414381804</v>
      </c>
      <c r="U87" s="113"/>
    </row>
    <row r="88" spans="1:24" s="12" customFormat="1" ht="15" customHeight="1" x14ac:dyDescent="0.25">
      <c r="A88" s="3" t="s">
        <v>127</v>
      </c>
      <c r="B88" s="1" t="s">
        <v>46</v>
      </c>
      <c r="C88" s="4" t="s">
        <v>91</v>
      </c>
      <c r="D88" s="4" t="s">
        <v>90</v>
      </c>
      <c r="E88" s="3" t="s">
        <v>71</v>
      </c>
      <c r="F88" s="3" t="s">
        <v>15</v>
      </c>
      <c r="G88" s="7">
        <v>877694</v>
      </c>
      <c r="H88" s="7">
        <f t="shared" ref="H88" si="187">ROUND(G88*Q88,0)</f>
        <v>114100</v>
      </c>
      <c r="I88" s="163">
        <f t="shared" ref="I88" si="188">K88/J88</f>
        <v>0.13793103448275862</v>
      </c>
      <c r="J88" s="6">
        <v>174</v>
      </c>
      <c r="K88" s="6">
        <v>24</v>
      </c>
      <c r="L88" s="147">
        <v>119168</v>
      </c>
      <c r="M88" s="10">
        <f t="shared" ref="M88" si="189">ROUND(L88*Q88,0)</f>
        <v>15492</v>
      </c>
      <c r="N88" s="143">
        <f>SUM(L88:M88)/Monitoring!$B$14</f>
        <v>332.49382716049382</v>
      </c>
      <c r="O88" s="8">
        <f t="shared" ref="O88" si="190">L88/G88</f>
        <v>0.13577397133853028</v>
      </c>
      <c r="P88" s="11">
        <f t="shared" ref="P88" si="191">I88-O88</f>
        <v>2.1570631442283383E-3</v>
      </c>
      <c r="Q88" s="11">
        <v>0.13</v>
      </c>
      <c r="R88" s="131">
        <v>45030</v>
      </c>
      <c r="S88" s="105"/>
      <c r="T88" s="105">
        <v>8414381804</v>
      </c>
      <c r="U88" s="113"/>
    </row>
    <row r="89" spans="1:24" s="12" customFormat="1" ht="15" customHeight="1" x14ac:dyDescent="0.25">
      <c r="A89" s="3" t="s">
        <v>127</v>
      </c>
      <c r="B89" s="1" t="s">
        <v>113</v>
      </c>
      <c r="C89" s="4" t="s">
        <v>64</v>
      </c>
      <c r="D89" s="4" t="s">
        <v>90</v>
      </c>
      <c r="E89" s="3" t="s">
        <v>71</v>
      </c>
      <c r="F89" s="3" t="s">
        <v>11</v>
      </c>
      <c r="G89" s="7">
        <v>863606</v>
      </c>
      <c r="H89" s="7">
        <f t="shared" si="0"/>
        <v>112269</v>
      </c>
      <c r="I89" s="163">
        <f t="shared" si="170"/>
        <v>9.1954022988505746E-2</v>
      </c>
      <c r="J89" s="6">
        <v>174</v>
      </c>
      <c r="K89" s="6">
        <v>16</v>
      </c>
      <c r="L89" s="147">
        <v>78848</v>
      </c>
      <c r="M89" s="10">
        <f t="shared" si="171"/>
        <v>10250</v>
      </c>
      <c r="N89" s="143">
        <f>SUM(L89:M89)/Monitoring!$B$14</f>
        <v>219.99506172839506</v>
      </c>
      <c r="O89" s="8">
        <f t="shared" si="1"/>
        <v>9.1300894157752499E-2</v>
      </c>
      <c r="P89" s="11">
        <f t="shared" si="2"/>
        <v>6.5312883075324679E-4</v>
      </c>
      <c r="Q89" s="11">
        <v>0.13</v>
      </c>
      <c r="R89" s="131"/>
      <c r="S89" s="105" t="s">
        <v>73</v>
      </c>
      <c r="T89" s="167" t="s">
        <v>134</v>
      </c>
      <c r="U89" s="22">
        <v>4</v>
      </c>
      <c r="V89" t="s">
        <v>150</v>
      </c>
      <c r="W89">
        <v>0</v>
      </c>
      <c r="X89">
        <v>0</v>
      </c>
    </row>
    <row r="90" spans="1:24" s="12" customFormat="1" ht="15" customHeight="1" x14ac:dyDescent="0.25">
      <c r="A90" s="3" t="s">
        <v>127</v>
      </c>
      <c r="B90" s="1" t="s">
        <v>113</v>
      </c>
      <c r="C90" s="4" t="s">
        <v>65</v>
      </c>
      <c r="D90" s="4" t="s">
        <v>90</v>
      </c>
      <c r="E90" s="3" t="s">
        <v>71</v>
      </c>
      <c r="F90" s="3" t="s">
        <v>11</v>
      </c>
      <c r="G90" s="7">
        <v>863606</v>
      </c>
      <c r="H90" s="7">
        <f t="shared" si="0"/>
        <v>112269</v>
      </c>
      <c r="I90" s="163">
        <f t="shared" ref="I90" si="192">K90/J90</f>
        <v>9.1954022988505746E-2</v>
      </c>
      <c r="J90" s="6">
        <v>174</v>
      </c>
      <c r="K90" s="6">
        <v>16</v>
      </c>
      <c r="L90" s="147">
        <v>78848</v>
      </c>
      <c r="M90" s="10">
        <f t="shared" ref="M90" si="193">ROUND(L90*Q90,0)</f>
        <v>10250</v>
      </c>
      <c r="N90" s="143">
        <f>SUM(L90:M90)/Monitoring!$B$14</f>
        <v>219.99506172839506</v>
      </c>
      <c r="O90" s="8">
        <f t="shared" si="1"/>
        <v>9.1300894157752499E-2</v>
      </c>
      <c r="P90" s="11">
        <f t="shared" si="2"/>
        <v>6.5312883075324679E-4</v>
      </c>
      <c r="Q90" s="11">
        <v>0.13</v>
      </c>
      <c r="R90" s="131"/>
      <c r="S90" s="105" t="s">
        <v>73</v>
      </c>
      <c r="T90" s="167" t="s">
        <v>134</v>
      </c>
      <c r="U90" s="22">
        <v>2</v>
      </c>
      <c r="V90" t="str">
        <f>IF(VLOOKUP($T90,'Havi béradatok'!$B:$E,2,FALSE)=E90,"EGYEZIK","HIBÁS")</f>
        <v>EGYEZIK</v>
      </c>
      <c r="W90">
        <f>VLOOKUP($T90,'Havi béradatok'!$B:$E,3,FALSE)-G90</f>
        <v>14088</v>
      </c>
      <c r="X90">
        <f>VLOOKUP($T90,'Havi béradatok'!$B:$E,4,FALSE)-H90</f>
        <v>1831</v>
      </c>
    </row>
    <row r="91" spans="1:24" s="12" customFormat="1" ht="15" customHeight="1" x14ac:dyDescent="0.25">
      <c r="A91" s="3" t="s">
        <v>127</v>
      </c>
      <c r="B91" s="1" t="s">
        <v>113</v>
      </c>
      <c r="C91" s="4" t="s">
        <v>66</v>
      </c>
      <c r="D91" s="4" t="s">
        <v>90</v>
      </c>
      <c r="E91" s="3" t="s">
        <v>71</v>
      </c>
      <c r="F91" s="3" t="s">
        <v>11</v>
      </c>
      <c r="G91" s="7">
        <v>877694</v>
      </c>
      <c r="H91" s="7">
        <f t="shared" ref="H91" si="194">ROUND(G91*Q91,0)</f>
        <v>114100</v>
      </c>
      <c r="I91" s="163">
        <f t="shared" ref="I91" si="195">K91/J91</f>
        <v>9.1954022988505746E-2</v>
      </c>
      <c r="J91" s="6">
        <v>174</v>
      </c>
      <c r="K91" s="6">
        <v>16</v>
      </c>
      <c r="L91" s="147">
        <v>78848</v>
      </c>
      <c r="M91" s="10">
        <f t="shared" ref="M91" si="196">ROUND(L91*Q91,0)</f>
        <v>10250</v>
      </c>
      <c r="N91" s="143">
        <f>SUM(L91:M91)/Monitoring!$B$14</f>
        <v>219.99506172839506</v>
      </c>
      <c r="O91" s="8">
        <f t="shared" ref="O91" si="197">L91/G91</f>
        <v>8.983540960744861E-2</v>
      </c>
      <c r="P91" s="11">
        <f t="shared" ref="P91" si="198">I91-O91</f>
        <v>2.1186133810571356E-3</v>
      </c>
      <c r="Q91" s="11">
        <v>0.13</v>
      </c>
      <c r="R91" s="131">
        <v>44986</v>
      </c>
      <c r="S91" s="105" t="s">
        <v>73</v>
      </c>
      <c r="T91" s="105">
        <v>8414381804</v>
      </c>
      <c r="U91" s="22">
        <v>3</v>
      </c>
      <c r="V91" t="str">
        <f>IF(VLOOKUP(LEFT($T91,10),'Havi béradatok'!$B:$E,2,FALSE)=E91,"EGYEZIK","HIBÁS")</f>
        <v>EGYEZIK</v>
      </c>
      <c r="W91">
        <f>VLOOKUP(LEFT($T91,10),'Havi béradatok'!$B:$E,3,FALSE)-G91</f>
        <v>0</v>
      </c>
      <c r="X91">
        <f>VLOOKUP(LEFT($T91,10),'Havi béradatok'!$B:$E,4,FALSE)-H91</f>
        <v>0</v>
      </c>
    </row>
    <row r="92" spans="1:24" s="12" customFormat="1" ht="15" customHeight="1" x14ac:dyDescent="0.25">
      <c r="A92" s="3" t="s">
        <v>127</v>
      </c>
      <c r="B92" s="1" t="s">
        <v>113</v>
      </c>
      <c r="C92" s="4" t="s">
        <v>67</v>
      </c>
      <c r="D92" s="4" t="s">
        <v>90</v>
      </c>
      <c r="E92" s="3" t="s">
        <v>71</v>
      </c>
      <c r="F92" s="3" t="s">
        <v>15</v>
      </c>
      <c r="G92" s="7">
        <v>877694</v>
      </c>
      <c r="H92" s="7">
        <f t="shared" ref="H92" si="199">ROUND(G92*Q92,0)</f>
        <v>114100</v>
      </c>
      <c r="I92" s="163">
        <f t="shared" ref="I92" si="200">K92/J92</f>
        <v>9.1954022988505746E-2</v>
      </c>
      <c r="J92" s="6">
        <v>174</v>
      </c>
      <c r="K92" s="6">
        <v>16</v>
      </c>
      <c r="L92" s="147">
        <v>78848</v>
      </c>
      <c r="M92" s="10">
        <f t="shared" ref="M92" si="201">ROUND(L92*Q92,0)</f>
        <v>10250</v>
      </c>
      <c r="N92" s="143">
        <f>SUM(L92:M92)/Monitoring!$B$14</f>
        <v>219.99506172839506</v>
      </c>
      <c r="O92" s="8">
        <f t="shared" ref="O92" si="202">L92/G92</f>
        <v>8.983540960744861E-2</v>
      </c>
      <c r="P92" s="11">
        <f t="shared" ref="P92" si="203">I92-O92</f>
        <v>2.1186133810571356E-3</v>
      </c>
      <c r="Q92" s="11">
        <v>0.13</v>
      </c>
      <c r="R92" s="131">
        <v>44986</v>
      </c>
      <c r="S92" s="105" t="s">
        <v>73</v>
      </c>
      <c r="T92" s="105">
        <v>8414381804</v>
      </c>
      <c r="U92" s="22"/>
    </row>
    <row r="93" spans="1:24" s="12" customFormat="1" ht="15" customHeight="1" x14ac:dyDescent="0.25">
      <c r="A93" s="3" t="s">
        <v>127</v>
      </c>
      <c r="B93" s="1" t="s">
        <v>113</v>
      </c>
      <c r="C93" s="4" t="s">
        <v>68</v>
      </c>
      <c r="D93" s="4" t="s">
        <v>90</v>
      </c>
      <c r="E93" s="3" t="s">
        <v>71</v>
      </c>
      <c r="F93" s="3" t="s">
        <v>15</v>
      </c>
      <c r="G93" s="7">
        <v>877694</v>
      </c>
      <c r="H93" s="7">
        <f t="shared" ref="H93" si="204">ROUND(G93*Q93,0)</f>
        <v>114100</v>
      </c>
      <c r="I93" s="163">
        <f t="shared" ref="I93" si="205">K93/J93</f>
        <v>9.1954022988505746E-2</v>
      </c>
      <c r="J93" s="6">
        <v>174</v>
      </c>
      <c r="K93" s="6">
        <v>16</v>
      </c>
      <c r="L93" s="147">
        <v>78848</v>
      </c>
      <c r="M93" s="10">
        <f t="shared" ref="M93" si="206">ROUND(L93*Q93,0)</f>
        <v>10250</v>
      </c>
      <c r="N93" s="143">
        <f>SUM(L93:M93)/Monitoring!$B$14</f>
        <v>219.99506172839506</v>
      </c>
      <c r="O93" s="8">
        <f t="shared" ref="O93" si="207">L93/G93</f>
        <v>8.983540960744861E-2</v>
      </c>
      <c r="P93" s="11">
        <f t="shared" ref="P93" si="208">I93-O93</f>
        <v>2.1186133810571356E-3</v>
      </c>
      <c r="Q93" s="11">
        <v>0.13</v>
      </c>
      <c r="R93" s="131">
        <v>45030</v>
      </c>
      <c r="S93" s="105"/>
      <c r="T93" s="105">
        <v>8414381804</v>
      </c>
      <c r="U93" s="22"/>
    </row>
    <row r="94" spans="1:24" s="12" customFormat="1" ht="15" customHeight="1" x14ac:dyDescent="0.25">
      <c r="A94" s="3" t="s">
        <v>127</v>
      </c>
      <c r="B94" s="1" t="s">
        <v>113</v>
      </c>
      <c r="C94" s="4" t="s">
        <v>91</v>
      </c>
      <c r="D94" s="4" t="s">
        <v>90</v>
      </c>
      <c r="E94" s="3" t="s">
        <v>71</v>
      </c>
      <c r="F94" s="3" t="s">
        <v>15</v>
      </c>
      <c r="G94" s="7">
        <v>877694</v>
      </c>
      <c r="H94" s="7">
        <f t="shared" ref="H94" si="209">ROUND(G94*Q94,0)</f>
        <v>114100</v>
      </c>
      <c r="I94" s="163">
        <f t="shared" ref="I94" si="210">K94/J94</f>
        <v>9.1954022988505746E-2</v>
      </c>
      <c r="J94" s="6">
        <v>174</v>
      </c>
      <c r="K94" s="6">
        <v>16</v>
      </c>
      <c r="L94" s="147">
        <v>78848</v>
      </c>
      <c r="M94" s="10">
        <f t="shared" ref="M94" si="211">ROUND(L94*Q94,0)</f>
        <v>10250</v>
      </c>
      <c r="N94" s="143">
        <f>SUM(L94:M94)/Monitoring!$B$14</f>
        <v>219.99506172839506</v>
      </c>
      <c r="O94" s="8">
        <f t="shared" ref="O94" si="212">L94/G94</f>
        <v>8.983540960744861E-2</v>
      </c>
      <c r="P94" s="11">
        <f t="shared" ref="P94" si="213">I94-O94</f>
        <v>2.1186133810571356E-3</v>
      </c>
      <c r="Q94" s="11">
        <v>0.13</v>
      </c>
      <c r="R94" s="131">
        <v>45030</v>
      </c>
      <c r="S94" s="105"/>
      <c r="T94" s="105">
        <v>8414381804</v>
      </c>
      <c r="U94" s="22"/>
    </row>
    <row r="95" spans="1:24" s="12" customFormat="1" ht="15" customHeight="1" x14ac:dyDescent="0.25">
      <c r="A95" s="3"/>
      <c r="B95" s="1"/>
      <c r="C95" s="4"/>
      <c r="D95" s="4"/>
      <c r="E95" s="3"/>
      <c r="F95" s="3"/>
      <c r="G95" s="7"/>
      <c r="H95" s="7"/>
      <c r="I95" s="163"/>
      <c r="J95" s="6"/>
      <c r="K95" s="6"/>
      <c r="L95" s="147"/>
      <c r="M95" s="10"/>
      <c r="N95" s="143">
        <f>SUM(L95:M95)/Monitoring!$B$14</f>
        <v>0</v>
      </c>
      <c r="O95" s="8"/>
      <c r="P95" s="11"/>
      <c r="Q95" s="11"/>
      <c r="R95" s="131"/>
      <c r="S95" s="105"/>
      <c r="T95" s="105"/>
      <c r="U95" s="113"/>
    </row>
    <row r="96" spans="1:24" ht="15" customHeight="1" x14ac:dyDescent="0.25">
      <c r="A96" s="3"/>
      <c r="B96" s="1"/>
      <c r="C96" s="4"/>
      <c r="D96" s="4"/>
      <c r="E96" s="3"/>
      <c r="F96" s="3"/>
      <c r="G96" s="7"/>
      <c r="H96" s="7"/>
      <c r="I96" s="164"/>
      <c r="J96" s="6"/>
      <c r="K96" s="6"/>
      <c r="L96" s="147"/>
      <c r="M96" s="10"/>
      <c r="N96" s="143">
        <f>SUM(L96:M96)/Monitoring!$B$14</f>
        <v>0</v>
      </c>
      <c r="O96" s="8"/>
      <c r="P96" s="11"/>
      <c r="Q96" s="11"/>
      <c r="R96" s="131"/>
      <c r="S96" s="105"/>
      <c r="T96" s="105"/>
      <c r="U96" s="22"/>
    </row>
    <row r="97" spans="1:21" s="12" customFormat="1" ht="15" customHeight="1" x14ac:dyDescent="0.25">
      <c r="A97" s="3"/>
      <c r="B97" s="1"/>
      <c r="C97" s="4"/>
      <c r="D97" s="4"/>
      <c r="E97" s="3"/>
      <c r="F97" s="3"/>
      <c r="G97" s="7"/>
      <c r="H97" s="7"/>
      <c r="I97" s="164"/>
      <c r="J97" s="6"/>
      <c r="K97" s="6"/>
      <c r="L97" s="147"/>
      <c r="M97" s="10"/>
      <c r="N97" s="143">
        <f>SUM(L97:M97)/Monitoring!$B$14</f>
        <v>0</v>
      </c>
      <c r="O97" s="8"/>
      <c r="P97" s="11"/>
      <c r="Q97" s="11"/>
      <c r="R97" s="131"/>
      <c r="S97" s="105"/>
      <c r="T97" s="105"/>
      <c r="U97" s="113"/>
    </row>
    <row r="98" spans="1:21" s="12" customFormat="1" ht="15" customHeight="1" x14ac:dyDescent="0.25">
      <c r="A98" s="62" t="s">
        <v>18</v>
      </c>
      <c r="B98" s="59"/>
      <c r="C98" s="60"/>
      <c r="D98" s="60"/>
      <c r="E98" s="61"/>
      <c r="F98" s="61"/>
      <c r="G98" s="98"/>
      <c r="H98" s="98"/>
      <c r="I98" s="99"/>
      <c r="J98" s="99"/>
      <c r="K98" s="100"/>
      <c r="L98" s="148"/>
      <c r="M98" s="101"/>
      <c r="N98" s="142"/>
      <c r="O98" s="102"/>
      <c r="P98" s="103"/>
      <c r="Q98" s="103"/>
      <c r="R98" s="132"/>
      <c r="S98" s="106"/>
      <c r="T98" s="106"/>
      <c r="U98" s="113"/>
    </row>
    <row r="99" spans="1:21" s="12" customFormat="1" ht="15" customHeight="1" x14ac:dyDescent="0.25">
      <c r="A99" s="3"/>
      <c r="B99" s="1"/>
      <c r="C99" s="4"/>
      <c r="D99" s="4"/>
      <c r="E99" s="3"/>
      <c r="F99" s="3"/>
      <c r="G99" s="7"/>
      <c r="H99" s="7"/>
      <c r="I99" s="5">
        <v>1</v>
      </c>
      <c r="J99" s="5"/>
      <c r="K99" s="6" t="s">
        <v>19</v>
      </c>
      <c r="L99" s="147"/>
      <c r="M99" s="10">
        <f>ROUND(L99*0.9*0.195,0)</f>
        <v>0</v>
      </c>
      <c r="N99" s="115">
        <f>SUM(L99:M99)/Monitoring!$B$14</f>
        <v>0</v>
      </c>
      <c r="O99" s="8" t="e">
        <f t="shared" ref="O99:O105" si="214">L99/G99</f>
        <v>#DIV/0!</v>
      </c>
      <c r="P99" s="11" t="e">
        <f t="shared" ref="P99:P105" si="215">I99-O99</f>
        <v>#DIV/0!</v>
      </c>
      <c r="Q99" s="11"/>
      <c r="R99" s="131"/>
      <c r="S99" s="105"/>
      <c r="T99" s="105"/>
      <c r="U99" s="113"/>
    </row>
    <row r="100" spans="1:21" s="12" customFormat="1" ht="15" customHeight="1" x14ac:dyDescent="0.25">
      <c r="A100" s="3"/>
      <c r="B100" s="1"/>
      <c r="C100" s="4"/>
      <c r="D100" s="4"/>
      <c r="E100" s="3"/>
      <c r="F100" s="3"/>
      <c r="G100" s="7"/>
      <c r="H100" s="7"/>
      <c r="I100" s="5">
        <v>1</v>
      </c>
      <c r="J100" s="5"/>
      <c r="K100" s="6" t="s">
        <v>19</v>
      </c>
      <c r="L100" s="147"/>
      <c r="M100" s="10">
        <f t="shared" ref="M100:M105" si="216">ROUND(L100*0.9*0.195,0)</f>
        <v>0</v>
      </c>
      <c r="N100" s="115">
        <f>SUM(L100:M100)/Monitoring!$B$14</f>
        <v>0</v>
      </c>
      <c r="O100" s="8" t="e">
        <f t="shared" si="214"/>
        <v>#DIV/0!</v>
      </c>
      <c r="P100" s="11" t="e">
        <f t="shared" si="215"/>
        <v>#DIV/0!</v>
      </c>
      <c r="Q100" s="11"/>
      <c r="R100" s="131"/>
      <c r="S100" s="105"/>
      <c r="T100" s="105"/>
      <c r="U100" s="113"/>
    </row>
    <row r="101" spans="1:21" s="12" customFormat="1" ht="15" customHeight="1" x14ac:dyDescent="0.25">
      <c r="A101" s="3"/>
      <c r="B101" s="1"/>
      <c r="C101" s="4"/>
      <c r="D101" s="4"/>
      <c r="E101" s="3"/>
      <c r="F101" s="3"/>
      <c r="G101" s="7"/>
      <c r="H101" s="7"/>
      <c r="I101" s="5">
        <v>1</v>
      </c>
      <c r="J101" s="5"/>
      <c r="K101" s="6" t="s">
        <v>19</v>
      </c>
      <c r="L101" s="147"/>
      <c r="M101" s="10">
        <f t="shared" si="216"/>
        <v>0</v>
      </c>
      <c r="N101" s="115">
        <f>SUM(L101:M101)/Monitoring!$B$14</f>
        <v>0</v>
      </c>
      <c r="O101" s="8" t="e">
        <f t="shared" si="214"/>
        <v>#DIV/0!</v>
      </c>
      <c r="P101" s="11" t="e">
        <f t="shared" si="215"/>
        <v>#DIV/0!</v>
      </c>
      <c r="Q101" s="11"/>
      <c r="R101" s="131"/>
      <c r="S101" s="105"/>
      <c r="T101" s="105"/>
      <c r="U101" s="113"/>
    </row>
    <row r="102" spans="1:21" s="12" customFormat="1" ht="15" customHeight="1" x14ac:dyDescent="0.25">
      <c r="A102" s="3"/>
      <c r="B102" s="1"/>
      <c r="C102" s="4"/>
      <c r="D102" s="4"/>
      <c r="E102" s="3"/>
      <c r="F102" s="3"/>
      <c r="G102" s="7"/>
      <c r="H102" s="7"/>
      <c r="I102" s="5">
        <v>1</v>
      </c>
      <c r="J102" s="5"/>
      <c r="K102" s="6" t="s">
        <v>19</v>
      </c>
      <c r="L102" s="147"/>
      <c r="M102" s="10">
        <f t="shared" si="216"/>
        <v>0</v>
      </c>
      <c r="N102" s="115">
        <f>SUM(L102:M102)/Monitoring!$B$14</f>
        <v>0</v>
      </c>
      <c r="O102" s="8" t="e">
        <f t="shared" si="214"/>
        <v>#DIV/0!</v>
      </c>
      <c r="P102" s="11" t="e">
        <f t="shared" si="215"/>
        <v>#DIV/0!</v>
      </c>
      <c r="Q102" s="11"/>
      <c r="R102" s="131"/>
      <c r="S102" s="105"/>
      <c r="T102" s="105"/>
      <c r="U102" s="113"/>
    </row>
    <row r="103" spans="1:21" s="12" customFormat="1" ht="15" customHeight="1" x14ac:dyDescent="0.25">
      <c r="A103" s="3"/>
      <c r="B103" s="1"/>
      <c r="C103" s="4"/>
      <c r="D103" s="4"/>
      <c r="E103" s="3"/>
      <c r="F103" s="3"/>
      <c r="G103" s="7"/>
      <c r="H103" s="7"/>
      <c r="I103" s="5">
        <v>1</v>
      </c>
      <c r="J103" s="5"/>
      <c r="K103" s="6" t="s">
        <v>19</v>
      </c>
      <c r="L103" s="147"/>
      <c r="M103" s="10">
        <f t="shared" si="216"/>
        <v>0</v>
      </c>
      <c r="N103" s="115">
        <f>SUM(L103:M103)/Monitoring!$B$14</f>
        <v>0</v>
      </c>
      <c r="O103" s="8" t="e">
        <f t="shared" si="214"/>
        <v>#DIV/0!</v>
      </c>
      <c r="P103" s="11" t="e">
        <f t="shared" si="215"/>
        <v>#DIV/0!</v>
      </c>
      <c r="Q103" s="11"/>
      <c r="R103" s="131"/>
      <c r="S103" s="105"/>
      <c r="T103" s="105"/>
      <c r="U103" s="113"/>
    </row>
    <row r="104" spans="1:21" s="12" customFormat="1" ht="15" customHeight="1" x14ac:dyDescent="0.25">
      <c r="A104" s="3"/>
      <c r="B104" s="1"/>
      <c r="C104" s="4"/>
      <c r="D104" s="4"/>
      <c r="E104" s="3"/>
      <c r="F104" s="3"/>
      <c r="G104" s="7"/>
      <c r="H104" s="7"/>
      <c r="I104" s="5">
        <v>1</v>
      </c>
      <c r="J104" s="5"/>
      <c r="K104" s="6" t="s">
        <v>19</v>
      </c>
      <c r="L104" s="147"/>
      <c r="M104" s="10">
        <f t="shared" si="216"/>
        <v>0</v>
      </c>
      <c r="N104" s="115">
        <f>SUM(L104:M104)/Monitoring!$B$14</f>
        <v>0</v>
      </c>
      <c r="O104" s="8" t="e">
        <f t="shared" si="214"/>
        <v>#DIV/0!</v>
      </c>
      <c r="P104" s="11" t="e">
        <f t="shared" si="215"/>
        <v>#DIV/0!</v>
      </c>
      <c r="Q104" s="11"/>
      <c r="R104" s="131"/>
      <c r="S104" s="105"/>
      <c r="T104" s="105"/>
      <c r="U104" s="113"/>
    </row>
    <row r="105" spans="1:21" s="12" customFormat="1" ht="15" customHeight="1" x14ac:dyDescent="0.25">
      <c r="A105" s="3"/>
      <c r="B105" s="1"/>
      <c r="C105" s="4"/>
      <c r="D105" s="4"/>
      <c r="E105" s="3"/>
      <c r="F105" s="3"/>
      <c r="G105" s="7"/>
      <c r="H105" s="7"/>
      <c r="I105" s="5">
        <v>1</v>
      </c>
      <c r="J105" s="5"/>
      <c r="K105" s="6" t="s">
        <v>19</v>
      </c>
      <c r="L105" s="147"/>
      <c r="M105" s="10">
        <f t="shared" si="216"/>
        <v>0</v>
      </c>
      <c r="N105" s="115">
        <f>SUM(L105:M105)/Monitoring!$B$14</f>
        <v>0</v>
      </c>
      <c r="O105" s="8" t="e">
        <f t="shared" si="214"/>
        <v>#DIV/0!</v>
      </c>
      <c r="P105" s="11" t="e">
        <f t="shared" si="215"/>
        <v>#DIV/0!</v>
      </c>
      <c r="Q105" s="11"/>
      <c r="R105" s="131"/>
      <c r="S105" s="105"/>
      <c r="T105" s="105"/>
      <c r="U105" s="113"/>
    </row>
    <row r="106" spans="1:21" s="12" customFormat="1" ht="15" customHeight="1" x14ac:dyDescent="0.25">
      <c r="A106" s="3"/>
      <c r="B106" s="1"/>
      <c r="C106" s="4"/>
      <c r="D106" s="4"/>
      <c r="E106" s="3"/>
      <c r="F106" s="3"/>
      <c r="G106" s="7"/>
      <c r="H106" s="7"/>
      <c r="I106" s="5"/>
      <c r="J106" s="5"/>
      <c r="K106" s="6"/>
      <c r="L106" s="147"/>
      <c r="M106" s="10"/>
      <c r="N106" s="115"/>
      <c r="O106" s="8"/>
      <c r="P106" s="11"/>
      <c r="Q106" s="11"/>
      <c r="R106" s="131"/>
      <c r="S106" s="105"/>
      <c r="T106" s="105"/>
      <c r="U106" s="113"/>
    </row>
    <row r="107" spans="1:21" s="12" customFormat="1" ht="15" customHeight="1" x14ac:dyDescent="0.25">
      <c r="A107" s="3"/>
      <c r="B107" s="1"/>
      <c r="C107" s="4"/>
      <c r="D107" s="4"/>
      <c r="E107" s="3"/>
      <c r="F107" s="3"/>
      <c r="G107" s="7"/>
      <c r="H107" s="7"/>
      <c r="I107" s="5"/>
      <c r="J107" s="5"/>
      <c r="K107" s="6"/>
      <c r="L107" s="147"/>
      <c r="M107" s="10"/>
      <c r="N107" s="115"/>
      <c r="O107" s="8"/>
      <c r="P107" s="11"/>
      <c r="Q107" s="11"/>
      <c r="R107" s="131"/>
      <c r="S107" s="105"/>
      <c r="T107" s="105"/>
      <c r="U107" s="113"/>
    </row>
    <row r="108" spans="1:21" ht="15" customHeight="1" x14ac:dyDescent="0.25">
      <c r="A108" s="13"/>
      <c r="B108" s="20"/>
      <c r="C108" s="14"/>
      <c r="D108" s="14"/>
      <c r="E108" s="13"/>
      <c r="F108" s="13"/>
      <c r="G108" s="21"/>
      <c r="H108" s="21"/>
      <c r="I108" s="19"/>
      <c r="J108" s="19"/>
      <c r="K108" s="15"/>
      <c r="L108" s="149"/>
      <c r="M108" s="16"/>
      <c r="N108" s="16"/>
      <c r="O108" s="17"/>
      <c r="P108" s="18"/>
      <c r="Q108" s="18"/>
      <c r="R108" s="133"/>
      <c r="S108" s="107"/>
      <c r="T108" s="105"/>
    </row>
    <row r="109" spans="1:21" x14ac:dyDescent="0.25">
      <c r="A109" s="9" t="s">
        <v>4</v>
      </c>
      <c r="B109" s="4"/>
      <c r="C109" s="4"/>
      <c r="D109" s="4"/>
      <c r="E109" s="3"/>
      <c r="F109" s="3"/>
      <c r="G109" s="8"/>
      <c r="H109" s="8"/>
      <c r="I109" s="8"/>
      <c r="J109" s="8"/>
      <c r="K109" s="6"/>
      <c r="L109" s="10">
        <f>SUBTOTAL(109,L6:L108)</f>
        <v>11176314</v>
      </c>
      <c r="M109" s="10">
        <f t="shared" ref="M109:N109" si="217">SUBTOTAL(109,M6:M108)</f>
        <v>1452924</v>
      </c>
      <c r="N109" s="162">
        <f t="shared" si="217"/>
        <v>31183.303703703699</v>
      </c>
      <c r="O109" s="8"/>
      <c r="P109" s="11"/>
      <c r="Q109" s="11"/>
      <c r="R109" s="11"/>
      <c r="S109" s="105"/>
      <c r="T109" s="105"/>
    </row>
    <row r="111" spans="1:21" s="24" customFormat="1" hidden="1" outlineLevel="1" x14ac:dyDescent="0.25">
      <c r="B111" s="24" t="s">
        <v>46</v>
      </c>
      <c r="F111" s="24" t="s">
        <v>11</v>
      </c>
      <c r="K111" s="29"/>
      <c r="L111" s="30"/>
      <c r="M111" s="30"/>
      <c r="N111" s="30"/>
      <c r="S111" s="108"/>
      <c r="T111" s="108"/>
      <c r="U111" s="25"/>
    </row>
    <row r="112" spans="1:21" s="24" customFormat="1" hidden="1" outlineLevel="1" x14ac:dyDescent="0.25">
      <c r="B112" s="24" t="s">
        <v>113</v>
      </c>
      <c r="F112" s="24" t="s">
        <v>15</v>
      </c>
      <c r="K112" s="29"/>
      <c r="L112" s="31"/>
      <c r="M112" s="31"/>
      <c r="N112" s="31"/>
      <c r="S112" s="108"/>
      <c r="T112" s="108"/>
      <c r="U112" s="25"/>
    </row>
    <row r="113" spans="2:21" s="24" customFormat="1" hidden="1" outlineLevel="1" x14ac:dyDescent="0.25">
      <c r="B113" s="24" t="s">
        <v>114</v>
      </c>
      <c r="K113" s="29"/>
      <c r="L113" s="32"/>
      <c r="M113" s="33"/>
      <c r="N113" s="33"/>
      <c r="S113" s="108"/>
      <c r="T113" s="108"/>
      <c r="U113" s="25"/>
    </row>
    <row r="114" spans="2:21" s="24" customFormat="1" hidden="1" outlineLevel="1" x14ac:dyDescent="0.25">
      <c r="B114" s="24" t="s">
        <v>115</v>
      </c>
      <c r="K114" s="29"/>
      <c r="L114" s="32"/>
      <c r="M114" s="33"/>
      <c r="N114" s="33"/>
      <c r="S114" s="108"/>
      <c r="T114" s="108"/>
      <c r="U114" s="25"/>
    </row>
    <row r="115" spans="2:21" s="24" customFormat="1" hidden="1" outlineLevel="1" x14ac:dyDescent="0.25">
      <c r="K115" s="29"/>
      <c r="L115" s="32"/>
      <c r="M115" s="33"/>
      <c r="N115" s="33"/>
      <c r="S115" s="108"/>
      <c r="T115" s="108"/>
      <c r="U115" s="25"/>
    </row>
    <row r="116" spans="2:21" s="24" customFormat="1" hidden="1" outlineLevel="1" x14ac:dyDescent="0.25">
      <c r="K116" s="29"/>
      <c r="L116" s="32"/>
      <c r="M116" s="34"/>
      <c r="N116" s="34"/>
      <c r="S116" s="108"/>
      <c r="T116" s="108"/>
      <c r="U116" s="25"/>
    </row>
    <row r="117" spans="2:21" s="24" customFormat="1" hidden="1" outlineLevel="1" x14ac:dyDescent="0.25">
      <c r="K117" s="29"/>
      <c r="L117" s="32"/>
      <c r="M117" s="33"/>
      <c r="N117" s="33"/>
      <c r="S117" s="108"/>
      <c r="T117" s="108"/>
      <c r="U117" s="25"/>
    </row>
    <row r="118" spans="2:21" s="24" customFormat="1" hidden="1" outlineLevel="1" x14ac:dyDescent="0.25">
      <c r="K118" s="29"/>
      <c r="L118" s="32"/>
      <c r="M118" s="33"/>
      <c r="N118" s="33"/>
      <c r="S118" s="108"/>
      <c r="T118" s="108"/>
      <c r="U118" s="25"/>
    </row>
    <row r="119" spans="2:21" s="24" customFormat="1" hidden="1" outlineLevel="1" x14ac:dyDescent="0.25">
      <c r="K119" s="29"/>
      <c r="L119" s="32"/>
      <c r="M119" s="33"/>
      <c r="N119" s="33"/>
      <c r="S119" s="108"/>
      <c r="T119" s="108"/>
      <c r="U119" s="25"/>
    </row>
    <row r="120" spans="2:21" s="24" customFormat="1" hidden="1" outlineLevel="1" x14ac:dyDescent="0.25">
      <c r="K120" s="29"/>
      <c r="L120" s="32"/>
      <c r="M120" s="33"/>
      <c r="N120" s="33"/>
      <c r="S120" s="108"/>
      <c r="T120" s="108"/>
      <c r="U120" s="25"/>
    </row>
    <row r="121" spans="2:21" s="24" customFormat="1" hidden="1" outlineLevel="1" x14ac:dyDescent="0.25">
      <c r="K121" s="29"/>
      <c r="L121" s="32"/>
      <c r="M121" s="33"/>
      <c r="N121" s="33"/>
      <c r="S121" s="108"/>
      <c r="T121" s="108"/>
      <c r="U121" s="25"/>
    </row>
    <row r="122" spans="2:21" s="24" customFormat="1" hidden="1" outlineLevel="1" x14ac:dyDescent="0.25">
      <c r="K122" s="29"/>
      <c r="L122" s="32"/>
      <c r="M122" s="33"/>
      <c r="N122" s="33"/>
      <c r="S122" s="108"/>
      <c r="T122" s="108"/>
      <c r="U122" s="25"/>
    </row>
    <row r="123" spans="2:21" s="24" customFormat="1" hidden="1" outlineLevel="1" x14ac:dyDescent="0.25">
      <c r="K123" s="29"/>
      <c r="L123" s="32"/>
      <c r="M123" s="33"/>
      <c r="N123" s="33"/>
      <c r="S123" s="108"/>
      <c r="T123" s="108"/>
      <c r="U123" s="25"/>
    </row>
    <row r="124" spans="2:21" s="24" customFormat="1" hidden="1" outlineLevel="1" x14ac:dyDescent="0.25">
      <c r="K124" s="29"/>
      <c r="L124" s="32"/>
      <c r="M124" s="33"/>
      <c r="N124" s="33"/>
      <c r="S124" s="108"/>
      <c r="T124" s="108"/>
      <c r="U124" s="25"/>
    </row>
    <row r="125" spans="2:21" s="24" customFormat="1" hidden="1" outlineLevel="1" x14ac:dyDescent="0.25">
      <c r="K125" s="29"/>
      <c r="L125" s="32"/>
      <c r="M125" s="33"/>
      <c r="N125" s="33"/>
      <c r="S125" s="108"/>
      <c r="T125" s="108"/>
      <c r="U125" s="25"/>
    </row>
    <row r="126" spans="2:21" s="24" customFormat="1" hidden="1" outlineLevel="1" x14ac:dyDescent="0.25">
      <c r="K126" s="29"/>
      <c r="L126" s="32"/>
      <c r="M126" s="33"/>
      <c r="N126" s="33"/>
      <c r="S126" s="108"/>
      <c r="T126" s="108"/>
      <c r="U126" s="25"/>
    </row>
    <row r="127" spans="2:21" s="24" customFormat="1" hidden="1" outlineLevel="1" x14ac:dyDescent="0.25">
      <c r="K127" s="29"/>
      <c r="L127" s="32"/>
      <c r="M127" s="33"/>
      <c r="N127" s="33"/>
      <c r="S127" s="108"/>
      <c r="T127" s="108"/>
      <c r="U127" s="25"/>
    </row>
    <row r="128" spans="2:21" s="24" customFormat="1" hidden="1" outlineLevel="1" x14ac:dyDescent="0.25">
      <c r="K128" s="29"/>
      <c r="L128" s="32"/>
      <c r="M128" s="33"/>
      <c r="N128" s="33"/>
      <c r="S128" s="108"/>
      <c r="T128" s="108"/>
      <c r="U128" s="25"/>
    </row>
    <row r="129" spans="3:21" s="24" customFormat="1" ht="15" hidden="1" customHeight="1" outlineLevel="1" x14ac:dyDescent="0.25">
      <c r="C129" s="141"/>
      <c r="D129" s="141"/>
      <c r="K129" s="29"/>
      <c r="L129" s="32"/>
      <c r="M129" s="33"/>
      <c r="N129" s="33"/>
      <c r="S129" s="108"/>
      <c r="T129" s="108"/>
      <c r="U129" s="25"/>
    </row>
    <row r="130" spans="3:21" s="24" customFormat="1" hidden="1" outlineLevel="1" x14ac:dyDescent="0.25">
      <c r="K130" s="29"/>
      <c r="L130" s="32"/>
      <c r="M130" s="33"/>
      <c r="N130" s="33"/>
      <c r="S130" s="108"/>
      <c r="T130" s="108"/>
      <c r="U130" s="25"/>
    </row>
    <row r="131" spans="3:21" s="24" customFormat="1" hidden="1" outlineLevel="1" x14ac:dyDescent="0.25">
      <c r="C131" s="141"/>
      <c r="D131" s="141"/>
      <c r="K131" s="29"/>
      <c r="L131" s="32"/>
      <c r="M131" s="33"/>
      <c r="N131" s="33"/>
      <c r="S131" s="108"/>
      <c r="T131" s="108"/>
      <c r="U131" s="25"/>
    </row>
    <row r="132" spans="3:21" s="24" customFormat="1" hidden="1" outlineLevel="1" x14ac:dyDescent="0.25">
      <c r="K132" s="29"/>
      <c r="L132" s="32"/>
      <c r="M132" s="33"/>
      <c r="N132" s="33"/>
      <c r="S132" s="108"/>
      <c r="T132" s="108"/>
      <c r="U132" s="25"/>
    </row>
    <row r="133" spans="3:21" s="24" customFormat="1" hidden="1" outlineLevel="1" x14ac:dyDescent="0.25">
      <c r="C133" s="141"/>
      <c r="D133" s="141"/>
      <c r="K133" s="29"/>
      <c r="L133" s="32"/>
      <c r="M133" s="33"/>
      <c r="N133" s="33"/>
      <c r="S133" s="108"/>
      <c r="T133" s="108"/>
      <c r="U133" s="25"/>
    </row>
    <row r="134" spans="3:21" s="24" customFormat="1" hidden="1" outlineLevel="1" x14ac:dyDescent="0.25">
      <c r="C134" s="144"/>
      <c r="D134" s="144"/>
      <c r="K134" s="29"/>
      <c r="L134" s="32"/>
      <c r="M134" s="33"/>
      <c r="N134" s="33"/>
      <c r="S134" s="108"/>
      <c r="T134" s="108"/>
      <c r="U134" s="25"/>
    </row>
    <row r="135" spans="3:21" s="24" customFormat="1" hidden="1" outlineLevel="1" x14ac:dyDescent="0.25">
      <c r="C135" s="141"/>
      <c r="D135" s="141"/>
      <c r="K135" s="29"/>
      <c r="L135" s="32"/>
      <c r="M135" s="33"/>
      <c r="N135" s="33"/>
      <c r="S135" s="108"/>
      <c r="T135" s="108"/>
      <c r="U135" s="25"/>
    </row>
    <row r="136" spans="3:21" s="24" customFormat="1" hidden="1" outlineLevel="1" x14ac:dyDescent="0.25">
      <c r="C136" s="144"/>
      <c r="D136" s="144"/>
      <c r="K136" s="29"/>
      <c r="L136" s="32"/>
      <c r="M136" s="33"/>
      <c r="N136" s="33"/>
      <c r="S136" s="108"/>
      <c r="T136" s="108"/>
      <c r="U136" s="25"/>
    </row>
    <row r="137" spans="3:21" s="24" customFormat="1" hidden="1" outlineLevel="1" x14ac:dyDescent="0.25">
      <c r="C137" s="141"/>
      <c r="D137" s="141"/>
      <c r="K137" s="29"/>
      <c r="L137" s="32"/>
      <c r="M137" s="33"/>
      <c r="N137" s="33"/>
      <c r="S137" s="108"/>
      <c r="T137" s="108"/>
      <c r="U137" s="25"/>
    </row>
    <row r="138" spans="3:21" ht="15" hidden="1" customHeight="1" outlineLevel="1" x14ac:dyDescent="0.25">
      <c r="L138" s="170"/>
      <c r="M138" s="170"/>
      <c r="N138" s="114"/>
      <c r="U138" s="22"/>
    </row>
    <row r="139" spans="3:21" hidden="1" outlineLevel="1" x14ac:dyDescent="0.25">
      <c r="L139" s="23"/>
      <c r="M139" s="23"/>
      <c r="N139" s="23"/>
      <c r="U139" s="22"/>
    </row>
    <row r="140" spans="3:21" hidden="1" outlineLevel="1" x14ac:dyDescent="0.25">
      <c r="L140" s="12"/>
      <c r="M140" s="57"/>
      <c r="N140" s="57"/>
      <c r="U140" s="22"/>
    </row>
    <row r="141" spans="3:21" hidden="1" outlineLevel="1" x14ac:dyDescent="0.25">
      <c r="L141" s="12"/>
      <c r="M141" s="57"/>
      <c r="N141" s="57"/>
      <c r="U141" s="22"/>
    </row>
    <row r="142" spans="3:21" hidden="1" outlineLevel="1" x14ac:dyDescent="0.25">
      <c r="L142" s="12"/>
      <c r="M142" s="57"/>
      <c r="N142" s="57"/>
      <c r="U142" s="22"/>
    </row>
    <row r="143" spans="3:21" hidden="1" outlineLevel="1" x14ac:dyDescent="0.25">
      <c r="L143" s="12"/>
      <c r="M143" s="57"/>
      <c r="N143" s="57"/>
      <c r="U143" s="22"/>
    </row>
    <row r="144" spans="3:21" hidden="1" outlineLevel="1" x14ac:dyDescent="0.25">
      <c r="K144"/>
      <c r="L144" s="12"/>
      <c r="M144" s="57"/>
      <c r="N144" s="57"/>
      <c r="S144" s="109"/>
      <c r="T144" s="109"/>
      <c r="U144" s="22"/>
    </row>
    <row r="145" spans="6:21" hidden="1" outlineLevel="1" x14ac:dyDescent="0.25">
      <c r="K145"/>
      <c r="L145" s="12"/>
      <c r="M145" s="58"/>
      <c r="N145" s="58"/>
      <c r="S145" s="109"/>
      <c r="T145" s="109"/>
      <c r="U145" s="22"/>
    </row>
    <row r="146" spans="6:21" hidden="1" outlineLevel="1" x14ac:dyDescent="0.25">
      <c r="K146"/>
      <c r="S146" s="109"/>
      <c r="T146" s="109"/>
      <c r="U146" s="22"/>
    </row>
    <row r="147" spans="6:21" ht="15" hidden="1" customHeight="1" outlineLevel="1" x14ac:dyDescent="0.25">
      <c r="K147"/>
      <c r="S147" s="109"/>
      <c r="T147" s="109"/>
      <c r="U147" s="22"/>
    </row>
    <row r="148" spans="6:21" hidden="1" outlineLevel="1" x14ac:dyDescent="0.25">
      <c r="K148"/>
      <c r="S148" s="109"/>
      <c r="T148" s="109"/>
      <c r="U148" s="22"/>
    </row>
    <row r="149" spans="6:21" hidden="1" outlineLevel="1" x14ac:dyDescent="0.25">
      <c r="K149"/>
      <c r="S149" s="109"/>
      <c r="T149" s="109"/>
      <c r="U149" s="22"/>
    </row>
    <row r="150" spans="6:21" hidden="1" outlineLevel="1" x14ac:dyDescent="0.25">
      <c r="K150"/>
      <c r="S150" s="109"/>
      <c r="T150" s="109"/>
      <c r="U150" s="22"/>
    </row>
    <row r="151" spans="6:21" ht="15" hidden="1" customHeight="1" outlineLevel="1" x14ac:dyDescent="0.25">
      <c r="K151"/>
      <c r="S151" s="109"/>
      <c r="T151" s="109"/>
      <c r="U151" s="22"/>
    </row>
    <row r="152" spans="6:21" hidden="1" outlineLevel="1" x14ac:dyDescent="0.25">
      <c r="K152"/>
      <c r="S152" s="109"/>
      <c r="T152" s="109"/>
      <c r="U152" s="22"/>
    </row>
    <row r="153" spans="6:21" hidden="1" outlineLevel="1" x14ac:dyDescent="0.25">
      <c r="K153"/>
      <c r="S153" s="109"/>
      <c r="T153" s="109"/>
      <c r="U153" s="22"/>
    </row>
    <row r="154" spans="6:21" collapsed="1" x14ac:dyDescent="0.25">
      <c r="I154" s="2"/>
      <c r="J154" s="2"/>
      <c r="U154" s="22"/>
    </row>
    <row r="155" spans="6:21" x14ac:dyDescent="0.25">
      <c r="U155" s="22"/>
    </row>
    <row r="156" spans="6:21" x14ac:dyDescent="0.25">
      <c r="F156" s="2"/>
      <c r="U156" s="22"/>
    </row>
  </sheetData>
  <autoFilter ref="A5:X105" xr:uid="{00000000-0001-0000-0000-000000000000}"/>
  <mergeCells count="2">
    <mergeCell ref="L138:M138"/>
    <mergeCell ref="A2:E2"/>
  </mergeCells>
  <dataValidations count="4">
    <dataValidation type="list" allowBlank="1" showInputMessage="1" showErrorMessage="1" sqref="A65370 A65352:A65359 A65361:A65368" xr:uid="{00000000-0002-0000-0000-000000000000}">
      <formula1>#REF!</formula1>
    </dataValidation>
    <dataValidation type="list" allowBlank="1" showInputMessage="1" showErrorMessage="1" sqref="F6:F108" xr:uid="{00000000-0002-0000-0000-000002000000}">
      <formula1>$F$111:$F$112</formula1>
    </dataValidation>
    <dataValidation type="list" allowBlank="1" showInputMessage="1" showErrorMessage="1" sqref="B6:B108" xr:uid="{00000000-0002-0000-0000-000003000000}">
      <formula1>$B$111:$B$114</formula1>
    </dataValidation>
    <dataValidation type="list" allowBlank="1" showInputMessage="1" showErrorMessage="1" sqref="D6:D108" xr:uid="{2051BBF0-0FFF-4D9D-B63A-018AF748954A}">
      <formula1>"A017600072"</formula1>
    </dataValidation>
  </dataValidations>
  <pageMargins left="0.70866141732283472" right="0.70866141732283472" top="0.35433070866141736" bottom="0.74803149606299213" header="0.31496062992125984" footer="0.31496062992125984"/>
  <pageSetup paperSize="9" scale="53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Hónapok!$A$1:$A$27</xm:f>
          </x14:formula1>
          <xm:sqref>C6:C108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3"/>
  <sheetViews>
    <sheetView topLeftCell="A25" workbookViewId="0">
      <selection activeCell="H10" sqref="H10"/>
    </sheetView>
  </sheetViews>
  <sheetFormatPr defaultRowHeight="15" outlineLevelRow="1" x14ac:dyDescent="0.25"/>
  <cols>
    <col min="1" max="1" width="10" customWidth="1"/>
    <col min="2" max="2" width="35.140625" customWidth="1"/>
    <col min="3" max="3" width="16.85546875" customWidth="1"/>
    <col min="4" max="4" width="33.140625" customWidth="1"/>
    <col min="5" max="5" width="59.140625" customWidth="1"/>
    <col min="6" max="7" width="16.7109375" style="22" customWidth="1"/>
    <col min="8" max="8" width="13.85546875" style="36" customWidth="1"/>
    <col min="9" max="9" width="40.140625" customWidth="1"/>
  </cols>
  <sheetData>
    <row r="1" spans="1:9" s="24" customFormat="1" hidden="1" outlineLevel="1" x14ac:dyDescent="0.25">
      <c r="B1" s="24" t="s">
        <v>46</v>
      </c>
      <c r="F1" s="25"/>
      <c r="G1" s="22"/>
      <c r="H1" s="35" t="s">
        <v>11</v>
      </c>
    </row>
    <row r="2" spans="1:9" s="24" customFormat="1" hidden="1" outlineLevel="1" x14ac:dyDescent="0.25">
      <c r="B2" s="24" t="s">
        <v>113</v>
      </c>
      <c r="F2" s="25"/>
      <c r="G2" s="22"/>
      <c r="H2" s="35" t="s">
        <v>15</v>
      </c>
    </row>
    <row r="3" spans="1:9" s="24" customFormat="1" hidden="1" outlineLevel="1" x14ac:dyDescent="0.25">
      <c r="B3" s="24" t="s">
        <v>114</v>
      </c>
      <c r="F3" s="25"/>
      <c r="G3" s="22"/>
      <c r="H3" s="35"/>
    </row>
    <row r="4" spans="1:9" s="24" customFormat="1" hidden="1" outlineLevel="1" x14ac:dyDescent="0.25">
      <c r="B4" s="24" t="s">
        <v>115</v>
      </c>
      <c r="F4" s="25"/>
      <c r="G4" s="22"/>
      <c r="H4" s="35"/>
    </row>
    <row r="5" spans="1:9" s="24" customFormat="1" hidden="1" outlineLevel="1" x14ac:dyDescent="0.25">
      <c r="F5" s="25"/>
      <c r="G5" s="22"/>
      <c r="H5" s="35"/>
    </row>
    <row r="6" spans="1:9" s="24" customFormat="1" hidden="1" outlineLevel="1" x14ac:dyDescent="0.25">
      <c r="F6" s="25"/>
      <c r="G6" s="22"/>
      <c r="H6" s="35"/>
    </row>
    <row r="7" spans="1:9" s="24" customFormat="1" hidden="1" outlineLevel="1" x14ac:dyDescent="0.25">
      <c r="F7" s="25"/>
      <c r="G7" s="22"/>
      <c r="H7" s="35"/>
    </row>
    <row r="8" spans="1:9" collapsed="1" x14ac:dyDescent="0.25">
      <c r="B8" s="23" t="s">
        <v>90</v>
      </c>
    </row>
    <row r="9" spans="1:9" s="23" customFormat="1" ht="30" x14ac:dyDescent="0.25">
      <c r="A9" s="53" t="s">
        <v>16</v>
      </c>
      <c r="B9" s="54" t="s">
        <v>7</v>
      </c>
      <c r="C9" s="63" t="s">
        <v>20</v>
      </c>
      <c r="D9" s="54" t="s">
        <v>8</v>
      </c>
      <c r="E9" s="54" t="s">
        <v>9</v>
      </c>
      <c r="F9" s="55" t="s">
        <v>6</v>
      </c>
      <c r="G9" s="55" t="s">
        <v>47</v>
      </c>
      <c r="H9" s="55" t="s">
        <v>14</v>
      </c>
      <c r="I9" s="56" t="s">
        <v>12</v>
      </c>
    </row>
    <row r="10" spans="1:9" s="43" customFormat="1" x14ac:dyDescent="0.25">
      <c r="A10" s="38"/>
      <c r="B10" s="40" t="s">
        <v>46</v>
      </c>
      <c r="C10" s="39" t="s">
        <v>151</v>
      </c>
      <c r="D10" s="40" t="s">
        <v>130</v>
      </c>
      <c r="E10" s="40" t="s">
        <v>131</v>
      </c>
      <c r="F10" s="44">
        <v>279400</v>
      </c>
      <c r="G10" s="116">
        <f>F10/Monitoring!$B$14</f>
        <v>689.87654320987656</v>
      </c>
      <c r="H10" s="41" t="s">
        <v>11</v>
      </c>
      <c r="I10" s="42"/>
    </row>
    <row r="11" spans="1:9" x14ac:dyDescent="0.25">
      <c r="B11" s="40"/>
      <c r="C11" s="39"/>
      <c r="D11" s="40"/>
      <c r="E11" s="40"/>
      <c r="F11" s="44"/>
      <c r="G11" s="116">
        <f>F11/Monitoring!$B$14</f>
        <v>0</v>
      </c>
      <c r="H11" s="41"/>
      <c r="I11" s="146"/>
    </row>
    <row r="12" spans="1:9" x14ac:dyDescent="0.25">
      <c r="B12" s="40"/>
      <c r="G12" s="116">
        <f>F12/Monitoring!$B$14</f>
        <v>0</v>
      </c>
      <c r="H12" s="41"/>
      <c r="I12" s="146"/>
    </row>
    <row r="13" spans="1:9" x14ac:dyDescent="0.25">
      <c r="B13" s="40"/>
      <c r="G13" s="116">
        <f>F13/Monitoring!$B$14</f>
        <v>0</v>
      </c>
      <c r="H13" s="41"/>
      <c r="I13" s="146"/>
    </row>
    <row r="14" spans="1:9" x14ac:dyDescent="0.25">
      <c r="B14" s="40"/>
      <c r="G14" s="116">
        <f>F14/Monitoring!$B$14</f>
        <v>0</v>
      </c>
      <c r="H14" s="41"/>
      <c r="I14" s="146"/>
    </row>
    <row r="15" spans="1:9" x14ac:dyDescent="0.25">
      <c r="B15" s="40"/>
      <c r="G15" s="116">
        <f>F15/Monitoring!$B$14</f>
        <v>0</v>
      </c>
      <c r="H15" s="41"/>
      <c r="I15" s="146"/>
    </row>
    <row r="16" spans="1:9" x14ac:dyDescent="0.25">
      <c r="B16" s="40"/>
      <c r="G16" s="116">
        <f>F16/Monitoring!$B$14</f>
        <v>0</v>
      </c>
      <c r="H16" s="41"/>
      <c r="I16" s="146"/>
    </row>
    <row r="17" spans="2:9" x14ac:dyDescent="0.25">
      <c r="B17" s="40"/>
      <c r="G17" s="116">
        <f>F17/Monitoring!$B$14</f>
        <v>0</v>
      </c>
      <c r="H17" s="41"/>
      <c r="I17" s="146"/>
    </row>
    <row r="18" spans="2:9" x14ac:dyDescent="0.25">
      <c r="B18" s="40"/>
      <c r="G18" s="116">
        <f>F18/Monitoring!$B$14</f>
        <v>0</v>
      </c>
      <c r="H18" s="41"/>
      <c r="I18" s="146"/>
    </row>
    <row r="19" spans="2:9" x14ac:dyDescent="0.25">
      <c r="B19" s="40"/>
      <c r="G19" s="116">
        <f>F19/Monitoring!$B$14</f>
        <v>0</v>
      </c>
      <c r="H19" s="41"/>
      <c r="I19" s="146"/>
    </row>
    <row r="20" spans="2:9" x14ac:dyDescent="0.25">
      <c r="B20" s="40"/>
      <c r="G20" s="116">
        <f>F20/Monitoring!$B$14</f>
        <v>0</v>
      </c>
      <c r="H20" s="41"/>
      <c r="I20" s="146"/>
    </row>
    <row r="21" spans="2:9" x14ac:dyDescent="0.25">
      <c r="B21" s="40"/>
      <c r="G21" s="116">
        <f>F21/Monitoring!$B$14</f>
        <v>0</v>
      </c>
      <c r="H21" s="41"/>
      <c r="I21" s="146"/>
    </row>
    <row r="22" spans="2:9" x14ac:dyDescent="0.25">
      <c r="B22" s="40"/>
      <c r="G22" s="116">
        <f>F22/Monitoring!$B$14</f>
        <v>0</v>
      </c>
      <c r="H22" s="41"/>
      <c r="I22" s="146"/>
    </row>
    <row r="23" spans="2:9" x14ac:dyDescent="0.25">
      <c r="B23" s="40"/>
      <c r="G23" s="116">
        <f>F23/Monitoring!$B$14</f>
        <v>0</v>
      </c>
      <c r="H23" s="41"/>
      <c r="I23" s="146"/>
    </row>
    <row r="24" spans="2:9" x14ac:dyDescent="0.25">
      <c r="B24" s="40"/>
      <c r="G24" s="116">
        <f>F24/Monitoring!$B$14</f>
        <v>0</v>
      </c>
      <c r="H24" s="41"/>
      <c r="I24" s="146"/>
    </row>
    <row r="25" spans="2:9" x14ac:dyDescent="0.25">
      <c r="B25" s="40"/>
      <c r="G25" s="116">
        <f>F25/Monitoring!$B$14</f>
        <v>0</v>
      </c>
      <c r="H25" s="41"/>
      <c r="I25" s="146"/>
    </row>
    <row r="26" spans="2:9" x14ac:dyDescent="0.25">
      <c r="B26" s="40"/>
      <c r="G26" s="116">
        <f>F26/Monitoring!$B$14</f>
        <v>0</v>
      </c>
      <c r="H26" s="41"/>
      <c r="I26" s="146"/>
    </row>
    <row r="27" spans="2:9" x14ac:dyDescent="0.25">
      <c r="B27" s="40"/>
      <c r="G27" s="116">
        <f>F27/Monitoring!$B$14</f>
        <v>0</v>
      </c>
      <c r="H27" s="41"/>
      <c r="I27" s="146"/>
    </row>
    <row r="28" spans="2:9" x14ac:dyDescent="0.25">
      <c r="B28" s="40"/>
      <c r="G28" s="116">
        <f>F28/Monitoring!$B$14</f>
        <v>0</v>
      </c>
      <c r="H28" s="41"/>
      <c r="I28" s="146"/>
    </row>
    <row r="29" spans="2:9" x14ac:dyDescent="0.25">
      <c r="B29" s="40"/>
      <c r="G29" s="116">
        <f>F29/Monitoring!$B$14</f>
        <v>0</v>
      </c>
      <c r="H29" s="41"/>
      <c r="I29" s="146"/>
    </row>
    <row r="30" spans="2:9" x14ac:dyDescent="0.25">
      <c r="B30" s="40"/>
      <c r="G30" s="116">
        <f>F30/Monitoring!$B$14</f>
        <v>0</v>
      </c>
      <c r="H30" s="41"/>
      <c r="I30" s="146"/>
    </row>
    <row r="31" spans="2:9" x14ac:dyDescent="0.25">
      <c r="B31" s="40"/>
      <c r="G31" s="116">
        <f>F31/Monitoring!$B$14</f>
        <v>0</v>
      </c>
      <c r="H31" s="41"/>
      <c r="I31" s="146"/>
    </row>
    <row r="32" spans="2:9" x14ac:dyDescent="0.25">
      <c r="B32" s="40"/>
      <c r="G32" s="116">
        <f>F32/Monitoring!$B$14</f>
        <v>0</v>
      </c>
      <c r="H32" s="41"/>
      <c r="I32" s="146"/>
    </row>
    <row r="33" spans="2:9" x14ac:dyDescent="0.25">
      <c r="B33" s="40"/>
      <c r="G33" s="116">
        <f>F33/Monitoring!$B$14</f>
        <v>0</v>
      </c>
      <c r="H33" s="41"/>
      <c r="I33" s="146"/>
    </row>
    <row r="34" spans="2:9" x14ac:dyDescent="0.25">
      <c r="B34" s="40"/>
      <c r="G34" s="116">
        <f>F34/Monitoring!$B$14</f>
        <v>0</v>
      </c>
      <c r="H34" s="41"/>
      <c r="I34" s="146"/>
    </row>
    <row r="35" spans="2:9" x14ac:dyDescent="0.25">
      <c r="B35" s="40"/>
      <c r="G35" s="116">
        <f>F35/Monitoring!$B$14</f>
        <v>0</v>
      </c>
      <c r="H35" s="41"/>
      <c r="I35" s="146"/>
    </row>
    <row r="36" spans="2:9" x14ac:dyDescent="0.25">
      <c r="B36" s="40"/>
      <c r="G36" s="116">
        <f>F36/Monitoring!$B$14</f>
        <v>0</v>
      </c>
      <c r="H36" s="41"/>
      <c r="I36" s="146"/>
    </row>
    <row r="37" spans="2:9" x14ac:dyDescent="0.25">
      <c r="B37" s="40"/>
      <c r="G37" s="116">
        <f>F37/Monitoring!$B$14</f>
        <v>0</v>
      </c>
      <c r="H37" s="41"/>
      <c r="I37" s="146"/>
    </row>
    <row r="38" spans="2:9" x14ac:dyDescent="0.25">
      <c r="B38" s="40"/>
      <c r="G38" s="116">
        <f>F38/Monitoring!$B$14</f>
        <v>0</v>
      </c>
      <c r="H38" s="41"/>
      <c r="I38" s="146"/>
    </row>
    <row r="39" spans="2:9" x14ac:dyDescent="0.25">
      <c r="B39" s="40"/>
      <c r="G39" s="116">
        <f>F39/Monitoring!$B$14</f>
        <v>0</v>
      </c>
      <c r="H39" s="41"/>
      <c r="I39" s="146"/>
    </row>
    <row r="40" spans="2:9" x14ac:dyDescent="0.25">
      <c r="B40" s="40"/>
      <c r="G40" s="116">
        <f>F40/Monitoring!$B$14</f>
        <v>0</v>
      </c>
      <c r="H40" s="41"/>
      <c r="I40" s="146"/>
    </row>
    <row r="41" spans="2:9" x14ac:dyDescent="0.25">
      <c r="B41" s="40"/>
      <c r="G41" s="116">
        <f>F41/Monitoring!$B$14</f>
        <v>0</v>
      </c>
      <c r="H41" s="41"/>
      <c r="I41" s="146"/>
    </row>
    <row r="42" spans="2:9" x14ac:dyDescent="0.25">
      <c r="B42" s="40"/>
      <c r="G42" s="116">
        <f>F42/Monitoring!$B$14</f>
        <v>0</v>
      </c>
      <c r="H42" s="41"/>
      <c r="I42" s="146"/>
    </row>
    <row r="43" spans="2:9" x14ac:dyDescent="0.25">
      <c r="B43" s="40"/>
      <c r="G43" s="116">
        <f>F43/Monitoring!$B$14</f>
        <v>0</v>
      </c>
      <c r="H43" s="41"/>
      <c r="I43" s="146"/>
    </row>
    <row r="44" spans="2:9" x14ac:dyDescent="0.25">
      <c r="B44" s="40"/>
      <c r="G44" s="116">
        <f>F44/Monitoring!$B$14</f>
        <v>0</v>
      </c>
      <c r="H44" s="41"/>
      <c r="I44" s="146"/>
    </row>
    <row r="45" spans="2:9" x14ac:dyDescent="0.25">
      <c r="B45" s="40"/>
      <c r="G45" s="116">
        <f>F45/Monitoring!$B$14</f>
        <v>0</v>
      </c>
      <c r="H45" s="41"/>
      <c r="I45" s="146"/>
    </row>
    <row r="46" spans="2:9" x14ac:dyDescent="0.25">
      <c r="B46" s="40"/>
      <c r="G46" s="116">
        <f>F46/Monitoring!$B$14</f>
        <v>0</v>
      </c>
      <c r="H46" s="41"/>
      <c r="I46" s="146"/>
    </row>
    <row r="47" spans="2:9" x14ac:dyDescent="0.25">
      <c r="B47" s="40"/>
      <c r="G47" s="116">
        <f>F47/Monitoring!$B$14</f>
        <v>0</v>
      </c>
      <c r="H47" s="41"/>
      <c r="I47" s="146"/>
    </row>
    <row r="48" spans="2:9" x14ac:dyDescent="0.25">
      <c r="B48" s="40"/>
      <c r="G48" s="116">
        <f>F48/Monitoring!$B$14</f>
        <v>0</v>
      </c>
      <c r="H48" s="41"/>
      <c r="I48" s="146"/>
    </row>
    <row r="49" spans="1:9" x14ac:dyDescent="0.25">
      <c r="B49" s="40"/>
      <c r="G49" s="116">
        <f>F49/Monitoring!$B$14</f>
        <v>0</v>
      </c>
      <c r="H49" s="41"/>
      <c r="I49" s="146"/>
    </row>
    <row r="50" spans="1:9" x14ac:dyDescent="0.25">
      <c r="B50" s="40"/>
      <c r="G50" s="116">
        <f>F50/Monitoring!$B$14</f>
        <v>0</v>
      </c>
      <c r="H50" s="41"/>
      <c r="I50" s="146"/>
    </row>
    <row r="51" spans="1:9" s="43" customFormat="1" x14ac:dyDescent="0.25">
      <c r="A51" s="38"/>
      <c r="B51" s="40"/>
      <c r="C51" s="39"/>
      <c r="D51" s="40"/>
      <c r="E51" s="40"/>
      <c r="F51" s="44"/>
      <c r="G51" s="116">
        <f>F51/Monitoring!$B$14</f>
        <v>0</v>
      </c>
      <c r="H51" s="45"/>
      <c r="I51" s="46"/>
    </row>
    <row r="52" spans="1:9" s="43" customFormat="1" x14ac:dyDescent="0.25">
      <c r="A52" s="47"/>
      <c r="B52" s="49"/>
      <c r="C52" s="48"/>
      <c r="D52" s="49"/>
      <c r="E52" s="49"/>
      <c r="F52" s="50"/>
      <c r="G52" s="150">
        <f>F52/Monitoring!$B$14</f>
        <v>0</v>
      </c>
      <c r="H52" s="51"/>
      <c r="I52" s="52"/>
    </row>
    <row r="53" spans="1:9" x14ac:dyDescent="0.25">
      <c r="F53" s="75">
        <f>SUBTOTAL(109,F10:F52)</f>
        <v>279400</v>
      </c>
      <c r="G53" s="117">
        <f>SUBTOTAL(109,G10:G52)</f>
        <v>689.87654320987656</v>
      </c>
      <c r="H53" s="37"/>
    </row>
  </sheetData>
  <autoFilter ref="A9:I52" xr:uid="{00000000-0009-0000-0000-000001000000}"/>
  <dataValidations count="2">
    <dataValidation type="list" allowBlank="1" showInputMessage="1" showErrorMessage="1" sqref="B10:B52" xr:uid="{00000000-0002-0000-0100-000000000000}">
      <formula1>$B$1:$B$4</formula1>
    </dataValidation>
    <dataValidation type="list" allowBlank="1" showInputMessage="1" showErrorMessage="1" sqref="H10:H52" xr:uid="{00000000-0002-0000-0100-000001000000}">
      <formula1>$H$1:$H$2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2"/>
  <sheetViews>
    <sheetView workbookViewId="0">
      <selection activeCell="I4" sqref="I4"/>
    </sheetView>
  </sheetViews>
  <sheetFormatPr defaultRowHeight="15" x14ac:dyDescent="0.25"/>
  <cols>
    <col min="1" max="1" width="28.5703125" customWidth="1"/>
    <col min="2" max="2" width="24.7109375" customWidth="1"/>
    <col min="3" max="3" width="21.85546875" customWidth="1"/>
    <col min="4" max="4" width="22.7109375" customWidth="1"/>
    <col min="5" max="5" width="21.42578125" customWidth="1"/>
    <col min="8" max="8" width="16.140625" customWidth="1"/>
    <col min="9" max="9" width="16.5703125" customWidth="1"/>
  </cols>
  <sheetData>
    <row r="1" spans="1:9" x14ac:dyDescent="0.25">
      <c r="A1" s="65" t="s">
        <v>21</v>
      </c>
      <c r="B1" s="139">
        <v>44925</v>
      </c>
      <c r="C1" s="139">
        <v>45745</v>
      </c>
      <c r="D1" s="140"/>
    </row>
    <row r="2" spans="1:9" x14ac:dyDescent="0.25">
      <c r="A2" s="65" t="s">
        <v>90</v>
      </c>
    </row>
    <row r="3" spans="1:9" x14ac:dyDescent="0.25">
      <c r="A3" s="67" t="s">
        <v>22</v>
      </c>
      <c r="B3" s="123" t="s">
        <v>57</v>
      </c>
      <c r="C3" s="122" t="s">
        <v>54</v>
      </c>
      <c r="D3" s="122" t="s">
        <v>55</v>
      </c>
      <c r="E3" s="124" t="s">
        <v>56</v>
      </c>
      <c r="H3" s="23" t="s">
        <v>152</v>
      </c>
      <c r="I3" s="97">
        <f>SUMIFS(Bérköltség!$L$6:$L$108,Bérköltség!$F$6:$F$108,"Tény")+SUMIFS(Bérköltség!$M$6:$M$108,Bérköltség!$F$6:$F$108,"Tény")+SUMIFS(Dologi_Felhalm.!$F$10:$F$52,Dologi_Felhalm.!$H$10:$H$52,"Tény")</f>
        <v>6504573</v>
      </c>
    </row>
    <row r="4" spans="1:9" x14ac:dyDescent="0.25">
      <c r="A4" s="70" t="s">
        <v>46</v>
      </c>
      <c r="B4" s="69">
        <v>19825</v>
      </c>
      <c r="C4" s="125">
        <f>SUMIF(Bérköltség!$B$6:$B$108,A4,Bérköltség!$N$6:$N$108)</f>
        <v>4626.5037037037046</v>
      </c>
      <c r="D4" s="125">
        <f>SUMIF(Dologi_Felhalm.!$B$10:$B$52,A4,Dologi_Felhalm.!$G$10:$G$52)</f>
        <v>689.87654320987656</v>
      </c>
      <c r="E4" s="127">
        <f>B4-C4-D4</f>
        <v>14508.619753086419</v>
      </c>
      <c r="H4" s="23" t="s">
        <v>153</v>
      </c>
      <c r="I4" s="97">
        <f>SUMIFS(Bérköltség!$L$6:$L$108,Bérköltség!$F$6:$F$108,"Köt. váll.")+SUMIFS(Bérköltség!$M$6:$M$108,Bérköltség!$F$6:$F$108,"Köt. váll.")+SUMIFS(Dologi_Felhalm.!$F$10:$F$52,Dologi_Felhalm.!$H$10:$H$52,"Köt. váll.")</f>
        <v>6404065</v>
      </c>
    </row>
    <row r="5" spans="1:9" x14ac:dyDescent="0.25">
      <c r="A5" s="70" t="s">
        <v>113</v>
      </c>
      <c r="B5" s="69">
        <v>26540</v>
      </c>
      <c r="C5" s="125">
        <f>SUMIF(Bérköltség!$B$6:$B$108,A5,Bérköltség!$N$6:$N$108)</f>
        <v>26556.799999999988</v>
      </c>
      <c r="D5" s="125">
        <f>SUMIF(Dologi_Felhalm.!$B$10:$B$52,A5,Dologi_Felhalm.!$G$10:$G$52)</f>
        <v>0</v>
      </c>
      <c r="E5" s="127">
        <f t="shared" ref="E5:E7" si="0">B5-C5-D5</f>
        <v>-16.799999999988358</v>
      </c>
    </row>
    <row r="6" spans="1:9" x14ac:dyDescent="0.25">
      <c r="A6" s="70" t="s">
        <v>114</v>
      </c>
      <c r="B6" s="69">
        <v>30790</v>
      </c>
      <c r="C6" s="125">
        <f>SUMIF(Bérköltség!$B$6:$B$108,A6,Bérköltség!$N$6:$N$108)</f>
        <v>0</v>
      </c>
      <c r="D6" s="125">
        <f>SUMIF(Dologi_Felhalm.!$B$10:$B$52,A6,Dologi_Felhalm.!$G$10:$G$52)</f>
        <v>0</v>
      </c>
      <c r="E6" s="127">
        <f t="shared" si="0"/>
        <v>30790</v>
      </c>
    </row>
    <row r="7" spans="1:9" x14ac:dyDescent="0.25">
      <c r="A7" s="70" t="s">
        <v>115</v>
      </c>
      <c r="B7" s="69">
        <v>22185</v>
      </c>
      <c r="C7" s="125">
        <f>SUMIF(Bérköltség!$B$6:$B$108,A7,Bérköltség!$N$6:$N$108)</f>
        <v>0</v>
      </c>
      <c r="D7" s="125">
        <f>SUMIF(Dologi_Felhalm.!$B$10:$B$52,A7,Dologi_Felhalm.!$G$10:$G$52)</f>
        <v>0</v>
      </c>
      <c r="E7" s="127">
        <f t="shared" si="0"/>
        <v>22185</v>
      </c>
    </row>
    <row r="8" spans="1:9" x14ac:dyDescent="0.25">
      <c r="A8" s="70"/>
      <c r="B8" s="68"/>
      <c r="C8" s="125"/>
      <c r="D8" s="125"/>
      <c r="E8" s="127"/>
    </row>
    <row r="9" spans="1:9" x14ac:dyDescent="0.25">
      <c r="A9" s="67" t="s">
        <v>23</v>
      </c>
      <c r="B9" s="126">
        <f>SUM(B4:B8)</f>
        <v>99340</v>
      </c>
      <c r="C9" s="126">
        <f>SUM(C4:C8)</f>
        <v>31183.303703703692</v>
      </c>
      <c r="D9" s="126">
        <f>SUM(D4:D8)</f>
        <v>689.87654320987656</v>
      </c>
      <c r="E9" s="127">
        <f>B9-C9-D9</f>
        <v>67466.819753086442</v>
      </c>
    </row>
    <row r="10" spans="1:9" x14ac:dyDescent="0.25">
      <c r="A10" s="145" t="s">
        <v>69</v>
      </c>
      <c r="B10" s="73">
        <f>B9*B14</f>
        <v>40232700</v>
      </c>
    </row>
    <row r="11" spans="1:9" x14ac:dyDescent="0.25">
      <c r="E11" s="71"/>
    </row>
    <row r="12" spans="1:9" x14ac:dyDescent="0.25">
      <c r="A12" t="s">
        <v>72</v>
      </c>
      <c r="B12" s="66"/>
      <c r="C12" t="s">
        <v>17</v>
      </c>
    </row>
    <row r="13" spans="1:9" x14ac:dyDescent="0.25">
      <c r="A13" s="72" t="s">
        <v>53</v>
      </c>
      <c r="B13" s="64">
        <v>44911</v>
      </c>
    </row>
    <row r="14" spans="1:9" x14ac:dyDescent="0.25">
      <c r="A14" s="72" t="s">
        <v>51</v>
      </c>
      <c r="B14">
        <v>405</v>
      </c>
      <c r="C14" t="s">
        <v>52</v>
      </c>
      <c r="D14" t="s">
        <v>129</v>
      </c>
    </row>
    <row r="15" spans="1:9" x14ac:dyDescent="0.25">
      <c r="A15" s="72"/>
      <c r="B15" s="73"/>
    </row>
    <row r="17" spans="1:2" x14ac:dyDescent="0.25">
      <c r="A17" s="72"/>
      <c r="B17" s="73"/>
    </row>
    <row r="19" spans="1:2" x14ac:dyDescent="0.25">
      <c r="A19" s="76" t="s">
        <v>48</v>
      </c>
      <c r="B19" s="121">
        <f>Bérköltség!L109+Bérköltség!M109+Dologi_Felhalm.!F53</f>
        <v>12908638</v>
      </c>
    </row>
    <row r="20" spans="1:2" x14ac:dyDescent="0.25">
      <c r="A20" s="76" t="s">
        <v>47</v>
      </c>
      <c r="B20" s="118">
        <f>Bérköltség!N109+Dologi_Felhalm.!G53</f>
        <v>31873.180246913576</v>
      </c>
    </row>
    <row r="21" spans="1:2" x14ac:dyDescent="0.25">
      <c r="B21" s="74"/>
    </row>
    <row r="22" spans="1:2" x14ac:dyDescent="0.25">
      <c r="A22" s="119" t="s">
        <v>47</v>
      </c>
      <c r="B22" s="120">
        <f>B9-B20</f>
        <v>67466.819753086427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61599-267A-4689-A8D0-2C4495640709}">
  <dimension ref="A1:A27"/>
  <sheetViews>
    <sheetView workbookViewId="0">
      <selection activeCell="A5" sqref="A5:A10"/>
    </sheetView>
  </sheetViews>
  <sheetFormatPr defaultRowHeight="15" x14ac:dyDescent="0.25"/>
  <sheetData>
    <row r="1" spans="1:1" x14ac:dyDescent="0.25">
      <c r="A1" t="s">
        <v>64</v>
      </c>
    </row>
    <row r="2" spans="1:1" x14ac:dyDescent="0.25">
      <c r="A2" t="s">
        <v>65</v>
      </c>
    </row>
    <row r="3" spans="1:1" x14ac:dyDescent="0.25">
      <c r="A3" t="s">
        <v>66</v>
      </c>
    </row>
    <row r="4" spans="1:1" x14ac:dyDescent="0.25">
      <c r="A4" t="s">
        <v>67</v>
      </c>
    </row>
    <row r="5" spans="1:1" x14ac:dyDescent="0.25">
      <c r="A5" t="s">
        <v>68</v>
      </c>
    </row>
    <row r="6" spans="1:1" x14ac:dyDescent="0.25">
      <c r="A6" t="s">
        <v>91</v>
      </c>
    </row>
    <row r="7" spans="1:1" x14ac:dyDescent="0.25">
      <c r="A7" t="s">
        <v>92</v>
      </c>
    </row>
    <row r="8" spans="1:1" x14ac:dyDescent="0.25">
      <c r="A8" t="s">
        <v>93</v>
      </c>
    </row>
    <row r="9" spans="1:1" x14ac:dyDescent="0.25">
      <c r="A9" t="s">
        <v>94</v>
      </c>
    </row>
    <row r="10" spans="1:1" x14ac:dyDescent="0.25">
      <c r="A10" t="s">
        <v>95</v>
      </c>
    </row>
    <row r="11" spans="1:1" x14ac:dyDescent="0.25">
      <c r="A11" t="s">
        <v>96</v>
      </c>
    </row>
    <row r="12" spans="1:1" x14ac:dyDescent="0.25">
      <c r="A12" t="s">
        <v>97</v>
      </c>
    </row>
    <row r="13" spans="1:1" x14ac:dyDescent="0.25">
      <c r="A13" s="161" t="s">
        <v>98</v>
      </c>
    </row>
    <row r="14" spans="1:1" x14ac:dyDescent="0.25">
      <c r="A14" s="161" t="s">
        <v>99</v>
      </c>
    </row>
    <row r="15" spans="1:1" x14ac:dyDescent="0.25">
      <c r="A15" s="161" t="s">
        <v>100</v>
      </c>
    </row>
    <row r="16" spans="1:1" x14ac:dyDescent="0.25">
      <c r="A16" s="161" t="s">
        <v>101</v>
      </c>
    </row>
    <row r="17" spans="1:1" x14ac:dyDescent="0.25">
      <c r="A17" s="161" t="s">
        <v>102</v>
      </c>
    </row>
    <row r="18" spans="1:1" x14ac:dyDescent="0.25">
      <c r="A18" s="161" t="s">
        <v>103</v>
      </c>
    </row>
    <row r="19" spans="1:1" x14ac:dyDescent="0.25">
      <c r="A19" s="161" t="s">
        <v>104</v>
      </c>
    </row>
    <row r="20" spans="1:1" x14ac:dyDescent="0.25">
      <c r="A20" s="161" t="s">
        <v>105</v>
      </c>
    </row>
    <row r="21" spans="1:1" x14ac:dyDescent="0.25">
      <c r="A21" s="161" t="s">
        <v>106</v>
      </c>
    </row>
    <row r="22" spans="1:1" x14ac:dyDescent="0.25">
      <c r="A22" s="161" t="s">
        <v>107</v>
      </c>
    </row>
    <row r="23" spans="1:1" x14ac:dyDescent="0.25">
      <c r="A23" s="161" t="s">
        <v>108</v>
      </c>
    </row>
    <row r="24" spans="1:1" x14ac:dyDescent="0.25">
      <c r="A24" s="161" t="s">
        <v>109</v>
      </c>
    </row>
    <row r="25" spans="1:1" x14ac:dyDescent="0.25">
      <c r="A25" s="161" t="s">
        <v>110</v>
      </c>
    </row>
    <row r="26" spans="1:1" x14ac:dyDescent="0.25">
      <c r="A26" s="161" t="s">
        <v>111</v>
      </c>
    </row>
    <row r="27" spans="1:1" x14ac:dyDescent="0.25">
      <c r="A27" s="161" t="s">
        <v>112</v>
      </c>
    </row>
  </sheetData>
  <phoneticPr fontId="4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8D327-CE19-4FC0-9D85-44273892C1A8}">
  <dimension ref="A1:E16"/>
  <sheetViews>
    <sheetView workbookViewId="0">
      <selection activeCell="C24" sqref="C24"/>
    </sheetView>
  </sheetViews>
  <sheetFormatPr defaultRowHeight="15" x14ac:dyDescent="0.25"/>
  <cols>
    <col min="1" max="6" width="19.5703125" customWidth="1"/>
  </cols>
  <sheetData>
    <row r="1" spans="1:5" x14ac:dyDescent="0.25">
      <c r="A1" s="155" t="s">
        <v>86</v>
      </c>
      <c r="B1" s="155" t="s">
        <v>87</v>
      </c>
      <c r="C1" s="155" t="s">
        <v>88</v>
      </c>
      <c r="D1" s="155" t="s">
        <v>83</v>
      </c>
      <c r="E1" s="155" t="s">
        <v>84</v>
      </c>
    </row>
    <row r="2" spans="1:5" x14ac:dyDescent="0.25">
      <c r="A2" s="169" t="s">
        <v>122</v>
      </c>
      <c r="B2" s="156" t="s">
        <v>132</v>
      </c>
      <c r="C2" s="157" t="s">
        <v>74</v>
      </c>
      <c r="D2" s="158">
        <v>736829</v>
      </c>
      <c r="E2" s="158">
        <v>95788</v>
      </c>
    </row>
    <row r="3" spans="1:5" x14ac:dyDescent="0.25">
      <c r="A3" s="156" t="s">
        <v>133</v>
      </c>
      <c r="B3" s="156" t="s">
        <v>134</v>
      </c>
      <c r="C3" s="157" t="s">
        <v>71</v>
      </c>
      <c r="D3" s="158">
        <v>877694</v>
      </c>
      <c r="E3" s="158">
        <v>114100</v>
      </c>
    </row>
    <row r="4" spans="1:5" x14ac:dyDescent="0.25">
      <c r="A4" s="160"/>
      <c r="B4" s="159"/>
      <c r="C4" s="157" t="s">
        <v>154</v>
      </c>
      <c r="D4" s="158"/>
      <c r="E4" s="158">
        <v>8629</v>
      </c>
    </row>
    <row r="5" spans="1:5" x14ac:dyDescent="0.25">
      <c r="A5" s="169" t="s">
        <v>135</v>
      </c>
      <c r="B5" s="156" t="s">
        <v>136</v>
      </c>
      <c r="C5" s="157" t="s">
        <v>116</v>
      </c>
      <c r="D5" s="158">
        <v>1337167</v>
      </c>
      <c r="E5" s="158">
        <v>173832</v>
      </c>
    </row>
    <row r="6" spans="1:5" x14ac:dyDescent="0.25">
      <c r="A6" s="169" t="s">
        <v>137</v>
      </c>
      <c r="B6" s="156" t="s">
        <v>138</v>
      </c>
      <c r="C6" s="157" t="s">
        <v>116</v>
      </c>
      <c r="D6" s="158">
        <v>1921739</v>
      </c>
      <c r="E6" s="158">
        <v>249826</v>
      </c>
    </row>
    <row r="7" spans="1:5" x14ac:dyDescent="0.25">
      <c r="A7" s="169" t="s">
        <v>139</v>
      </c>
      <c r="B7" s="156" t="s">
        <v>140</v>
      </c>
      <c r="C7" s="157" t="s">
        <v>70</v>
      </c>
      <c r="D7" s="158">
        <v>746244</v>
      </c>
      <c r="E7" s="158">
        <v>97012</v>
      </c>
    </row>
    <row r="8" spans="1:5" x14ac:dyDescent="0.25">
      <c r="A8" s="169" t="s">
        <v>141</v>
      </c>
      <c r="B8" s="156" t="s">
        <v>142</v>
      </c>
      <c r="C8" s="157" t="s">
        <v>70</v>
      </c>
      <c r="D8" s="158">
        <v>1054243</v>
      </c>
      <c r="E8" s="158">
        <v>137052</v>
      </c>
    </row>
    <row r="9" spans="1:5" x14ac:dyDescent="0.25">
      <c r="A9" s="169" t="s">
        <v>124</v>
      </c>
      <c r="B9" s="156" t="s">
        <v>143</v>
      </c>
      <c r="C9" s="157" t="s">
        <v>70</v>
      </c>
      <c r="D9" s="158">
        <v>1157639</v>
      </c>
      <c r="E9" s="158">
        <v>150493</v>
      </c>
    </row>
    <row r="10" spans="1:5" x14ac:dyDescent="0.25">
      <c r="A10" s="169" t="s">
        <v>144</v>
      </c>
      <c r="B10" s="156" t="s">
        <v>145</v>
      </c>
      <c r="C10" s="157" t="s">
        <v>116</v>
      </c>
      <c r="D10" s="158">
        <v>746700</v>
      </c>
      <c r="E10" s="158">
        <v>97071</v>
      </c>
    </row>
    <row r="11" spans="1:5" x14ac:dyDescent="0.25">
      <c r="A11" s="169" t="s">
        <v>123</v>
      </c>
      <c r="B11" s="156" t="s">
        <v>146</v>
      </c>
      <c r="C11" s="157" t="s">
        <v>71</v>
      </c>
      <c r="D11" s="158">
        <v>558643</v>
      </c>
      <c r="E11" s="158">
        <v>72624</v>
      </c>
    </row>
    <row r="12" spans="1:5" x14ac:dyDescent="0.25">
      <c r="A12" s="169" t="s">
        <v>125</v>
      </c>
      <c r="B12" s="156" t="s">
        <v>147</v>
      </c>
      <c r="C12" s="157" t="s">
        <v>126</v>
      </c>
      <c r="D12" s="158">
        <v>578544</v>
      </c>
      <c r="E12" s="158">
        <v>75211</v>
      </c>
    </row>
    <row r="13" spans="1:5" x14ac:dyDescent="0.25">
      <c r="A13" s="169" t="s">
        <v>148</v>
      </c>
      <c r="B13" s="156" t="s">
        <v>149</v>
      </c>
      <c r="C13" s="157" t="s">
        <v>116</v>
      </c>
      <c r="D13" s="158">
        <v>607144</v>
      </c>
      <c r="E13" s="158">
        <v>78929</v>
      </c>
    </row>
    <row r="14" spans="1:5" x14ac:dyDescent="0.25">
      <c r="A14" s="169"/>
      <c r="B14" s="156"/>
      <c r="C14" s="157"/>
      <c r="D14" s="158"/>
      <c r="E14" s="158"/>
    </row>
    <row r="15" spans="1:5" x14ac:dyDescent="0.25">
      <c r="A15" s="169"/>
      <c r="B15" s="156"/>
      <c r="C15" s="157"/>
      <c r="D15" s="158"/>
      <c r="E15" s="158"/>
    </row>
    <row r="16" spans="1:5" x14ac:dyDescent="0.25">
      <c r="A16" s="160"/>
      <c r="B16" s="159"/>
      <c r="C16" s="157"/>
      <c r="D16" s="158"/>
      <c r="E16" s="15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Bérköltség</vt:lpstr>
      <vt:lpstr>Dologi_Felhalm.</vt:lpstr>
      <vt:lpstr>Monitoring</vt:lpstr>
      <vt:lpstr>Hónapok</vt:lpstr>
      <vt:lpstr>Havi béradatok</vt:lpstr>
    </vt:vector>
  </TitlesOfParts>
  <Company>Pannon Egyetem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Domján Gábor</cp:lastModifiedBy>
  <cp:lastPrinted>2016-12-20T13:51:43Z</cp:lastPrinted>
  <dcterms:created xsi:type="dcterms:W3CDTF">2012-04-12T14:47:49Z</dcterms:created>
  <dcterms:modified xsi:type="dcterms:W3CDTF">2023-05-05T07:26:21Z</dcterms:modified>
</cp:coreProperties>
</file>