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defaultThemeVersion="124226"/>
  <mc:AlternateContent xmlns:mc="http://schemas.openxmlformats.org/markup-compatibility/2006">
    <mc:Choice Requires="x15">
      <x15ac:absPath xmlns:x15ac="http://schemas.microsoft.com/office/spreadsheetml/2010/11/ac" url="C:\Users\felhasználó\Munka\!PROJEKTEK\2019-1.1.1-PIACI-KFI-2019-00312_Vesz-mont\"/>
    </mc:Choice>
  </mc:AlternateContent>
  <xr:revisionPtr revIDLastSave="0" documentId="13_ncr:1_{D6952630-3E04-4A44-B565-49F142ABE0CC}" xr6:coauthVersionLast="47" xr6:coauthVersionMax="47" xr10:uidLastSave="{00000000-0000-0000-0000-000000000000}"/>
  <bookViews>
    <workbookView xWindow="-120" yWindow="-120" windowWidth="29040" windowHeight="15840" activeTab="1" xr2:uid="{00000000-000D-0000-FFFF-FFFF00000000}"/>
  </bookViews>
  <sheets>
    <sheet name="Terv-tény" sheetId="2" r:id="rId1"/>
    <sheet name="Bérköltség" sheetId="11" r:id="rId2"/>
    <sheet name="Hónapok" sheetId="16" r:id="rId3"/>
    <sheet name="EPTK költségvetés export fájl" sheetId="18" r:id="rId4"/>
    <sheet name="Információk" sheetId="20" r:id="rId5"/>
    <sheet name="Admin" sheetId="17" r:id="rId6"/>
    <sheet name="Átvezetések" sheetId="21" r:id="rId7"/>
    <sheet name="Havi béradatok" sheetId="23" r:id="rId8"/>
  </sheets>
  <definedNames>
    <definedName name="_xlnm._FilterDatabase" localSheetId="1" hidden="1">Bérköltség!$A$5:$AU$678</definedName>
    <definedName name="_xlnm._FilterDatabase" localSheetId="0" hidden="1">'Terv-tény'!$C$3:$J$24</definedName>
    <definedName name="Z_B3053EE5_F487_4331_B4B6_28A1F2EF1617_.wvu.Cols" localSheetId="1" hidden="1">Bérköltség!#REF!,Bérköltség!#REF!,Bérköltség!$S:$T,Bérköltség!$X:$X,Bérköltség!$AA:$AA</definedName>
    <definedName name="Z_B3053EE5_F487_4331_B4B6_28A1F2EF1617_.wvu.FilterData" localSheetId="1" hidden="1">Bérköltség!$B$5:$AU$686</definedName>
    <definedName name="Z_B3053EE5_F487_4331_B4B6_28A1F2EF1617_.wvu.FilterData" localSheetId="0" hidden="1">'Terv-tény'!$C$3:$I$16</definedName>
    <definedName name="Z_B3053EE5_F487_4331_B4B6_28A1F2EF1617_.wvu.Rows" localSheetId="1" hidden="1">Bérköltség!#REF!</definedName>
  </definedNames>
  <calcPr calcId="191029"/>
  <customWorkbookViews>
    <customWorkbookView name="1" guid="{B3053EE5-F487-4331-B4B6-28A1F2EF1617}" maximized="1" xWindow="-8" yWindow="-8" windowWidth="1936" windowHeight="1056" activeSheetId="1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S553" i="11" l="1"/>
  <c r="U553" i="11" s="1"/>
  <c r="R553" i="11"/>
  <c r="O553" i="11"/>
  <c r="U14" i="21"/>
  <c r="T14" i="21"/>
  <c r="S14" i="21"/>
  <c r="R14" i="21"/>
  <c r="O14" i="21"/>
  <c r="K14" i="21"/>
  <c r="I14" i="21"/>
  <c r="E14" i="21"/>
  <c r="C14" i="21"/>
  <c r="S592" i="11"/>
  <c r="U592" i="11" s="1"/>
  <c r="R592" i="11"/>
  <c r="O592" i="11"/>
  <c r="K592" i="11"/>
  <c r="I592" i="11"/>
  <c r="E592" i="11"/>
  <c r="C592" i="11"/>
  <c r="K553" i="11"/>
  <c r="I553" i="11"/>
  <c r="E553" i="11"/>
  <c r="C553" i="11"/>
  <c r="S552" i="11"/>
  <c r="T552" i="11" s="1"/>
  <c r="R552" i="11"/>
  <c r="O552" i="11"/>
  <c r="K552" i="11"/>
  <c r="I552" i="11"/>
  <c r="E552" i="11"/>
  <c r="C552" i="11"/>
  <c r="S34" i="11"/>
  <c r="U34" i="11" s="1"/>
  <c r="R34" i="11"/>
  <c r="O34" i="11"/>
  <c r="K34" i="11"/>
  <c r="I34" i="11"/>
  <c r="E34" i="11"/>
  <c r="C34" i="11"/>
  <c r="S33" i="11"/>
  <c r="T33" i="11" s="1"/>
  <c r="R33" i="11"/>
  <c r="O33" i="11"/>
  <c r="K33" i="11"/>
  <c r="I33" i="11"/>
  <c r="E33" i="11"/>
  <c r="C33" i="11"/>
  <c r="S246" i="11"/>
  <c r="U246" i="11" s="1"/>
  <c r="R246" i="11"/>
  <c r="O246" i="11"/>
  <c r="K246" i="11"/>
  <c r="I246" i="11"/>
  <c r="E246" i="11"/>
  <c r="C246" i="11"/>
  <c r="S245" i="11"/>
  <c r="T245" i="11" s="1"/>
  <c r="R245" i="11"/>
  <c r="O245" i="11"/>
  <c r="K245" i="11"/>
  <c r="I245" i="11"/>
  <c r="E245" i="11"/>
  <c r="C245" i="11"/>
  <c r="S209" i="11"/>
  <c r="T209" i="11" s="1"/>
  <c r="R209" i="11"/>
  <c r="O209" i="11"/>
  <c r="K209" i="11"/>
  <c r="I209" i="11"/>
  <c r="E209" i="11"/>
  <c r="C209" i="11"/>
  <c r="S208" i="11"/>
  <c r="T208" i="11" s="1"/>
  <c r="R208" i="11"/>
  <c r="O208" i="11"/>
  <c r="K208" i="11"/>
  <c r="I208" i="11"/>
  <c r="E208" i="11"/>
  <c r="C208" i="11"/>
  <c r="AE2" i="11"/>
  <c r="AD2" i="11"/>
  <c r="AC2" i="11"/>
  <c r="T553" i="11" l="1"/>
  <c r="T592" i="11"/>
  <c r="U552" i="11"/>
  <c r="T34" i="11"/>
  <c r="U33" i="11"/>
  <c r="T246" i="11"/>
  <c r="U245" i="11"/>
  <c r="U209" i="11"/>
  <c r="U208" i="11"/>
  <c r="S104" i="11"/>
  <c r="U104" i="11" s="1"/>
  <c r="R104" i="11"/>
  <c r="O104" i="11"/>
  <c r="S103" i="11"/>
  <c r="U103" i="11" s="1"/>
  <c r="R103" i="11"/>
  <c r="O103" i="11"/>
  <c r="K104" i="11"/>
  <c r="I104" i="11"/>
  <c r="E104" i="11"/>
  <c r="C104" i="11"/>
  <c r="K103" i="11"/>
  <c r="I103" i="11"/>
  <c r="E103" i="11"/>
  <c r="C103" i="11"/>
  <c r="S102" i="11"/>
  <c r="U102" i="11" s="1"/>
  <c r="R102" i="11"/>
  <c r="O102" i="11"/>
  <c r="K102" i="11"/>
  <c r="I102" i="11"/>
  <c r="E102" i="11"/>
  <c r="C102" i="11"/>
  <c r="S296" i="11"/>
  <c r="U296" i="11" s="1"/>
  <c r="R296" i="11"/>
  <c r="O296" i="11"/>
  <c r="S295" i="11"/>
  <c r="U295" i="11" s="1"/>
  <c r="R295" i="11"/>
  <c r="O295" i="11"/>
  <c r="K296" i="11"/>
  <c r="I296" i="11"/>
  <c r="E296" i="11"/>
  <c r="C296" i="11"/>
  <c r="K295" i="11"/>
  <c r="I295" i="11"/>
  <c r="E295" i="11"/>
  <c r="C295" i="11"/>
  <c r="S294" i="11"/>
  <c r="U294" i="11" s="1"/>
  <c r="R294" i="11"/>
  <c r="O294" i="11"/>
  <c r="K294" i="11"/>
  <c r="I294" i="11"/>
  <c r="E294" i="11"/>
  <c r="C294" i="11"/>
  <c r="S600" i="11"/>
  <c r="U600" i="11" s="1"/>
  <c r="R600" i="11"/>
  <c r="O600" i="11"/>
  <c r="S599" i="11"/>
  <c r="U599" i="11" s="1"/>
  <c r="R599" i="11"/>
  <c r="O599" i="11"/>
  <c r="K600" i="11"/>
  <c r="I600" i="11"/>
  <c r="E600" i="11"/>
  <c r="C600" i="11"/>
  <c r="K599" i="11"/>
  <c r="I599" i="11"/>
  <c r="E599" i="11"/>
  <c r="C599" i="11"/>
  <c r="S598" i="11"/>
  <c r="U598" i="11" s="1"/>
  <c r="R598" i="11"/>
  <c r="O598" i="11"/>
  <c r="K598" i="11"/>
  <c r="I598" i="11"/>
  <c r="E598" i="11"/>
  <c r="C598" i="11"/>
  <c r="S353" i="11"/>
  <c r="U353" i="11" s="1"/>
  <c r="R353" i="11"/>
  <c r="O353" i="11"/>
  <c r="S352" i="11"/>
  <c r="U352" i="11" s="1"/>
  <c r="R352" i="11"/>
  <c r="O352" i="11"/>
  <c r="K353" i="11"/>
  <c r="I353" i="11"/>
  <c r="E353" i="11"/>
  <c r="C353" i="11"/>
  <c r="K352" i="11"/>
  <c r="I352" i="11"/>
  <c r="E352" i="11"/>
  <c r="C352" i="11"/>
  <c r="S351" i="11"/>
  <c r="U351" i="11" s="1"/>
  <c r="R351" i="11"/>
  <c r="O351" i="11"/>
  <c r="K351" i="11"/>
  <c r="I351" i="11"/>
  <c r="E351" i="11"/>
  <c r="C351" i="11"/>
  <c r="S560" i="11"/>
  <c r="U560" i="11" s="1"/>
  <c r="R560" i="11"/>
  <c r="O560" i="11"/>
  <c r="S559" i="11"/>
  <c r="U559" i="11" s="1"/>
  <c r="R559" i="11"/>
  <c r="O559" i="11"/>
  <c r="K560" i="11"/>
  <c r="I560" i="11"/>
  <c r="E560" i="11"/>
  <c r="C560" i="11"/>
  <c r="K559" i="11"/>
  <c r="I559" i="11"/>
  <c r="E559" i="11"/>
  <c r="C559" i="11"/>
  <c r="S558" i="11"/>
  <c r="T558" i="11" s="1"/>
  <c r="R558" i="11"/>
  <c r="O558" i="11"/>
  <c r="K558" i="11"/>
  <c r="I558" i="11"/>
  <c r="E558" i="11"/>
  <c r="C558" i="11"/>
  <c r="S551" i="11"/>
  <c r="U551" i="11" s="1"/>
  <c r="R551" i="11"/>
  <c r="O551" i="11"/>
  <c r="S550" i="11"/>
  <c r="U550" i="11" s="1"/>
  <c r="R550" i="11"/>
  <c r="O550" i="11"/>
  <c r="K551" i="11"/>
  <c r="I551" i="11"/>
  <c r="E551" i="11"/>
  <c r="C551" i="11"/>
  <c r="K550" i="11"/>
  <c r="I550" i="11"/>
  <c r="E550" i="11"/>
  <c r="C550" i="11"/>
  <c r="S549" i="11"/>
  <c r="T549" i="11" s="1"/>
  <c r="R549" i="11"/>
  <c r="O549" i="11"/>
  <c r="K549" i="11"/>
  <c r="I549" i="11"/>
  <c r="E549" i="11"/>
  <c r="C549" i="11"/>
  <c r="S244" i="11"/>
  <c r="U244" i="11" s="1"/>
  <c r="R244" i="11"/>
  <c r="O244" i="11"/>
  <c r="K244" i="11"/>
  <c r="I244" i="11"/>
  <c r="E244" i="11"/>
  <c r="C244" i="11"/>
  <c r="S643" i="11"/>
  <c r="U643" i="11" s="1"/>
  <c r="R643" i="11"/>
  <c r="O643" i="11"/>
  <c r="S642" i="11"/>
  <c r="U642" i="11" s="1"/>
  <c r="R642" i="11"/>
  <c r="O642" i="11"/>
  <c r="K643" i="11"/>
  <c r="I643" i="11"/>
  <c r="E643" i="11"/>
  <c r="C643" i="11"/>
  <c r="K642" i="11"/>
  <c r="I642" i="11"/>
  <c r="E642" i="11"/>
  <c r="C642" i="11"/>
  <c r="S641" i="11"/>
  <c r="U641" i="11" s="1"/>
  <c r="R641" i="11"/>
  <c r="O641" i="11"/>
  <c r="K641" i="11"/>
  <c r="I641" i="11"/>
  <c r="E641" i="11"/>
  <c r="C641" i="11"/>
  <c r="S632" i="11"/>
  <c r="T632" i="11" s="1"/>
  <c r="R632" i="11"/>
  <c r="O632" i="11"/>
  <c r="S631" i="11"/>
  <c r="U631" i="11" s="1"/>
  <c r="R631" i="11"/>
  <c r="O631" i="11"/>
  <c r="K632" i="11"/>
  <c r="I632" i="11"/>
  <c r="E632" i="11"/>
  <c r="C632" i="11"/>
  <c r="K631" i="11"/>
  <c r="I631" i="11"/>
  <c r="E631" i="11"/>
  <c r="C631" i="11"/>
  <c r="S630" i="11"/>
  <c r="T630" i="11" s="1"/>
  <c r="R630" i="11"/>
  <c r="O630" i="11"/>
  <c r="K630" i="11"/>
  <c r="I630" i="11"/>
  <c r="E630" i="11"/>
  <c r="C630" i="11"/>
  <c r="S263" i="11"/>
  <c r="U263" i="11" s="1"/>
  <c r="R263" i="11"/>
  <c r="O263" i="11"/>
  <c r="S262" i="11"/>
  <c r="U262" i="11" s="1"/>
  <c r="R262" i="11"/>
  <c r="O262" i="11"/>
  <c r="K263" i="11"/>
  <c r="I263" i="11"/>
  <c r="E263" i="11"/>
  <c r="C263" i="11"/>
  <c r="K262" i="11"/>
  <c r="I262" i="11"/>
  <c r="E262" i="11"/>
  <c r="C262" i="11"/>
  <c r="S261" i="11"/>
  <c r="U261" i="11" s="1"/>
  <c r="R261" i="11"/>
  <c r="O261" i="11"/>
  <c r="K261" i="11"/>
  <c r="I261" i="11"/>
  <c r="E261" i="11"/>
  <c r="C261" i="11"/>
  <c r="S207" i="11"/>
  <c r="U207" i="11" s="1"/>
  <c r="R207" i="11"/>
  <c r="O207" i="11"/>
  <c r="K207" i="11"/>
  <c r="I207" i="11"/>
  <c r="E207" i="11"/>
  <c r="C207" i="11"/>
  <c r="S96" i="11"/>
  <c r="U96" i="11" s="1"/>
  <c r="R96" i="11"/>
  <c r="O96" i="11"/>
  <c r="S95" i="11"/>
  <c r="U95" i="11" s="1"/>
  <c r="R95" i="11"/>
  <c r="O95" i="11"/>
  <c r="S65" i="11"/>
  <c r="U65" i="11" s="1"/>
  <c r="R65" i="11"/>
  <c r="O65" i="11"/>
  <c r="S64" i="11"/>
  <c r="U64" i="11" s="1"/>
  <c r="R64" i="11"/>
  <c r="O64" i="11"/>
  <c r="K65" i="11"/>
  <c r="I65" i="11"/>
  <c r="E65" i="11"/>
  <c r="C65" i="11"/>
  <c r="K64" i="11"/>
  <c r="I64" i="11"/>
  <c r="E64" i="11"/>
  <c r="C64" i="11"/>
  <c r="S63" i="11"/>
  <c r="U63" i="11" s="1"/>
  <c r="R63" i="11"/>
  <c r="O63" i="11"/>
  <c r="K63" i="11"/>
  <c r="I63" i="11"/>
  <c r="E63" i="11"/>
  <c r="C63" i="11"/>
  <c r="U171" i="11"/>
  <c r="T171" i="11"/>
  <c r="R171" i="11"/>
  <c r="O171" i="11"/>
  <c r="U170" i="11"/>
  <c r="T170" i="11"/>
  <c r="R170" i="11"/>
  <c r="O170" i="11"/>
  <c r="K171" i="11"/>
  <c r="I171" i="11"/>
  <c r="E171" i="11"/>
  <c r="C171" i="11"/>
  <c r="K170" i="11"/>
  <c r="I170" i="11"/>
  <c r="E170" i="11"/>
  <c r="C170" i="11"/>
  <c r="T169" i="11"/>
  <c r="R169" i="11"/>
  <c r="O169" i="11"/>
  <c r="K169" i="11"/>
  <c r="I169" i="11"/>
  <c r="E169" i="11"/>
  <c r="C169" i="11"/>
  <c r="K96" i="11"/>
  <c r="I96" i="11"/>
  <c r="E96" i="11"/>
  <c r="C96" i="11"/>
  <c r="K95" i="11"/>
  <c r="I95" i="11"/>
  <c r="E95" i="11"/>
  <c r="C95" i="11"/>
  <c r="S94" i="11"/>
  <c r="U94" i="11" s="1"/>
  <c r="R94" i="11"/>
  <c r="O94" i="11"/>
  <c r="K94" i="11"/>
  <c r="I94" i="11"/>
  <c r="E94" i="11"/>
  <c r="C94" i="11"/>
  <c r="S525" i="11"/>
  <c r="U525" i="11" s="1"/>
  <c r="R525" i="11"/>
  <c r="O525" i="11"/>
  <c r="S524" i="11"/>
  <c r="U524" i="11" s="1"/>
  <c r="R524" i="11"/>
  <c r="O524" i="11"/>
  <c r="K525" i="11"/>
  <c r="I525" i="11"/>
  <c r="E525" i="11"/>
  <c r="C525" i="11"/>
  <c r="K524" i="11"/>
  <c r="I524" i="11"/>
  <c r="E524" i="11"/>
  <c r="C524" i="11"/>
  <c r="S523" i="11"/>
  <c r="U523" i="11" s="1"/>
  <c r="R523" i="11"/>
  <c r="O523" i="11"/>
  <c r="K523" i="11"/>
  <c r="I523" i="11"/>
  <c r="E523" i="11"/>
  <c r="C523" i="11"/>
  <c r="S394" i="11"/>
  <c r="U394" i="11" s="1"/>
  <c r="R394" i="11"/>
  <c r="O394" i="11"/>
  <c r="S393" i="11"/>
  <c r="U393" i="11" s="1"/>
  <c r="R393" i="11"/>
  <c r="O393" i="11"/>
  <c r="K394" i="11"/>
  <c r="I394" i="11"/>
  <c r="E394" i="11"/>
  <c r="C394" i="11"/>
  <c r="K393" i="11"/>
  <c r="I393" i="11"/>
  <c r="E393" i="11"/>
  <c r="C393" i="11"/>
  <c r="S392" i="11"/>
  <c r="U392" i="11" s="1"/>
  <c r="R392" i="11"/>
  <c r="O392" i="11"/>
  <c r="K392" i="11"/>
  <c r="I392" i="11"/>
  <c r="E392" i="11"/>
  <c r="C392" i="11"/>
  <c r="S453" i="11"/>
  <c r="U453" i="11" s="1"/>
  <c r="R453" i="11"/>
  <c r="O453" i="11"/>
  <c r="S452" i="11"/>
  <c r="U452" i="11" s="1"/>
  <c r="R452" i="11"/>
  <c r="O452" i="11"/>
  <c r="K453" i="11"/>
  <c r="I453" i="11"/>
  <c r="E453" i="11"/>
  <c r="C453" i="11"/>
  <c r="K452" i="11"/>
  <c r="I452" i="11"/>
  <c r="E452" i="11"/>
  <c r="C452" i="11"/>
  <c r="S451" i="11"/>
  <c r="U451" i="11" s="1"/>
  <c r="R451" i="11"/>
  <c r="O451" i="11"/>
  <c r="K451" i="11"/>
  <c r="I451" i="11"/>
  <c r="E451" i="11"/>
  <c r="C451" i="11"/>
  <c r="S489" i="11"/>
  <c r="U489" i="11" s="1"/>
  <c r="R489" i="11"/>
  <c r="O489" i="11"/>
  <c r="K489" i="11"/>
  <c r="I489" i="11"/>
  <c r="E489" i="11"/>
  <c r="C489" i="11"/>
  <c r="S488" i="11"/>
  <c r="T488" i="11" s="1"/>
  <c r="R488" i="11"/>
  <c r="O488" i="11"/>
  <c r="K488" i="11"/>
  <c r="I488" i="11"/>
  <c r="E488" i="11"/>
  <c r="C488" i="11"/>
  <c r="S243" i="11"/>
  <c r="U243" i="11" s="1"/>
  <c r="R243" i="11"/>
  <c r="O243" i="11"/>
  <c r="K243" i="11"/>
  <c r="I243" i="11"/>
  <c r="E243" i="11"/>
  <c r="C243" i="11"/>
  <c r="N14" i="2"/>
  <c r="S649" i="11"/>
  <c r="U649" i="11" s="1"/>
  <c r="R649" i="11"/>
  <c r="O649" i="11"/>
  <c r="S648" i="11"/>
  <c r="U648" i="11" s="1"/>
  <c r="R648" i="11"/>
  <c r="K649" i="11"/>
  <c r="E649" i="11"/>
  <c r="C649" i="11"/>
  <c r="K648" i="11"/>
  <c r="E648" i="11"/>
  <c r="C648" i="11"/>
  <c r="S647" i="11"/>
  <c r="U647" i="11" s="1"/>
  <c r="R647" i="11"/>
  <c r="K647" i="11"/>
  <c r="E647" i="11"/>
  <c r="C647" i="11"/>
  <c r="S350" i="11"/>
  <c r="U350" i="11" s="1"/>
  <c r="R350" i="11"/>
  <c r="O350" i="11"/>
  <c r="K350" i="11"/>
  <c r="I350" i="11"/>
  <c r="E350" i="11"/>
  <c r="C350" i="11"/>
  <c r="S629" i="11"/>
  <c r="U629" i="11" s="1"/>
  <c r="R629" i="11"/>
  <c r="O629" i="11"/>
  <c r="K629" i="11"/>
  <c r="I629" i="11"/>
  <c r="E629" i="11"/>
  <c r="C629" i="11"/>
  <c r="S597" i="11"/>
  <c r="U597" i="11" s="1"/>
  <c r="R597" i="11"/>
  <c r="O597" i="11"/>
  <c r="K597" i="11"/>
  <c r="I597" i="11"/>
  <c r="E597" i="11"/>
  <c r="C597" i="11"/>
  <c r="M14" i="2"/>
  <c r="L14" i="2"/>
  <c r="S293" i="11"/>
  <c r="U293" i="11" s="1"/>
  <c r="R293" i="11"/>
  <c r="O293" i="11"/>
  <c r="K293" i="11"/>
  <c r="I293" i="11"/>
  <c r="E293" i="11"/>
  <c r="C293" i="11"/>
  <c r="S591" i="11"/>
  <c r="U591" i="11" s="1"/>
  <c r="R591" i="11"/>
  <c r="O591" i="11"/>
  <c r="S590" i="11"/>
  <c r="U590" i="11" s="1"/>
  <c r="R590" i="11"/>
  <c r="O590" i="11"/>
  <c r="K591" i="11"/>
  <c r="I591" i="11"/>
  <c r="E591" i="11"/>
  <c r="C591" i="11"/>
  <c r="K590" i="11"/>
  <c r="I590" i="11"/>
  <c r="E590" i="11"/>
  <c r="C590" i="11"/>
  <c r="S249" i="11"/>
  <c r="U249" i="11" s="1"/>
  <c r="R249" i="11"/>
  <c r="O249" i="11"/>
  <c r="K249" i="11"/>
  <c r="I249" i="11"/>
  <c r="E249" i="11"/>
  <c r="C249" i="11"/>
  <c r="S248" i="11"/>
  <c r="U248" i="11" s="1"/>
  <c r="R248" i="11"/>
  <c r="O248" i="11"/>
  <c r="K248" i="11"/>
  <c r="I248" i="11"/>
  <c r="E248" i="11"/>
  <c r="C248" i="11"/>
  <c r="R247" i="11"/>
  <c r="S247" i="11"/>
  <c r="U247" i="11" s="1"/>
  <c r="O247" i="11"/>
  <c r="K247" i="11"/>
  <c r="I247" i="11"/>
  <c r="E247" i="11"/>
  <c r="C247" i="11"/>
  <c r="T103" i="11" l="1"/>
  <c r="T104" i="11"/>
  <c r="T102" i="11"/>
  <c r="T295" i="11"/>
  <c r="T296" i="11"/>
  <c r="T294" i="11"/>
  <c r="T600" i="11"/>
  <c r="T599" i="11"/>
  <c r="T598" i="11"/>
  <c r="T351" i="11"/>
  <c r="T352" i="11"/>
  <c r="T353" i="11"/>
  <c r="U558" i="11"/>
  <c r="T559" i="11"/>
  <c r="T560" i="11"/>
  <c r="U549" i="11"/>
  <c r="T550" i="11"/>
  <c r="T551" i="11"/>
  <c r="T244" i="11"/>
  <c r="T642" i="11"/>
  <c r="T643" i="11"/>
  <c r="T641" i="11"/>
  <c r="U632" i="11"/>
  <c r="T631" i="11"/>
  <c r="U630" i="11"/>
  <c r="T263" i="11"/>
  <c r="T262" i="11"/>
  <c r="T261" i="11"/>
  <c r="T207" i="11"/>
  <c r="T96" i="11"/>
  <c r="T95" i="11"/>
  <c r="T64" i="11"/>
  <c r="T65" i="11"/>
  <c r="T63" i="11"/>
  <c r="U169" i="11"/>
  <c r="T94" i="11"/>
  <c r="T524" i="11"/>
  <c r="T525" i="11"/>
  <c r="T523" i="11"/>
  <c r="T393" i="11"/>
  <c r="T394" i="11"/>
  <c r="T392" i="11"/>
  <c r="T452" i="11"/>
  <c r="T453" i="11"/>
  <c r="T451" i="11"/>
  <c r="T489" i="11"/>
  <c r="U488" i="11"/>
  <c r="T243" i="11"/>
  <c r="T649" i="11"/>
  <c r="T350" i="11"/>
  <c r="T629" i="11"/>
  <c r="T597" i="11"/>
  <c r="T293" i="11"/>
  <c r="T591" i="11"/>
  <c r="T590" i="11"/>
  <c r="T248" i="11"/>
  <c r="T247" i="11"/>
  <c r="T249" i="11"/>
  <c r="S655" i="11"/>
  <c r="U655" i="11" s="1"/>
  <c r="R655" i="11"/>
  <c r="O655" i="11"/>
  <c r="S654" i="11"/>
  <c r="U654" i="11" s="1"/>
  <c r="R654" i="11"/>
  <c r="K655" i="11"/>
  <c r="I655" i="11"/>
  <c r="E655" i="11"/>
  <c r="C655" i="11"/>
  <c r="K654" i="11"/>
  <c r="I654" i="11"/>
  <c r="E654" i="11"/>
  <c r="C654" i="11"/>
  <c r="S653" i="11"/>
  <c r="U653" i="11" s="1"/>
  <c r="R653" i="11"/>
  <c r="K653" i="11"/>
  <c r="I653" i="11"/>
  <c r="E653" i="11"/>
  <c r="C653" i="11"/>
  <c r="S280" i="11"/>
  <c r="U280" i="11" s="1"/>
  <c r="R280" i="11"/>
  <c r="O280" i="11"/>
  <c r="S279" i="11"/>
  <c r="U279" i="11" s="1"/>
  <c r="R279" i="11"/>
  <c r="O279" i="11"/>
  <c r="K280" i="11"/>
  <c r="I280" i="11"/>
  <c r="E280" i="11"/>
  <c r="C280" i="11"/>
  <c r="K279" i="11"/>
  <c r="I279" i="11"/>
  <c r="E279" i="11"/>
  <c r="C279" i="11"/>
  <c r="S278" i="11"/>
  <c r="T278" i="11" s="1"/>
  <c r="R278" i="11"/>
  <c r="O278" i="11"/>
  <c r="K278" i="11"/>
  <c r="I278" i="11"/>
  <c r="E278" i="11"/>
  <c r="C278" i="11"/>
  <c r="S274" i="11"/>
  <c r="U274" i="11" s="1"/>
  <c r="R274" i="11"/>
  <c r="O274" i="11"/>
  <c r="S273" i="11"/>
  <c r="U273" i="11" s="1"/>
  <c r="R273" i="11"/>
  <c r="O273" i="11"/>
  <c r="K274" i="11"/>
  <c r="I274" i="11"/>
  <c r="E274" i="11"/>
  <c r="C274" i="11"/>
  <c r="K273" i="11"/>
  <c r="I273" i="11"/>
  <c r="E273" i="11"/>
  <c r="C273" i="11"/>
  <c r="S272" i="11"/>
  <c r="T272" i="11" s="1"/>
  <c r="R272" i="11"/>
  <c r="O272" i="11"/>
  <c r="K272" i="11"/>
  <c r="I272" i="11"/>
  <c r="E272" i="11"/>
  <c r="C272" i="11"/>
  <c r="S391" i="11"/>
  <c r="U391" i="11" s="1"/>
  <c r="R391" i="11"/>
  <c r="O391" i="11"/>
  <c r="K391" i="11"/>
  <c r="I391" i="11"/>
  <c r="E391" i="11"/>
  <c r="C391" i="11"/>
  <c r="S139" i="11"/>
  <c r="U139" i="11" s="1"/>
  <c r="R139" i="11"/>
  <c r="O139" i="11"/>
  <c r="S138" i="11"/>
  <c r="U138" i="11" s="1"/>
  <c r="R138" i="11"/>
  <c r="O138" i="11"/>
  <c r="K139" i="11"/>
  <c r="I139" i="11"/>
  <c r="E139" i="11"/>
  <c r="C139" i="11"/>
  <c r="K138" i="11"/>
  <c r="I138" i="11"/>
  <c r="E138" i="11"/>
  <c r="C138" i="11"/>
  <c r="S137" i="11"/>
  <c r="U137" i="11" s="1"/>
  <c r="R137" i="11"/>
  <c r="O137" i="11"/>
  <c r="K137" i="11"/>
  <c r="I137" i="11"/>
  <c r="E137" i="11"/>
  <c r="C137" i="11"/>
  <c r="S168" i="11"/>
  <c r="U168" i="11" s="1"/>
  <c r="R168" i="11"/>
  <c r="O168" i="11"/>
  <c r="K168" i="11"/>
  <c r="I168" i="11"/>
  <c r="E168" i="11"/>
  <c r="C168" i="11"/>
  <c r="S117" i="11"/>
  <c r="U117" i="11" s="1"/>
  <c r="R117" i="11"/>
  <c r="O117" i="11"/>
  <c r="S116" i="11"/>
  <c r="U116" i="11" s="1"/>
  <c r="R116" i="11"/>
  <c r="O116" i="11"/>
  <c r="S115" i="11"/>
  <c r="U115" i="11" s="1"/>
  <c r="R115" i="11"/>
  <c r="O115" i="11"/>
  <c r="K117" i="11"/>
  <c r="I117" i="11"/>
  <c r="E117" i="11"/>
  <c r="C117" i="11"/>
  <c r="K116" i="11"/>
  <c r="I116" i="11"/>
  <c r="E116" i="11"/>
  <c r="C116" i="11"/>
  <c r="K115" i="11"/>
  <c r="I115" i="11"/>
  <c r="E115" i="11"/>
  <c r="C115" i="11"/>
  <c r="S384" i="11"/>
  <c r="U384" i="11" s="1"/>
  <c r="R384" i="11"/>
  <c r="O384" i="11"/>
  <c r="S383" i="11"/>
  <c r="U383" i="11" s="1"/>
  <c r="R383" i="11"/>
  <c r="O383" i="11"/>
  <c r="S382" i="11"/>
  <c r="U382" i="11" s="1"/>
  <c r="R382" i="11"/>
  <c r="O382" i="11"/>
  <c r="K384" i="11"/>
  <c r="I384" i="11"/>
  <c r="E384" i="11"/>
  <c r="C384" i="11"/>
  <c r="K383" i="11"/>
  <c r="I383" i="11"/>
  <c r="E383" i="11"/>
  <c r="C383" i="11"/>
  <c r="K382" i="11"/>
  <c r="I382" i="11"/>
  <c r="E382" i="11"/>
  <c r="C382" i="11"/>
  <c r="S318" i="11"/>
  <c r="U318" i="11" s="1"/>
  <c r="R318" i="11"/>
  <c r="O318" i="11"/>
  <c r="S317" i="11"/>
  <c r="U317" i="11" s="1"/>
  <c r="R317" i="11"/>
  <c r="O317" i="11"/>
  <c r="S316" i="11"/>
  <c r="U316" i="11" s="1"/>
  <c r="R316" i="11"/>
  <c r="O316" i="11"/>
  <c r="K318" i="11"/>
  <c r="I318" i="11"/>
  <c r="E318" i="11"/>
  <c r="C318" i="11"/>
  <c r="K317" i="11"/>
  <c r="I317" i="11"/>
  <c r="E317" i="11"/>
  <c r="C317" i="11"/>
  <c r="K316" i="11"/>
  <c r="I316" i="11"/>
  <c r="E316" i="11"/>
  <c r="C316" i="11"/>
  <c r="S260" i="11"/>
  <c r="U260" i="11" s="1"/>
  <c r="R260" i="11"/>
  <c r="O260" i="11"/>
  <c r="K260" i="11"/>
  <c r="I260" i="11"/>
  <c r="E260" i="11"/>
  <c r="C260" i="11"/>
  <c r="S206" i="11"/>
  <c r="T206" i="11" s="1"/>
  <c r="R206" i="11"/>
  <c r="O206" i="11"/>
  <c r="K206" i="11"/>
  <c r="I206" i="11"/>
  <c r="E206" i="11"/>
  <c r="C206" i="11"/>
  <c r="S640" i="11"/>
  <c r="T640" i="11" s="1"/>
  <c r="R640" i="11"/>
  <c r="O640" i="11"/>
  <c r="K640" i="11"/>
  <c r="I640" i="11"/>
  <c r="E640" i="11"/>
  <c r="C640" i="11"/>
  <c r="S93" i="11"/>
  <c r="U93" i="11" s="1"/>
  <c r="R93" i="11"/>
  <c r="O93" i="11"/>
  <c r="K93" i="11"/>
  <c r="I93" i="11"/>
  <c r="E93" i="11"/>
  <c r="C93" i="11"/>
  <c r="S557" i="11"/>
  <c r="U557" i="11" s="1"/>
  <c r="R557" i="11"/>
  <c r="O557" i="11"/>
  <c r="K557" i="11"/>
  <c r="I557" i="11"/>
  <c r="E557" i="11"/>
  <c r="C557" i="11"/>
  <c r="S315" i="11"/>
  <c r="U315" i="11" s="1"/>
  <c r="R315" i="11"/>
  <c r="O315" i="11"/>
  <c r="K315" i="11"/>
  <c r="I315" i="11"/>
  <c r="E315" i="11"/>
  <c r="C315" i="11"/>
  <c r="S628" i="11"/>
  <c r="U628" i="11" s="1"/>
  <c r="R628" i="11"/>
  <c r="O628" i="11"/>
  <c r="K628" i="11"/>
  <c r="I628" i="11"/>
  <c r="E628" i="11"/>
  <c r="C628" i="11"/>
  <c r="S589" i="11"/>
  <c r="T589" i="11" s="1"/>
  <c r="R589" i="11"/>
  <c r="O589" i="11"/>
  <c r="S450" i="11"/>
  <c r="T450" i="11" s="1"/>
  <c r="R450" i="11"/>
  <c r="O450" i="11"/>
  <c r="S449" i="11"/>
  <c r="U449" i="11" s="1"/>
  <c r="K450" i="11"/>
  <c r="I450" i="11"/>
  <c r="E450" i="11"/>
  <c r="C450" i="11"/>
  <c r="R449" i="11"/>
  <c r="O449" i="11"/>
  <c r="K449" i="11"/>
  <c r="I449" i="11"/>
  <c r="E449" i="11"/>
  <c r="C449" i="11"/>
  <c r="S596" i="11"/>
  <c r="U596" i="11" s="1"/>
  <c r="R596" i="11"/>
  <c r="O596" i="11"/>
  <c r="K596" i="11"/>
  <c r="I596" i="11"/>
  <c r="E596" i="11"/>
  <c r="C596" i="11"/>
  <c r="S548" i="11"/>
  <c r="U548" i="11" s="1"/>
  <c r="R548" i="11"/>
  <c r="O548" i="11"/>
  <c r="K548" i="11"/>
  <c r="I548" i="11"/>
  <c r="E548" i="11"/>
  <c r="C548" i="11"/>
  <c r="S547" i="11"/>
  <c r="T547" i="11" s="1"/>
  <c r="R547" i="11"/>
  <c r="O547" i="11"/>
  <c r="K547" i="11"/>
  <c r="I547" i="11"/>
  <c r="E547" i="11"/>
  <c r="C547" i="11"/>
  <c r="S522" i="11"/>
  <c r="T522" i="11" s="1"/>
  <c r="R522" i="11"/>
  <c r="O522" i="11"/>
  <c r="K522" i="11"/>
  <c r="I522" i="11"/>
  <c r="E522" i="11"/>
  <c r="C522" i="11"/>
  <c r="S521" i="11"/>
  <c r="U521" i="11" s="1"/>
  <c r="R521" i="11"/>
  <c r="O521" i="11"/>
  <c r="K521" i="11"/>
  <c r="I521" i="11"/>
  <c r="E521" i="11"/>
  <c r="C521" i="11"/>
  <c r="S101" i="11"/>
  <c r="T101" i="11" s="1"/>
  <c r="R101" i="11"/>
  <c r="O101" i="11"/>
  <c r="K101" i="11"/>
  <c r="I101" i="11"/>
  <c r="E101" i="11"/>
  <c r="C101" i="11"/>
  <c r="S100" i="11"/>
  <c r="T100" i="11" s="1"/>
  <c r="R100" i="11"/>
  <c r="O100" i="11"/>
  <c r="K100" i="11"/>
  <c r="I100" i="11"/>
  <c r="E100" i="11"/>
  <c r="C100" i="11"/>
  <c r="S62" i="11"/>
  <c r="U62" i="11" s="1"/>
  <c r="R62" i="11"/>
  <c r="O62" i="11"/>
  <c r="K62" i="11"/>
  <c r="I62" i="11"/>
  <c r="E62" i="11"/>
  <c r="C62" i="11"/>
  <c r="S61" i="11"/>
  <c r="T61" i="11" s="1"/>
  <c r="R61" i="11"/>
  <c r="O61" i="11"/>
  <c r="K61" i="11"/>
  <c r="I61" i="11"/>
  <c r="E61" i="11"/>
  <c r="C61" i="11"/>
  <c r="T655" i="11" l="1"/>
  <c r="U278" i="11"/>
  <c r="T279" i="11"/>
  <c r="T280" i="11"/>
  <c r="T274" i="11"/>
  <c r="U272" i="11"/>
  <c r="T273" i="11"/>
  <c r="T391" i="11"/>
  <c r="T139" i="11"/>
  <c r="T137" i="11"/>
  <c r="T138" i="11"/>
  <c r="T168" i="11"/>
  <c r="T117" i="11"/>
  <c r="T115" i="11"/>
  <c r="T116" i="11"/>
  <c r="T382" i="11"/>
  <c r="T383" i="11"/>
  <c r="T384" i="11"/>
  <c r="T316" i="11"/>
  <c r="T317" i="11"/>
  <c r="T318" i="11"/>
  <c r="T260" i="11"/>
  <c r="U206" i="11"/>
  <c r="U640" i="11"/>
  <c r="T93" i="11"/>
  <c r="T557" i="11"/>
  <c r="T315" i="11"/>
  <c r="T628" i="11"/>
  <c r="U589" i="11"/>
  <c r="U450" i="11"/>
  <c r="T449" i="11"/>
  <c r="T596" i="11"/>
  <c r="T548" i="11"/>
  <c r="U547" i="11"/>
  <c r="U522" i="11"/>
  <c r="T521" i="11"/>
  <c r="U101" i="11"/>
  <c r="U100" i="11"/>
  <c r="T62" i="11"/>
  <c r="U61" i="11"/>
  <c r="S92" i="11"/>
  <c r="U92" i="11" s="1"/>
  <c r="R92" i="11"/>
  <c r="O92" i="11"/>
  <c r="K92" i="11"/>
  <c r="I92" i="11"/>
  <c r="E92" i="11"/>
  <c r="C92" i="11"/>
  <c r="S114" i="11"/>
  <c r="U114" i="11" s="1"/>
  <c r="R114" i="11"/>
  <c r="O114" i="11"/>
  <c r="K114" i="11"/>
  <c r="I114" i="11"/>
  <c r="E114" i="11"/>
  <c r="C114" i="11"/>
  <c r="S113" i="11"/>
  <c r="T113" i="11" s="1"/>
  <c r="R113" i="11"/>
  <c r="O113" i="11"/>
  <c r="K113" i="11"/>
  <c r="I113" i="11"/>
  <c r="E113" i="11"/>
  <c r="C113" i="11"/>
  <c r="E646" i="11"/>
  <c r="C646" i="11"/>
  <c r="E645" i="11"/>
  <c r="C645" i="11"/>
  <c r="E644" i="11"/>
  <c r="C644" i="11"/>
  <c r="S288" i="11"/>
  <c r="U288" i="11" s="1"/>
  <c r="R288" i="11"/>
  <c r="O288" i="11"/>
  <c r="K288" i="11"/>
  <c r="I288" i="11"/>
  <c r="E288" i="11"/>
  <c r="C288" i="11"/>
  <c r="S287" i="11"/>
  <c r="U287" i="11" s="1"/>
  <c r="R287" i="11"/>
  <c r="O287" i="11"/>
  <c r="K287" i="11"/>
  <c r="I287" i="11"/>
  <c r="E287" i="11"/>
  <c r="C287" i="11"/>
  <c r="S215" i="11"/>
  <c r="U215" i="11" s="1"/>
  <c r="R215" i="11"/>
  <c r="O215" i="11"/>
  <c r="K215" i="11"/>
  <c r="I215" i="11"/>
  <c r="E215" i="11"/>
  <c r="C215" i="11"/>
  <c r="S214" i="11"/>
  <c r="U214" i="11" s="1"/>
  <c r="R214" i="11"/>
  <c r="O214" i="11"/>
  <c r="K214" i="11"/>
  <c r="I214" i="11"/>
  <c r="E214" i="11"/>
  <c r="C214" i="11"/>
  <c r="S271" i="11"/>
  <c r="U271" i="11" s="1"/>
  <c r="R271" i="11"/>
  <c r="O271" i="11"/>
  <c r="K271" i="11"/>
  <c r="I271" i="11"/>
  <c r="E271" i="11"/>
  <c r="C271" i="11"/>
  <c r="S270" i="11"/>
  <c r="U270" i="11" s="1"/>
  <c r="R270" i="11"/>
  <c r="O270" i="11"/>
  <c r="K270" i="11"/>
  <c r="I270" i="11"/>
  <c r="E270" i="11"/>
  <c r="C270" i="11"/>
  <c r="K269" i="11"/>
  <c r="S269" i="11"/>
  <c r="U269" i="11" s="1"/>
  <c r="R269" i="11"/>
  <c r="O269" i="11"/>
  <c r="I269" i="11"/>
  <c r="E269" i="11"/>
  <c r="C269" i="11"/>
  <c r="K646" i="11"/>
  <c r="K645" i="11"/>
  <c r="K644" i="11"/>
  <c r="S646" i="11"/>
  <c r="U646" i="11" s="1"/>
  <c r="R646" i="11"/>
  <c r="S645" i="11"/>
  <c r="U645" i="11" s="1"/>
  <c r="R645" i="11"/>
  <c r="R644" i="11"/>
  <c r="S644" i="11"/>
  <c r="U644" i="11" s="1"/>
  <c r="K136" i="11"/>
  <c r="K135" i="11"/>
  <c r="K134" i="11"/>
  <c r="S136" i="11"/>
  <c r="U136" i="11" s="1"/>
  <c r="R136" i="11"/>
  <c r="O136" i="11"/>
  <c r="I136" i="11"/>
  <c r="E136" i="11"/>
  <c r="C136" i="11"/>
  <c r="S135" i="11"/>
  <c r="U135" i="11" s="1"/>
  <c r="R135" i="11"/>
  <c r="O135" i="11"/>
  <c r="I135" i="11"/>
  <c r="E135" i="11"/>
  <c r="C135" i="11"/>
  <c r="S134" i="11"/>
  <c r="T134" i="11" s="1"/>
  <c r="R134" i="11"/>
  <c r="O134" i="11"/>
  <c r="I134" i="11"/>
  <c r="E134" i="11"/>
  <c r="C134" i="11"/>
  <c r="S390" i="11"/>
  <c r="U390" i="11" s="1"/>
  <c r="R390" i="11"/>
  <c r="O390" i="11"/>
  <c r="K390" i="11"/>
  <c r="I390" i="11"/>
  <c r="E390" i="11"/>
  <c r="C390" i="11"/>
  <c r="S389" i="11"/>
  <c r="T389" i="11" s="1"/>
  <c r="R389" i="11"/>
  <c r="O389" i="11"/>
  <c r="K389" i="11"/>
  <c r="I389" i="11"/>
  <c r="E389" i="11"/>
  <c r="C389" i="11"/>
  <c r="S652" i="11"/>
  <c r="U652" i="11" s="1"/>
  <c r="R652" i="11"/>
  <c r="K652" i="11"/>
  <c r="I652" i="11"/>
  <c r="E652" i="11"/>
  <c r="C652" i="11"/>
  <c r="S651" i="11"/>
  <c r="R651" i="11"/>
  <c r="K651" i="11"/>
  <c r="I651" i="11"/>
  <c r="E651" i="11"/>
  <c r="C651" i="11"/>
  <c r="S650" i="11"/>
  <c r="U650" i="11" s="1"/>
  <c r="R650" i="11"/>
  <c r="K650" i="11"/>
  <c r="I650" i="11"/>
  <c r="E650" i="11"/>
  <c r="C650" i="11"/>
  <c r="S381" i="11"/>
  <c r="U381" i="11" s="1"/>
  <c r="R381" i="11"/>
  <c r="O381" i="11"/>
  <c r="S380" i="11"/>
  <c r="U380" i="11" s="1"/>
  <c r="R380" i="11"/>
  <c r="O380" i="11"/>
  <c r="K381" i="11"/>
  <c r="I381" i="11"/>
  <c r="E381" i="11"/>
  <c r="C381" i="11"/>
  <c r="K380" i="11"/>
  <c r="I380" i="11"/>
  <c r="E380" i="11"/>
  <c r="C380" i="11"/>
  <c r="S379" i="11"/>
  <c r="U379" i="11" s="1"/>
  <c r="R379" i="11"/>
  <c r="O379" i="11"/>
  <c r="K379" i="11"/>
  <c r="I379" i="11"/>
  <c r="E379" i="11"/>
  <c r="C379" i="11"/>
  <c r="S276" i="11"/>
  <c r="U276" i="11" s="1"/>
  <c r="R276" i="11"/>
  <c r="O276" i="11"/>
  <c r="K276" i="11"/>
  <c r="I276" i="11"/>
  <c r="E276" i="11"/>
  <c r="C276" i="11"/>
  <c r="S275" i="11"/>
  <c r="T275" i="11" s="1"/>
  <c r="R275" i="11"/>
  <c r="O275" i="11"/>
  <c r="K275" i="11"/>
  <c r="I275" i="11"/>
  <c r="E275" i="11"/>
  <c r="C275" i="11"/>
  <c r="S277" i="11"/>
  <c r="U277" i="11" s="1"/>
  <c r="R277" i="11"/>
  <c r="O277" i="11"/>
  <c r="K277" i="11"/>
  <c r="I277" i="11"/>
  <c r="E277" i="11"/>
  <c r="C277" i="11"/>
  <c r="S588" i="11"/>
  <c r="U588" i="11" s="1"/>
  <c r="R588" i="11"/>
  <c r="O588" i="11"/>
  <c r="K589" i="11"/>
  <c r="I589" i="11"/>
  <c r="E589" i="11"/>
  <c r="C589" i="11"/>
  <c r="K588" i="11"/>
  <c r="I588" i="11"/>
  <c r="E588" i="11"/>
  <c r="C588" i="11"/>
  <c r="S587" i="11"/>
  <c r="T587" i="11" s="1"/>
  <c r="R587" i="11"/>
  <c r="O587" i="11"/>
  <c r="K587" i="11"/>
  <c r="I587" i="11"/>
  <c r="E587" i="11"/>
  <c r="C587" i="11"/>
  <c r="S546" i="11"/>
  <c r="T546" i="11" s="1"/>
  <c r="R546" i="11"/>
  <c r="O546" i="11"/>
  <c r="S487" i="11"/>
  <c r="U487" i="11" s="1"/>
  <c r="R487" i="11"/>
  <c r="O487" i="11"/>
  <c r="S486" i="11"/>
  <c r="U486" i="11" s="1"/>
  <c r="R486" i="11"/>
  <c r="O486" i="11"/>
  <c r="S485" i="11"/>
  <c r="U485" i="11" s="1"/>
  <c r="R485" i="11"/>
  <c r="O485" i="11"/>
  <c r="K487" i="11"/>
  <c r="I487" i="11"/>
  <c r="E487" i="11"/>
  <c r="C487" i="11"/>
  <c r="K486" i="11"/>
  <c r="I486" i="11"/>
  <c r="E486" i="11"/>
  <c r="C486" i="11"/>
  <c r="K485" i="11"/>
  <c r="I485" i="11"/>
  <c r="E485" i="11"/>
  <c r="C485" i="11"/>
  <c r="S484" i="11"/>
  <c r="U484" i="11" s="1"/>
  <c r="R484" i="11"/>
  <c r="O484" i="11"/>
  <c r="K484" i="11"/>
  <c r="I484" i="11"/>
  <c r="E484" i="11"/>
  <c r="C484" i="11"/>
  <c r="S242" i="11"/>
  <c r="U242" i="11" s="1"/>
  <c r="R242" i="11"/>
  <c r="O242" i="11"/>
  <c r="S241" i="11"/>
  <c r="U241" i="11" s="1"/>
  <c r="R241" i="11"/>
  <c r="O241" i="11"/>
  <c r="S292" i="11"/>
  <c r="U292" i="11" s="1"/>
  <c r="R292" i="11"/>
  <c r="O292" i="11"/>
  <c r="S291" i="11"/>
  <c r="U291" i="11" s="1"/>
  <c r="R291" i="11"/>
  <c r="O291" i="11"/>
  <c r="K292" i="11"/>
  <c r="I292" i="11"/>
  <c r="E292" i="11"/>
  <c r="C292" i="11"/>
  <c r="K291" i="11"/>
  <c r="I291" i="11"/>
  <c r="E291" i="11"/>
  <c r="C291" i="11"/>
  <c r="S290" i="11"/>
  <c r="T290" i="11" s="1"/>
  <c r="R290" i="11"/>
  <c r="O290" i="11"/>
  <c r="K290" i="11"/>
  <c r="I290" i="11"/>
  <c r="E290" i="11"/>
  <c r="C290" i="11"/>
  <c r="S639" i="11"/>
  <c r="U639" i="11" s="1"/>
  <c r="R639" i="11"/>
  <c r="O639" i="11"/>
  <c r="S638" i="11"/>
  <c r="U638" i="11" s="1"/>
  <c r="R638" i="11"/>
  <c r="O638" i="11"/>
  <c r="S167" i="11"/>
  <c r="U167" i="11" s="1"/>
  <c r="R167" i="11"/>
  <c r="O167" i="11"/>
  <c r="S166" i="11"/>
  <c r="U166" i="11" s="1"/>
  <c r="R166" i="11"/>
  <c r="O166" i="11"/>
  <c r="K167" i="11"/>
  <c r="I167" i="11"/>
  <c r="E167" i="11"/>
  <c r="C167" i="11"/>
  <c r="S60" i="11"/>
  <c r="T60" i="11" s="1"/>
  <c r="R60" i="11"/>
  <c r="O60" i="11"/>
  <c r="S556" i="11"/>
  <c r="U556" i="11" s="1"/>
  <c r="R556" i="11"/>
  <c r="O556" i="11"/>
  <c r="K556" i="11"/>
  <c r="I556" i="11"/>
  <c r="E556" i="11"/>
  <c r="C556" i="11"/>
  <c r="S555" i="11"/>
  <c r="U555" i="11" s="1"/>
  <c r="R555" i="11"/>
  <c r="O555" i="11"/>
  <c r="K555" i="11"/>
  <c r="I555" i="11"/>
  <c r="E555" i="11"/>
  <c r="C555" i="11"/>
  <c r="R554" i="11"/>
  <c r="S554" i="11"/>
  <c r="U554" i="11" s="1"/>
  <c r="O554" i="11"/>
  <c r="K554" i="11"/>
  <c r="I554" i="11"/>
  <c r="E554" i="11"/>
  <c r="C554" i="11"/>
  <c r="S349" i="11"/>
  <c r="U349" i="11" s="1"/>
  <c r="R349" i="11"/>
  <c r="O349" i="11"/>
  <c r="S348" i="11"/>
  <c r="U348" i="11" s="1"/>
  <c r="R348" i="11"/>
  <c r="O348" i="11"/>
  <c r="K349" i="11"/>
  <c r="I349" i="11"/>
  <c r="E349" i="11"/>
  <c r="C349" i="11"/>
  <c r="K348" i="11"/>
  <c r="I348" i="11"/>
  <c r="E348" i="11"/>
  <c r="C348" i="11"/>
  <c r="S347" i="11"/>
  <c r="U347" i="11" s="1"/>
  <c r="R347" i="11"/>
  <c r="O347" i="11"/>
  <c r="K347" i="11"/>
  <c r="I347" i="11"/>
  <c r="E347" i="11"/>
  <c r="C347" i="11"/>
  <c r="T92" i="11" l="1"/>
  <c r="T114" i="11"/>
  <c r="U113" i="11"/>
  <c r="T288" i="11"/>
  <c r="T287" i="11"/>
  <c r="T215" i="11"/>
  <c r="T214" i="11"/>
  <c r="T270" i="11"/>
  <c r="T271" i="11"/>
  <c r="T269" i="11"/>
  <c r="T135" i="11"/>
  <c r="T136" i="11"/>
  <c r="U134" i="11"/>
  <c r="T390" i="11"/>
  <c r="U389" i="11"/>
  <c r="U651" i="11"/>
  <c r="T380" i="11"/>
  <c r="T381" i="11"/>
  <c r="T379" i="11"/>
  <c r="T276" i="11"/>
  <c r="U275" i="11"/>
  <c r="T277" i="11"/>
  <c r="T588" i="11"/>
  <c r="U587" i="11"/>
  <c r="T485" i="11"/>
  <c r="T487" i="11"/>
  <c r="U546" i="11"/>
  <c r="T486" i="11"/>
  <c r="T484" i="11"/>
  <c r="T241" i="11"/>
  <c r="T242" i="11"/>
  <c r="T292" i="11"/>
  <c r="T291" i="11"/>
  <c r="U290" i="11"/>
  <c r="T638" i="11"/>
  <c r="T639" i="11"/>
  <c r="T167" i="11"/>
  <c r="T166" i="11"/>
  <c r="U60" i="11"/>
  <c r="T555" i="11"/>
  <c r="T554" i="11"/>
  <c r="T556" i="11"/>
  <c r="T348" i="11"/>
  <c r="T349" i="11"/>
  <c r="T347" i="11"/>
  <c r="S205" i="11"/>
  <c r="U205" i="11" s="1"/>
  <c r="R205" i="11"/>
  <c r="O205" i="11"/>
  <c r="S204" i="11"/>
  <c r="U204" i="11" s="1"/>
  <c r="R204" i="11"/>
  <c r="O204" i="11"/>
  <c r="S112" i="11"/>
  <c r="T112" i="11" s="1"/>
  <c r="R112" i="11"/>
  <c r="O112" i="11"/>
  <c r="K112" i="11"/>
  <c r="I112" i="11"/>
  <c r="E112" i="11"/>
  <c r="C112" i="11"/>
  <c r="S111" i="11"/>
  <c r="U111" i="11" s="1"/>
  <c r="R111" i="11"/>
  <c r="O111" i="11"/>
  <c r="K111" i="11"/>
  <c r="I111" i="11"/>
  <c r="E111" i="11"/>
  <c r="C111" i="11"/>
  <c r="S520" i="11"/>
  <c r="U520" i="11" s="1"/>
  <c r="R520" i="11"/>
  <c r="O520" i="11"/>
  <c r="S519" i="11"/>
  <c r="U519" i="11" s="1"/>
  <c r="R519" i="11"/>
  <c r="O519" i="11"/>
  <c r="K520" i="11"/>
  <c r="I520" i="11"/>
  <c r="E520" i="11"/>
  <c r="C520" i="11"/>
  <c r="K519" i="11"/>
  <c r="I519" i="11"/>
  <c r="E519" i="11"/>
  <c r="C519" i="11"/>
  <c r="S518" i="11"/>
  <c r="U518" i="11" s="1"/>
  <c r="R518" i="11"/>
  <c r="O518" i="11"/>
  <c r="K518" i="11"/>
  <c r="I518" i="11"/>
  <c r="E518" i="11"/>
  <c r="C518" i="11"/>
  <c r="S378" i="11"/>
  <c r="T378" i="11" s="1"/>
  <c r="R378" i="11"/>
  <c r="O378" i="11"/>
  <c r="S377" i="11"/>
  <c r="U377" i="11" s="1"/>
  <c r="R377" i="11"/>
  <c r="O377" i="11"/>
  <c r="I377" i="11"/>
  <c r="E377" i="11"/>
  <c r="C377" i="11"/>
  <c r="K378" i="11"/>
  <c r="I378" i="11"/>
  <c r="E378" i="11"/>
  <c r="C378" i="11"/>
  <c r="T205" i="11" l="1"/>
  <c r="T204" i="11"/>
  <c r="U112" i="11"/>
  <c r="T111" i="11"/>
  <c r="T519" i="11"/>
  <c r="T520" i="11"/>
  <c r="T518" i="11"/>
  <c r="U378" i="11"/>
  <c r="T377" i="11"/>
  <c r="R289" i="11"/>
  <c r="S289" i="11"/>
  <c r="T289" i="11" s="1"/>
  <c r="O289" i="11"/>
  <c r="K289" i="11"/>
  <c r="I289" i="11"/>
  <c r="E289" i="11"/>
  <c r="C289" i="11"/>
  <c r="S586" i="11"/>
  <c r="U586" i="11" s="1"/>
  <c r="R586" i="11"/>
  <c r="O586" i="11"/>
  <c r="K595" i="11"/>
  <c r="K594" i="11"/>
  <c r="K593" i="11"/>
  <c r="S595" i="11"/>
  <c r="U595" i="11" s="1"/>
  <c r="R595" i="11"/>
  <c r="O595" i="11"/>
  <c r="I595" i="11"/>
  <c r="E595" i="11"/>
  <c r="C595" i="11"/>
  <c r="S594" i="11"/>
  <c r="U594" i="11" s="1"/>
  <c r="R594" i="11"/>
  <c r="O594" i="11"/>
  <c r="I594" i="11"/>
  <c r="E594" i="11"/>
  <c r="C594" i="11"/>
  <c r="R593" i="11"/>
  <c r="S593" i="11"/>
  <c r="T593" i="11" s="1"/>
  <c r="O593" i="11"/>
  <c r="I593" i="11"/>
  <c r="E593" i="11"/>
  <c r="C593" i="11"/>
  <c r="S388" i="11"/>
  <c r="U388" i="11" s="1"/>
  <c r="R388" i="11"/>
  <c r="O388" i="11"/>
  <c r="K388" i="11"/>
  <c r="I388" i="11"/>
  <c r="E388" i="11"/>
  <c r="C388" i="11"/>
  <c r="S387" i="11"/>
  <c r="U387" i="11" s="1"/>
  <c r="R387" i="11"/>
  <c r="O387" i="11"/>
  <c r="K387" i="11"/>
  <c r="I387" i="11"/>
  <c r="E387" i="11"/>
  <c r="C387" i="11"/>
  <c r="S627" i="11"/>
  <c r="U627" i="11" s="1"/>
  <c r="R627" i="11"/>
  <c r="O627" i="11"/>
  <c r="S626" i="11"/>
  <c r="U626" i="11" s="1"/>
  <c r="R626" i="11"/>
  <c r="O626" i="11"/>
  <c r="K627" i="11"/>
  <c r="I627" i="11"/>
  <c r="E627" i="11"/>
  <c r="C627" i="11"/>
  <c r="K626" i="11"/>
  <c r="I626" i="11"/>
  <c r="E626" i="11"/>
  <c r="C626" i="11"/>
  <c r="S625" i="11"/>
  <c r="T625" i="11" s="1"/>
  <c r="R625" i="11"/>
  <c r="O625" i="11"/>
  <c r="K625" i="11"/>
  <c r="I625" i="11"/>
  <c r="E625" i="11"/>
  <c r="C625" i="11"/>
  <c r="S545" i="11"/>
  <c r="U545" i="11" s="1"/>
  <c r="R545" i="11"/>
  <c r="O545" i="11"/>
  <c r="K546" i="11"/>
  <c r="I546" i="11"/>
  <c r="E546" i="11"/>
  <c r="C546" i="11"/>
  <c r="K545" i="11"/>
  <c r="I545" i="11"/>
  <c r="E545" i="11"/>
  <c r="C545" i="11"/>
  <c r="S544" i="11"/>
  <c r="U544" i="11" s="1"/>
  <c r="R544" i="11"/>
  <c r="O544" i="11"/>
  <c r="K544" i="11"/>
  <c r="I544" i="11"/>
  <c r="E544" i="11"/>
  <c r="C544" i="11"/>
  <c r="S259" i="11"/>
  <c r="U259" i="11" s="1"/>
  <c r="R259" i="11"/>
  <c r="O259" i="11"/>
  <c r="S258" i="11"/>
  <c r="U258" i="11" s="1"/>
  <c r="R258" i="11"/>
  <c r="O258" i="11"/>
  <c r="S257" i="11"/>
  <c r="T257" i="11" s="1"/>
  <c r="R257" i="11"/>
  <c r="O257" i="11"/>
  <c r="K259" i="11"/>
  <c r="I259" i="11"/>
  <c r="E259" i="11"/>
  <c r="C259" i="11"/>
  <c r="K258" i="11"/>
  <c r="I258" i="11"/>
  <c r="E258" i="11"/>
  <c r="C258" i="11"/>
  <c r="K257" i="11"/>
  <c r="I257" i="11"/>
  <c r="E257" i="11"/>
  <c r="C257" i="11"/>
  <c r="S256" i="11"/>
  <c r="U256" i="11" s="1"/>
  <c r="R256" i="11"/>
  <c r="O256" i="11"/>
  <c r="K256" i="11"/>
  <c r="I256" i="11"/>
  <c r="E256" i="11"/>
  <c r="C256" i="11"/>
  <c r="K99" i="11"/>
  <c r="K98" i="11"/>
  <c r="K97" i="11"/>
  <c r="S99" i="11"/>
  <c r="U99" i="11" s="1"/>
  <c r="R99" i="11"/>
  <c r="O99" i="11"/>
  <c r="I99" i="11"/>
  <c r="E99" i="11"/>
  <c r="C99" i="11"/>
  <c r="S98" i="11"/>
  <c r="U98" i="11" s="1"/>
  <c r="R98" i="11"/>
  <c r="O98" i="11"/>
  <c r="I98" i="11"/>
  <c r="E98" i="11"/>
  <c r="C98" i="11"/>
  <c r="R97" i="11"/>
  <c r="S97" i="11"/>
  <c r="U97" i="11" s="1"/>
  <c r="O97" i="11"/>
  <c r="I97" i="11"/>
  <c r="E97" i="11"/>
  <c r="C97" i="11"/>
  <c r="K205" i="11"/>
  <c r="K204" i="11"/>
  <c r="K203" i="11"/>
  <c r="K202" i="11"/>
  <c r="I205" i="11"/>
  <c r="E205" i="11"/>
  <c r="C205" i="11"/>
  <c r="I204" i="11"/>
  <c r="E204" i="11"/>
  <c r="C204" i="11"/>
  <c r="S203" i="11"/>
  <c r="U203" i="11" s="1"/>
  <c r="R203" i="11"/>
  <c r="O203" i="11"/>
  <c r="I203" i="11"/>
  <c r="E203" i="11"/>
  <c r="C203" i="11"/>
  <c r="R202" i="11"/>
  <c r="S202" i="11"/>
  <c r="U202" i="11" s="1"/>
  <c r="O202" i="11"/>
  <c r="I202" i="11"/>
  <c r="E202" i="11"/>
  <c r="C202" i="11"/>
  <c r="S91" i="11"/>
  <c r="U91" i="11" s="1"/>
  <c r="R91" i="11"/>
  <c r="O91" i="11"/>
  <c r="S90" i="11"/>
  <c r="U90" i="11" s="1"/>
  <c r="R90" i="11"/>
  <c r="O90" i="11"/>
  <c r="K91" i="11"/>
  <c r="I91" i="11"/>
  <c r="E91" i="11"/>
  <c r="C91" i="11"/>
  <c r="K90" i="11"/>
  <c r="I90" i="11"/>
  <c r="E90" i="11"/>
  <c r="C90" i="11"/>
  <c r="S89" i="11"/>
  <c r="T89" i="11" s="1"/>
  <c r="R89" i="11"/>
  <c r="O89" i="11"/>
  <c r="K89" i="11"/>
  <c r="I89" i="11"/>
  <c r="E89" i="11"/>
  <c r="C89" i="11"/>
  <c r="S110" i="11"/>
  <c r="U110" i="11" s="1"/>
  <c r="R110" i="11"/>
  <c r="O110" i="11"/>
  <c r="S543" i="11"/>
  <c r="T543" i="11" s="1"/>
  <c r="R543" i="11"/>
  <c r="O543" i="11"/>
  <c r="K543" i="11"/>
  <c r="I543" i="11"/>
  <c r="E543" i="11"/>
  <c r="C543" i="11"/>
  <c r="S386" i="11"/>
  <c r="U386" i="11" s="1"/>
  <c r="R386" i="11"/>
  <c r="O386" i="11"/>
  <c r="K386" i="11"/>
  <c r="I386" i="11"/>
  <c r="E386" i="11"/>
  <c r="C386" i="11"/>
  <c r="S59" i="11"/>
  <c r="U59" i="11" s="1"/>
  <c r="R59" i="11"/>
  <c r="O59" i="11"/>
  <c r="S58" i="11"/>
  <c r="U58" i="11" s="1"/>
  <c r="R58" i="11"/>
  <c r="O58" i="11"/>
  <c r="K60" i="11"/>
  <c r="I60" i="11"/>
  <c r="E60" i="11"/>
  <c r="C60" i="11"/>
  <c r="K59" i="11"/>
  <c r="I59" i="11"/>
  <c r="E59" i="11"/>
  <c r="C59" i="11"/>
  <c r="K58" i="11"/>
  <c r="I58" i="11"/>
  <c r="E58" i="11"/>
  <c r="C58" i="11"/>
  <c r="S57" i="11"/>
  <c r="U57" i="11" s="1"/>
  <c r="R57" i="11"/>
  <c r="O57" i="11"/>
  <c r="K57" i="11"/>
  <c r="I57" i="11"/>
  <c r="E57" i="11"/>
  <c r="C57" i="11"/>
  <c r="S88" i="11"/>
  <c r="U88" i="11" s="1"/>
  <c r="R88" i="11"/>
  <c r="O88" i="11"/>
  <c r="S385" i="11"/>
  <c r="U385" i="11" s="1"/>
  <c r="R385" i="11"/>
  <c r="O385" i="11"/>
  <c r="K385" i="11"/>
  <c r="I385" i="11"/>
  <c r="E385" i="11"/>
  <c r="C385" i="11"/>
  <c r="S376" i="11"/>
  <c r="U376" i="11" s="1"/>
  <c r="R376" i="11"/>
  <c r="O376" i="11"/>
  <c r="K376" i="11"/>
  <c r="I376" i="11"/>
  <c r="E376" i="11"/>
  <c r="C376" i="11"/>
  <c r="S375" i="11"/>
  <c r="U375" i="11" s="1"/>
  <c r="R375" i="11"/>
  <c r="O375" i="11"/>
  <c r="K375" i="11"/>
  <c r="I375" i="11"/>
  <c r="E375" i="11"/>
  <c r="C375" i="11"/>
  <c r="S286" i="11"/>
  <c r="U286" i="11" s="1"/>
  <c r="R286" i="11"/>
  <c r="O286" i="11"/>
  <c r="S285" i="11"/>
  <c r="U285" i="11" s="1"/>
  <c r="R285" i="11"/>
  <c r="O285" i="11"/>
  <c r="K286" i="11"/>
  <c r="I286" i="11"/>
  <c r="E286" i="11"/>
  <c r="C286" i="11"/>
  <c r="K285" i="11"/>
  <c r="I285" i="11"/>
  <c r="E285" i="11"/>
  <c r="C285" i="11"/>
  <c r="S284" i="11"/>
  <c r="U284" i="11" s="1"/>
  <c r="R284" i="11"/>
  <c r="O284" i="11"/>
  <c r="K284" i="11"/>
  <c r="I284" i="11"/>
  <c r="E284" i="11"/>
  <c r="C284" i="11"/>
  <c r="S213" i="11"/>
  <c r="U213" i="11" s="1"/>
  <c r="R213" i="11"/>
  <c r="O213" i="11"/>
  <c r="S212" i="11"/>
  <c r="U212" i="11" s="1"/>
  <c r="R212" i="11"/>
  <c r="O212" i="11"/>
  <c r="K213" i="11"/>
  <c r="I213" i="11"/>
  <c r="E213" i="11"/>
  <c r="C213" i="11"/>
  <c r="K212" i="11"/>
  <c r="I212" i="11"/>
  <c r="E212" i="11"/>
  <c r="C212" i="11"/>
  <c r="S211" i="11"/>
  <c r="U211" i="11" s="1"/>
  <c r="R211" i="11"/>
  <c r="O211" i="11"/>
  <c r="K211" i="11"/>
  <c r="I211" i="11"/>
  <c r="E211" i="11"/>
  <c r="C211" i="11"/>
  <c r="S637" i="11"/>
  <c r="U637" i="11" s="1"/>
  <c r="R637" i="11"/>
  <c r="O637" i="11"/>
  <c r="S636" i="11"/>
  <c r="T636" i="11" s="1"/>
  <c r="R636" i="11"/>
  <c r="O636" i="11"/>
  <c r="S635" i="11"/>
  <c r="U635" i="11" s="1"/>
  <c r="R635" i="11"/>
  <c r="O635" i="11"/>
  <c r="K639" i="11"/>
  <c r="I639" i="11"/>
  <c r="E639" i="11"/>
  <c r="C639" i="11"/>
  <c r="K638" i="11"/>
  <c r="I638" i="11"/>
  <c r="E638" i="11"/>
  <c r="C638" i="11"/>
  <c r="K637" i="11"/>
  <c r="I637" i="11"/>
  <c r="E637" i="11"/>
  <c r="C637" i="11"/>
  <c r="K636" i="11"/>
  <c r="I636" i="11"/>
  <c r="E636" i="11"/>
  <c r="C636" i="11"/>
  <c r="K635" i="11"/>
  <c r="I635" i="11"/>
  <c r="E635" i="11"/>
  <c r="C635" i="11"/>
  <c r="S634" i="11"/>
  <c r="U634" i="11" s="1"/>
  <c r="R634" i="11"/>
  <c r="O634" i="11"/>
  <c r="K634" i="11"/>
  <c r="I634" i="11"/>
  <c r="E634" i="11"/>
  <c r="C634" i="11"/>
  <c r="S624" i="11"/>
  <c r="U624" i="11" s="1"/>
  <c r="R624" i="11"/>
  <c r="O624" i="11"/>
  <c r="K624" i="11"/>
  <c r="I624" i="11"/>
  <c r="E624" i="11"/>
  <c r="C624" i="11"/>
  <c r="S623" i="11"/>
  <c r="T623" i="11" s="1"/>
  <c r="R623" i="11"/>
  <c r="O623" i="11"/>
  <c r="K623" i="11"/>
  <c r="I623" i="11"/>
  <c r="E623" i="11"/>
  <c r="C623" i="11"/>
  <c r="S585" i="11"/>
  <c r="U585" i="11" s="1"/>
  <c r="R585" i="11"/>
  <c r="O585" i="11"/>
  <c r="S584" i="11"/>
  <c r="T584" i="11" s="1"/>
  <c r="R584" i="11"/>
  <c r="O584" i="11"/>
  <c r="K586" i="11"/>
  <c r="I586" i="11"/>
  <c r="E586" i="11"/>
  <c r="C586" i="11"/>
  <c r="K585" i="11"/>
  <c r="I585" i="11"/>
  <c r="E585" i="11"/>
  <c r="C585" i="11"/>
  <c r="K584" i="11"/>
  <c r="I584" i="11"/>
  <c r="E584" i="11"/>
  <c r="C584" i="11"/>
  <c r="S583" i="11"/>
  <c r="U583" i="11" s="1"/>
  <c r="R583" i="11"/>
  <c r="O583" i="11"/>
  <c r="K583" i="11"/>
  <c r="I583" i="11"/>
  <c r="E583" i="11"/>
  <c r="C583" i="11"/>
  <c r="S255" i="11"/>
  <c r="T255" i="11" s="1"/>
  <c r="R255" i="11"/>
  <c r="O255" i="11"/>
  <c r="K254" i="11"/>
  <c r="K255" i="11"/>
  <c r="I255" i="11"/>
  <c r="E255" i="11"/>
  <c r="C255" i="11"/>
  <c r="S254" i="11"/>
  <c r="T254" i="11" s="1"/>
  <c r="R254" i="11"/>
  <c r="O254" i="11"/>
  <c r="I254" i="11"/>
  <c r="E254" i="11"/>
  <c r="C254" i="11"/>
  <c r="S483" i="11"/>
  <c r="U483" i="11" s="1"/>
  <c r="R483" i="11"/>
  <c r="O483" i="11"/>
  <c r="S482" i="11"/>
  <c r="U482" i="11" s="1"/>
  <c r="R482" i="11"/>
  <c r="O482" i="11"/>
  <c r="K483" i="11"/>
  <c r="I483" i="11"/>
  <c r="E483" i="11"/>
  <c r="C483" i="11"/>
  <c r="S240" i="11"/>
  <c r="U240" i="11" s="1"/>
  <c r="R240" i="11"/>
  <c r="O240" i="11"/>
  <c r="S239" i="11"/>
  <c r="T239" i="11" s="1"/>
  <c r="R239" i="11"/>
  <c r="O239" i="11"/>
  <c r="S238" i="11"/>
  <c r="U238" i="11" s="1"/>
  <c r="R238" i="11"/>
  <c r="O238" i="11"/>
  <c r="K242" i="11"/>
  <c r="I242" i="11"/>
  <c r="E242" i="11"/>
  <c r="C242" i="11"/>
  <c r="K241" i="11"/>
  <c r="I241" i="11"/>
  <c r="E241" i="11"/>
  <c r="C241" i="11"/>
  <c r="K240" i="11"/>
  <c r="I240" i="11"/>
  <c r="E240" i="11"/>
  <c r="C240" i="11"/>
  <c r="K239" i="11"/>
  <c r="I239" i="11"/>
  <c r="E239" i="11"/>
  <c r="C239" i="11"/>
  <c r="K238" i="11"/>
  <c r="I238" i="11"/>
  <c r="E238" i="11"/>
  <c r="C238" i="11"/>
  <c r="S237" i="11"/>
  <c r="T237" i="11" s="1"/>
  <c r="R237" i="11"/>
  <c r="O237" i="11"/>
  <c r="K237" i="11"/>
  <c r="I237" i="11"/>
  <c r="E237" i="11"/>
  <c r="C237" i="11"/>
  <c r="S314" i="11"/>
  <c r="U314" i="11" s="1"/>
  <c r="R314" i="11"/>
  <c r="O314" i="11"/>
  <c r="S313" i="11"/>
  <c r="U313" i="11" s="1"/>
  <c r="R313" i="11"/>
  <c r="O313" i="11"/>
  <c r="S312" i="11"/>
  <c r="T312" i="11" s="1"/>
  <c r="R312" i="11"/>
  <c r="O312" i="11"/>
  <c r="S311" i="11"/>
  <c r="U311" i="11" s="1"/>
  <c r="R311" i="11"/>
  <c r="O311" i="11"/>
  <c r="S310" i="11"/>
  <c r="U310" i="11" s="1"/>
  <c r="R310" i="11"/>
  <c r="O310" i="11"/>
  <c r="K314" i="11"/>
  <c r="I314" i="11"/>
  <c r="E314" i="11"/>
  <c r="C314" i="11"/>
  <c r="K313" i="11"/>
  <c r="I313" i="11"/>
  <c r="E313" i="11"/>
  <c r="C313" i="11"/>
  <c r="K312" i="11"/>
  <c r="I312" i="11"/>
  <c r="E312" i="11"/>
  <c r="C312" i="11"/>
  <c r="K311" i="11"/>
  <c r="I311" i="11"/>
  <c r="E311" i="11"/>
  <c r="C311" i="11"/>
  <c r="K310" i="11"/>
  <c r="I310" i="11"/>
  <c r="E310" i="11"/>
  <c r="C310" i="11"/>
  <c r="S309" i="11"/>
  <c r="T309" i="11" s="1"/>
  <c r="R309" i="11"/>
  <c r="O309" i="11"/>
  <c r="K309" i="11"/>
  <c r="I309" i="11"/>
  <c r="E309" i="11"/>
  <c r="C309" i="11"/>
  <c r="U448" i="11"/>
  <c r="T448" i="11"/>
  <c r="R448" i="11"/>
  <c r="O448" i="11"/>
  <c r="U447" i="11"/>
  <c r="T447" i="11"/>
  <c r="R447" i="11"/>
  <c r="O447" i="11"/>
  <c r="U446" i="11"/>
  <c r="T446" i="11"/>
  <c r="R446" i="11"/>
  <c r="O446" i="11"/>
  <c r="U445" i="11"/>
  <c r="T445" i="11"/>
  <c r="R445" i="11"/>
  <c r="O445" i="11"/>
  <c r="K448" i="11"/>
  <c r="I448" i="11"/>
  <c r="E448" i="11"/>
  <c r="C448" i="11"/>
  <c r="K447" i="11"/>
  <c r="I447" i="11"/>
  <c r="E447" i="11"/>
  <c r="C447" i="11"/>
  <c r="K446" i="11"/>
  <c r="I446" i="11"/>
  <c r="E446" i="11"/>
  <c r="C446" i="11"/>
  <c r="K445" i="11"/>
  <c r="I445" i="11"/>
  <c r="E445" i="11"/>
  <c r="C445" i="11"/>
  <c r="U444" i="11"/>
  <c r="R444" i="11"/>
  <c r="O444" i="11"/>
  <c r="K444" i="11"/>
  <c r="I444" i="11"/>
  <c r="E444" i="11"/>
  <c r="C444" i="11"/>
  <c r="S443" i="11"/>
  <c r="S517" i="11"/>
  <c r="U517" i="11" s="1"/>
  <c r="R517" i="11"/>
  <c r="O517" i="11"/>
  <c r="S516" i="11"/>
  <c r="T516" i="11" s="1"/>
  <c r="R516" i="11"/>
  <c r="O516" i="11"/>
  <c r="S165" i="11"/>
  <c r="U165" i="11" s="1"/>
  <c r="R165" i="11"/>
  <c r="O165" i="11"/>
  <c r="S164" i="11"/>
  <c r="T164" i="11" s="1"/>
  <c r="R164" i="11"/>
  <c r="O164" i="11"/>
  <c r="S163" i="11"/>
  <c r="T163" i="11" s="1"/>
  <c r="R163" i="11"/>
  <c r="O163" i="11"/>
  <c r="S162" i="11"/>
  <c r="U162" i="11" s="1"/>
  <c r="R162" i="11"/>
  <c r="O162" i="11"/>
  <c r="K166" i="11"/>
  <c r="I166" i="11"/>
  <c r="E166" i="11"/>
  <c r="C166" i="11"/>
  <c r="K165" i="11"/>
  <c r="I165" i="11"/>
  <c r="E165" i="11"/>
  <c r="C165" i="11"/>
  <c r="K164" i="11"/>
  <c r="I164" i="11"/>
  <c r="E164" i="11"/>
  <c r="C164" i="11"/>
  <c r="S210" i="11"/>
  <c r="U210" i="11" s="1"/>
  <c r="R210" i="11"/>
  <c r="O210" i="11"/>
  <c r="K210" i="11"/>
  <c r="I210" i="11"/>
  <c r="E210" i="11"/>
  <c r="C210" i="11"/>
  <c r="R633" i="11"/>
  <c r="S633" i="11"/>
  <c r="U633" i="11" s="1"/>
  <c r="O633" i="11"/>
  <c r="K633" i="11"/>
  <c r="I633" i="11"/>
  <c r="E633" i="11"/>
  <c r="C633" i="11"/>
  <c r="K482" i="11"/>
  <c r="I482" i="11"/>
  <c r="E482" i="11"/>
  <c r="C482" i="11"/>
  <c r="S481" i="11"/>
  <c r="T481" i="11" s="1"/>
  <c r="R481" i="11"/>
  <c r="O481" i="11"/>
  <c r="K481" i="11"/>
  <c r="I481" i="11"/>
  <c r="E481" i="11"/>
  <c r="C481" i="11"/>
  <c r="S480" i="11"/>
  <c r="T480" i="11" s="1"/>
  <c r="R480" i="11"/>
  <c r="O480" i="11"/>
  <c r="S542" i="11"/>
  <c r="U542" i="11" s="1"/>
  <c r="R542" i="11"/>
  <c r="O542" i="11"/>
  <c r="S541" i="11"/>
  <c r="U541" i="11" s="1"/>
  <c r="R541" i="11"/>
  <c r="O541" i="11"/>
  <c r="S56" i="11"/>
  <c r="U56" i="11" s="1"/>
  <c r="R56" i="11"/>
  <c r="O56" i="11"/>
  <c r="S55" i="11"/>
  <c r="U55" i="11" s="1"/>
  <c r="R55" i="11"/>
  <c r="O55" i="11"/>
  <c r="U289" i="11" l="1"/>
  <c r="T586" i="11"/>
  <c r="T594" i="11"/>
  <c r="U593" i="11"/>
  <c r="T595" i="11"/>
  <c r="T388" i="11"/>
  <c r="T387" i="11"/>
  <c r="T627" i="11"/>
  <c r="U625" i="11"/>
  <c r="T626" i="11"/>
  <c r="T545" i="11"/>
  <c r="T544" i="11"/>
  <c r="U257" i="11"/>
  <c r="T258" i="11"/>
  <c r="T259" i="11"/>
  <c r="T256" i="11"/>
  <c r="T98" i="11"/>
  <c r="T97" i="11"/>
  <c r="T99" i="11"/>
  <c r="T203" i="11"/>
  <c r="T202" i="11"/>
  <c r="T90" i="11"/>
  <c r="T91" i="11"/>
  <c r="U89" i="11"/>
  <c r="T110" i="11"/>
  <c r="U543" i="11"/>
  <c r="T386" i="11"/>
  <c r="T58" i="11"/>
  <c r="T59" i="11"/>
  <c r="T57" i="11"/>
  <c r="T88" i="11"/>
  <c r="T385" i="11"/>
  <c r="T376" i="11"/>
  <c r="T375" i="11"/>
  <c r="T286" i="11"/>
  <c r="T285" i="11"/>
  <c r="T284" i="11"/>
  <c r="T213" i="11"/>
  <c r="T212" i="11"/>
  <c r="T211" i="11"/>
  <c r="U636" i="11"/>
  <c r="T635" i="11"/>
  <c r="T637" i="11"/>
  <c r="T634" i="11"/>
  <c r="T624" i="11"/>
  <c r="U623" i="11"/>
  <c r="U584" i="11"/>
  <c r="T585" i="11"/>
  <c r="T583" i="11"/>
  <c r="U255" i="11"/>
  <c r="U254" i="11"/>
  <c r="U239" i="11"/>
  <c r="T483" i="11"/>
  <c r="T482" i="11"/>
  <c r="T240" i="11"/>
  <c r="T238" i="11"/>
  <c r="U237" i="11"/>
  <c r="T311" i="11"/>
  <c r="U312" i="11"/>
  <c r="T314" i="11"/>
  <c r="T310" i="11"/>
  <c r="T313" i="11"/>
  <c r="U309" i="11"/>
  <c r="T444" i="11"/>
  <c r="U164" i="11"/>
  <c r="U163" i="11"/>
  <c r="U516" i="11"/>
  <c r="T517" i="11"/>
  <c r="T162" i="11"/>
  <c r="T165" i="11"/>
  <c r="T633" i="11"/>
  <c r="T210" i="11"/>
  <c r="U481" i="11"/>
  <c r="T542" i="11"/>
  <c r="T56" i="11"/>
  <c r="T541" i="11"/>
  <c r="U480" i="11"/>
  <c r="T55" i="11"/>
  <c r="S374" i="11"/>
  <c r="U374" i="11" s="1"/>
  <c r="R374" i="11"/>
  <c r="O374" i="11"/>
  <c r="U443" i="11"/>
  <c r="R443" i="11"/>
  <c r="O443" i="11"/>
  <c r="S283" i="11"/>
  <c r="U283" i="11" s="1"/>
  <c r="R283" i="11"/>
  <c r="O283" i="11"/>
  <c r="K283" i="11"/>
  <c r="I283" i="11"/>
  <c r="E283" i="11"/>
  <c r="C283" i="11"/>
  <c r="S282" i="11"/>
  <c r="U282" i="11" s="1"/>
  <c r="R282" i="11"/>
  <c r="O282" i="11"/>
  <c r="K282" i="11"/>
  <c r="I282" i="11"/>
  <c r="E282" i="11"/>
  <c r="C282" i="11"/>
  <c r="S281" i="11"/>
  <c r="U281" i="11" s="1"/>
  <c r="R281" i="11"/>
  <c r="O281" i="11"/>
  <c r="K281" i="11"/>
  <c r="I281" i="11"/>
  <c r="E281" i="11"/>
  <c r="C281" i="11"/>
  <c r="S253" i="11"/>
  <c r="U253" i="11" s="1"/>
  <c r="R253" i="11"/>
  <c r="O253" i="11"/>
  <c r="K253" i="11"/>
  <c r="I253" i="11"/>
  <c r="E253" i="11"/>
  <c r="C253" i="11"/>
  <c r="S252" i="11"/>
  <c r="U252" i="11" s="1"/>
  <c r="R252" i="11"/>
  <c r="O252" i="11"/>
  <c r="K252" i="11"/>
  <c r="I252" i="11"/>
  <c r="E252" i="11"/>
  <c r="C252" i="11"/>
  <c r="S251" i="11"/>
  <c r="U251" i="11" s="1"/>
  <c r="R251" i="11"/>
  <c r="O251" i="11"/>
  <c r="K251" i="11"/>
  <c r="I251" i="11"/>
  <c r="E251" i="11"/>
  <c r="C251" i="11"/>
  <c r="S87" i="11"/>
  <c r="T87" i="11" s="1"/>
  <c r="R87" i="11"/>
  <c r="O87" i="11"/>
  <c r="S86" i="11"/>
  <c r="U86" i="11" s="1"/>
  <c r="R86" i="11"/>
  <c r="O86" i="11"/>
  <c r="S85" i="11"/>
  <c r="U85" i="11" s="1"/>
  <c r="R85" i="11"/>
  <c r="O85" i="11"/>
  <c r="K88" i="11"/>
  <c r="I88" i="11"/>
  <c r="E88" i="11"/>
  <c r="C88" i="11"/>
  <c r="K87" i="11"/>
  <c r="I87" i="11"/>
  <c r="E87" i="11"/>
  <c r="C87" i="11"/>
  <c r="K86" i="11"/>
  <c r="I86" i="11"/>
  <c r="E86" i="11"/>
  <c r="C86" i="11"/>
  <c r="K85" i="11"/>
  <c r="I85" i="11"/>
  <c r="E85" i="11"/>
  <c r="C85" i="11"/>
  <c r="S84" i="11"/>
  <c r="U84" i="11" s="1"/>
  <c r="R84" i="11"/>
  <c r="O84" i="11"/>
  <c r="K84" i="11"/>
  <c r="I84" i="11"/>
  <c r="E84" i="11"/>
  <c r="C84" i="11"/>
  <c r="S236" i="11"/>
  <c r="U236" i="11" s="1"/>
  <c r="R236" i="11"/>
  <c r="O236" i="11"/>
  <c r="S235" i="11"/>
  <c r="T235" i="11" s="1"/>
  <c r="R235" i="11"/>
  <c r="O235" i="11"/>
  <c r="K236" i="11"/>
  <c r="I236" i="11"/>
  <c r="E236" i="11"/>
  <c r="C236" i="11"/>
  <c r="K235" i="11"/>
  <c r="I235" i="11"/>
  <c r="E235" i="11"/>
  <c r="C235" i="11"/>
  <c r="S234" i="11"/>
  <c r="T234" i="11" s="1"/>
  <c r="R234" i="11"/>
  <c r="O234" i="11"/>
  <c r="K234" i="11"/>
  <c r="I234" i="11"/>
  <c r="E234" i="11"/>
  <c r="C234" i="11"/>
  <c r="K517" i="11"/>
  <c r="I517" i="11"/>
  <c r="E517" i="11"/>
  <c r="C517" i="11"/>
  <c r="K516" i="11"/>
  <c r="I516" i="11"/>
  <c r="E516" i="11"/>
  <c r="C516" i="11"/>
  <c r="S515" i="11"/>
  <c r="U515" i="11" s="1"/>
  <c r="R515" i="11"/>
  <c r="O515" i="11"/>
  <c r="K515" i="11"/>
  <c r="I515" i="11"/>
  <c r="E515" i="11"/>
  <c r="C515" i="11"/>
  <c r="S514" i="11"/>
  <c r="U514" i="11" s="1"/>
  <c r="R514" i="11"/>
  <c r="O514" i="11"/>
  <c r="K514" i="11"/>
  <c r="I514" i="11"/>
  <c r="E514" i="11"/>
  <c r="C514" i="11"/>
  <c r="S513" i="11"/>
  <c r="U513" i="11" s="1"/>
  <c r="R513" i="11"/>
  <c r="O513" i="11"/>
  <c r="K513" i="11"/>
  <c r="I513" i="11"/>
  <c r="E513" i="11"/>
  <c r="C513" i="11"/>
  <c r="S346" i="11"/>
  <c r="U346" i="11" s="1"/>
  <c r="R346" i="11"/>
  <c r="O346" i="11"/>
  <c r="K346" i="11"/>
  <c r="I346" i="11"/>
  <c r="E346" i="11"/>
  <c r="C346" i="11"/>
  <c r="S345" i="11"/>
  <c r="U345" i="11" s="1"/>
  <c r="R345" i="11"/>
  <c r="O345" i="11"/>
  <c r="K345" i="11"/>
  <c r="I345" i="11"/>
  <c r="E345" i="11"/>
  <c r="C345" i="11"/>
  <c r="S344" i="11"/>
  <c r="U344" i="11" s="1"/>
  <c r="R344" i="11"/>
  <c r="O344" i="11"/>
  <c r="K344" i="11"/>
  <c r="I344" i="11"/>
  <c r="E344" i="11"/>
  <c r="C344" i="11"/>
  <c r="S343" i="11"/>
  <c r="U343" i="11" s="1"/>
  <c r="R343" i="11"/>
  <c r="O343" i="11"/>
  <c r="K343" i="11"/>
  <c r="I343" i="11"/>
  <c r="E343" i="11"/>
  <c r="C343" i="11"/>
  <c r="S342" i="11"/>
  <c r="U342" i="11" s="1"/>
  <c r="R342" i="11"/>
  <c r="O342" i="11"/>
  <c r="K342" i="11"/>
  <c r="I342" i="11"/>
  <c r="E342" i="11"/>
  <c r="C342" i="11"/>
  <c r="S341" i="11"/>
  <c r="U341" i="11" s="1"/>
  <c r="R341" i="11"/>
  <c r="O341" i="11"/>
  <c r="K341" i="11"/>
  <c r="I341" i="11"/>
  <c r="E341" i="11"/>
  <c r="C341" i="11"/>
  <c r="K163" i="11"/>
  <c r="K162" i="11"/>
  <c r="S161" i="11"/>
  <c r="U161" i="11" s="1"/>
  <c r="R161" i="11"/>
  <c r="O161" i="11"/>
  <c r="K161" i="11"/>
  <c r="S160" i="11"/>
  <c r="U160" i="11" s="1"/>
  <c r="R160" i="11"/>
  <c r="O160" i="11"/>
  <c r="K160" i="11"/>
  <c r="I163" i="11"/>
  <c r="E163" i="11"/>
  <c r="C163" i="11"/>
  <c r="I162" i="11"/>
  <c r="E162" i="11"/>
  <c r="C162" i="11"/>
  <c r="I161" i="11"/>
  <c r="E161" i="11"/>
  <c r="C161" i="11"/>
  <c r="I160" i="11"/>
  <c r="E160" i="11"/>
  <c r="C160" i="11"/>
  <c r="S159" i="11"/>
  <c r="U159" i="11" s="1"/>
  <c r="R159" i="11"/>
  <c r="O159" i="11"/>
  <c r="K159" i="11"/>
  <c r="I159" i="11"/>
  <c r="E159" i="11"/>
  <c r="C159" i="11"/>
  <c r="S622" i="11"/>
  <c r="U622" i="11" s="1"/>
  <c r="R622" i="11"/>
  <c r="O622" i="11"/>
  <c r="S621" i="11"/>
  <c r="U621" i="11" s="1"/>
  <c r="R621" i="11"/>
  <c r="O621" i="11"/>
  <c r="K622" i="11"/>
  <c r="I622" i="11"/>
  <c r="E622" i="11"/>
  <c r="C622" i="11"/>
  <c r="K621" i="11"/>
  <c r="I621" i="11"/>
  <c r="E621" i="11"/>
  <c r="C621" i="11"/>
  <c r="S620" i="11"/>
  <c r="U620" i="11" s="1"/>
  <c r="R620" i="11"/>
  <c r="O620" i="11"/>
  <c r="K620" i="11"/>
  <c r="I620" i="11"/>
  <c r="E620" i="11"/>
  <c r="C620" i="11"/>
  <c r="O105" i="11"/>
  <c r="O106" i="11"/>
  <c r="O107" i="11"/>
  <c r="O108" i="11"/>
  <c r="O109" i="11"/>
  <c r="K110" i="11"/>
  <c r="K109" i="11"/>
  <c r="K108" i="11"/>
  <c r="K107" i="11"/>
  <c r="K106" i="11"/>
  <c r="I110" i="11"/>
  <c r="E110" i="11"/>
  <c r="C110" i="11"/>
  <c r="S109" i="11"/>
  <c r="U109" i="11" s="1"/>
  <c r="R109" i="11"/>
  <c r="I109" i="11"/>
  <c r="E109" i="11"/>
  <c r="C109" i="11"/>
  <c r="S108" i="11"/>
  <c r="U108" i="11" s="1"/>
  <c r="R108" i="11"/>
  <c r="I108" i="11"/>
  <c r="E108" i="11"/>
  <c r="C108" i="11"/>
  <c r="S107" i="11"/>
  <c r="U107" i="11" s="1"/>
  <c r="R107" i="11"/>
  <c r="I107" i="11"/>
  <c r="E107" i="11"/>
  <c r="C107" i="11"/>
  <c r="S106" i="11"/>
  <c r="U106" i="11" s="1"/>
  <c r="R106" i="11"/>
  <c r="I106" i="11"/>
  <c r="E106" i="11"/>
  <c r="C106" i="11"/>
  <c r="S105" i="11"/>
  <c r="U105" i="11" s="1"/>
  <c r="R105" i="11"/>
  <c r="I105" i="11"/>
  <c r="E105" i="11"/>
  <c r="C105" i="11"/>
  <c r="O669" i="11"/>
  <c r="O668" i="11"/>
  <c r="O667" i="11"/>
  <c r="O666" i="11"/>
  <c r="O665" i="11"/>
  <c r="O664" i="11"/>
  <c r="O663" i="11"/>
  <c r="O662" i="11"/>
  <c r="O661" i="11"/>
  <c r="O660" i="11"/>
  <c r="O659" i="11"/>
  <c r="O658" i="11"/>
  <c r="O657" i="11"/>
  <c r="O656" i="11"/>
  <c r="O619" i="11"/>
  <c r="O618" i="11"/>
  <c r="O617" i="11"/>
  <c r="O616" i="11"/>
  <c r="O615" i="11"/>
  <c r="O614" i="11"/>
  <c r="O613" i="11"/>
  <c r="O612" i="11"/>
  <c r="O611" i="11"/>
  <c r="O610" i="11"/>
  <c r="O609" i="11"/>
  <c r="O608" i="11"/>
  <c r="O607" i="11"/>
  <c r="O606" i="11"/>
  <c r="O605" i="11"/>
  <c r="O604" i="11"/>
  <c r="O603" i="11"/>
  <c r="O602" i="11"/>
  <c r="O601" i="11"/>
  <c r="O582" i="11"/>
  <c r="O581" i="11"/>
  <c r="O580" i="11"/>
  <c r="O579" i="11"/>
  <c r="O578" i="11"/>
  <c r="O577" i="11"/>
  <c r="O576" i="11"/>
  <c r="O575" i="11"/>
  <c r="O574" i="11"/>
  <c r="O573" i="11"/>
  <c r="O572" i="11"/>
  <c r="O571" i="11"/>
  <c r="O570" i="11"/>
  <c r="O569" i="11"/>
  <c r="O568" i="11"/>
  <c r="O567" i="11"/>
  <c r="O566" i="11"/>
  <c r="O565" i="11"/>
  <c r="O564" i="11"/>
  <c r="O563" i="11"/>
  <c r="O562" i="11"/>
  <c r="O561" i="11"/>
  <c r="O540" i="11"/>
  <c r="O539" i="11"/>
  <c r="O538" i="11"/>
  <c r="O537" i="11"/>
  <c r="O536" i="11"/>
  <c r="O535" i="11"/>
  <c r="O534" i="11"/>
  <c r="O533" i="11"/>
  <c r="O532" i="11"/>
  <c r="O531" i="11"/>
  <c r="O530" i="11"/>
  <c r="O529" i="11"/>
  <c r="O528" i="11"/>
  <c r="O527" i="11"/>
  <c r="O526" i="11"/>
  <c r="O512" i="11"/>
  <c r="O511" i="11"/>
  <c r="O510" i="11"/>
  <c r="O509" i="11"/>
  <c r="O508" i="11"/>
  <c r="O507" i="11"/>
  <c r="O506" i="11"/>
  <c r="O505" i="11"/>
  <c r="O504" i="11"/>
  <c r="O503" i="11"/>
  <c r="O502" i="11"/>
  <c r="O501" i="11"/>
  <c r="O500" i="11"/>
  <c r="O499" i="11"/>
  <c r="O498" i="11"/>
  <c r="O497" i="11"/>
  <c r="O496" i="11"/>
  <c r="O495" i="11"/>
  <c r="O494" i="11"/>
  <c r="O493" i="11"/>
  <c r="O492" i="11"/>
  <c r="O491" i="11"/>
  <c r="O490" i="11"/>
  <c r="O479" i="11"/>
  <c r="O478" i="11"/>
  <c r="O477" i="11"/>
  <c r="O476" i="11"/>
  <c r="O475" i="11"/>
  <c r="O474" i="11"/>
  <c r="O473" i="11"/>
  <c r="O472" i="11"/>
  <c r="O471" i="11"/>
  <c r="O470" i="11"/>
  <c r="O469" i="11"/>
  <c r="O468" i="11"/>
  <c r="O467" i="11"/>
  <c r="O466" i="11"/>
  <c r="O465" i="11"/>
  <c r="O464" i="11"/>
  <c r="O463" i="11"/>
  <c r="O462" i="11"/>
  <c r="O461" i="11"/>
  <c r="O460" i="11"/>
  <c r="O459" i="11"/>
  <c r="O458" i="11"/>
  <c r="O457" i="11"/>
  <c r="O456" i="11"/>
  <c r="O455" i="11"/>
  <c r="O454" i="11"/>
  <c r="O442" i="11"/>
  <c r="O441" i="11"/>
  <c r="O440" i="11"/>
  <c r="O439" i="11"/>
  <c r="O438" i="11"/>
  <c r="O437" i="11"/>
  <c r="O436" i="11"/>
  <c r="O435" i="11"/>
  <c r="O434" i="11"/>
  <c r="O433" i="11"/>
  <c r="O432" i="11"/>
  <c r="O431" i="11"/>
  <c r="O430" i="11"/>
  <c r="O429" i="11"/>
  <c r="O428" i="11"/>
  <c r="O427" i="11"/>
  <c r="O426" i="11"/>
  <c r="O425" i="11"/>
  <c r="O424" i="11"/>
  <c r="O423" i="11"/>
  <c r="O422" i="11"/>
  <c r="O421" i="11"/>
  <c r="O420" i="11"/>
  <c r="O419" i="11"/>
  <c r="O418" i="11"/>
  <c r="O417" i="11"/>
  <c r="O416" i="11"/>
  <c r="O415" i="11"/>
  <c r="O414" i="11"/>
  <c r="O413" i="11"/>
  <c r="O412" i="11"/>
  <c r="O411" i="11"/>
  <c r="O410" i="11"/>
  <c r="O409" i="11"/>
  <c r="O408" i="11"/>
  <c r="O407" i="11"/>
  <c r="O406" i="11"/>
  <c r="O405" i="11"/>
  <c r="O404" i="11"/>
  <c r="O403" i="11"/>
  <c r="O402" i="11"/>
  <c r="O401" i="11"/>
  <c r="O400" i="11"/>
  <c r="O399" i="11"/>
  <c r="O398" i="11"/>
  <c r="O397" i="11"/>
  <c r="O396" i="11"/>
  <c r="O395" i="11"/>
  <c r="O373" i="11"/>
  <c r="O372" i="11"/>
  <c r="O371" i="11"/>
  <c r="O370" i="11"/>
  <c r="O369" i="11"/>
  <c r="O368" i="11"/>
  <c r="O367" i="11"/>
  <c r="O366" i="11"/>
  <c r="O365" i="11"/>
  <c r="O364" i="11"/>
  <c r="O363" i="11"/>
  <c r="O362" i="11"/>
  <c r="O361" i="11"/>
  <c r="O360" i="11"/>
  <c r="O359" i="11"/>
  <c r="O358" i="11"/>
  <c r="O357" i="11"/>
  <c r="O356" i="11"/>
  <c r="O355" i="11"/>
  <c r="O354" i="11"/>
  <c r="O340" i="11"/>
  <c r="O339" i="11"/>
  <c r="O338" i="11"/>
  <c r="O337" i="11"/>
  <c r="O336" i="11"/>
  <c r="O335" i="11"/>
  <c r="O334" i="11"/>
  <c r="O333" i="11"/>
  <c r="O332" i="11"/>
  <c r="O331" i="11"/>
  <c r="O330" i="11"/>
  <c r="O329" i="11"/>
  <c r="O328" i="11"/>
  <c r="O327" i="11"/>
  <c r="O326" i="11"/>
  <c r="O325" i="11"/>
  <c r="O324" i="11"/>
  <c r="O323" i="11"/>
  <c r="O322" i="11"/>
  <c r="O321" i="11"/>
  <c r="O320" i="11"/>
  <c r="O319" i="11"/>
  <c r="O308" i="11"/>
  <c r="O307" i="11"/>
  <c r="O306" i="11"/>
  <c r="O305" i="11"/>
  <c r="O304" i="11"/>
  <c r="O303" i="11"/>
  <c r="O302" i="11"/>
  <c r="O301" i="11"/>
  <c r="O300" i="11"/>
  <c r="O299" i="11"/>
  <c r="O298" i="11"/>
  <c r="O297" i="11"/>
  <c r="O268" i="11"/>
  <c r="O267" i="11"/>
  <c r="O266" i="11"/>
  <c r="O265" i="11"/>
  <c r="O264" i="11"/>
  <c r="O250" i="11"/>
  <c r="O233" i="11"/>
  <c r="O232" i="11"/>
  <c r="O231" i="11"/>
  <c r="O230" i="11"/>
  <c r="O229" i="11"/>
  <c r="O228" i="11"/>
  <c r="O227" i="11"/>
  <c r="O226" i="11"/>
  <c r="O225" i="11"/>
  <c r="O224" i="11"/>
  <c r="O223" i="11"/>
  <c r="O222" i="11"/>
  <c r="O221" i="11"/>
  <c r="O220" i="11"/>
  <c r="O219" i="11"/>
  <c r="O218" i="11"/>
  <c r="O217" i="11"/>
  <c r="O216" i="11"/>
  <c r="O201" i="11"/>
  <c r="O200" i="11"/>
  <c r="O199" i="11"/>
  <c r="O198" i="11"/>
  <c r="O197" i="11"/>
  <c r="O196" i="11"/>
  <c r="O195" i="11"/>
  <c r="O194" i="11"/>
  <c r="O193" i="11"/>
  <c r="O192" i="11"/>
  <c r="O191" i="11"/>
  <c r="O190" i="11"/>
  <c r="O189" i="11"/>
  <c r="O188" i="11"/>
  <c r="O187" i="11"/>
  <c r="O186" i="11"/>
  <c r="O185" i="11"/>
  <c r="O184" i="11"/>
  <c r="O183" i="11"/>
  <c r="O182" i="11"/>
  <c r="O181" i="11"/>
  <c r="O180" i="11"/>
  <c r="O179" i="11"/>
  <c r="O178" i="11"/>
  <c r="O177" i="11"/>
  <c r="O176" i="11"/>
  <c r="O175" i="11"/>
  <c r="O174" i="11"/>
  <c r="O173" i="11"/>
  <c r="O172" i="11"/>
  <c r="O158" i="11"/>
  <c r="O157" i="11"/>
  <c r="O156" i="11"/>
  <c r="O155" i="11"/>
  <c r="O154" i="11"/>
  <c r="O153" i="11"/>
  <c r="O152" i="11"/>
  <c r="O151" i="11"/>
  <c r="O150" i="11"/>
  <c r="O149" i="11"/>
  <c r="O148" i="11"/>
  <c r="O147" i="11"/>
  <c r="O146" i="11"/>
  <c r="O145" i="11"/>
  <c r="O144" i="11"/>
  <c r="O143" i="11"/>
  <c r="O142" i="11"/>
  <c r="O141" i="11"/>
  <c r="O140" i="11"/>
  <c r="O133" i="11"/>
  <c r="O132" i="11"/>
  <c r="O131" i="11"/>
  <c r="O130" i="11"/>
  <c r="O129" i="11"/>
  <c r="O128" i="11"/>
  <c r="O127" i="11"/>
  <c r="O126" i="11"/>
  <c r="O125" i="11"/>
  <c r="O124" i="11"/>
  <c r="O123" i="11"/>
  <c r="O122" i="11"/>
  <c r="O121" i="11"/>
  <c r="O120" i="11"/>
  <c r="O119" i="11"/>
  <c r="O118" i="11"/>
  <c r="O83" i="11"/>
  <c r="O82" i="11"/>
  <c r="O81" i="11"/>
  <c r="O80" i="11"/>
  <c r="O79" i="11"/>
  <c r="O78" i="11"/>
  <c r="O77" i="11"/>
  <c r="O76" i="11"/>
  <c r="O75" i="11"/>
  <c r="O74" i="11"/>
  <c r="O73" i="11"/>
  <c r="O72" i="11"/>
  <c r="O71" i="11"/>
  <c r="O70" i="11"/>
  <c r="O69" i="11"/>
  <c r="O68" i="11"/>
  <c r="O67" i="11"/>
  <c r="O66" i="11"/>
  <c r="O54" i="11"/>
  <c r="O53" i="11"/>
  <c r="O52" i="11"/>
  <c r="O51" i="11"/>
  <c r="O50" i="11"/>
  <c r="O49" i="11"/>
  <c r="O48" i="11"/>
  <c r="O47" i="11"/>
  <c r="O46" i="11"/>
  <c r="O45" i="11"/>
  <c r="O44" i="11"/>
  <c r="O43" i="11"/>
  <c r="O42" i="11"/>
  <c r="O41" i="11"/>
  <c r="O40" i="11"/>
  <c r="O39" i="11"/>
  <c r="O38" i="11"/>
  <c r="O37" i="11"/>
  <c r="O36" i="11"/>
  <c r="O35" i="11"/>
  <c r="O32" i="11"/>
  <c r="O31" i="11"/>
  <c r="O30" i="11"/>
  <c r="O29" i="11"/>
  <c r="O28" i="11"/>
  <c r="O27" i="11"/>
  <c r="O26" i="11"/>
  <c r="O25" i="11"/>
  <c r="O24" i="11"/>
  <c r="O23" i="11"/>
  <c r="O22" i="11"/>
  <c r="O21" i="11"/>
  <c r="O20" i="11"/>
  <c r="O19" i="11"/>
  <c r="O18" i="11"/>
  <c r="O17" i="11"/>
  <c r="O16" i="11"/>
  <c r="O15" i="11"/>
  <c r="O14" i="11"/>
  <c r="O13" i="11"/>
  <c r="O12" i="11"/>
  <c r="O11" i="11"/>
  <c r="O10" i="11"/>
  <c r="O9" i="11"/>
  <c r="O8" i="11"/>
  <c r="O7" i="11"/>
  <c r="O6" i="11"/>
  <c r="K669" i="11"/>
  <c r="K668" i="11"/>
  <c r="K667" i="11"/>
  <c r="K666" i="11"/>
  <c r="K665" i="11"/>
  <c r="K664" i="11"/>
  <c r="K663" i="11"/>
  <c r="K662" i="11"/>
  <c r="K661" i="11"/>
  <c r="K660" i="11"/>
  <c r="K659" i="11"/>
  <c r="K658" i="11"/>
  <c r="K657" i="11"/>
  <c r="K656" i="11"/>
  <c r="K619" i="11"/>
  <c r="K618" i="11"/>
  <c r="K617" i="11"/>
  <c r="K616" i="11"/>
  <c r="K615" i="11"/>
  <c r="K614" i="11"/>
  <c r="K613" i="11"/>
  <c r="K612" i="11"/>
  <c r="K611" i="11"/>
  <c r="K610" i="11"/>
  <c r="K609" i="11"/>
  <c r="K608" i="11"/>
  <c r="K607" i="11"/>
  <c r="K606" i="11"/>
  <c r="K605" i="11"/>
  <c r="K604" i="11"/>
  <c r="K603" i="11"/>
  <c r="K602" i="11"/>
  <c r="K601" i="11"/>
  <c r="K582" i="11"/>
  <c r="K581" i="11"/>
  <c r="K580" i="11"/>
  <c r="K579" i="11"/>
  <c r="K578" i="11"/>
  <c r="K577" i="11"/>
  <c r="K576" i="11"/>
  <c r="K575" i="11"/>
  <c r="K574" i="11"/>
  <c r="K573" i="11"/>
  <c r="K572" i="11"/>
  <c r="K571" i="11"/>
  <c r="K570" i="11"/>
  <c r="K569" i="11"/>
  <c r="K568" i="11"/>
  <c r="K567" i="11"/>
  <c r="K566" i="11"/>
  <c r="K565" i="11"/>
  <c r="K564" i="11"/>
  <c r="K563" i="11"/>
  <c r="K562" i="11"/>
  <c r="K561" i="11"/>
  <c r="K542" i="11"/>
  <c r="K541" i="11"/>
  <c r="K540" i="11"/>
  <c r="K539" i="11"/>
  <c r="K538" i="11"/>
  <c r="K537" i="11"/>
  <c r="K536" i="11"/>
  <c r="K535" i="11"/>
  <c r="K534" i="11"/>
  <c r="K533" i="11"/>
  <c r="K532" i="11"/>
  <c r="K531" i="11"/>
  <c r="K530" i="11"/>
  <c r="K529" i="11"/>
  <c r="K528" i="11"/>
  <c r="K527" i="11"/>
  <c r="K526" i="11"/>
  <c r="K512" i="11"/>
  <c r="K511" i="11"/>
  <c r="K510" i="11"/>
  <c r="K509" i="11"/>
  <c r="K508" i="11"/>
  <c r="K507" i="11"/>
  <c r="K506" i="11"/>
  <c r="K505" i="11"/>
  <c r="K504" i="11"/>
  <c r="K503" i="11"/>
  <c r="K502" i="11"/>
  <c r="K501" i="11"/>
  <c r="K500" i="11"/>
  <c r="K499" i="11"/>
  <c r="K498" i="11"/>
  <c r="K497" i="11"/>
  <c r="K496" i="11"/>
  <c r="K495" i="11"/>
  <c r="K494" i="11"/>
  <c r="K493" i="11"/>
  <c r="K492" i="11"/>
  <c r="K491" i="11"/>
  <c r="K490" i="11"/>
  <c r="K480" i="11"/>
  <c r="K479" i="11"/>
  <c r="K478" i="11"/>
  <c r="K477" i="11"/>
  <c r="K476" i="11"/>
  <c r="K475" i="11"/>
  <c r="K474" i="11"/>
  <c r="K473" i="11"/>
  <c r="K472" i="11"/>
  <c r="K471" i="11"/>
  <c r="K470" i="11"/>
  <c r="K469" i="11"/>
  <c r="K468" i="11"/>
  <c r="K467" i="11"/>
  <c r="K466" i="11"/>
  <c r="K465" i="11"/>
  <c r="K464" i="11"/>
  <c r="K463" i="11"/>
  <c r="K462" i="11"/>
  <c r="K461" i="11"/>
  <c r="K460" i="11"/>
  <c r="K459" i="11"/>
  <c r="K458" i="11"/>
  <c r="K457" i="11"/>
  <c r="K456" i="11"/>
  <c r="K455" i="11"/>
  <c r="K454" i="11"/>
  <c r="K443" i="11"/>
  <c r="K442" i="11"/>
  <c r="K441" i="11"/>
  <c r="K440" i="11"/>
  <c r="K439" i="11"/>
  <c r="K438" i="11"/>
  <c r="K437" i="11"/>
  <c r="K436" i="11"/>
  <c r="K435" i="11"/>
  <c r="K434" i="11"/>
  <c r="K433" i="11"/>
  <c r="K432" i="11"/>
  <c r="K431" i="11"/>
  <c r="K430" i="11"/>
  <c r="K429" i="11"/>
  <c r="K428" i="11"/>
  <c r="K427" i="11"/>
  <c r="K426" i="11"/>
  <c r="K425" i="11"/>
  <c r="K424" i="11"/>
  <c r="K423" i="11"/>
  <c r="K422" i="11"/>
  <c r="K421" i="11"/>
  <c r="K420" i="11"/>
  <c r="K419" i="11"/>
  <c r="K418" i="11"/>
  <c r="K417" i="11"/>
  <c r="K416" i="11"/>
  <c r="K415" i="11"/>
  <c r="K414" i="11"/>
  <c r="K413" i="11"/>
  <c r="K412" i="11"/>
  <c r="K411" i="11"/>
  <c r="K410" i="11"/>
  <c r="K409" i="11"/>
  <c r="K408" i="11"/>
  <c r="K407" i="11"/>
  <c r="K406" i="11"/>
  <c r="K405" i="11"/>
  <c r="K404" i="11"/>
  <c r="K403" i="11"/>
  <c r="K402" i="11"/>
  <c r="K401" i="11"/>
  <c r="K400" i="11"/>
  <c r="K399" i="11"/>
  <c r="K398" i="11"/>
  <c r="K397" i="11"/>
  <c r="K396" i="11"/>
  <c r="K395" i="11"/>
  <c r="K374" i="11"/>
  <c r="K373" i="11"/>
  <c r="K372" i="11"/>
  <c r="K371" i="11"/>
  <c r="K370" i="11"/>
  <c r="K369" i="11"/>
  <c r="K368" i="11"/>
  <c r="K367" i="11"/>
  <c r="K366" i="11"/>
  <c r="K365" i="11"/>
  <c r="K364" i="11"/>
  <c r="K363" i="11"/>
  <c r="K362" i="11"/>
  <c r="K361" i="11"/>
  <c r="K360" i="11"/>
  <c r="K359" i="11"/>
  <c r="K358" i="11"/>
  <c r="K357" i="11"/>
  <c r="K356" i="11"/>
  <c r="K355" i="11"/>
  <c r="K354" i="11"/>
  <c r="K340" i="11"/>
  <c r="K339" i="11"/>
  <c r="K338" i="11"/>
  <c r="K337" i="11"/>
  <c r="K336" i="11"/>
  <c r="K335" i="11"/>
  <c r="K334" i="11"/>
  <c r="K333" i="11"/>
  <c r="K332" i="11"/>
  <c r="K331" i="11"/>
  <c r="K330" i="11"/>
  <c r="K329" i="11"/>
  <c r="K328" i="11"/>
  <c r="K327" i="11"/>
  <c r="K326" i="11"/>
  <c r="K325" i="11"/>
  <c r="K324" i="11"/>
  <c r="K323" i="11"/>
  <c r="K322" i="11"/>
  <c r="K321" i="11"/>
  <c r="K320" i="11"/>
  <c r="K319" i="11"/>
  <c r="K308" i="11"/>
  <c r="K307" i="11"/>
  <c r="K306" i="11"/>
  <c r="K305" i="11"/>
  <c r="K304" i="11"/>
  <c r="K303" i="11"/>
  <c r="K302" i="11"/>
  <c r="K301" i="11"/>
  <c r="K300" i="11"/>
  <c r="K299" i="11"/>
  <c r="K298" i="11"/>
  <c r="K297" i="11"/>
  <c r="K268" i="11"/>
  <c r="K267" i="11"/>
  <c r="K266" i="11"/>
  <c r="K265" i="11"/>
  <c r="K264" i="11"/>
  <c r="K250" i="11"/>
  <c r="K233" i="11"/>
  <c r="K232" i="11"/>
  <c r="K231" i="11"/>
  <c r="K230" i="11"/>
  <c r="K229" i="11"/>
  <c r="K228" i="11"/>
  <c r="K227" i="11"/>
  <c r="K226" i="11"/>
  <c r="K225" i="11"/>
  <c r="K224" i="11"/>
  <c r="K223" i="11"/>
  <c r="K222" i="11"/>
  <c r="K221" i="11"/>
  <c r="K220" i="11"/>
  <c r="K219" i="11"/>
  <c r="K218" i="11"/>
  <c r="K217" i="11"/>
  <c r="K216" i="11"/>
  <c r="K201" i="11"/>
  <c r="K200" i="11"/>
  <c r="K199" i="11"/>
  <c r="K198" i="11"/>
  <c r="K197" i="11"/>
  <c r="K196" i="11"/>
  <c r="K195" i="11"/>
  <c r="K194" i="11"/>
  <c r="K193" i="11"/>
  <c r="K192" i="11"/>
  <c r="K191" i="11"/>
  <c r="K190" i="11"/>
  <c r="K189" i="11"/>
  <c r="K188" i="11"/>
  <c r="K187" i="11"/>
  <c r="K186" i="11"/>
  <c r="K185" i="11"/>
  <c r="K184" i="11"/>
  <c r="K183" i="11"/>
  <c r="K182" i="11"/>
  <c r="K181" i="11"/>
  <c r="K180" i="11"/>
  <c r="K179" i="11"/>
  <c r="K178" i="11"/>
  <c r="K177" i="11"/>
  <c r="K176" i="11"/>
  <c r="K175" i="11"/>
  <c r="K174" i="11"/>
  <c r="K173" i="11"/>
  <c r="K172" i="11"/>
  <c r="K158" i="11"/>
  <c r="K157" i="11"/>
  <c r="K156" i="11"/>
  <c r="K155" i="11"/>
  <c r="K154" i="11"/>
  <c r="K153" i="11"/>
  <c r="K152" i="11"/>
  <c r="K151" i="11"/>
  <c r="K150" i="11"/>
  <c r="K149" i="11"/>
  <c r="K148" i="11"/>
  <c r="K147" i="11"/>
  <c r="K146" i="11"/>
  <c r="K145" i="11"/>
  <c r="K144" i="11"/>
  <c r="K143" i="11"/>
  <c r="K142" i="11"/>
  <c r="K141" i="11"/>
  <c r="K140" i="11"/>
  <c r="K133" i="11"/>
  <c r="K132" i="11"/>
  <c r="K131" i="11"/>
  <c r="K130" i="11"/>
  <c r="K129" i="11"/>
  <c r="K128" i="11"/>
  <c r="K127" i="11"/>
  <c r="K126" i="11"/>
  <c r="K125" i="11"/>
  <c r="K124" i="11"/>
  <c r="K123" i="11"/>
  <c r="K122" i="11"/>
  <c r="K121" i="11"/>
  <c r="K120" i="11"/>
  <c r="K119" i="11"/>
  <c r="K118" i="11"/>
  <c r="K83" i="11"/>
  <c r="K82" i="11"/>
  <c r="K81" i="11"/>
  <c r="K80" i="11"/>
  <c r="K79" i="11"/>
  <c r="K78" i="11"/>
  <c r="K77" i="11"/>
  <c r="K76" i="11"/>
  <c r="K75" i="11"/>
  <c r="K74" i="11"/>
  <c r="K73" i="11"/>
  <c r="K72" i="11"/>
  <c r="K71" i="11"/>
  <c r="K70" i="11"/>
  <c r="K69" i="11"/>
  <c r="K68" i="11"/>
  <c r="K67" i="11"/>
  <c r="K66" i="11"/>
  <c r="K56" i="11"/>
  <c r="K55" i="11"/>
  <c r="K54" i="11"/>
  <c r="K53" i="11"/>
  <c r="K52" i="11"/>
  <c r="K51" i="11"/>
  <c r="K50" i="11"/>
  <c r="K49" i="11"/>
  <c r="K48" i="11"/>
  <c r="K47" i="11"/>
  <c r="K46" i="11"/>
  <c r="K45" i="11"/>
  <c r="K44" i="11"/>
  <c r="K43" i="11"/>
  <c r="K42" i="11"/>
  <c r="K41" i="11"/>
  <c r="K40" i="11"/>
  <c r="K39" i="11"/>
  <c r="K38" i="11"/>
  <c r="K37" i="11"/>
  <c r="K36" i="11"/>
  <c r="K35" i="11"/>
  <c r="K32" i="11"/>
  <c r="K31" i="11"/>
  <c r="K30" i="11"/>
  <c r="K29" i="11"/>
  <c r="K28" i="11"/>
  <c r="K27" i="11"/>
  <c r="K26" i="11"/>
  <c r="K25" i="11"/>
  <c r="K24" i="11"/>
  <c r="K23" i="11"/>
  <c r="K22" i="11"/>
  <c r="K21" i="11"/>
  <c r="K20" i="11"/>
  <c r="K19" i="11"/>
  <c r="K18" i="11"/>
  <c r="K17" i="11"/>
  <c r="K16" i="11"/>
  <c r="K15" i="11"/>
  <c r="K14" i="11"/>
  <c r="K13" i="11"/>
  <c r="K12" i="11"/>
  <c r="K11" i="11"/>
  <c r="K10" i="11"/>
  <c r="K9" i="11"/>
  <c r="K8" i="11"/>
  <c r="K7" i="11"/>
  <c r="K6" i="11"/>
  <c r="I669" i="11"/>
  <c r="I668" i="11"/>
  <c r="I667" i="11"/>
  <c r="I666" i="11"/>
  <c r="I665" i="11"/>
  <c r="I664" i="11"/>
  <c r="I663" i="11"/>
  <c r="I662" i="11"/>
  <c r="I661" i="11"/>
  <c r="I660" i="11"/>
  <c r="I659" i="11"/>
  <c r="I658" i="11"/>
  <c r="I657" i="11"/>
  <c r="I656" i="11"/>
  <c r="I619" i="11"/>
  <c r="I618" i="11"/>
  <c r="I617" i="11"/>
  <c r="I616" i="11"/>
  <c r="I615" i="11"/>
  <c r="I614" i="11"/>
  <c r="I613" i="11"/>
  <c r="I612" i="11"/>
  <c r="I611" i="11"/>
  <c r="I610" i="11"/>
  <c r="I609" i="11"/>
  <c r="I608" i="11"/>
  <c r="I607" i="11"/>
  <c r="I606" i="11"/>
  <c r="I605" i="11"/>
  <c r="I604" i="11"/>
  <c r="I603" i="11"/>
  <c r="I602" i="11"/>
  <c r="I601" i="11"/>
  <c r="I582" i="11"/>
  <c r="I581" i="11"/>
  <c r="I580" i="11"/>
  <c r="I579" i="11"/>
  <c r="I578" i="11"/>
  <c r="I577" i="11"/>
  <c r="I576" i="11"/>
  <c r="I575" i="11"/>
  <c r="I574" i="11"/>
  <c r="I573" i="11"/>
  <c r="I572" i="11"/>
  <c r="I571" i="11"/>
  <c r="I570" i="11"/>
  <c r="I569" i="11"/>
  <c r="I568" i="11"/>
  <c r="I567" i="11"/>
  <c r="I566" i="11"/>
  <c r="I565" i="11"/>
  <c r="I564" i="11"/>
  <c r="I563" i="11"/>
  <c r="I562" i="11"/>
  <c r="I561" i="11"/>
  <c r="I542" i="11"/>
  <c r="I541" i="11"/>
  <c r="I540" i="11"/>
  <c r="I539" i="11"/>
  <c r="I538" i="11"/>
  <c r="I537" i="11"/>
  <c r="I536" i="11"/>
  <c r="I535" i="11"/>
  <c r="I534" i="11"/>
  <c r="I533" i="11"/>
  <c r="I532" i="11"/>
  <c r="I531" i="11"/>
  <c r="I530" i="11"/>
  <c r="I529" i="11"/>
  <c r="I528" i="11"/>
  <c r="I527" i="11"/>
  <c r="I526" i="11"/>
  <c r="I512" i="11"/>
  <c r="I511" i="11"/>
  <c r="I510" i="11"/>
  <c r="I509" i="11"/>
  <c r="I508" i="11"/>
  <c r="I507" i="11"/>
  <c r="I506" i="11"/>
  <c r="I505" i="11"/>
  <c r="I504" i="11"/>
  <c r="I503" i="11"/>
  <c r="I502" i="11"/>
  <c r="I501" i="11"/>
  <c r="I500" i="11"/>
  <c r="I499" i="11"/>
  <c r="I498" i="11"/>
  <c r="I497" i="11"/>
  <c r="I496" i="11"/>
  <c r="I495" i="11"/>
  <c r="I494" i="11"/>
  <c r="I493" i="11"/>
  <c r="I492" i="11"/>
  <c r="I491" i="11"/>
  <c r="I490" i="11"/>
  <c r="I480" i="11"/>
  <c r="I479" i="11"/>
  <c r="I478" i="11"/>
  <c r="I477" i="11"/>
  <c r="I476" i="11"/>
  <c r="I475" i="11"/>
  <c r="I474" i="11"/>
  <c r="I473" i="11"/>
  <c r="I472" i="11"/>
  <c r="I471" i="11"/>
  <c r="I470" i="11"/>
  <c r="I469" i="11"/>
  <c r="I468" i="11"/>
  <c r="I467" i="11"/>
  <c r="I466" i="11"/>
  <c r="I465" i="11"/>
  <c r="I464" i="11"/>
  <c r="I463" i="11"/>
  <c r="I462" i="11"/>
  <c r="I461" i="11"/>
  <c r="I460" i="11"/>
  <c r="I459" i="11"/>
  <c r="I458" i="11"/>
  <c r="I457" i="11"/>
  <c r="I456" i="11"/>
  <c r="I455" i="11"/>
  <c r="I454" i="11"/>
  <c r="I443" i="11"/>
  <c r="I442" i="11"/>
  <c r="I441" i="11"/>
  <c r="I440" i="11"/>
  <c r="I439" i="11"/>
  <c r="I438" i="11"/>
  <c r="I437" i="11"/>
  <c r="I436" i="11"/>
  <c r="I435" i="11"/>
  <c r="I434" i="11"/>
  <c r="I433" i="11"/>
  <c r="I432" i="11"/>
  <c r="I431" i="11"/>
  <c r="I430" i="11"/>
  <c r="I429" i="11"/>
  <c r="I428" i="11"/>
  <c r="I427" i="11"/>
  <c r="I426" i="11"/>
  <c r="I425" i="11"/>
  <c r="I424" i="11"/>
  <c r="I423" i="11"/>
  <c r="I422" i="11"/>
  <c r="I421" i="11"/>
  <c r="I420" i="11"/>
  <c r="I419" i="11"/>
  <c r="I418" i="11"/>
  <c r="I417" i="11"/>
  <c r="I416" i="11"/>
  <c r="I415" i="11"/>
  <c r="I414" i="11"/>
  <c r="I413" i="11"/>
  <c r="I412" i="11"/>
  <c r="I411" i="11"/>
  <c r="I410" i="11"/>
  <c r="I409" i="11"/>
  <c r="I408" i="11"/>
  <c r="I407" i="11"/>
  <c r="I406" i="11"/>
  <c r="I405" i="11"/>
  <c r="I404" i="11"/>
  <c r="I403" i="11"/>
  <c r="I402" i="11"/>
  <c r="I401" i="11"/>
  <c r="I400" i="11"/>
  <c r="I399" i="11"/>
  <c r="I398" i="11"/>
  <c r="I397" i="11"/>
  <c r="I396" i="11"/>
  <c r="I395" i="11"/>
  <c r="I374" i="11"/>
  <c r="I373" i="11"/>
  <c r="I372" i="11"/>
  <c r="I371" i="11"/>
  <c r="I370" i="11"/>
  <c r="I369" i="11"/>
  <c r="I368" i="11"/>
  <c r="I367" i="11"/>
  <c r="I366" i="11"/>
  <c r="I365" i="11"/>
  <c r="I364" i="11"/>
  <c r="I363" i="11"/>
  <c r="I362" i="11"/>
  <c r="I361" i="11"/>
  <c r="I360" i="11"/>
  <c r="I359" i="11"/>
  <c r="I358" i="11"/>
  <c r="I357" i="11"/>
  <c r="I356" i="11"/>
  <c r="I355" i="11"/>
  <c r="I354" i="11"/>
  <c r="I340" i="11"/>
  <c r="I339" i="11"/>
  <c r="I338" i="11"/>
  <c r="I337" i="11"/>
  <c r="I336" i="11"/>
  <c r="I335" i="11"/>
  <c r="I334" i="11"/>
  <c r="I333" i="11"/>
  <c r="I332" i="11"/>
  <c r="I331" i="11"/>
  <c r="I330" i="11"/>
  <c r="I329" i="11"/>
  <c r="I328" i="11"/>
  <c r="I327" i="11"/>
  <c r="I326" i="11"/>
  <c r="I325" i="11"/>
  <c r="I324" i="11"/>
  <c r="I323" i="11"/>
  <c r="I322" i="11"/>
  <c r="I321" i="11"/>
  <c r="I320" i="11"/>
  <c r="I319" i="11"/>
  <c r="I308" i="11"/>
  <c r="I307" i="11"/>
  <c r="I306" i="11"/>
  <c r="I305" i="11"/>
  <c r="I304" i="11"/>
  <c r="I303" i="11"/>
  <c r="I302" i="11"/>
  <c r="I301" i="11"/>
  <c r="I300" i="11"/>
  <c r="I299" i="11"/>
  <c r="I298" i="11"/>
  <c r="I297" i="11"/>
  <c r="I268" i="11"/>
  <c r="I267" i="11"/>
  <c r="I266" i="11"/>
  <c r="I265" i="11"/>
  <c r="I264" i="11"/>
  <c r="I250" i="11"/>
  <c r="I233" i="11"/>
  <c r="I232" i="11"/>
  <c r="I231" i="11"/>
  <c r="I230" i="11"/>
  <c r="I229" i="11"/>
  <c r="I228" i="11"/>
  <c r="I227" i="11"/>
  <c r="I226" i="11"/>
  <c r="I225" i="11"/>
  <c r="I224" i="11"/>
  <c r="I223" i="11"/>
  <c r="I222" i="11"/>
  <c r="I221" i="11"/>
  <c r="I220" i="11"/>
  <c r="I219" i="11"/>
  <c r="I218" i="11"/>
  <c r="I217" i="11"/>
  <c r="I216" i="11"/>
  <c r="I201" i="11"/>
  <c r="I200" i="11"/>
  <c r="I199" i="11"/>
  <c r="I198" i="11"/>
  <c r="I197" i="11"/>
  <c r="I196" i="11"/>
  <c r="I195" i="11"/>
  <c r="I194" i="11"/>
  <c r="I193" i="11"/>
  <c r="I192" i="11"/>
  <c r="I191" i="11"/>
  <c r="I190" i="11"/>
  <c r="I189" i="11"/>
  <c r="I188" i="11"/>
  <c r="I187" i="11"/>
  <c r="I186" i="11"/>
  <c r="I185" i="11"/>
  <c r="I184" i="11"/>
  <c r="I183" i="11"/>
  <c r="I182" i="11"/>
  <c r="I181" i="11"/>
  <c r="I180" i="11"/>
  <c r="I179" i="11"/>
  <c r="I178" i="11"/>
  <c r="I177" i="11"/>
  <c r="I176" i="11"/>
  <c r="I175" i="11"/>
  <c r="I174" i="11"/>
  <c r="I173" i="11"/>
  <c r="I172" i="11"/>
  <c r="I158" i="11"/>
  <c r="I157" i="11"/>
  <c r="I156" i="11"/>
  <c r="I155" i="11"/>
  <c r="I154" i="11"/>
  <c r="I153" i="11"/>
  <c r="I152" i="11"/>
  <c r="I151" i="11"/>
  <c r="I150" i="11"/>
  <c r="I149" i="11"/>
  <c r="I148" i="11"/>
  <c r="I147" i="11"/>
  <c r="I146" i="11"/>
  <c r="I145" i="11"/>
  <c r="I144" i="11"/>
  <c r="I143" i="11"/>
  <c r="I142" i="11"/>
  <c r="I141" i="11"/>
  <c r="I140" i="11"/>
  <c r="I133" i="11"/>
  <c r="I132" i="11"/>
  <c r="I131" i="11"/>
  <c r="I130" i="11"/>
  <c r="I129" i="11"/>
  <c r="I128" i="11"/>
  <c r="I127" i="11"/>
  <c r="I126" i="11"/>
  <c r="I125" i="11"/>
  <c r="I124" i="11"/>
  <c r="I123" i="11"/>
  <c r="I122" i="11"/>
  <c r="I121" i="11"/>
  <c r="I120" i="11"/>
  <c r="I119" i="11"/>
  <c r="I118" i="11"/>
  <c r="I83" i="11"/>
  <c r="I82" i="11"/>
  <c r="I81" i="11"/>
  <c r="I80" i="11"/>
  <c r="I79" i="11"/>
  <c r="I78" i="11"/>
  <c r="I77" i="11"/>
  <c r="I76" i="11"/>
  <c r="I75" i="11"/>
  <c r="I74" i="11"/>
  <c r="I73" i="11"/>
  <c r="I72" i="11"/>
  <c r="I71" i="11"/>
  <c r="I70" i="11"/>
  <c r="I69" i="11"/>
  <c r="I68" i="11"/>
  <c r="I67" i="11"/>
  <c r="I66" i="11"/>
  <c r="I56" i="11"/>
  <c r="I55" i="11"/>
  <c r="I54" i="11"/>
  <c r="I53" i="11"/>
  <c r="I52" i="11"/>
  <c r="I51" i="11"/>
  <c r="I50" i="11"/>
  <c r="I49" i="11"/>
  <c r="I48" i="11"/>
  <c r="I47" i="11"/>
  <c r="I46" i="11"/>
  <c r="I45" i="11"/>
  <c r="I44" i="11"/>
  <c r="I43" i="11"/>
  <c r="I42" i="11"/>
  <c r="I41" i="11"/>
  <c r="I40" i="11"/>
  <c r="I39" i="11"/>
  <c r="I38" i="11"/>
  <c r="I37" i="11"/>
  <c r="I36" i="11"/>
  <c r="I35" i="11"/>
  <c r="I32" i="11"/>
  <c r="I31" i="11"/>
  <c r="I30" i="11"/>
  <c r="I29" i="11"/>
  <c r="I28" i="11"/>
  <c r="I27" i="11"/>
  <c r="I26" i="11"/>
  <c r="I25" i="11"/>
  <c r="I24" i="11"/>
  <c r="I23" i="11"/>
  <c r="I22" i="11"/>
  <c r="I21" i="11"/>
  <c r="I20" i="11"/>
  <c r="I19" i="11"/>
  <c r="I18" i="11"/>
  <c r="I17" i="11"/>
  <c r="I16" i="11"/>
  <c r="I15" i="11"/>
  <c r="I14" i="11"/>
  <c r="I13" i="11"/>
  <c r="I12" i="11"/>
  <c r="I11" i="11"/>
  <c r="I10" i="11"/>
  <c r="I9" i="11"/>
  <c r="I8" i="11"/>
  <c r="I7" i="11"/>
  <c r="I6" i="11"/>
  <c r="E669" i="11"/>
  <c r="C669" i="11"/>
  <c r="E668" i="11"/>
  <c r="C668" i="11"/>
  <c r="E667" i="11"/>
  <c r="C667" i="11"/>
  <c r="E666" i="11"/>
  <c r="C666" i="11"/>
  <c r="E665" i="11"/>
  <c r="C665" i="11"/>
  <c r="E664" i="11"/>
  <c r="C664" i="11"/>
  <c r="E663" i="11"/>
  <c r="C663" i="11"/>
  <c r="E662" i="11"/>
  <c r="C662" i="11"/>
  <c r="E661" i="11"/>
  <c r="C661" i="11"/>
  <c r="E660" i="11"/>
  <c r="C660" i="11"/>
  <c r="E659" i="11"/>
  <c r="C659" i="11"/>
  <c r="E658" i="11"/>
  <c r="C658" i="11"/>
  <c r="E657" i="11"/>
  <c r="C657" i="11"/>
  <c r="E656" i="11"/>
  <c r="C656" i="11"/>
  <c r="E619" i="11"/>
  <c r="C619" i="11"/>
  <c r="E618" i="11"/>
  <c r="C618" i="11"/>
  <c r="E617" i="11"/>
  <c r="C617" i="11"/>
  <c r="E616" i="11"/>
  <c r="C616" i="11"/>
  <c r="E615" i="11"/>
  <c r="C615" i="11"/>
  <c r="E614" i="11"/>
  <c r="C614" i="11"/>
  <c r="E613" i="11"/>
  <c r="C613" i="11"/>
  <c r="E612" i="11"/>
  <c r="C612" i="11"/>
  <c r="E611" i="11"/>
  <c r="C611" i="11"/>
  <c r="E610" i="11"/>
  <c r="C610" i="11"/>
  <c r="E609" i="11"/>
  <c r="C609" i="11"/>
  <c r="E608" i="11"/>
  <c r="C608" i="11"/>
  <c r="E607" i="11"/>
  <c r="C607" i="11"/>
  <c r="E606" i="11"/>
  <c r="C606" i="11"/>
  <c r="E605" i="11"/>
  <c r="C605" i="11"/>
  <c r="E604" i="11"/>
  <c r="C604" i="11"/>
  <c r="E603" i="11"/>
  <c r="C603" i="11"/>
  <c r="E602" i="11"/>
  <c r="C602" i="11"/>
  <c r="E601" i="11"/>
  <c r="C601" i="11"/>
  <c r="E582" i="11"/>
  <c r="C582" i="11"/>
  <c r="E581" i="11"/>
  <c r="C581" i="11"/>
  <c r="E580" i="11"/>
  <c r="C580" i="11"/>
  <c r="E579" i="11"/>
  <c r="C579" i="11"/>
  <c r="E578" i="11"/>
  <c r="C578" i="11"/>
  <c r="E577" i="11"/>
  <c r="C577" i="11"/>
  <c r="E576" i="11"/>
  <c r="C576" i="11"/>
  <c r="E575" i="11"/>
  <c r="C575" i="11"/>
  <c r="E574" i="11"/>
  <c r="C574" i="11"/>
  <c r="E573" i="11"/>
  <c r="C573" i="11"/>
  <c r="E572" i="11"/>
  <c r="C572" i="11"/>
  <c r="E571" i="11"/>
  <c r="C571" i="11"/>
  <c r="E570" i="11"/>
  <c r="C570" i="11"/>
  <c r="E569" i="11"/>
  <c r="C569" i="11"/>
  <c r="E568" i="11"/>
  <c r="C568" i="11"/>
  <c r="E567" i="11"/>
  <c r="C567" i="11"/>
  <c r="E566" i="11"/>
  <c r="C566" i="11"/>
  <c r="E565" i="11"/>
  <c r="C565" i="11"/>
  <c r="E564" i="11"/>
  <c r="C564" i="11"/>
  <c r="E563" i="11"/>
  <c r="C563" i="11"/>
  <c r="E562" i="11"/>
  <c r="C562" i="11"/>
  <c r="E561" i="11"/>
  <c r="C561" i="11"/>
  <c r="E542" i="11"/>
  <c r="C542" i="11"/>
  <c r="E541" i="11"/>
  <c r="C541" i="11"/>
  <c r="E540" i="11"/>
  <c r="C540" i="11"/>
  <c r="E539" i="11"/>
  <c r="C539" i="11"/>
  <c r="E538" i="11"/>
  <c r="C538" i="11"/>
  <c r="E537" i="11"/>
  <c r="C537" i="11"/>
  <c r="E536" i="11"/>
  <c r="C536" i="11"/>
  <c r="E535" i="11"/>
  <c r="C535" i="11"/>
  <c r="E534" i="11"/>
  <c r="C534" i="11"/>
  <c r="E533" i="11"/>
  <c r="C533" i="11"/>
  <c r="E532" i="11"/>
  <c r="C532" i="11"/>
  <c r="E531" i="11"/>
  <c r="C531" i="11"/>
  <c r="E530" i="11"/>
  <c r="C530" i="11"/>
  <c r="E529" i="11"/>
  <c r="C529" i="11"/>
  <c r="E528" i="11"/>
  <c r="C528" i="11"/>
  <c r="E527" i="11"/>
  <c r="C527" i="11"/>
  <c r="E526" i="11"/>
  <c r="C526" i="11"/>
  <c r="E512" i="11"/>
  <c r="C512" i="11"/>
  <c r="E511" i="11"/>
  <c r="C511" i="11"/>
  <c r="E510" i="11"/>
  <c r="C510" i="11"/>
  <c r="E509" i="11"/>
  <c r="C509" i="11"/>
  <c r="E508" i="11"/>
  <c r="C508" i="11"/>
  <c r="E507" i="11"/>
  <c r="C507" i="11"/>
  <c r="E506" i="11"/>
  <c r="C506" i="11"/>
  <c r="E505" i="11"/>
  <c r="C505" i="11"/>
  <c r="E504" i="11"/>
  <c r="C504" i="11"/>
  <c r="E503" i="11"/>
  <c r="C503" i="11"/>
  <c r="E502" i="11"/>
  <c r="C502" i="11"/>
  <c r="E501" i="11"/>
  <c r="C501" i="11"/>
  <c r="E500" i="11"/>
  <c r="C500" i="11"/>
  <c r="E499" i="11"/>
  <c r="C499" i="11"/>
  <c r="E498" i="11"/>
  <c r="C498" i="11"/>
  <c r="E497" i="11"/>
  <c r="C497" i="11"/>
  <c r="E496" i="11"/>
  <c r="C496" i="11"/>
  <c r="E495" i="11"/>
  <c r="C495" i="11"/>
  <c r="E494" i="11"/>
  <c r="C494" i="11"/>
  <c r="E493" i="11"/>
  <c r="C493" i="11"/>
  <c r="E492" i="11"/>
  <c r="C492" i="11"/>
  <c r="E491" i="11"/>
  <c r="C491" i="11"/>
  <c r="E490" i="11"/>
  <c r="C490" i="11"/>
  <c r="E480" i="11"/>
  <c r="C480" i="11"/>
  <c r="E479" i="11"/>
  <c r="C479" i="11"/>
  <c r="E478" i="11"/>
  <c r="C478" i="11"/>
  <c r="E477" i="11"/>
  <c r="C477" i="11"/>
  <c r="E476" i="11"/>
  <c r="C476" i="11"/>
  <c r="E475" i="11"/>
  <c r="C475" i="11"/>
  <c r="E474" i="11"/>
  <c r="C474" i="11"/>
  <c r="E473" i="11"/>
  <c r="C473" i="11"/>
  <c r="E472" i="11"/>
  <c r="C472" i="11"/>
  <c r="E471" i="11"/>
  <c r="C471" i="11"/>
  <c r="E470" i="11"/>
  <c r="C470" i="11"/>
  <c r="E469" i="11"/>
  <c r="C469" i="11"/>
  <c r="E468" i="11"/>
  <c r="C468" i="11"/>
  <c r="E467" i="11"/>
  <c r="C467" i="11"/>
  <c r="E466" i="11"/>
  <c r="C466" i="11"/>
  <c r="E465" i="11"/>
  <c r="C465" i="11"/>
  <c r="E464" i="11"/>
  <c r="C464" i="11"/>
  <c r="E463" i="11"/>
  <c r="C463" i="11"/>
  <c r="E462" i="11"/>
  <c r="C462" i="11"/>
  <c r="E461" i="11"/>
  <c r="C461" i="11"/>
  <c r="E460" i="11"/>
  <c r="C460" i="11"/>
  <c r="E459" i="11"/>
  <c r="C459" i="11"/>
  <c r="E458" i="11"/>
  <c r="C458" i="11"/>
  <c r="E457" i="11"/>
  <c r="C457" i="11"/>
  <c r="E456" i="11"/>
  <c r="C456" i="11"/>
  <c r="E455" i="11"/>
  <c r="C455" i="11"/>
  <c r="E454" i="11"/>
  <c r="C454" i="11"/>
  <c r="E443" i="11"/>
  <c r="C443" i="11"/>
  <c r="E442" i="11"/>
  <c r="C442" i="11"/>
  <c r="E441" i="11"/>
  <c r="C441" i="11"/>
  <c r="E440" i="11"/>
  <c r="C440" i="11"/>
  <c r="E439" i="11"/>
  <c r="C439" i="11"/>
  <c r="E438" i="11"/>
  <c r="C438" i="11"/>
  <c r="E437" i="11"/>
  <c r="C437" i="11"/>
  <c r="E436" i="11"/>
  <c r="C436" i="11"/>
  <c r="E435" i="11"/>
  <c r="C435" i="11"/>
  <c r="E434" i="11"/>
  <c r="C434" i="11"/>
  <c r="E433" i="11"/>
  <c r="C433" i="11"/>
  <c r="E432" i="11"/>
  <c r="C432" i="11"/>
  <c r="E431" i="11"/>
  <c r="C431" i="11"/>
  <c r="E430" i="11"/>
  <c r="C430" i="11"/>
  <c r="E429" i="11"/>
  <c r="C429" i="11"/>
  <c r="E428" i="11"/>
  <c r="C428" i="11"/>
  <c r="E427" i="11"/>
  <c r="C427" i="11"/>
  <c r="E426" i="11"/>
  <c r="C426" i="11"/>
  <c r="E425" i="11"/>
  <c r="C425" i="11"/>
  <c r="E424" i="11"/>
  <c r="C424" i="11"/>
  <c r="E423" i="11"/>
  <c r="C423" i="11"/>
  <c r="E422" i="11"/>
  <c r="C422" i="11"/>
  <c r="E421" i="11"/>
  <c r="C421" i="11"/>
  <c r="E420" i="11"/>
  <c r="C420" i="11"/>
  <c r="E419" i="11"/>
  <c r="C419" i="11"/>
  <c r="E418" i="11"/>
  <c r="C418" i="11"/>
  <c r="E417" i="11"/>
  <c r="C417" i="11"/>
  <c r="E416" i="11"/>
  <c r="C416" i="11"/>
  <c r="E415" i="11"/>
  <c r="C415" i="11"/>
  <c r="E414" i="11"/>
  <c r="C414" i="11"/>
  <c r="E413" i="11"/>
  <c r="C413" i="11"/>
  <c r="E412" i="11"/>
  <c r="C412" i="11"/>
  <c r="E411" i="11"/>
  <c r="C411" i="11"/>
  <c r="E410" i="11"/>
  <c r="C410" i="11"/>
  <c r="E409" i="11"/>
  <c r="C409" i="11"/>
  <c r="E408" i="11"/>
  <c r="C408" i="11"/>
  <c r="E407" i="11"/>
  <c r="C407" i="11"/>
  <c r="E406" i="11"/>
  <c r="C406" i="11"/>
  <c r="E405" i="11"/>
  <c r="C405" i="11"/>
  <c r="E404" i="11"/>
  <c r="C404" i="11"/>
  <c r="E403" i="11"/>
  <c r="C403" i="11"/>
  <c r="E402" i="11"/>
  <c r="C402" i="11"/>
  <c r="E401" i="11"/>
  <c r="C401" i="11"/>
  <c r="E400" i="11"/>
  <c r="C400" i="11"/>
  <c r="E399" i="11"/>
  <c r="C399" i="11"/>
  <c r="E398" i="11"/>
  <c r="C398" i="11"/>
  <c r="E397" i="11"/>
  <c r="C397" i="11"/>
  <c r="E396" i="11"/>
  <c r="C396" i="11"/>
  <c r="E395" i="11"/>
  <c r="C395" i="11"/>
  <c r="E374" i="11"/>
  <c r="C374" i="11"/>
  <c r="E373" i="11"/>
  <c r="C373" i="11"/>
  <c r="E372" i="11"/>
  <c r="C372" i="11"/>
  <c r="E371" i="11"/>
  <c r="C371" i="11"/>
  <c r="E370" i="11"/>
  <c r="C370" i="11"/>
  <c r="E369" i="11"/>
  <c r="C369" i="11"/>
  <c r="E368" i="11"/>
  <c r="C368" i="11"/>
  <c r="E367" i="11"/>
  <c r="C367" i="11"/>
  <c r="E366" i="11"/>
  <c r="C366" i="11"/>
  <c r="E365" i="11"/>
  <c r="C365" i="11"/>
  <c r="E364" i="11"/>
  <c r="C364" i="11"/>
  <c r="E363" i="11"/>
  <c r="C363" i="11"/>
  <c r="E362" i="11"/>
  <c r="C362" i="11"/>
  <c r="E361" i="11"/>
  <c r="C361" i="11"/>
  <c r="E360" i="11"/>
  <c r="C360" i="11"/>
  <c r="E359" i="11"/>
  <c r="C359" i="11"/>
  <c r="E358" i="11"/>
  <c r="C358" i="11"/>
  <c r="E357" i="11"/>
  <c r="C357" i="11"/>
  <c r="E356" i="11"/>
  <c r="C356" i="11"/>
  <c r="E355" i="11"/>
  <c r="C355" i="11"/>
  <c r="E354" i="11"/>
  <c r="C354" i="11"/>
  <c r="E340" i="11"/>
  <c r="C340" i="11"/>
  <c r="E339" i="11"/>
  <c r="C339" i="11"/>
  <c r="E338" i="11"/>
  <c r="C338" i="11"/>
  <c r="E337" i="11"/>
  <c r="C337" i="11"/>
  <c r="E336" i="11"/>
  <c r="C336" i="11"/>
  <c r="E335" i="11"/>
  <c r="C335" i="11"/>
  <c r="E334" i="11"/>
  <c r="C334" i="11"/>
  <c r="E333" i="11"/>
  <c r="C333" i="11"/>
  <c r="E332" i="11"/>
  <c r="C332" i="11"/>
  <c r="E331" i="11"/>
  <c r="C331" i="11"/>
  <c r="E330" i="11"/>
  <c r="C330" i="11"/>
  <c r="E329" i="11"/>
  <c r="C329" i="11"/>
  <c r="E328" i="11"/>
  <c r="C328" i="11"/>
  <c r="E327" i="11"/>
  <c r="C327" i="11"/>
  <c r="E326" i="11"/>
  <c r="C326" i="11"/>
  <c r="E325" i="11"/>
  <c r="C325" i="11"/>
  <c r="E324" i="11"/>
  <c r="C324" i="11"/>
  <c r="E323" i="11"/>
  <c r="C323" i="11"/>
  <c r="E322" i="11"/>
  <c r="C322" i="11"/>
  <c r="E321" i="11"/>
  <c r="C321" i="11"/>
  <c r="E320" i="11"/>
  <c r="C320" i="11"/>
  <c r="E319" i="11"/>
  <c r="C319" i="11"/>
  <c r="E308" i="11"/>
  <c r="C308" i="11"/>
  <c r="E307" i="11"/>
  <c r="C307" i="11"/>
  <c r="E306" i="11"/>
  <c r="C306" i="11"/>
  <c r="E305" i="11"/>
  <c r="C305" i="11"/>
  <c r="E304" i="11"/>
  <c r="C304" i="11"/>
  <c r="E303" i="11"/>
  <c r="C303" i="11"/>
  <c r="E302" i="11"/>
  <c r="C302" i="11"/>
  <c r="E301" i="11"/>
  <c r="C301" i="11"/>
  <c r="E300" i="11"/>
  <c r="C300" i="11"/>
  <c r="E299" i="11"/>
  <c r="C299" i="11"/>
  <c r="E298" i="11"/>
  <c r="C298" i="11"/>
  <c r="E297" i="11"/>
  <c r="C297" i="11"/>
  <c r="E268" i="11"/>
  <c r="C268" i="11"/>
  <c r="E267" i="11"/>
  <c r="C267" i="11"/>
  <c r="E266" i="11"/>
  <c r="C266" i="11"/>
  <c r="E265" i="11"/>
  <c r="C265" i="11"/>
  <c r="E264" i="11"/>
  <c r="C264" i="11"/>
  <c r="E250" i="11"/>
  <c r="C250" i="11"/>
  <c r="E233" i="11"/>
  <c r="C233" i="11"/>
  <c r="E232" i="11"/>
  <c r="C232" i="11"/>
  <c r="E231" i="11"/>
  <c r="C231" i="11"/>
  <c r="E230" i="11"/>
  <c r="C230" i="11"/>
  <c r="E229" i="11"/>
  <c r="C229" i="11"/>
  <c r="E228" i="11"/>
  <c r="C228" i="11"/>
  <c r="E227" i="11"/>
  <c r="C227" i="11"/>
  <c r="E226" i="11"/>
  <c r="C226" i="11"/>
  <c r="E225" i="11"/>
  <c r="C225" i="11"/>
  <c r="E224" i="11"/>
  <c r="C224" i="11"/>
  <c r="E223" i="11"/>
  <c r="C223" i="11"/>
  <c r="E222" i="11"/>
  <c r="C222" i="11"/>
  <c r="E221" i="11"/>
  <c r="C221" i="11"/>
  <c r="E220" i="11"/>
  <c r="C220" i="11"/>
  <c r="E219" i="11"/>
  <c r="C219" i="11"/>
  <c r="E218" i="11"/>
  <c r="C218" i="11"/>
  <c r="E217" i="11"/>
  <c r="C217" i="11"/>
  <c r="E216" i="11"/>
  <c r="C216" i="11"/>
  <c r="E201" i="11"/>
  <c r="C201" i="11"/>
  <c r="E200" i="11"/>
  <c r="C200" i="11"/>
  <c r="E199" i="11"/>
  <c r="C199" i="11"/>
  <c r="E198" i="11"/>
  <c r="C198" i="11"/>
  <c r="E197" i="11"/>
  <c r="C197" i="11"/>
  <c r="E196" i="11"/>
  <c r="C196" i="11"/>
  <c r="E195" i="11"/>
  <c r="C195" i="11"/>
  <c r="E194" i="11"/>
  <c r="C194" i="11"/>
  <c r="E193" i="11"/>
  <c r="C193" i="11"/>
  <c r="E192" i="11"/>
  <c r="C192" i="11"/>
  <c r="E191" i="11"/>
  <c r="C191" i="11"/>
  <c r="E190" i="11"/>
  <c r="C190" i="11"/>
  <c r="E189" i="11"/>
  <c r="C189" i="11"/>
  <c r="E188" i="11"/>
  <c r="C188" i="11"/>
  <c r="E187" i="11"/>
  <c r="C187" i="11"/>
  <c r="E186" i="11"/>
  <c r="C186" i="11"/>
  <c r="E185" i="11"/>
  <c r="C185" i="11"/>
  <c r="E184" i="11"/>
  <c r="C184" i="11"/>
  <c r="E183" i="11"/>
  <c r="C183" i="11"/>
  <c r="E182" i="11"/>
  <c r="C182" i="11"/>
  <c r="E181" i="11"/>
  <c r="C181" i="11"/>
  <c r="E180" i="11"/>
  <c r="C180" i="11"/>
  <c r="E179" i="11"/>
  <c r="C179" i="11"/>
  <c r="E178" i="11"/>
  <c r="C178" i="11"/>
  <c r="E177" i="11"/>
  <c r="C177" i="11"/>
  <c r="E176" i="11"/>
  <c r="C176" i="11"/>
  <c r="E175" i="11"/>
  <c r="C175" i="11"/>
  <c r="E174" i="11"/>
  <c r="C174" i="11"/>
  <c r="E173" i="11"/>
  <c r="C173" i="11"/>
  <c r="E172" i="11"/>
  <c r="C172" i="11"/>
  <c r="E158" i="11"/>
  <c r="C158" i="11"/>
  <c r="E157" i="11"/>
  <c r="C157" i="11"/>
  <c r="E156" i="11"/>
  <c r="C156" i="11"/>
  <c r="E155" i="11"/>
  <c r="C155" i="11"/>
  <c r="E154" i="11"/>
  <c r="C154" i="11"/>
  <c r="E153" i="11"/>
  <c r="C153" i="11"/>
  <c r="E152" i="11"/>
  <c r="C152" i="11"/>
  <c r="E151" i="11"/>
  <c r="C151" i="11"/>
  <c r="E150" i="11"/>
  <c r="C150" i="11"/>
  <c r="E149" i="11"/>
  <c r="C149" i="11"/>
  <c r="E148" i="11"/>
  <c r="C148" i="11"/>
  <c r="E147" i="11"/>
  <c r="C147" i="11"/>
  <c r="E146" i="11"/>
  <c r="C146" i="11"/>
  <c r="E145" i="11"/>
  <c r="C145" i="11"/>
  <c r="E144" i="11"/>
  <c r="C144" i="11"/>
  <c r="E143" i="11"/>
  <c r="C143" i="11"/>
  <c r="E142" i="11"/>
  <c r="C142" i="11"/>
  <c r="E141" i="11"/>
  <c r="C141" i="11"/>
  <c r="E140" i="11"/>
  <c r="C140" i="11"/>
  <c r="E133" i="11"/>
  <c r="C133" i="11"/>
  <c r="E132" i="11"/>
  <c r="C132" i="11"/>
  <c r="E131" i="11"/>
  <c r="C131" i="11"/>
  <c r="E130" i="11"/>
  <c r="C130" i="11"/>
  <c r="E129" i="11"/>
  <c r="C129" i="11"/>
  <c r="E128" i="11"/>
  <c r="C128" i="11"/>
  <c r="E127" i="11"/>
  <c r="C127" i="11"/>
  <c r="E126" i="11"/>
  <c r="C126" i="11"/>
  <c r="E125" i="11"/>
  <c r="C125" i="11"/>
  <c r="E124" i="11"/>
  <c r="C124" i="11"/>
  <c r="E123" i="11"/>
  <c r="C123" i="11"/>
  <c r="E122" i="11"/>
  <c r="C122" i="11"/>
  <c r="E121" i="11"/>
  <c r="C121" i="11"/>
  <c r="E120" i="11"/>
  <c r="C120" i="11"/>
  <c r="E119" i="11"/>
  <c r="C119" i="11"/>
  <c r="E118" i="11"/>
  <c r="C118" i="11"/>
  <c r="E83" i="11"/>
  <c r="C83" i="11"/>
  <c r="E82" i="11"/>
  <c r="C82" i="11"/>
  <c r="E81" i="11"/>
  <c r="C81" i="11"/>
  <c r="E80" i="11"/>
  <c r="C80" i="11"/>
  <c r="E79" i="11"/>
  <c r="C79" i="11"/>
  <c r="E78" i="11"/>
  <c r="C78" i="11"/>
  <c r="E77" i="11"/>
  <c r="C77" i="11"/>
  <c r="E76" i="11"/>
  <c r="C76" i="11"/>
  <c r="E75" i="11"/>
  <c r="C75" i="11"/>
  <c r="E74" i="11"/>
  <c r="C74" i="11"/>
  <c r="E73" i="11"/>
  <c r="C73" i="11"/>
  <c r="E72" i="11"/>
  <c r="C72" i="11"/>
  <c r="E71" i="11"/>
  <c r="C71" i="11"/>
  <c r="E70" i="11"/>
  <c r="C70" i="11"/>
  <c r="E69" i="11"/>
  <c r="C69" i="11"/>
  <c r="E68" i="11"/>
  <c r="C68" i="11"/>
  <c r="E67" i="11"/>
  <c r="C67" i="11"/>
  <c r="E66" i="11"/>
  <c r="C66" i="11"/>
  <c r="E56" i="11"/>
  <c r="C56" i="11"/>
  <c r="E55" i="11"/>
  <c r="C55" i="11"/>
  <c r="E54" i="11"/>
  <c r="C54" i="11"/>
  <c r="E53" i="11"/>
  <c r="C53" i="11"/>
  <c r="E52" i="11"/>
  <c r="C52" i="11"/>
  <c r="E51" i="11"/>
  <c r="C51" i="11"/>
  <c r="E50" i="11"/>
  <c r="C50" i="11"/>
  <c r="E49" i="11"/>
  <c r="C49" i="11"/>
  <c r="E48" i="11"/>
  <c r="C48" i="11"/>
  <c r="E47" i="11"/>
  <c r="C47" i="11"/>
  <c r="E46" i="11"/>
  <c r="C46" i="11"/>
  <c r="E45" i="11"/>
  <c r="C45" i="11"/>
  <c r="E44" i="11"/>
  <c r="C44" i="11"/>
  <c r="E43" i="11"/>
  <c r="C43" i="11"/>
  <c r="E42" i="11"/>
  <c r="C42" i="11"/>
  <c r="E41" i="11"/>
  <c r="C41" i="11"/>
  <c r="E40" i="11"/>
  <c r="C40" i="11"/>
  <c r="E39" i="11"/>
  <c r="C39" i="11"/>
  <c r="E38" i="11"/>
  <c r="C38" i="11"/>
  <c r="E37" i="11"/>
  <c r="C37" i="11"/>
  <c r="E36" i="11"/>
  <c r="C36" i="11"/>
  <c r="E35" i="11"/>
  <c r="C35" i="11"/>
  <c r="E32" i="11"/>
  <c r="C32" i="11"/>
  <c r="E31" i="11"/>
  <c r="C31" i="11"/>
  <c r="E30" i="11"/>
  <c r="C30" i="11"/>
  <c r="E29" i="11"/>
  <c r="C29" i="11"/>
  <c r="E28" i="11"/>
  <c r="C28" i="11"/>
  <c r="E27" i="11"/>
  <c r="C27" i="11"/>
  <c r="E26" i="11"/>
  <c r="C26" i="11"/>
  <c r="E25" i="11"/>
  <c r="C25" i="11"/>
  <c r="E24" i="11"/>
  <c r="C24" i="11"/>
  <c r="E23" i="11"/>
  <c r="C23" i="11"/>
  <c r="E22" i="11"/>
  <c r="C22" i="11"/>
  <c r="E21" i="11"/>
  <c r="C21" i="11"/>
  <c r="E20" i="11"/>
  <c r="C20" i="11"/>
  <c r="E19" i="11"/>
  <c r="C19" i="11"/>
  <c r="E18" i="11"/>
  <c r="C18" i="11"/>
  <c r="E17" i="11"/>
  <c r="C17" i="11"/>
  <c r="E16" i="11"/>
  <c r="C16" i="11"/>
  <c r="E15" i="11"/>
  <c r="C15" i="11"/>
  <c r="E14" i="11"/>
  <c r="C14" i="11"/>
  <c r="E13" i="11"/>
  <c r="C13" i="11"/>
  <c r="E12" i="11"/>
  <c r="C12" i="11"/>
  <c r="E11" i="11"/>
  <c r="C11" i="11"/>
  <c r="E10" i="11"/>
  <c r="C10" i="11"/>
  <c r="E9" i="11"/>
  <c r="C9" i="11"/>
  <c r="E8" i="11"/>
  <c r="C8" i="11"/>
  <c r="E7" i="11"/>
  <c r="C7" i="11"/>
  <c r="E6" i="11"/>
  <c r="C6" i="11"/>
  <c r="R669" i="11"/>
  <c r="R668" i="11"/>
  <c r="R667" i="11"/>
  <c r="R666" i="11"/>
  <c r="R665" i="11"/>
  <c r="R664" i="11"/>
  <c r="R663" i="11"/>
  <c r="R662" i="11"/>
  <c r="R661" i="11"/>
  <c r="R660" i="11"/>
  <c r="R659" i="11"/>
  <c r="R658" i="11"/>
  <c r="R657" i="11"/>
  <c r="R656" i="11"/>
  <c r="R619" i="11"/>
  <c r="R618" i="11"/>
  <c r="R617" i="11"/>
  <c r="R616" i="11"/>
  <c r="R615" i="11"/>
  <c r="R614" i="11"/>
  <c r="R613" i="11"/>
  <c r="R612" i="11"/>
  <c r="R611" i="11"/>
  <c r="R610" i="11"/>
  <c r="R609" i="11"/>
  <c r="R608" i="11"/>
  <c r="R607" i="11"/>
  <c r="R606" i="11"/>
  <c r="R605" i="11"/>
  <c r="R604" i="11"/>
  <c r="R603" i="11"/>
  <c r="R602" i="11"/>
  <c r="R601" i="11"/>
  <c r="R582" i="11"/>
  <c r="R581" i="11"/>
  <c r="R580" i="11"/>
  <c r="R579" i="11"/>
  <c r="R578" i="11"/>
  <c r="R577" i="11"/>
  <c r="R576" i="11"/>
  <c r="R575" i="11"/>
  <c r="R574" i="11"/>
  <c r="R573" i="11"/>
  <c r="R572" i="11"/>
  <c r="R571" i="11"/>
  <c r="R570" i="11"/>
  <c r="R569" i="11"/>
  <c r="R568" i="11"/>
  <c r="R567" i="11"/>
  <c r="R566" i="11"/>
  <c r="R565" i="11"/>
  <c r="R564" i="11"/>
  <c r="R563" i="11"/>
  <c r="R562" i="11"/>
  <c r="R561" i="11"/>
  <c r="R540" i="11"/>
  <c r="R539" i="11"/>
  <c r="R538" i="11"/>
  <c r="R537" i="11"/>
  <c r="R536" i="11"/>
  <c r="R535" i="11"/>
  <c r="R534" i="11"/>
  <c r="R533" i="11"/>
  <c r="R532" i="11"/>
  <c r="R531" i="11"/>
  <c r="R530" i="11"/>
  <c r="R529" i="11"/>
  <c r="R528" i="11"/>
  <c r="R527" i="11"/>
  <c r="R526" i="11"/>
  <c r="R512" i="11"/>
  <c r="R511" i="11"/>
  <c r="R510" i="11"/>
  <c r="R509" i="11"/>
  <c r="R508" i="11"/>
  <c r="R507" i="11"/>
  <c r="R506" i="11"/>
  <c r="R505" i="11"/>
  <c r="R504" i="11"/>
  <c r="R503" i="11"/>
  <c r="R502" i="11"/>
  <c r="R501" i="11"/>
  <c r="R500" i="11"/>
  <c r="R499" i="11"/>
  <c r="R498" i="11"/>
  <c r="R497" i="11"/>
  <c r="R496" i="11"/>
  <c r="R495" i="11"/>
  <c r="R494" i="11"/>
  <c r="R493" i="11"/>
  <c r="R492" i="11"/>
  <c r="R491" i="11"/>
  <c r="R490" i="11"/>
  <c r="R479" i="11"/>
  <c r="R478" i="11"/>
  <c r="R477" i="11"/>
  <c r="R476" i="11"/>
  <c r="R475" i="11"/>
  <c r="R474" i="11"/>
  <c r="R473" i="11"/>
  <c r="R472" i="11"/>
  <c r="R471" i="11"/>
  <c r="R470" i="11"/>
  <c r="R469" i="11"/>
  <c r="R468" i="11"/>
  <c r="R467" i="11"/>
  <c r="R466" i="11"/>
  <c r="R465" i="11"/>
  <c r="R464" i="11"/>
  <c r="R463" i="11"/>
  <c r="R462" i="11"/>
  <c r="R461" i="11"/>
  <c r="R460" i="11"/>
  <c r="R459" i="11"/>
  <c r="R458" i="11"/>
  <c r="R457" i="11"/>
  <c r="R456" i="11"/>
  <c r="R455" i="11"/>
  <c r="R454" i="11"/>
  <c r="R442" i="11"/>
  <c r="R441" i="11"/>
  <c r="R440" i="11"/>
  <c r="R439" i="11"/>
  <c r="R438" i="11"/>
  <c r="R437" i="11"/>
  <c r="R436" i="11"/>
  <c r="R435" i="11"/>
  <c r="R434" i="11"/>
  <c r="R433" i="11"/>
  <c r="R432" i="11"/>
  <c r="R431" i="11"/>
  <c r="R430" i="11"/>
  <c r="R429" i="11"/>
  <c r="R428" i="11"/>
  <c r="R427" i="11"/>
  <c r="R426" i="11"/>
  <c r="R425" i="11"/>
  <c r="R424" i="11"/>
  <c r="R423" i="11"/>
  <c r="R422" i="11"/>
  <c r="R421" i="11"/>
  <c r="R420" i="11"/>
  <c r="R419" i="11"/>
  <c r="R418" i="11"/>
  <c r="R417" i="11"/>
  <c r="R416" i="11"/>
  <c r="R415" i="11"/>
  <c r="R414" i="11"/>
  <c r="R413" i="11"/>
  <c r="R412" i="11"/>
  <c r="R411" i="11"/>
  <c r="R410" i="11"/>
  <c r="R409" i="11"/>
  <c r="R408" i="11"/>
  <c r="R407" i="11"/>
  <c r="R406" i="11"/>
  <c r="R405" i="11"/>
  <c r="R404" i="11"/>
  <c r="R403" i="11"/>
  <c r="R402" i="11"/>
  <c r="R401" i="11"/>
  <c r="R400" i="11"/>
  <c r="R399" i="11"/>
  <c r="R398" i="11"/>
  <c r="R397" i="11"/>
  <c r="R396" i="11"/>
  <c r="R395" i="11"/>
  <c r="R373" i="11"/>
  <c r="R372" i="11"/>
  <c r="R371" i="11"/>
  <c r="R370" i="11"/>
  <c r="R369" i="11"/>
  <c r="R368" i="11"/>
  <c r="R367" i="11"/>
  <c r="R366" i="11"/>
  <c r="R365" i="11"/>
  <c r="R364" i="11"/>
  <c r="R363" i="11"/>
  <c r="R362" i="11"/>
  <c r="R361" i="11"/>
  <c r="R360" i="11"/>
  <c r="R359" i="11"/>
  <c r="R358" i="11"/>
  <c r="R357" i="11"/>
  <c r="R356" i="11"/>
  <c r="R355" i="11"/>
  <c r="R354" i="11"/>
  <c r="R340" i="11"/>
  <c r="R339" i="11"/>
  <c r="R338" i="11"/>
  <c r="R337" i="11"/>
  <c r="R336" i="11"/>
  <c r="R335" i="11"/>
  <c r="R334" i="11"/>
  <c r="R333" i="11"/>
  <c r="R332" i="11"/>
  <c r="R331" i="11"/>
  <c r="R330" i="11"/>
  <c r="R329" i="11"/>
  <c r="R328" i="11"/>
  <c r="R327" i="11"/>
  <c r="R326" i="11"/>
  <c r="R325" i="11"/>
  <c r="R324" i="11"/>
  <c r="R323" i="11"/>
  <c r="R322" i="11"/>
  <c r="R321" i="11"/>
  <c r="R320" i="11"/>
  <c r="R319" i="11"/>
  <c r="R308" i="11"/>
  <c r="R307" i="11"/>
  <c r="R306" i="11"/>
  <c r="R305" i="11"/>
  <c r="R304" i="11"/>
  <c r="R303" i="11"/>
  <c r="R302" i="11"/>
  <c r="R301" i="11"/>
  <c r="R300" i="11"/>
  <c r="R299" i="11"/>
  <c r="R298" i="11"/>
  <c r="R297" i="11"/>
  <c r="R268" i="11"/>
  <c r="R267" i="11"/>
  <c r="R266" i="11"/>
  <c r="R265" i="11"/>
  <c r="R264" i="11"/>
  <c r="R250" i="11"/>
  <c r="R233" i="11"/>
  <c r="R232" i="11"/>
  <c r="R231" i="11"/>
  <c r="R230" i="11"/>
  <c r="R229" i="11"/>
  <c r="R228" i="11"/>
  <c r="R227" i="11"/>
  <c r="R226" i="11"/>
  <c r="R225" i="11"/>
  <c r="R224" i="11"/>
  <c r="R223" i="11"/>
  <c r="R222" i="11"/>
  <c r="R221" i="11"/>
  <c r="R220" i="11"/>
  <c r="R219" i="11"/>
  <c r="R218" i="11"/>
  <c r="R217" i="11"/>
  <c r="R216" i="11"/>
  <c r="R201" i="11"/>
  <c r="R200" i="11"/>
  <c r="R199" i="11"/>
  <c r="R198" i="11"/>
  <c r="R197" i="11"/>
  <c r="R196" i="11"/>
  <c r="R195" i="11"/>
  <c r="R194" i="11"/>
  <c r="R193" i="11"/>
  <c r="R192" i="11"/>
  <c r="R191" i="11"/>
  <c r="R190" i="11"/>
  <c r="R189" i="11"/>
  <c r="R188" i="11"/>
  <c r="R187" i="11"/>
  <c r="R186" i="11"/>
  <c r="R185" i="11"/>
  <c r="R184" i="11"/>
  <c r="R183" i="11"/>
  <c r="R182" i="11"/>
  <c r="R181" i="11"/>
  <c r="R180" i="11"/>
  <c r="R179" i="11"/>
  <c r="R178" i="11"/>
  <c r="R177" i="11"/>
  <c r="R176" i="11"/>
  <c r="R175" i="11"/>
  <c r="R174" i="11"/>
  <c r="R173" i="11"/>
  <c r="R172" i="11"/>
  <c r="R158" i="11"/>
  <c r="R157" i="11"/>
  <c r="R156" i="11"/>
  <c r="R155" i="11"/>
  <c r="R154" i="11"/>
  <c r="R153" i="11"/>
  <c r="R152" i="11"/>
  <c r="R151" i="11"/>
  <c r="R150" i="11"/>
  <c r="R149" i="11"/>
  <c r="R148" i="11"/>
  <c r="R147" i="11"/>
  <c r="R146" i="11"/>
  <c r="R145" i="11"/>
  <c r="R144" i="11"/>
  <c r="R143" i="11"/>
  <c r="R142" i="11"/>
  <c r="R141" i="11"/>
  <c r="R140" i="11"/>
  <c r="R133" i="11"/>
  <c r="R132" i="11"/>
  <c r="R131" i="11"/>
  <c r="R130" i="11"/>
  <c r="R129" i="11"/>
  <c r="R128" i="11"/>
  <c r="R127" i="11"/>
  <c r="R126" i="11"/>
  <c r="R125" i="11"/>
  <c r="R124" i="11"/>
  <c r="R123" i="11"/>
  <c r="R122" i="11"/>
  <c r="R121" i="11"/>
  <c r="R120" i="11"/>
  <c r="R119" i="11"/>
  <c r="R118" i="11"/>
  <c r="R83" i="11"/>
  <c r="R82" i="11"/>
  <c r="R81" i="11"/>
  <c r="R80" i="11"/>
  <c r="R79" i="11"/>
  <c r="R78" i="11"/>
  <c r="R77" i="11"/>
  <c r="R76" i="11"/>
  <c r="R75" i="11"/>
  <c r="R74" i="11"/>
  <c r="R73" i="11"/>
  <c r="R72" i="11"/>
  <c r="R71" i="11"/>
  <c r="R70" i="11"/>
  <c r="R69" i="11"/>
  <c r="R68" i="11"/>
  <c r="R67" i="11"/>
  <c r="R66" i="11"/>
  <c r="R54" i="11"/>
  <c r="R53" i="11"/>
  <c r="R52" i="11"/>
  <c r="R51" i="11"/>
  <c r="R50" i="11"/>
  <c r="R49" i="11"/>
  <c r="R48" i="11"/>
  <c r="R47" i="11"/>
  <c r="R46" i="11"/>
  <c r="R45" i="11"/>
  <c r="R44" i="11"/>
  <c r="R43" i="11"/>
  <c r="R42" i="11"/>
  <c r="R41" i="11"/>
  <c r="R40" i="11"/>
  <c r="R39" i="11"/>
  <c r="R38" i="11"/>
  <c r="R37" i="11"/>
  <c r="R36" i="11"/>
  <c r="R35" i="11"/>
  <c r="R32" i="11"/>
  <c r="R31" i="11"/>
  <c r="R30" i="11"/>
  <c r="R29" i="11"/>
  <c r="R28" i="11"/>
  <c r="R27" i="11"/>
  <c r="R26" i="11"/>
  <c r="R25" i="11"/>
  <c r="R24" i="11"/>
  <c r="R23" i="11"/>
  <c r="R22" i="11"/>
  <c r="R21" i="11"/>
  <c r="R20" i="11"/>
  <c r="R19" i="11"/>
  <c r="R18" i="11"/>
  <c r="R17" i="11"/>
  <c r="R16" i="11"/>
  <c r="R15" i="11"/>
  <c r="R14" i="11"/>
  <c r="R13" i="11"/>
  <c r="R12" i="11"/>
  <c r="R11" i="11"/>
  <c r="R10" i="11"/>
  <c r="R9" i="11"/>
  <c r="R8" i="11"/>
  <c r="R7" i="11"/>
  <c r="R6" i="11"/>
  <c r="U618" i="11"/>
  <c r="U616" i="11"/>
  <c r="U615" i="11"/>
  <c r="U508" i="11"/>
  <c r="U415" i="11"/>
  <c r="U414" i="11"/>
  <c r="U337" i="11"/>
  <c r="U336" i="11"/>
  <c r="U230" i="11"/>
  <c r="U229" i="11"/>
  <c r="U80" i="11"/>
  <c r="U79" i="11"/>
  <c r="U49" i="11"/>
  <c r="U48" i="11"/>
  <c r="U43" i="11"/>
  <c r="U42" i="11"/>
  <c r="U41" i="11"/>
  <c r="U40" i="11"/>
  <c r="U37" i="11"/>
  <c r="S669" i="11"/>
  <c r="T669" i="11" s="1"/>
  <c r="S668" i="11"/>
  <c r="T668" i="11" s="1"/>
  <c r="S667" i="11"/>
  <c r="T667" i="11" s="1"/>
  <c r="S666" i="11"/>
  <c r="T666" i="11" s="1"/>
  <c r="S665" i="11"/>
  <c r="T665" i="11" s="1"/>
  <c r="S664" i="11"/>
  <c r="T664" i="11" s="1"/>
  <c r="S663" i="11"/>
  <c r="T663" i="11" s="1"/>
  <c r="S662" i="11"/>
  <c r="U662" i="11" s="1"/>
  <c r="S661" i="11"/>
  <c r="T661" i="11" s="1"/>
  <c r="S660" i="11"/>
  <c r="T660" i="11" s="1"/>
  <c r="S659" i="11"/>
  <c r="T659" i="11" s="1"/>
  <c r="S658" i="11"/>
  <c r="T658" i="11" s="1"/>
  <c r="S657" i="11"/>
  <c r="T657" i="11" s="1"/>
  <c r="S656" i="11"/>
  <c r="T656" i="11" s="1"/>
  <c r="S619" i="11"/>
  <c r="T619" i="11" s="1"/>
  <c r="T618" i="11"/>
  <c r="S617" i="11"/>
  <c r="T617" i="11" s="1"/>
  <c r="T616" i="11"/>
  <c r="T615" i="11"/>
  <c r="S614" i="11"/>
  <c r="T614" i="11" s="1"/>
  <c r="S613" i="11"/>
  <c r="T613" i="11" s="1"/>
  <c r="S612" i="11"/>
  <c r="U612" i="11" s="1"/>
  <c r="S611" i="11"/>
  <c r="T611" i="11" s="1"/>
  <c r="S610" i="11"/>
  <c r="T610" i="11" s="1"/>
  <c r="S609" i="11"/>
  <c r="T609" i="11" s="1"/>
  <c r="S608" i="11"/>
  <c r="T608" i="11" s="1"/>
  <c r="S607" i="11"/>
  <c r="T607" i="11" s="1"/>
  <c r="S606" i="11"/>
  <c r="U606" i="11" s="1"/>
  <c r="S605" i="11"/>
  <c r="T605" i="11" s="1"/>
  <c r="S604" i="11"/>
  <c r="U604" i="11" s="1"/>
  <c r="S603" i="11"/>
  <c r="T603" i="11" s="1"/>
  <c r="S602" i="11"/>
  <c r="T602" i="11" s="1"/>
  <c r="S601" i="11"/>
  <c r="T601" i="11" s="1"/>
  <c r="S582" i="11"/>
  <c r="U582" i="11" s="1"/>
  <c r="S581" i="11"/>
  <c r="T581" i="11" s="1"/>
  <c r="S580" i="11"/>
  <c r="T580" i="11" s="1"/>
  <c r="S579" i="11"/>
  <c r="T579" i="11" s="1"/>
  <c r="S578" i="11"/>
  <c r="T578" i="11" s="1"/>
  <c r="S577" i="11"/>
  <c r="T577" i="11" s="1"/>
  <c r="S576" i="11"/>
  <c r="T576" i="11" s="1"/>
  <c r="S575" i="11"/>
  <c r="T575" i="11" s="1"/>
  <c r="S574" i="11"/>
  <c r="T574" i="11" s="1"/>
  <c r="S573" i="11"/>
  <c r="T573" i="11" s="1"/>
  <c r="S572" i="11"/>
  <c r="T572" i="11" s="1"/>
  <c r="S571" i="11"/>
  <c r="T571" i="11" s="1"/>
  <c r="S570" i="11"/>
  <c r="T570" i="11" s="1"/>
  <c r="S569" i="11"/>
  <c r="T569" i="11" s="1"/>
  <c r="S568" i="11"/>
  <c r="T568" i="11" s="1"/>
  <c r="S567" i="11"/>
  <c r="T567" i="11" s="1"/>
  <c r="S566" i="11"/>
  <c r="T566" i="11" s="1"/>
  <c r="S565" i="11"/>
  <c r="T565" i="11" s="1"/>
  <c r="S564" i="11"/>
  <c r="T564" i="11" s="1"/>
  <c r="S563" i="11"/>
  <c r="T563" i="11" s="1"/>
  <c r="S562" i="11"/>
  <c r="T562" i="11" s="1"/>
  <c r="S561" i="11"/>
  <c r="T561" i="11" s="1"/>
  <c r="S540" i="11"/>
  <c r="T540" i="11" s="1"/>
  <c r="S539" i="11"/>
  <c r="T539" i="11" s="1"/>
  <c r="S538" i="11"/>
  <c r="T538" i="11" s="1"/>
  <c r="S537" i="11"/>
  <c r="T537" i="11" s="1"/>
  <c r="S536" i="11"/>
  <c r="T536" i="11" s="1"/>
  <c r="S535" i="11"/>
  <c r="T535" i="11" s="1"/>
  <c r="S534" i="11"/>
  <c r="T534" i="11" s="1"/>
  <c r="S533" i="11"/>
  <c r="T533" i="11" s="1"/>
  <c r="S532" i="11"/>
  <c r="T532" i="11" s="1"/>
  <c r="S531" i="11"/>
  <c r="T531" i="11" s="1"/>
  <c r="S530" i="11"/>
  <c r="T530" i="11" s="1"/>
  <c r="S529" i="11"/>
  <c r="T529" i="11" s="1"/>
  <c r="S528" i="11"/>
  <c r="T528" i="11" s="1"/>
  <c r="S527" i="11"/>
  <c r="T527" i="11" s="1"/>
  <c r="S526" i="11"/>
  <c r="T526" i="11" s="1"/>
  <c r="S512" i="11"/>
  <c r="T512" i="11" s="1"/>
  <c r="S511" i="11"/>
  <c r="T511" i="11" s="1"/>
  <c r="S510" i="11"/>
  <c r="T510" i="11" s="1"/>
  <c r="S509" i="11"/>
  <c r="T509" i="11" s="1"/>
  <c r="T508" i="11"/>
  <c r="S507" i="11"/>
  <c r="T507" i="11" s="1"/>
  <c r="S506" i="11"/>
  <c r="T506" i="11" s="1"/>
  <c r="S505" i="11"/>
  <c r="T505" i="11" s="1"/>
  <c r="S504" i="11"/>
  <c r="T504" i="11" s="1"/>
  <c r="S503" i="11"/>
  <c r="T503" i="11" s="1"/>
  <c r="S502" i="11"/>
  <c r="T502" i="11" s="1"/>
  <c r="S501" i="11"/>
  <c r="T501" i="11" s="1"/>
  <c r="S500" i="11"/>
  <c r="T500" i="11" s="1"/>
  <c r="S499" i="11"/>
  <c r="T499" i="11" s="1"/>
  <c r="S498" i="11"/>
  <c r="T498" i="11" s="1"/>
  <c r="S497" i="11"/>
  <c r="T497" i="11" s="1"/>
  <c r="S496" i="11"/>
  <c r="T496" i="11" s="1"/>
  <c r="S495" i="11"/>
  <c r="T495" i="11" s="1"/>
  <c r="S494" i="11"/>
  <c r="T494" i="11" s="1"/>
  <c r="S493" i="11"/>
  <c r="T493" i="11" s="1"/>
  <c r="S492" i="11"/>
  <c r="T492" i="11" s="1"/>
  <c r="S491" i="11"/>
  <c r="T491" i="11" s="1"/>
  <c r="S490" i="11"/>
  <c r="T490" i="11" s="1"/>
  <c r="S479" i="11"/>
  <c r="T479" i="11" s="1"/>
  <c r="S478" i="11"/>
  <c r="T478" i="11" s="1"/>
  <c r="S477" i="11"/>
  <c r="T477" i="11" s="1"/>
  <c r="S476" i="11"/>
  <c r="T476" i="11" s="1"/>
  <c r="S475" i="11"/>
  <c r="T475" i="11" s="1"/>
  <c r="S474" i="11"/>
  <c r="T474" i="11" s="1"/>
  <c r="S473" i="11"/>
  <c r="T473" i="11" s="1"/>
  <c r="S472" i="11"/>
  <c r="T472" i="11" s="1"/>
  <c r="S471" i="11"/>
  <c r="T471" i="11" s="1"/>
  <c r="S470" i="11"/>
  <c r="T470" i="11" s="1"/>
  <c r="S469" i="11"/>
  <c r="T469" i="11" s="1"/>
  <c r="S468" i="11"/>
  <c r="T468" i="11" s="1"/>
  <c r="S467" i="11"/>
  <c r="T467" i="11" s="1"/>
  <c r="S466" i="11"/>
  <c r="T466" i="11" s="1"/>
  <c r="S465" i="11"/>
  <c r="T465" i="11" s="1"/>
  <c r="S464" i="11"/>
  <c r="T464" i="11" s="1"/>
  <c r="S463" i="11"/>
  <c r="T463" i="11" s="1"/>
  <c r="S462" i="11"/>
  <c r="T462" i="11" s="1"/>
  <c r="S461" i="11"/>
  <c r="T461" i="11" s="1"/>
  <c r="S460" i="11"/>
  <c r="T460" i="11" s="1"/>
  <c r="S459" i="11"/>
  <c r="T459" i="11" s="1"/>
  <c r="S458" i="11"/>
  <c r="T458" i="11" s="1"/>
  <c r="S457" i="11"/>
  <c r="T457" i="11" s="1"/>
  <c r="S456" i="11"/>
  <c r="T456" i="11" s="1"/>
  <c r="S455" i="11"/>
  <c r="T455" i="11" s="1"/>
  <c r="S454" i="11"/>
  <c r="T454" i="11" s="1"/>
  <c r="S442" i="11"/>
  <c r="T442" i="11" s="1"/>
  <c r="S441" i="11"/>
  <c r="T441" i="11" s="1"/>
  <c r="S440" i="11"/>
  <c r="T440" i="11" s="1"/>
  <c r="S439" i="11"/>
  <c r="T439" i="11" s="1"/>
  <c r="S438" i="11"/>
  <c r="T438" i="11" s="1"/>
  <c r="S437" i="11"/>
  <c r="T437" i="11" s="1"/>
  <c r="S436" i="11"/>
  <c r="T436" i="11" s="1"/>
  <c r="S435" i="11"/>
  <c r="T435" i="11" s="1"/>
  <c r="S434" i="11"/>
  <c r="T434" i="11" s="1"/>
  <c r="S433" i="11"/>
  <c r="T433" i="11" s="1"/>
  <c r="S432" i="11"/>
  <c r="T432" i="11" s="1"/>
  <c r="S431" i="11"/>
  <c r="T431" i="11" s="1"/>
  <c r="S430" i="11"/>
  <c r="T430" i="11" s="1"/>
  <c r="S429" i="11"/>
  <c r="T429" i="11" s="1"/>
  <c r="S428" i="11"/>
  <c r="T428" i="11" s="1"/>
  <c r="S427" i="11"/>
  <c r="T427" i="11" s="1"/>
  <c r="S426" i="11"/>
  <c r="T426" i="11" s="1"/>
  <c r="S425" i="11"/>
  <c r="T425" i="11" s="1"/>
  <c r="S424" i="11"/>
  <c r="T424" i="11" s="1"/>
  <c r="S423" i="11"/>
  <c r="T423" i="11" s="1"/>
  <c r="S422" i="11"/>
  <c r="T422" i="11" s="1"/>
  <c r="S421" i="11"/>
  <c r="T421" i="11" s="1"/>
  <c r="S420" i="11"/>
  <c r="T420" i="11" s="1"/>
  <c r="S419" i="11"/>
  <c r="T419" i="11" s="1"/>
  <c r="S418" i="11"/>
  <c r="T418" i="11" s="1"/>
  <c r="S417" i="11"/>
  <c r="T417" i="11" s="1"/>
  <c r="S416" i="11"/>
  <c r="T416" i="11" s="1"/>
  <c r="T415" i="11"/>
  <c r="T414" i="11"/>
  <c r="S413" i="11"/>
  <c r="T413" i="11" s="1"/>
  <c r="S412" i="11"/>
  <c r="T412" i="11" s="1"/>
  <c r="S411" i="11"/>
  <c r="T411" i="11" s="1"/>
  <c r="S410" i="11"/>
  <c r="T410" i="11" s="1"/>
  <c r="S409" i="11"/>
  <c r="T409" i="11" s="1"/>
  <c r="S408" i="11"/>
  <c r="T408" i="11" s="1"/>
  <c r="S407" i="11"/>
  <c r="T407" i="11" s="1"/>
  <c r="S406" i="11"/>
  <c r="T406" i="11" s="1"/>
  <c r="S405" i="11"/>
  <c r="T405" i="11" s="1"/>
  <c r="S404" i="11"/>
  <c r="T404" i="11" s="1"/>
  <c r="S403" i="11"/>
  <c r="T403" i="11" s="1"/>
  <c r="S402" i="11"/>
  <c r="T402" i="11" s="1"/>
  <c r="S401" i="11"/>
  <c r="T401" i="11" s="1"/>
  <c r="S400" i="11"/>
  <c r="T400" i="11" s="1"/>
  <c r="S399" i="11"/>
  <c r="T399" i="11" s="1"/>
  <c r="S398" i="11"/>
  <c r="T398" i="11" s="1"/>
  <c r="S397" i="11"/>
  <c r="T397" i="11" s="1"/>
  <c r="S396" i="11"/>
  <c r="T396" i="11" s="1"/>
  <c r="S395" i="11"/>
  <c r="T395" i="11" s="1"/>
  <c r="S373" i="11"/>
  <c r="T373" i="11" s="1"/>
  <c r="S372" i="11"/>
  <c r="T372" i="11" s="1"/>
  <c r="S371" i="11"/>
  <c r="T371" i="11" s="1"/>
  <c r="S370" i="11"/>
  <c r="T370" i="11" s="1"/>
  <c r="S369" i="11"/>
  <c r="T369" i="11" s="1"/>
  <c r="S368" i="11"/>
  <c r="T368" i="11" s="1"/>
  <c r="S367" i="11"/>
  <c r="T367" i="11" s="1"/>
  <c r="S366" i="11"/>
  <c r="T366" i="11" s="1"/>
  <c r="S365" i="11"/>
  <c r="T365" i="11" s="1"/>
  <c r="S364" i="11"/>
  <c r="T364" i="11" s="1"/>
  <c r="S363" i="11"/>
  <c r="T363" i="11" s="1"/>
  <c r="S362" i="11"/>
  <c r="T362" i="11" s="1"/>
  <c r="S361" i="11"/>
  <c r="T361" i="11" s="1"/>
  <c r="S360" i="11"/>
  <c r="T360" i="11" s="1"/>
  <c r="S359" i="11"/>
  <c r="T359" i="11" s="1"/>
  <c r="S358" i="11"/>
  <c r="T358" i="11" s="1"/>
  <c r="S357" i="11"/>
  <c r="T357" i="11" s="1"/>
  <c r="S356" i="11"/>
  <c r="T356" i="11" s="1"/>
  <c r="S355" i="11"/>
  <c r="T355" i="11" s="1"/>
  <c r="S354" i="11"/>
  <c r="T354" i="11" s="1"/>
  <c r="S340" i="11"/>
  <c r="T340" i="11" s="1"/>
  <c r="S339" i="11"/>
  <c r="T339" i="11" s="1"/>
  <c r="S338" i="11"/>
  <c r="T338" i="11" s="1"/>
  <c r="T337" i="11"/>
  <c r="T336" i="11"/>
  <c r="S335" i="11"/>
  <c r="T335" i="11" s="1"/>
  <c r="S334" i="11"/>
  <c r="T334" i="11" s="1"/>
  <c r="S333" i="11"/>
  <c r="T333" i="11" s="1"/>
  <c r="S332" i="11"/>
  <c r="T332" i="11" s="1"/>
  <c r="S331" i="11"/>
  <c r="U331" i="11" s="1"/>
  <c r="S330" i="11"/>
  <c r="T330" i="11" s="1"/>
  <c r="S329" i="11"/>
  <c r="U329" i="11" s="1"/>
  <c r="S328" i="11"/>
  <c r="T328" i="11" s="1"/>
  <c r="S327" i="11"/>
  <c r="T327" i="11" s="1"/>
  <c r="S326" i="11"/>
  <c r="T326" i="11" s="1"/>
  <c r="S325" i="11"/>
  <c r="T325" i="11" s="1"/>
  <c r="S324" i="11"/>
  <c r="T324" i="11" s="1"/>
  <c r="S323" i="11"/>
  <c r="U323" i="11" s="1"/>
  <c r="S322" i="11"/>
  <c r="T322" i="11" s="1"/>
  <c r="S321" i="11"/>
  <c r="U321" i="11" s="1"/>
  <c r="S320" i="11"/>
  <c r="T320" i="11" s="1"/>
  <c r="S319" i="11"/>
  <c r="T319" i="11" s="1"/>
  <c r="S308" i="11"/>
  <c r="T308" i="11" s="1"/>
  <c r="S307" i="11"/>
  <c r="T307" i="11" s="1"/>
  <c r="S306" i="11"/>
  <c r="T306" i="11" s="1"/>
  <c r="S305" i="11"/>
  <c r="U305" i="11" s="1"/>
  <c r="S304" i="11"/>
  <c r="T304" i="11" s="1"/>
  <c r="S303" i="11"/>
  <c r="U303" i="11" s="1"/>
  <c r="S302" i="11"/>
  <c r="T302" i="11" s="1"/>
  <c r="S301" i="11"/>
  <c r="T301" i="11" s="1"/>
  <c r="S300" i="11"/>
  <c r="T300" i="11" s="1"/>
  <c r="S299" i="11"/>
  <c r="T299" i="11" s="1"/>
  <c r="S298" i="11"/>
  <c r="T298" i="11" s="1"/>
  <c r="S297" i="11"/>
  <c r="U297" i="11" s="1"/>
  <c r="S268" i="11"/>
  <c r="T268" i="11" s="1"/>
  <c r="S267" i="11"/>
  <c r="U267" i="11" s="1"/>
  <c r="S266" i="11"/>
  <c r="T266" i="11" s="1"/>
  <c r="S265" i="11"/>
  <c r="T265" i="11" s="1"/>
  <c r="S264" i="11"/>
  <c r="T264" i="11" s="1"/>
  <c r="S250" i="11"/>
  <c r="T250" i="11" s="1"/>
  <c r="S233" i="11"/>
  <c r="T233" i="11" s="1"/>
  <c r="S232" i="11"/>
  <c r="T232" i="11" s="1"/>
  <c r="S231" i="11"/>
  <c r="T231" i="11" s="1"/>
  <c r="T230" i="11"/>
  <c r="T229" i="11"/>
  <c r="S228" i="11"/>
  <c r="T228" i="11" s="1"/>
  <c r="S227" i="11"/>
  <c r="T227" i="11" s="1"/>
  <c r="S226" i="11"/>
  <c r="T226" i="11" s="1"/>
  <c r="S225" i="11"/>
  <c r="T225" i="11" s="1"/>
  <c r="S224" i="11"/>
  <c r="T224" i="11" s="1"/>
  <c r="S223" i="11"/>
  <c r="U223" i="11" s="1"/>
  <c r="S222" i="11"/>
  <c r="T222" i="11" s="1"/>
  <c r="S221" i="11"/>
  <c r="T221" i="11" s="1"/>
  <c r="S220" i="11"/>
  <c r="T220" i="11" s="1"/>
  <c r="S219" i="11"/>
  <c r="T219" i="11" s="1"/>
  <c r="S218" i="11"/>
  <c r="T218" i="11" s="1"/>
  <c r="S217" i="11"/>
  <c r="T217" i="11" s="1"/>
  <c r="S216" i="11"/>
  <c r="T216" i="11" s="1"/>
  <c r="S201" i="11"/>
  <c r="U201" i="11" s="1"/>
  <c r="S200" i="11"/>
  <c r="T200" i="11" s="1"/>
  <c r="S199" i="11"/>
  <c r="U199" i="11" s="1"/>
  <c r="S198" i="11"/>
  <c r="T198" i="11" s="1"/>
  <c r="S197" i="11"/>
  <c r="T197" i="11" s="1"/>
  <c r="S196" i="11"/>
  <c r="T196" i="11" s="1"/>
  <c r="S195" i="11"/>
  <c r="T195" i="11" s="1"/>
  <c r="S194" i="11"/>
  <c r="T194" i="11" s="1"/>
  <c r="S193" i="11"/>
  <c r="U193" i="11" s="1"/>
  <c r="S192" i="11"/>
  <c r="T192" i="11" s="1"/>
  <c r="S191" i="11"/>
  <c r="U191" i="11" s="1"/>
  <c r="S190" i="11"/>
  <c r="T190" i="11" s="1"/>
  <c r="S189" i="11"/>
  <c r="T189" i="11" s="1"/>
  <c r="S188" i="11"/>
  <c r="T188" i="11" s="1"/>
  <c r="S187" i="11"/>
  <c r="T187" i="11" s="1"/>
  <c r="S186" i="11"/>
  <c r="T186" i="11" s="1"/>
  <c r="S185" i="11"/>
  <c r="U185" i="11" s="1"/>
  <c r="S184" i="11"/>
  <c r="T184" i="11" s="1"/>
  <c r="S183" i="11"/>
  <c r="U183" i="11" s="1"/>
  <c r="S182" i="11"/>
  <c r="T182" i="11" s="1"/>
  <c r="S181" i="11"/>
  <c r="T181" i="11" s="1"/>
  <c r="S180" i="11"/>
  <c r="T180" i="11" s="1"/>
  <c r="S179" i="11"/>
  <c r="T179" i="11" s="1"/>
  <c r="S178" i="11"/>
  <c r="T178" i="11" s="1"/>
  <c r="S177" i="11"/>
  <c r="U177" i="11" s="1"/>
  <c r="S176" i="11"/>
  <c r="T176" i="11" s="1"/>
  <c r="S175" i="11"/>
  <c r="U175" i="11" s="1"/>
  <c r="S174" i="11"/>
  <c r="T174" i="11" s="1"/>
  <c r="S173" i="11"/>
  <c r="T173" i="11" s="1"/>
  <c r="S172" i="11"/>
  <c r="T172" i="11" s="1"/>
  <c r="S158" i="11"/>
  <c r="T158" i="11" s="1"/>
  <c r="S157" i="11"/>
  <c r="T157" i="11" s="1"/>
  <c r="S156" i="11"/>
  <c r="T156" i="11" s="1"/>
  <c r="S155" i="11"/>
  <c r="T155" i="11" s="1"/>
  <c r="S154" i="11"/>
  <c r="T154" i="11" s="1"/>
  <c r="S153" i="11"/>
  <c r="T153" i="11" s="1"/>
  <c r="S152" i="11"/>
  <c r="T152" i="11" s="1"/>
  <c r="S151" i="11"/>
  <c r="T151" i="11" s="1"/>
  <c r="S150" i="11"/>
  <c r="T150" i="11" s="1"/>
  <c r="S149" i="11"/>
  <c r="T149" i="11" s="1"/>
  <c r="S148" i="11"/>
  <c r="T148" i="11" s="1"/>
  <c r="S147" i="11"/>
  <c r="T147" i="11" s="1"/>
  <c r="S146" i="11"/>
  <c r="T146" i="11" s="1"/>
  <c r="S145" i="11"/>
  <c r="T145" i="11" s="1"/>
  <c r="S144" i="11"/>
  <c r="T144" i="11" s="1"/>
  <c r="S143" i="11"/>
  <c r="T143" i="11" s="1"/>
  <c r="S142" i="11"/>
  <c r="T142" i="11" s="1"/>
  <c r="S141" i="11"/>
  <c r="T141" i="11" s="1"/>
  <c r="S140" i="11"/>
  <c r="T140" i="11" s="1"/>
  <c r="S133" i="11"/>
  <c r="T133" i="11" s="1"/>
  <c r="S132" i="11"/>
  <c r="U132" i="11" s="1"/>
  <c r="S131" i="11"/>
  <c r="T131" i="11" s="1"/>
  <c r="S130" i="11"/>
  <c r="T130" i="11" s="1"/>
  <c r="S129" i="11"/>
  <c r="T129" i="11" s="1"/>
  <c r="S128" i="11"/>
  <c r="T128" i="11" s="1"/>
  <c r="S127" i="11"/>
  <c r="T127" i="11" s="1"/>
  <c r="S126" i="11"/>
  <c r="T126" i="11" s="1"/>
  <c r="S125" i="11"/>
  <c r="T125" i="11" s="1"/>
  <c r="S124" i="11"/>
  <c r="U124" i="11" s="1"/>
  <c r="S123" i="11"/>
  <c r="T123" i="11" s="1"/>
  <c r="S122" i="11"/>
  <c r="T122" i="11" s="1"/>
  <c r="S121" i="11"/>
  <c r="T121" i="11" s="1"/>
  <c r="S120" i="11"/>
  <c r="T120" i="11" s="1"/>
  <c r="S119" i="11"/>
  <c r="T119" i="11" s="1"/>
  <c r="S118" i="11"/>
  <c r="T118" i="11" s="1"/>
  <c r="S83" i="11"/>
  <c r="T83" i="11" s="1"/>
  <c r="S82" i="11"/>
  <c r="T82" i="11" s="1"/>
  <c r="S81" i="11"/>
  <c r="T81" i="11" s="1"/>
  <c r="T80" i="11"/>
  <c r="T79" i="11"/>
  <c r="S78" i="11"/>
  <c r="T78" i="11" s="1"/>
  <c r="S77" i="11"/>
  <c r="T77" i="11" s="1"/>
  <c r="S76" i="11"/>
  <c r="T76" i="11" s="1"/>
  <c r="S75" i="11"/>
  <c r="T75" i="11" s="1"/>
  <c r="S74" i="11"/>
  <c r="T74" i="11" s="1"/>
  <c r="S73" i="11"/>
  <c r="T73" i="11" s="1"/>
  <c r="S72" i="11"/>
  <c r="T72" i="11" s="1"/>
  <c r="S71" i="11"/>
  <c r="T71" i="11" s="1"/>
  <c r="S70" i="11"/>
  <c r="T70" i="11" s="1"/>
  <c r="S69" i="11"/>
  <c r="T69" i="11" s="1"/>
  <c r="S68" i="11"/>
  <c r="T68" i="11" s="1"/>
  <c r="S67" i="11"/>
  <c r="T67" i="11" s="1"/>
  <c r="S66" i="11"/>
  <c r="T66" i="11" s="1"/>
  <c r="S54" i="11"/>
  <c r="T54" i="11" s="1"/>
  <c r="S53" i="11"/>
  <c r="T53" i="11" s="1"/>
  <c r="S52" i="11"/>
  <c r="T52" i="11" s="1"/>
  <c r="S51" i="11"/>
  <c r="T51" i="11" s="1"/>
  <c r="S50" i="11"/>
  <c r="T50" i="11" s="1"/>
  <c r="T49" i="11"/>
  <c r="T48" i="11"/>
  <c r="S47" i="11"/>
  <c r="T47" i="11" s="1"/>
  <c r="S46" i="11"/>
  <c r="T46" i="11" s="1"/>
  <c r="S45" i="11"/>
  <c r="T45" i="11" s="1"/>
  <c r="S44" i="11"/>
  <c r="T44" i="11" s="1"/>
  <c r="T43" i="11"/>
  <c r="T42" i="11"/>
  <c r="T41" i="11"/>
  <c r="T40" i="11"/>
  <c r="S39" i="11"/>
  <c r="T39" i="11" s="1"/>
  <c r="S38" i="11"/>
  <c r="T38" i="11" s="1"/>
  <c r="T37" i="11"/>
  <c r="S36" i="11"/>
  <c r="T36" i="11" s="1"/>
  <c r="S35" i="11"/>
  <c r="T35" i="11" s="1"/>
  <c r="S32" i="11"/>
  <c r="T32" i="11" s="1"/>
  <c r="S31" i="11"/>
  <c r="T31" i="11" s="1"/>
  <c r="S30" i="11"/>
  <c r="T30" i="11" s="1"/>
  <c r="S29" i="11"/>
  <c r="U29" i="11" s="1"/>
  <c r="S28" i="11"/>
  <c r="U28" i="11" s="1"/>
  <c r="S27" i="11"/>
  <c r="T27" i="11" s="1"/>
  <c r="S26" i="11"/>
  <c r="U26" i="11" s="1"/>
  <c r="S25" i="11"/>
  <c r="T25" i="11" s="1"/>
  <c r="S24" i="11"/>
  <c r="T24" i="11" s="1"/>
  <c r="S23" i="11"/>
  <c r="T23" i="11" s="1"/>
  <c r="S22" i="11"/>
  <c r="T22" i="11" s="1"/>
  <c r="S21" i="11"/>
  <c r="T21" i="11" s="1"/>
  <c r="S20" i="11"/>
  <c r="T20" i="11" s="1"/>
  <c r="S19" i="11"/>
  <c r="T19" i="11" s="1"/>
  <c r="S18" i="11"/>
  <c r="T18" i="11" s="1"/>
  <c r="S17" i="11"/>
  <c r="T17" i="11" s="1"/>
  <c r="S16" i="11"/>
  <c r="U16" i="11" s="1"/>
  <c r="S15" i="11"/>
  <c r="T15" i="11" s="1"/>
  <c r="S14" i="11"/>
  <c r="T14" i="11" s="1"/>
  <c r="S13" i="11"/>
  <c r="U13" i="11" s="1"/>
  <c r="S12" i="11"/>
  <c r="T12" i="11" s="1"/>
  <c r="S11" i="11"/>
  <c r="T11" i="11" s="1"/>
  <c r="S10" i="11"/>
  <c r="T10" i="11" s="1"/>
  <c r="S9" i="11"/>
  <c r="T9" i="11" s="1"/>
  <c r="S8" i="11"/>
  <c r="U8" i="11" s="1"/>
  <c r="S7" i="11"/>
  <c r="T7" i="11" s="1"/>
  <c r="S6" i="11"/>
  <c r="T6" i="11" s="1"/>
  <c r="T374" i="11" l="1"/>
  <c r="T443" i="11"/>
  <c r="T282" i="11"/>
  <c r="T283" i="11"/>
  <c r="T281" i="11"/>
  <c r="T85" i="11"/>
  <c r="T252" i="11"/>
  <c r="T253" i="11"/>
  <c r="T251" i="11"/>
  <c r="T86" i="11"/>
  <c r="U87" i="11"/>
  <c r="T84" i="11"/>
  <c r="U235" i="11"/>
  <c r="T236" i="11"/>
  <c r="U234" i="11"/>
  <c r="T515" i="11"/>
  <c r="T514" i="11"/>
  <c r="T513" i="11"/>
  <c r="T345" i="11"/>
  <c r="T344" i="11"/>
  <c r="T343" i="11"/>
  <c r="T342" i="11"/>
  <c r="T346" i="11"/>
  <c r="T341" i="11"/>
  <c r="T160" i="11"/>
  <c r="T161" i="11"/>
  <c r="T159" i="11"/>
  <c r="T621" i="11"/>
  <c r="T622" i="11"/>
  <c r="T620" i="11"/>
  <c r="T107" i="11"/>
  <c r="T106" i="11"/>
  <c r="T109" i="11"/>
  <c r="T108" i="11"/>
  <c r="T105" i="11"/>
  <c r="P6" i="2"/>
  <c r="N6" i="2"/>
  <c r="O6" i="2" s="1"/>
  <c r="T124" i="11"/>
  <c r="T26" i="11"/>
  <c r="N4" i="2" s="1"/>
  <c r="U19" i="11"/>
  <c r="U357" i="11"/>
  <c r="U502" i="11"/>
  <c r="T8" i="11"/>
  <c r="T612" i="11"/>
  <c r="U31" i="11"/>
  <c r="T201" i="11"/>
  <c r="T305" i="11"/>
  <c r="U142" i="11"/>
  <c r="U369" i="11"/>
  <c r="U527" i="11"/>
  <c r="U154" i="11"/>
  <c r="U401" i="11"/>
  <c r="U539" i="11"/>
  <c r="T604" i="11"/>
  <c r="U179" i="11"/>
  <c r="U413" i="11"/>
  <c r="U569" i="11"/>
  <c r="T16" i="11"/>
  <c r="T193" i="11"/>
  <c r="T297" i="11"/>
  <c r="U217" i="11"/>
  <c r="U581" i="11"/>
  <c r="U611" i="11"/>
  <c r="U425" i="11"/>
  <c r="T185" i="11"/>
  <c r="T331" i="11"/>
  <c r="U298" i="11"/>
  <c r="U437" i="11"/>
  <c r="T13" i="11"/>
  <c r="U66" i="11"/>
  <c r="U320" i="11"/>
  <c r="U459" i="11"/>
  <c r="U78" i="11"/>
  <c r="U332" i="11"/>
  <c r="U471" i="11"/>
  <c r="U659" i="11"/>
  <c r="T177" i="11"/>
  <c r="T223" i="11"/>
  <c r="N5" i="2" s="1"/>
  <c r="O5" i="2" s="1"/>
  <c r="T323" i="11"/>
  <c r="T582" i="11"/>
  <c r="U7" i="11"/>
  <c r="U490" i="11"/>
  <c r="U661" i="11"/>
  <c r="T199" i="11"/>
  <c r="T329" i="11"/>
  <c r="U6" i="11"/>
  <c r="U18" i="11"/>
  <c r="U30" i="11"/>
  <c r="U44" i="11"/>
  <c r="U77" i="11"/>
  <c r="U123" i="11"/>
  <c r="U141" i="11"/>
  <c r="U153" i="11"/>
  <c r="U178" i="11"/>
  <c r="U190" i="11"/>
  <c r="U216" i="11"/>
  <c r="U228" i="11"/>
  <c r="U319" i="11"/>
  <c r="U356" i="11"/>
  <c r="U368" i="11"/>
  <c r="U400" i="11"/>
  <c r="U412" i="11"/>
  <c r="U424" i="11"/>
  <c r="U436" i="11"/>
  <c r="U458" i="11"/>
  <c r="U470" i="11"/>
  <c r="U501" i="11"/>
  <c r="U526" i="11"/>
  <c r="U538" i="11"/>
  <c r="U568" i="11"/>
  <c r="U580" i="11"/>
  <c r="U610" i="11"/>
  <c r="U658" i="11"/>
  <c r="T132" i="11"/>
  <c r="T191" i="11"/>
  <c r="T321" i="11"/>
  <c r="U20" i="11"/>
  <c r="U32" i="11"/>
  <c r="U46" i="11"/>
  <c r="U67" i="11"/>
  <c r="U125" i="11"/>
  <c r="U143" i="11"/>
  <c r="U155" i="11"/>
  <c r="U180" i="11"/>
  <c r="U192" i="11"/>
  <c r="U218" i="11"/>
  <c r="U299" i="11"/>
  <c r="U333" i="11"/>
  <c r="U358" i="11"/>
  <c r="U370" i="11"/>
  <c r="U402" i="11"/>
  <c r="U426" i="11"/>
  <c r="U438" i="11"/>
  <c r="U460" i="11"/>
  <c r="U472" i="11"/>
  <c r="U491" i="11"/>
  <c r="U503" i="11"/>
  <c r="U528" i="11"/>
  <c r="U540" i="11"/>
  <c r="U570" i="11"/>
  <c r="U660" i="11"/>
  <c r="U9" i="11"/>
  <c r="U21" i="11"/>
  <c r="U35" i="11"/>
  <c r="U47" i="11"/>
  <c r="U68" i="11"/>
  <c r="U126" i="11"/>
  <c r="U144" i="11"/>
  <c r="U156" i="11"/>
  <c r="U181" i="11"/>
  <c r="U219" i="11"/>
  <c r="U231" i="11"/>
  <c r="U300" i="11"/>
  <c r="U322" i="11"/>
  <c r="U334" i="11"/>
  <c r="U359" i="11"/>
  <c r="U371" i="11"/>
  <c r="U403" i="11"/>
  <c r="U427" i="11"/>
  <c r="U439" i="11"/>
  <c r="U461" i="11"/>
  <c r="U473" i="11"/>
  <c r="U492" i="11"/>
  <c r="U504" i="11"/>
  <c r="U529" i="11"/>
  <c r="U571" i="11"/>
  <c r="U601" i="11"/>
  <c r="U613" i="11"/>
  <c r="T183" i="11"/>
  <c r="T303" i="11"/>
  <c r="T662" i="11"/>
  <c r="U10" i="11"/>
  <c r="U22" i="11"/>
  <c r="U36" i="11"/>
  <c r="U69" i="11"/>
  <c r="U81" i="11"/>
  <c r="U127" i="11"/>
  <c r="U145" i="11"/>
  <c r="U157" i="11"/>
  <c r="U182" i="11"/>
  <c r="U194" i="11"/>
  <c r="U220" i="11"/>
  <c r="U232" i="11"/>
  <c r="U301" i="11"/>
  <c r="U335" i="11"/>
  <c r="U360" i="11"/>
  <c r="U372" i="11"/>
  <c r="U404" i="11"/>
  <c r="U416" i="11"/>
  <c r="U428" i="11"/>
  <c r="U440" i="11"/>
  <c r="U462" i="11"/>
  <c r="U474" i="11"/>
  <c r="U493" i="11"/>
  <c r="U505" i="11"/>
  <c r="U530" i="11"/>
  <c r="U572" i="11"/>
  <c r="U602" i="11"/>
  <c r="U614" i="11"/>
  <c r="U11" i="11"/>
  <c r="U23" i="11"/>
  <c r="U70" i="11"/>
  <c r="U82" i="11"/>
  <c r="U128" i="11"/>
  <c r="U146" i="11"/>
  <c r="U158" i="11"/>
  <c r="U195" i="11"/>
  <c r="U221" i="11"/>
  <c r="U233" i="11"/>
  <c r="U302" i="11"/>
  <c r="U324" i="11"/>
  <c r="U361" i="11"/>
  <c r="U373" i="11"/>
  <c r="U405" i="11"/>
  <c r="U417" i="11"/>
  <c r="U429" i="11"/>
  <c r="U441" i="11"/>
  <c r="U463" i="11"/>
  <c r="U475" i="11"/>
  <c r="U494" i="11"/>
  <c r="U506" i="11"/>
  <c r="U531" i="11"/>
  <c r="U561" i="11"/>
  <c r="U573" i="11"/>
  <c r="U603" i="11"/>
  <c r="U663" i="11"/>
  <c r="T175" i="11"/>
  <c r="T267" i="11"/>
  <c r="T606" i="11"/>
  <c r="U12" i="11"/>
  <c r="U24" i="11"/>
  <c r="U38" i="11"/>
  <c r="U50" i="11"/>
  <c r="U71" i="11"/>
  <c r="U83" i="11"/>
  <c r="U129" i="11"/>
  <c r="U147" i="11"/>
  <c r="U172" i="11"/>
  <c r="U184" i="11"/>
  <c r="U196" i="11"/>
  <c r="U222" i="11"/>
  <c r="U250" i="11"/>
  <c r="U325" i="11"/>
  <c r="U362" i="11"/>
  <c r="U406" i="11"/>
  <c r="U418" i="11"/>
  <c r="U430" i="11"/>
  <c r="U442" i="11"/>
  <c r="U464" i="11"/>
  <c r="U476" i="11"/>
  <c r="U495" i="11"/>
  <c r="U507" i="11"/>
  <c r="U532" i="11"/>
  <c r="U562" i="11"/>
  <c r="U574" i="11"/>
  <c r="U664" i="11"/>
  <c r="U25" i="11"/>
  <c r="U39" i="11"/>
  <c r="U51" i="11"/>
  <c r="U72" i="11"/>
  <c r="U118" i="11"/>
  <c r="U130" i="11"/>
  <c r="U148" i="11"/>
  <c r="U173" i="11"/>
  <c r="U197" i="11"/>
  <c r="U264" i="11"/>
  <c r="U304" i="11"/>
  <c r="U326" i="11"/>
  <c r="U338" i="11"/>
  <c r="U363" i="11"/>
  <c r="U395" i="11"/>
  <c r="U407" i="11"/>
  <c r="U419" i="11"/>
  <c r="U431" i="11"/>
  <c r="U465" i="11"/>
  <c r="U477" i="11"/>
  <c r="U496" i="11"/>
  <c r="U533" i="11"/>
  <c r="U563" i="11"/>
  <c r="U575" i="11"/>
  <c r="U605" i="11"/>
  <c r="U617" i="11"/>
  <c r="U665" i="11"/>
  <c r="T28" i="11"/>
  <c r="P4" i="2" s="1"/>
  <c r="U14" i="11"/>
  <c r="U52" i="11"/>
  <c r="U73" i="11"/>
  <c r="U119" i="11"/>
  <c r="U131" i="11"/>
  <c r="U149" i="11"/>
  <c r="U174" i="11"/>
  <c r="U186" i="11"/>
  <c r="U198" i="11"/>
  <c r="U224" i="11"/>
  <c r="U265" i="11"/>
  <c r="U327" i="11"/>
  <c r="U339" i="11"/>
  <c r="U364" i="11"/>
  <c r="U396" i="11"/>
  <c r="U408" i="11"/>
  <c r="U420" i="11"/>
  <c r="U432" i="11"/>
  <c r="U454" i="11"/>
  <c r="U466" i="11"/>
  <c r="U478" i="11"/>
  <c r="U497" i="11"/>
  <c r="U509" i="11"/>
  <c r="U534" i="11"/>
  <c r="U564" i="11"/>
  <c r="U576" i="11"/>
  <c r="U666" i="11"/>
  <c r="U15" i="11"/>
  <c r="U27" i="11"/>
  <c r="U53" i="11"/>
  <c r="U74" i="11"/>
  <c r="U120" i="11"/>
  <c r="U150" i="11"/>
  <c r="U187" i="11"/>
  <c r="U225" i="11"/>
  <c r="U266" i="11"/>
  <c r="U306" i="11"/>
  <c r="U328" i="11"/>
  <c r="U340" i="11"/>
  <c r="U365" i="11"/>
  <c r="U397" i="11"/>
  <c r="U409" i="11"/>
  <c r="U421" i="11"/>
  <c r="U433" i="11"/>
  <c r="U455" i="11"/>
  <c r="U467" i="11"/>
  <c r="U479" i="11"/>
  <c r="U498" i="11"/>
  <c r="U510" i="11"/>
  <c r="U535" i="11"/>
  <c r="U565" i="11"/>
  <c r="U577" i="11"/>
  <c r="U607" i="11"/>
  <c r="U619" i="11"/>
  <c r="U667" i="11"/>
  <c r="U45" i="11"/>
  <c r="T29" i="11"/>
  <c r="U54" i="11"/>
  <c r="U75" i="11"/>
  <c r="U121" i="11"/>
  <c r="U133" i="11"/>
  <c r="U151" i="11"/>
  <c r="U176" i="11"/>
  <c r="U188" i="11"/>
  <c r="U200" i="11"/>
  <c r="U226" i="11"/>
  <c r="U307" i="11"/>
  <c r="U354" i="11"/>
  <c r="U366" i="11"/>
  <c r="U398" i="11"/>
  <c r="U410" i="11"/>
  <c r="U422" i="11"/>
  <c r="U434" i="11"/>
  <c r="U456" i="11"/>
  <c r="U468" i="11"/>
  <c r="U499" i="11"/>
  <c r="U511" i="11"/>
  <c r="U536" i="11"/>
  <c r="U566" i="11"/>
  <c r="U578" i="11"/>
  <c r="U608" i="11"/>
  <c r="U656" i="11"/>
  <c r="U668" i="11"/>
  <c r="U17" i="11"/>
  <c r="U76" i="11"/>
  <c r="U122" i="11"/>
  <c r="U140" i="11"/>
  <c r="U152" i="11"/>
  <c r="U189" i="11"/>
  <c r="U227" i="11"/>
  <c r="U268" i="11"/>
  <c r="U308" i="11"/>
  <c r="U330" i="11"/>
  <c r="U355" i="11"/>
  <c r="U367" i="11"/>
  <c r="U399" i="11"/>
  <c r="U411" i="11"/>
  <c r="U423" i="11"/>
  <c r="U435" i="11"/>
  <c r="U457" i="11"/>
  <c r="U469" i="11"/>
  <c r="U500" i="11"/>
  <c r="U512" i="11"/>
  <c r="U537" i="11"/>
  <c r="U567" i="11"/>
  <c r="U579" i="11"/>
  <c r="U609" i="11"/>
  <c r="U657" i="11"/>
  <c r="U669" i="11"/>
  <c r="P5" i="2" l="1"/>
  <c r="Q5" i="2" s="1"/>
  <c r="Q6" i="2"/>
  <c r="L3" i="21" l="1"/>
  <c r="M3" i="21" s="1"/>
  <c r="I3" i="21"/>
  <c r="L2" i="21"/>
  <c r="N2" i="21" s="1"/>
  <c r="I2" i="21"/>
  <c r="N3" i="21" l="1"/>
  <c r="M2" i="21"/>
  <c r="M7" i="2"/>
  <c r="H13" i="2"/>
  <c r="H12" i="2"/>
  <c r="F12" i="2"/>
  <c r="G12" i="2" s="1"/>
  <c r="H10" i="2"/>
  <c r="H8" i="2"/>
  <c r="F8" i="2"/>
  <c r="G8" i="2" s="1"/>
  <c r="H7" i="2"/>
  <c r="F7" i="2"/>
  <c r="G7" i="2" s="1"/>
  <c r="H6" i="2"/>
  <c r="F6" i="2"/>
  <c r="G6" i="2" s="1"/>
  <c r="H5" i="2"/>
  <c r="F5" i="2"/>
  <c r="G5" i="2" s="1"/>
  <c r="H4" i="2"/>
  <c r="F4" i="2"/>
  <c r="I8" i="2" l="1"/>
  <c r="I5" i="2"/>
  <c r="I7" i="2"/>
  <c r="I6" i="2"/>
  <c r="I12" i="2"/>
  <c r="F13" i="2" l="1"/>
  <c r="G13" i="2" s="1"/>
  <c r="I13" i="2" s="1"/>
  <c r="F14" i="2"/>
  <c r="G14" i="2" s="1"/>
  <c r="H14" i="2"/>
  <c r="P7" i="2" l="1"/>
  <c r="H11" i="2"/>
  <c r="F11" i="2"/>
  <c r="G11" i="2" s="1"/>
  <c r="I14" i="2"/>
  <c r="G4" i="2"/>
  <c r="I4" i="2" s="1"/>
  <c r="I11" i="2" l="1"/>
  <c r="F9" i="2"/>
  <c r="G9" i="2"/>
  <c r="H9" i="2"/>
  <c r="I9" i="2"/>
  <c r="E9" i="2"/>
  <c r="H15" i="2"/>
  <c r="E15" i="2"/>
  <c r="H16" i="2" l="1"/>
  <c r="E16" i="2" l="1"/>
  <c r="F10" i="2" l="1"/>
  <c r="T683" i="11"/>
  <c r="O683" i="11"/>
  <c r="G10" i="2" l="1"/>
  <c r="F15" i="2"/>
  <c r="F16" i="2" s="1"/>
  <c r="N7" i="2"/>
  <c r="O4" i="2"/>
  <c r="S687" i="11"/>
  <c r="O7" i="2" l="1"/>
  <c r="Q4" i="2"/>
  <c r="Q7" i="2" s="1"/>
  <c r="I10" i="2"/>
  <c r="I15" i="2" s="1"/>
  <c r="I16" i="2" s="1"/>
  <c r="G15" i="2"/>
  <c r="G16" i="2" s="1"/>
  <c r="T687"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Domján Gábor</author>
  </authors>
  <commentList>
    <comment ref="L10" authorId="0" shapeId="0" xr:uid="{12A63622-A1F2-4073-943E-BA1F79D2B079}">
      <text>
        <r>
          <rPr>
            <b/>
            <sz val="9"/>
            <color indexed="81"/>
            <rFont val="Tahoma"/>
            <family val="2"/>
            <charset val="238"/>
          </rPr>
          <t>könyvelésben egyszer módosítva a felosztás</t>
        </r>
        <r>
          <rPr>
            <sz val="9"/>
            <color indexed="81"/>
            <rFont val="Tahoma"/>
            <family val="2"/>
            <charset val="238"/>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Domján Gábor</author>
    <author>Simon Georgina Judit</author>
  </authors>
  <commentList>
    <comment ref="AD2" authorId="0" shapeId="0" xr:uid="{CA8CB03C-D627-4A2F-B8F8-9180EEA8096B}">
      <text>
        <r>
          <rPr>
            <b/>
            <sz val="9"/>
            <color indexed="81"/>
            <rFont val="Tahoma"/>
            <family val="2"/>
            <charset val="238"/>
          </rPr>
          <t>Ha mínusz 1-2 forint az eltérés, akkor én lecsökkentem a bruttó bért annyival. Ha plusz 1-2 forint, akkor marad az alaplevél szerinti bére</t>
        </r>
        <r>
          <rPr>
            <sz val="9"/>
            <color indexed="81"/>
            <rFont val="Tahoma"/>
            <family val="2"/>
            <charset val="238"/>
          </rPr>
          <t xml:space="preserve">
</t>
        </r>
      </text>
    </comment>
    <comment ref="N6" authorId="0" shapeId="0" xr:uid="{5207ECD2-C2EF-4534-B4BD-827FF9E7EB2C}">
      <text>
        <r>
          <rPr>
            <b/>
            <sz val="9"/>
            <color indexed="81"/>
            <rFont val="Segoe UI"/>
            <family val="2"/>
            <charset val="238"/>
          </rPr>
          <t>vezetői pótlék levonva</t>
        </r>
        <r>
          <rPr>
            <sz val="9"/>
            <color indexed="81"/>
            <rFont val="Segoe UI"/>
            <family val="2"/>
            <charset val="238"/>
          </rPr>
          <t xml:space="preserve">
</t>
        </r>
      </text>
    </comment>
    <comment ref="S6" authorId="0" shapeId="0" xr:uid="{86AF02DA-ED29-48A2-98AC-F357870B7F34}">
      <text>
        <r>
          <rPr>
            <b/>
            <sz val="9"/>
            <color indexed="81"/>
            <rFont val="Segoe UI"/>
            <family val="2"/>
            <charset val="238"/>
          </rPr>
          <t>eredetileg 207.178+36.256 Ft-ot könyveltem, javítottam</t>
        </r>
      </text>
    </comment>
    <comment ref="N7" authorId="0" shapeId="0" xr:uid="{506FDD42-FB45-4B4B-AA1B-29A816BE2F19}">
      <text>
        <r>
          <rPr>
            <b/>
            <sz val="9"/>
            <color indexed="81"/>
            <rFont val="Segoe UI"/>
            <family val="2"/>
            <charset val="238"/>
          </rPr>
          <t>vezetői pótlék levonva</t>
        </r>
        <r>
          <rPr>
            <sz val="9"/>
            <color indexed="81"/>
            <rFont val="Segoe UI"/>
            <family val="2"/>
            <charset val="238"/>
          </rPr>
          <t xml:space="preserve">
</t>
        </r>
      </text>
    </comment>
    <comment ref="S7" authorId="0" shapeId="0" xr:uid="{697F048E-5883-4123-80B9-455E880F65C0}">
      <text>
        <r>
          <rPr>
            <b/>
            <sz val="9"/>
            <color indexed="81"/>
            <rFont val="Segoe UI"/>
            <family val="2"/>
            <charset val="238"/>
          </rPr>
          <t xml:space="preserve">eredetileg 207.178+36.256 Ft-ot könyveltem, javítottam
</t>
        </r>
      </text>
    </comment>
    <comment ref="N8" authorId="0" shapeId="0" xr:uid="{21879066-58D7-4CD4-AFCA-6A86A4CFBB97}">
      <text>
        <r>
          <rPr>
            <b/>
            <sz val="9"/>
            <color indexed="81"/>
            <rFont val="Segoe UI"/>
            <family val="2"/>
            <charset val="238"/>
          </rPr>
          <t>vezetői pótlék levonva</t>
        </r>
        <r>
          <rPr>
            <sz val="9"/>
            <color indexed="81"/>
            <rFont val="Segoe UI"/>
            <family val="2"/>
            <charset val="238"/>
          </rPr>
          <t xml:space="preserve">
</t>
        </r>
      </text>
    </comment>
    <comment ref="S8" authorId="0" shapeId="0" xr:uid="{48ABB2C9-AF88-4277-B5D3-2E4E153DB1A9}">
      <text>
        <r>
          <rPr>
            <b/>
            <sz val="9"/>
            <color indexed="81"/>
            <rFont val="Segoe UI"/>
            <family val="2"/>
            <charset val="238"/>
          </rPr>
          <t>eredetileg 554.816+97.093 Ft-ot könyveltem, javítottam</t>
        </r>
      </text>
    </comment>
    <comment ref="N9" authorId="0" shapeId="0" xr:uid="{85031931-5471-4DDD-AB06-2DEC9EF6B683}">
      <text>
        <r>
          <rPr>
            <b/>
            <sz val="9"/>
            <color indexed="81"/>
            <rFont val="Segoe UI"/>
            <family val="2"/>
            <charset val="238"/>
          </rPr>
          <t>vezetői pótlék levonva</t>
        </r>
        <r>
          <rPr>
            <sz val="9"/>
            <color indexed="81"/>
            <rFont val="Segoe UI"/>
            <family val="2"/>
            <charset val="238"/>
          </rPr>
          <t xml:space="preserve">
</t>
        </r>
      </text>
    </comment>
    <comment ref="S9" authorId="0" shapeId="0" xr:uid="{1269F3EE-A21A-4F16-8DEC-D725F48189BB}">
      <text>
        <r>
          <rPr>
            <b/>
            <sz val="9"/>
            <color indexed="81"/>
            <rFont val="Segoe UI"/>
            <family val="2"/>
            <charset val="238"/>
          </rPr>
          <t>eredetileg 554.816+85.996 Ft-ot könyveltem,  javítottam</t>
        </r>
      </text>
    </comment>
    <comment ref="N10" authorId="0" shapeId="0" xr:uid="{9B0FA096-6C5D-4D3F-9917-85C47FEA364B}">
      <text>
        <r>
          <rPr>
            <b/>
            <sz val="9"/>
            <color indexed="81"/>
            <rFont val="Segoe UI"/>
            <family val="2"/>
            <charset val="238"/>
          </rPr>
          <t>vezetői pótlék levonva</t>
        </r>
        <r>
          <rPr>
            <sz val="9"/>
            <color indexed="81"/>
            <rFont val="Segoe UI"/>
            <family val="2"/>
            <charset val="238"/>
          </rPr>
          <t xml:space="preserve">
</t>
        </r>
      </text>
    </comment>
    <comment ref="S10" authorId="0" shapeId="0" xr:uid="{1C0475CD-0128-4C03-B1D8-29292B34126C}">
      <text>
        <r>
          <rPr>
            <b/>
            <sz val="9"/>
            <color indexed="81"/>
            <rFont val="Segoe UI"/>
            <family val="2"/>
            <charset val="238"/>
          </rPr>
          <t xml:space="preserve">eredetileg 554.816+85.996 Ft-ot könyveltem,  javítottam </t>
        </r>
      </text>
    </comment>
    <comment ref="N11" authorId="0" shapeId="0" xr:uid="{CB394973-9CDA-48A3-A693-8DE9383E3D20}">
      <text>
        <r>
          <rPr>
            <b/>
            <sz val="9"/>
            <color indexed="81"/>
            <rFont val="Segoe UI"/>
            <family val="2"/>
            <charset val="238"/>
          </rPr>
          <t>vezetői pótlék levonva</t>
        </r>
        <r>
          <rPr>
            <sz val="9"/>
            <color indexed="81"/>
            <rFont val="Segoe UI"/>
            <family val="2"/>
            <charset val="238"/>
          </rPr>
          <t xml:space="preserve">
</t>
        </r>
      </text>
    </comment>
    <comment ref="S11" authorId="0" shapeId="0" xr:uid="{08FF3694-40E8-4A9F-B639-213EC1809858}">
      <text>
        <r>
          <rPr>
            <b/>
            <sz val="9"/>
            <color indexed="81"/>
            <rFont val="Segoe UI"/>
            <family val="2"/>
            <charset val="238"/>
          </rPr>
          <t>eredetileg 554.816+85.996 Ft-ot könyveltem,  javítottam</t>
        </r>
      </text>
    </comment>
    <comment ref="N12" authorId="0" shapeId="0" xr:uid="{1C201231-7037-471E-9F28-AE5339A2E260}">
      <text>
        <r>
          <rPr>
            <b/>
            <sz val="9"/>
            <color indexed="81"/>
            <rFont val="Segoe UI"/>
            <family val="2"/>
            <charset val="238"/>
          </rPr>
          <t>vezetői pótlék levonva</t>
        </r>
        <r>
          <rPr>
            <sz val="9"/>
            <color indexed="81"/>
            <rFont val="Segoe UI"/>
            <family val="2"/>
            <charset val="238"/>
          </rPr>
          <t xml:space="preserve">
</t>
        </r>
      </text>
    </comment>
    <comment ref="N13" authorId="0" shapeId="0" xr:uid="{31619154-718D-4795-A0B9-EB8FA4693F56}">
      <text>
        <r>
          <rPr>
            <b/>
            <sz val="9"/>
            <color indexed="81"/>
            <rFont val="Segoe UI"/>
            <family val="2"/>
            <charset val="238"/>
          </rPr>
          <t>vezetői pótlék levonva</t>
        </r>
        <r>
          <rPr>
            <sz val="9"/>
            <color indexed="81"/>
            <rFont val="Segoe UI"/>
            <family val="2"/>
            <charset val="238"/>
          </rPr>
          <t xml:space="preserve">
</t>
        </r>
      </text>
    </comment>
    <comment ref="N14" authorId="0" shapeId="0" xr:uid="{E683A8BE-499C-49B8-9567-068B4D58BDA6}">
      <text>
        <r>
          <rPr>
            <b/>
            <sz val="9"/>
            <color indexed="81"/>
            <rFont val="Segoe UI"/>
            <family val="2"/>
            <charset val="238"/>
          </rPr>
          <t>vezetői pótlék levonva</t>
        </r>
        <r>
          <rPr>
            <sz val="9"/>
            <color indexed="81"/>
            <rFont val="Segoe UI"/>
            <family val="2"/>
            <charset val="238"/>
          </rPr>
          <t xml:space="preserve">
</t>
        </r>
      </text>
    </comment>
    <comment ref="N15" authorId="0" shapeId="0" xr:uid="{2F943F8E-0A8B-45E0-9DAB-A3ACA2879ADD}">
      <text>
        <r>
          <rPr>
            <b/>
            <sz val="9"/>
            <color indexed="81"/>
            <rFont val="Segoe UI"/>
            <family val="2"/>
            <charset val="238"/>
          </rPr>
          <t>vezetői pótlék levonva</t>
        </r>
        <r>
          <rPr>
            <sz val="9"/>
            <color indexed="81"/>
            <rFont val="Segoe UI"/>
            <family val="2"/>
            <charset val="238"/>
          </rPr>
          <t xml:space="preserve">
</t>
        </r>
      </text>
    </comment>
    <comment ref="N16" authorId="0" shapeId="0" xr:uid="{9C87B662-CA07-4981-BF96-0AD355FCEC58}">
      <text>
        <r>
          <rPr>
            <b/>
            <sz val="9"/>
            <color indexed="81"/>
            <rFont val="Segoe UI"/>
            <family val="2"/>
            <charset val="238"/>
          </rPr>
          <t>vezetői pótlék levonva</t>
        </r>
        <r>
          <rPr>
            <sz val="9"/>
            <color indexed="81"/>
            <rFont val="Segoe UI"/>
            <family val="2"/>
            <charset val="238"/>
          </rPr>
          <t xml:space="preserve">
</t>
        </r>
      </text>
    </comment>
    <comment ref="N17" authorId="0" shapeId="0" xr:uid="{0693BF8E-8B3C-419D-A2D4-5A1A3612590C}">
      <text>
        <r>
          <rPr>
            <b/>
            <sz val="9"/>
            <color indexed="81"/>
            <rFont val="Segoe UI"/>
            <family val="2"/>
            <charset val="238"/>
          </rPr>
          <t>vezetői pótlék levonva</t>
        </r>
        <r>
          <rPr>
            <sz val="9"/>
            <color indexed="81"/>
            <rFont val="Segoe UI"/>
            <family val="2"/>
            <charset val="238"/>
          </rPr>
          <t xml:space="preserve">
</t>
        </r>
      </text>
    </comment>
    <comment ref="N18" authorId="0" shapeId="0" xr:uid="{82E20295-8F50-4F4D-B2EE-F89D691892A9}">
      <text>
        <r>
          <rPr>
            <b/>
            <sz val="9"/>
            <color indexed="81"/>
            <rFont val="Segoe UI"/>
            <family val="2"/>
            <charset val="238"/>
          </rPr>
          <t>vezetői pótlék levonva</t>
        </r>
        <r>
          <rPr>
            <sz val="9"/>
            <color indexed="81"/>
            <rFont val="Segoe UI"/>
            <family val="2"/>
            <charset val="238"/>
          </rPr>
          <t xml:space="preserve">
</t>
        </r>
      </text>
    </comment>
    <comment ref="N19" authorId="0" shapeId="0" xr:uid="{C9A5D353-1DF8-4E28-A791-8CF75EFFCA9A}">
      <text>
        <r>
          <rPr>
            <b/>
            <sz val="9"/>
            <color indexed="81"/>
            <rFont val="Segoe UI"/>
            <family val="2"/>
            <charset val="238"/>
          </rPr>
          <t>vezetői pótlék levonva</t>
        </r>
        <r>
          <rPr>
            <sz val="9"/>
            <color indexed="81"/>
            <rFont val="Segoe UI"/>
            <family val="2"/>
            <charset val="238"/>
          </rPr>
          <t xml:space="preserve">
</t>
        </r>
      </text>
    </comment>
    <comment ref="N20" authorId="0" shapeId="0" xr:uid="{0537158C-4EBD-45CA-940C-0D63C2BC4AE6}">
      <text>
        <r>
          <rPr>
            <b/>
            <sz val="9"/>
            <color indexed="81"/>
            <rFont val="Segoe UI"/>
            <family val="2"/>
            <charset val="238"/>
          </rPr>
          <t>vezetői pótlék levonva</t>
        </r>
        <r>
          <rPr>
            <sz val="9"/>
            <color indexed="81"/>
            <rFont val="Segoe UI"/>
            <family val="2"/>
            <charset val="238"/>
          </rPr>
          <t xml:space="preserve">
</t>
        </r>
      </text>
    </comment>
    <comment ref="N21" authorId="0" shapeId="0" xr:uid="{6698B9C8-FF2D-419F-9C5E-459CA47C5899}">
      <text>
        <r>
          <rPr>
            <b/>
            <sz val="9"/>
            <color indexed="81"/>
            <rFont val="Segoe UI"/>
            <family val="2"/>
            <charset val="238"/>
          </rPr>
          <t>vezetői pótlék levonva</t>
        </r>
        <r>
          <rPr>
            <sz val="9"/>
            <color indexed="81"/>
            <rFont val="Segoe UI"/>
            <family val="2"/>
            <charset val="238"/>
          </rPr>
          <t xml:space="preserve">
</t>
        </r>
      </text>
    </comment>
    <comment ref="N22" authorId="0" shapeId="0" xr:uid="{9ED66BA1-193E-45AB-8467-4621C11103A5}">
      <text>
        <r>
          <rPr>
            <b/>
            <sz val="9"/>
            <color indexed="81"/>
            <rFont val="Segoe UI"/>
            <family val="2"/>
            <charset val="238"/>
          </rPr>
          <t>vezetői pótlék levonva</t>
        </r>
        <r>
          <rPr>
            <sz val="9"/>
            <color indexed="81"/>
            <rFont val="Segoe UI"/>
            <family val="2"/>
            <charset val="238"/>
          </rPr>
          <t xml:space="preserve">
</t>
        </r>
      </text>
    </comment>
    <comment ref="N23" authorId="0" shapeId="0" xr:uid="{3F09CB8A-2497-4F61-BBB6-D97D96934366}">
      <text>
        <r>
          <rPr>
            <b/>
            <sz val="9"/>
            <color indexed="81"/>
            <rFont val="Segoe UI"/>
            <family val="2"/>
            <charset val="238"/>
          </rPr>
          <t>vezetői pótlék levonva</t>
        </r>
        <r>
          <rPr>
            <sz val="9"/>
            <color indexed="81"/>
            <rFont val="Segoe UI"/>
            <family val="2"/>
            <charset val="238"/>
          </rPr>
          <t xml:space="preserve">
</t>
        </r>
      </text>
    </comment>
    <comment ref="N24" authorId="0" shapeId="0" xr:uid="{91AE044D-CDD3-4DA5-BE6A-699A1453DFFB}">
      <text>
        <r>
          <rPr>
            <b/>
            <sz val="9"/>
            <color indexed="81"/>
            <rFont val="Segoe UI"/>
            <family val="2"/>
            <charset val="238"/>
          </rPr>
          <t>vezetői pótlék levonva</t>
        </r>
        <r>
          <rPr>
            <sz val="9"/>
            <color indexed="81"/>
            <rFont val="Segoe UI"/>
            <family val="2"/>
            <charset val="238"/>
          </rPr>
          <t xml:space="preserve">
</t>
        </r>
      </text>
    </comment>
    <comment ref="N25" authorId="0" shapeId="0" xr:uid="{59709A4E-1DF8-4413-BDDC-823EA018D1A0}">
      <text>
        <r>
          <rPr>
            <b/>
            <sz val="9"/>
            <color indexed="81"/>
            <rFont val="Segoe UI"/>
            <family val="2"/>
            <charset val="238"/>
          </rPr>
          <t>vezetői pótlék levonva</t>
        </r>
        <r>
          <rPr>
            <sz val="9"/>
            <color indexed="81"/>
            <rFont val="Segoe UI"/>
            <family val="2"/>
            <charset val="238"/>
          </rPr>
          <t xml:space="preserve">
</t>
        </r>
      </text>
    </comment>
    <comment ref="N26" authorId="0" shapeId="0" xr:uid="{46B84B4F-C73B-4642-8D0E-90DB82FF5C8E}">
      <text>
        <r>
          <rPr>
            <b/>
            <sz val="9"/>
            <color indexed="81"/>
            <rFont val="Segoe UI"/>
            <family val="2"/>
            <charset val="238"/>
          </rPr>
          <t>vezetői pótlék, jutalom levonva</t>
        </r>
        <r>
          <rPr>
            <sz val="9"/>
            <color indexed="81"/>
            <rFont val="Segoe UI"/>
            <family val="2"/>
            <charset val="238"/>
          </rPr>
          <t xml:space="preserve">
</t>
        </r>
      </text>
    </comment>
    <comment ref="N27" authorId="0" shapeId="0" xr:uid="{E97AA697-05CD-44FD-939F-6FAB3933BF6A}">
      <text>
        <r>
          <rPr>
            <b/>
            <sz val="9"/>
            <color indexed="81"/>
            <rFont val="Segoe UI"/>
            <family val="2"/>
            <charset val="238"/>
          </rPr>
          <t>vezetői pótlék levonva</t>
        </r>
        <r>
          <rPr>
            <sz val="9"/>
            <color indexed="81"/>
            <rFont val="Segoe UI"/>
            <family val="2"/>
            <charset val="238"/>
          </rPr>
          <t xml:space="preserve">
</t>
        </r>
      </text>
    </comment>
    <comment ref="N28" authorId="0" shapeId="0" xr:uid="{C145B03C-56A6-4C7E-9E93-44E53E8CAB69}">
      <text>
        <r>
          <rPr>
            <b/>
            <sz val="9"/>
            <color indexed="81"/>
            <rFont val="Segoe UI"/>
            <family val="2"/>
            <charset val="238"/>
          </rPr>
          <t>vezetői pótlék levonva</t>
        </r>
        <r>
          <rPr>
            <sz val="9"/>
            <color indexed="81"/>
            <rFont val="Segoe UI"/>
            <family val="2"/>
            <charset val="238"/>
          </rPr>
          <t xml:space="preserve">
</t>
        </r>
      </text>
    </comment>
    <comment ref="N29" authorId="0" shapeId="0" xr:uid="{12A80AC3-EDF7-4CE1-AEEE-87933B699C7B}">
      <text>
        <r>
          <rPr>
            <b/>
            <sz val="9"/>
            <color indexed="81"/>
            <rFont val="Segoe UI"/>
            <family val="2"/>
            <charset val="238"/>
          </rPr>
          <t>vezetői pótlék levonva</t>
        </r>
        <r>
          <rPr>
            <sz val="9"/>
            <color indexed="81"/>
            <rFont val="Segoe UI"/>
            <family val="2"/>
            <charset val="238"/>
          </rPr>
          <t xml:space="preserve">
</t>
        </r>
      </text>
    </comment>
    <comment ref="N30" authorId="0" shapeId="0" xr:uid="{9E348A1B-4154-4A3B-BBCD-00340F1A8F51}">
      <text>
        <r>
          <rPr>
            <b/>
            <sz val="9"/>
            <color indexed="81"/>
            <rFont val="Segoe UI"/>
            <family val="2"/>
            <charset val="238"/>
          </rPr>
          <t>vezetői pótlék levonva</t>
        </r>
        <r>
          <rPr>
            <sz val="9"/>
            <color indexed="81"/>
            <rFont val="Segoe UI"/>
            <family val="2"/>
            <charset val="238"/>
          </rPr>
          <t xml:space="preserve">
</t>
        </r>
      </text>
    </comment>
    <comment ref="N31" authorId="0" shapeId="0" xr:uid="{CD1CEF3B-A974-4083-9975-EAEF2AF0CC0E}">
      <text>
        <r>
          <rPr>
            <b/>
            <sz val="9"/>
            <color indexed="81"/>
            <rFont val="Segoe UI"/>
            <family val="2"/>
            <charset val="238"/>
          </rPr>
          <t>vezetői pótlék levonva</t>
        </r>
        <r>
          <rPr>
            <sz val="9"/>
            <color indexed="81"/>
            <rFont val="Segoe UI"/>
            <family val="2"/>
            <charset val="238"/>
          </rPr>
          <t xml:space="preserve">
</t>
        </r>
      </text>
    </comment>
    <comment ref="N32" authorId="0" shapeId="0" xr:uid="{D394408B-87D2-452A-BEA0-1BAFFAE5EB22}">
      <text>
        <r>
          <rPr>
            <b/>
            <sz val="9"/>
            <color indexed="81"/>
            <rFont val="Segoe UI"/>
            <family val="2"/>
            <charset val="238"/>
          </rPr>
          <t>vezetői pótlék levonva</t>
        </r>
        <r>
          <rPr>
            <sz val="9"/>
            <color indexed="81"/>
            <rFont val="Segoe UI"/>
            <family val="2"/>
            <charset val="238"/>
          </rPr>
          <t xml:space="preserve">
</t>
        </r>
      </text>
    </comment>
    <comment ref="N33" authorId="0" shapeId="0" xr:uid="{C527E683-8976-4B96-A640-BE68FB665741}">
      <text>
        <r>
          <rPr>
            <b/>
            <sz val="9"/>
            <color indexed="81"/>
            <rFont val="Segoe UI"/>
            <family val="2"/>
            <charset val="238"/>
          </rPr>
          <t>kerkieg levonva</t>
        </r>
        <r>
          <rPr>
            <sz val="9"/>
            <color indexed="81"/>
            <rFont val="Segoe UI"/>
            <family val="2"/>
            <charset val="238"/>
          </rPr>
          <t xml:space="preserve">
</t>
        </r>
      </text>
    </comment>
    <comment ref="N34" authorId="0" shapeId="0" xr:uid="{0D6546AB-8A21-4FC9-A7A6-75A8F75126D5}">
      <text>
        <r>
          <rPr>
            <b/>
            <sz val="9"/>
            <color indexed="81"/>
            <rFont val="Segoe UI"/>
            <family val="2"/>
            <charset val="238"/>
          </rPr>
          <t>kerkieg levonva</t>
        </r>
        <r>
          <rPr>
            <sz val="9"/>
            <color indexed="81"/>
            <rFont val="Segoe UI"/>
            <family val="2"/>
            <charset val="238"/>
          </rPr>
          <t xml:space="preserve">
</t>
        </r>
      </text>
    </comment>
    <comment ref="N49" authorId="0" shapeId="0" xr:uid="{2EAF7A7B-CE3B-479E-8CE8-FE93FFAB2275}">
      <text>
        <r>
          <rPr>
            <b/>
            <sz val="9"/>
            <color indexed="81"/>
            <rFont val="Tahoma"/>
            <family val="2"/>
            <charset val="238"/>
          </rPr>
          <t>betegszabi</t>
        </r>
        <r>
          <rPr>
            <sz val="9"/>
            <color indexed="81"/>
            <rFont val="Tahoma"/>
            <family val="2"/>
            <charset val="238"/>
          </rPr>
          <t xml:space="preserve">
</t>
        </r>
      </text>
    </comment>
    <comment ref="N53" authorId="0" shapeId="0" xr:uid="{B695BD00-FE95-4C2B-8777-7C2966CA0C4C}">
      <text>
        <r>
          <rPr>
            <b/>
            <sz val="9"/>
            <color indexed="81"/>
            <rFont val="Tahoma"/>
            <family val="2"/>
            <charset val="238"/>
          </rPr>
          <t>betegszabi</t>
        </r>
        <r>
          <rPr>
            <sz val="9"/>
            <color indexed="81"/>
            <rFont val="Tahoma"/>
            <family val="2"/>
            <charset val="238"/>
          </rPr>
          <t xml:space="preserve">
</t>
        </r>
      </text>
    </comment>
    <comment ref="N168" authorId="0" shapeId="0" xr:uid="{FCE78A1E-7257-456D-9D8E-AA68795627F7}">
      <text>
        <r>
          <rPr>
            <b/>
            <sz val="9"/>
            <color indexed="81"/>
            <rFont val="Tahoma"/>
            <family val="2"/>
            <charset val="238"/>
          </rPr>
          <t>153300 ft kerkieg levonva</t>
        </r>
        <r>
          <rPr>
            <sz val="9"/>
            <color indexed="81"/>
            <rFont val="Tahoma"/>
            <family val="2"/>
            <charset val="238"/>
          </rPr>
          <t xml:space="preserve">
a bérkartonon egy hiba miatt alapbér emelésként szerepel, de le kell vonni, mert az kerkieg.</t>
        </r>
      </text>
    </comment>
    <comment ref="N169" authorId="0" shapeId="0" xr:uid="{D59692FA-11CE-43B9-A464-BA21025CA09D}">
      <text>
        <r>
          <rPr>
            <b/>
            <sz val="9"/>
            <color indexed="81"/>
            <rFont val="Tahoma"/>
            <family val="2"/>
            <charset val="238"/>
          </rPr>
          <t>153300 ft kerkieg levonva</t>
        </r>
        <r>
          <rPr>
            <sz val="9"/>
            <color indexed="81"/>
            <rFont val="Tahoma"/>
            <family val="2"/>
            <charset val="238"/>
          </rPr>
          <t xml:space="preserve">
</t>
        </r>
      </text>
    </comment>
    <comment ref="N170" authorId="0" shapeId="0" xr:uid="{30E69AF2-D65F-4199-9D4B-50C16000265E}">
      <text>
        <r>
          <rPr>
            <b/>
            <sz val="9"/>
            <color indexed="81"/>
            <rFont val="Tahoma"/>
            <family val="2"/>
            <charset val="238"/>
          </rPr>
          <t>153300 ft kerkieg levonva</t>
        </r>
        <r>
          <rPr>
            <sz val="9"/>
            <color indexed="81"/>
            <rFont val="Tahoma"/>
            <family val="2"/>
            <charset val="238"/>
          </rPr>
          <t xml:space="preserve">
</t>
        </r>
      </text>
    </comment>
    <comment ref="N171" authorId="0" shapeId="0" xr:uid="{D21307E2-501B-4615-BFD2-EC9FC99BDCA3}">
      <text>
        <r>
          <rPr>
            <b/>
            <sz val="9"/>
            <color indexed="81"/>
            <rFont val="Tahoma"/>
            <family val="2"/>
            <charset val="238"/>
          </rPr>
          <t>153300 ft kerkieg levonva</t>
        </r>
        <r>
          <rPr>
            <sz val="9"/>
            <color indexed="81"/>
            <rFont val="Tahoma"/>
            <family val="2"/>
            <charset val="238"/>
          </rPr>
          <t xml:space="preserve">
</t>
        </r>
      </text>
    </comment>
    <comment ref="N172" authorId="0" shapeId="0" xr:uid="{514B756E-6E33-46B8-B4E0-A905378EC36A}">
      <text>
        <r>
          <rPr>
            <b/>
            <sz val="9"/>
            <color indexed="81"/>
            <rFont val="Segoe UI"/>
            <family val="2"/>
            <charset val="238"/>
          </rPr>
          <t>nyelvpótlék levonva</t>
        </r>
        <r>
          <rPr>
            <sz val="9"/>
            <color indexed="81"/>
            <rFont val="Segoe UI"/>
            <family val="2"/>
            <charset val="238"/>
          </rPr>
          <t xml:space="preserve">
</t>
        </r>
      </text>
    </comment>
    <comment ref="S172" authorId="0" shapeId="0" xr:uid="{53A32414-EEDD-4986-9A6F-1805BCA25A57}">
      <text>
        <r>
          <rPr>
            <b/>
            <sz val="9"/>
            <color indexed="81"/>
            <rFont val="Segoe UI"/>
            <family val="2"/>
            <charset val="238"/>
          </rPr>
          <t>eredetileg 333.600+51.708 Ft könyvelve, javítottam</t>
        </r>
        <r>
          <rPr>
            <sz val="9"/>
            <color indexed="81"/>
            <rFont val="Segoe UI"/>
            <family val="2"/>
            <charset val="238"/>
          </rPr>
          <t xml:space="preserve">
</t>
        </r>
      </text>
    </comment>
    <comment ref="N173" authorId="0" shapeId="0" xr:uid="{DD6152F2-4C9E-4999-A9AA-6E8E76EDBF43}">
      <text>
        <r>
          <rPr>
            <b/>
            <sz val="9"/>
            <color indexed="81"/>
            <rFont val="Segoe UI"/>
            <family val="2"/>
            <charset val="238"/>
          </rPr>
          <t>nyelvpótlék levonva</t>
        </r>
        <r>
          <rPr>
            <sz val="9"/>
            <color indexed="81"/>
            <rFont val="Segoe UI"/>
            <family val="2"/>
            <charset val="238"/>
          </rPr>
          <t xml:space="preserve">
</t>
        </r>
      </text>
    </comment>
    <comment ref="N174" authorId="0" shapeId="0" xr:uid="{7A6471F0-B504-4D03-9488-E1A37184C3E6}">
      <text>
        <r>
          <rPr>
            <b/>
            <sz val="9"/>
            <color indexed="81"/>
            <rFont val="Segoe UI"/>
            <family val="2"/>
            <charset val="238"/>
          </rPr>
          <t>nyelvpótlék levonva</t>
        </r>
        <r>
          <rPr>
            <sz val="9"/>
            <color indexed="81"/>
            <rFont val="Segoe UI"/>
            <family val="2"/>
            <charset val="238"/>
          </rPr>
          <t xml:space="preserve">
</t>
        </r>
      </text>
    </comment>
    <comment ref="N175" authorId="0" shapeId="0" xr:uid="{1ED343AA-E552-4E6F-8684-B630DE2E5235}">
      <text>
        <r>
          <rPr>
            <b/>
            <sz val="9"/>
            <color indexed="81"/>
            <rFont val="Segoe UI"/>
            <family val="2"/>
            <charset val="238"/>
          </rPr>
          <t>nyelvpótlék levonva</t>
        </r>
        <r>
          <rPr>
            <sz val="9"/>
            <color indexed="81"/>
            <rFont val="Segoe UI"/>
            <family val="2"/>
            <charset val="238"/>
          </rPr>
          <t xml:space="preserve">
</t>
        </r>
      </text>
    </comment>
    <comment ref="N176" authorId="0" shapeId="0" xr:uid="{37C767BD-51A5-4D3F-A4BF-DCC68C88F011}">
      <text>
        <r>
          <rPr>
            <b/>
            <sz val="9"/>
            <color indexed="81"/>
            <rFont val="Segoe UI"/>
            <family val="2"/>
            <charset val="238"/>
          </rPr>
          <t>nyelvpótlék levonva</t>
        </r>
        <r>
          <rPr>
            <sz val="9"/>
            <color indexed="81"/>
            <rFont val="Segoe UI"/>
            <family val="2"/>
            <charset val="238"/>
          </rPr>
          <t xml:space="preserve">
</t>
        </r>
      </text>
    </comment>
    <comment ref="N177" authorId="0" shapeId="0" xr:uid="{A1FF4B8C-605B-445E-9FAD-2465A2F09CF3}">
      <text>
        <r>
          <rPr>
            <b/>
            <sz val="9"/>
            <color indexed="81"/>
            <rFont val="Segoe UI"/>
            <family val="2"/>
            <charset val="238"/>
          </rPr>
          <t>nyelvpótlék levonva</t>
        </r>
        <r>
          <rPr>
            <sz val="9"/>
            <color indexed="81"/>
            <rFont val="Segoe UI"/>
            <family val="2"/>
            <charset val="238"/>
          </rPr>
          <t xml:space="preserve">
</t>
        </r>
      </text>
    </comment>
    <comment ref="N178" authorId="0" shapeId="0" xr:uid="{80ED3F6D-7CBB-4786-973E-FB80E3936872}">
      <text>
        <r>
          <rPr>
            <b/>
            <sz val="9"/>
            <color indexed="81"/>
            <rFont val="Segoe UI"/>
            <family val="2"/>
            <charset val="238"/>
          </rPr>
          <t>nyelvpótlék levonva</t>
        </r>
        <r>
          <rPr>
            <sz val="9"/>
            <color indexed="81"/>
            <rFont val="Segoe UI"/>
            <family val="2"/>
            <charset val="238"/>
          </rPr>
          <t xml:space="preserve">
</t>
        </r>
      </text>
    </comment>
    <comment ref="N179" authorId="0" shapeId="0" xr:uid="{7792E405-2316-4D08-B675-F92E4E3E0708}">
      <text>
        <r>
          <rPr>
            <b/>
            <sz val="9"/>
            <color indexed="81"/>
            <rFont val="Segoe UI"/>
            <family val="2"/>
            <charset val="238"/>
          </rPr>
          <t>nyelvpótlék levonva</t>
        </r>
        <r>
          <rPr>
            <sz val="9"/>
            <color indexed="81"/>
            <rFont val="Segoe UI"/>
            <family val="2"/>
            <charset val="238"/>
          </rPr>
          <t xml:space="preserve">
</t>
        </r>
      </text>
    </comment>
    <comment ref="N180" authorId="0" shapeId="0" xr:uid="{0BC7A0E0-6E43-42D0-9FCC-6369F5B22964}">
      <text>
        <r>
          <rPr>
            <b/>
            <sz val="9"/>
            <color indexed="81"/>
            <rFont val="Segoe UI"/>
            <family val="2"/>
            <charset val="238"/>
          </rPr>
          <t>nyelvpótlék levonva</t>
        </r>
        <r>
          <rPr>
            <sz val="9"/>
            <color indexed="81"/>
            <rFont val="Segoe UI"/>
            <family val="2"/>
            <charset val="238"/>
          </rPr>
          <t xml:space="preserve">
</t>
        </r>
      </text>
    </comment>
    <comment ref="N181" authorId="0" shapeId="0" xr:uid="{2B53CEC5-D3F2-491D-85F8-C4549FBCCA7F}">
      <text>
        <r>
          <rPr>
            <b/>
            <sz val="9"/>
            <color indexed="81"/>
            <rFont val="Segoe UI"/>
            <family val="2"/>
            <charset val="238"/>
          </rPr>
          <t>nyelvpótlék levonva</t>
        </r>
        <r>
          <rPr>
            <sz val="9"/>
            <color indexed="81"/>
            <rFont val="Segoe UI"/>
            <family val="2"/>
            <charset val="238"/>
          </rPr>
          <t xml:space="preserve">
</t>
        </r>
      </text>
    </comment>
    <comment ref="N182" authorId="0" shapeId="0" xr:uid="{C74078A3-C371-4BD0-B17B-FAA4BCA8EEE1}">
      <text>
        <r>
          <rPr>
            <b/>
            <sz val="9"/>
            <color indexed="81"/>
            <rFont val="Segoe UI"/>
            <family val="2"/>
            <charset val="238"/>
          </rPr>
          <t>nyelvpótlék levonva</t>
        </r>
        <r>
          <rPr>
            <sz val="9"/>
            <color indexed="81"/>
            <rFont val="Segoe UI"/>
            <family val="2"/>
            <charset val="238"/>
          </rPr>
          <t xml:space="preserve">
</t>
        </r>
      </text>
    </comment>
    <comment ref="N183" authorId="0" shapeId="0" xr:uid="{598B7173-C989-4843-BFA0-C7FCC6B608AE}">
      <text>
        <r>
          <rPr>
            <b/>
            <sz val="9"/>
            <color indexed="81"/>
            <rFont val="Segoe UI"/>
            <family val="2"/>
            <charset val="238"/>
          </rPr>
          <t>nyelvpótlék levonva</t>
        </r>
        <r>
          <rPr>
            <sz val="9"/>
            <color indexed="81"/>
            <rFont val="Segoe UI"/>
            <family val="2"/>
            <charset val="238"/>
          </rPr>
          <t xml:space="preserve">
</t>
        </r>
      </text>
    </comment>
    <comment ref="N223" authorId="1" shapeId="0" xr:uid="{1EA608E0-5675-46D6-81AE-34539CCDD656}">
      <text>
        <r>
          <rPr>
            <sz val="9"/>
            <color indexed="81"/>
            <rFont val="Tahoma"/>
            <family val="2"/>
            <charset val="238"/>
          </rPr>
          <t xml:space="preserve">keresőképtelen
</t>
        </r>
      </text>
    </comment>
    <comment ref="N284" authorId="0" shapeId="0" xr:uid="{D1272B4B-F33E-4AB7-B6B1-297D93DA13E2}">
      <text>
        <r>
          <rPr>
            <b/>
            <sz val="9"/>
            <color indexed="81"/>
            <rFont val="Tahoma"/>
            <family val="2"/>
            <charset val="238"/>
          </rPr>
          <t>betegszabi</t>
        </r>
      </text>
    </comment>
    <comment ref="N319" authorId="0" shapeId="0" xr:uid="{824F0F16-9F28-434D-9136-050AC5945D29}">
      <text>
        <r>
          <rPr>
            <b/>
            <sz val="9"/>
            <color indexed="81"/>
            <rFont val="Segoe UI"/>
            <family val="2"/>
            <charset val="238"/>
          </rPr>
          <t>kerkieg levonva</t>
        </r>
      </text>
    </comment>
    <comment ref="N320" authorId="0" shapeId="0" xr:uid="{A39134A7-213F-472D-AC7C-AA34489DA21B}">
      <text>
        <r>
          <rPr>
            <b/>
            <sz val="9"/>
            <color indexed="81"/>
            <rFont val="Segoe UI"/>
            <family val="2"/>
            <charset val="238"/>
          </rPr>
          <t>kerkieg levonva</t>
        </r>
      </text>
    </comment>
    <comment ref="N321" authorId="0" shapeId="0" xr:uid="{C6270464-4B41-4FF6-B261-F21DAC4E2A25}">
      <text>
        <r>
          <rPr>
            <b/>
            <sz val="9"/>
            <color indexed="81"/>
            <rFont val="Segoe UI"/>
            <family val="2"/>
            <charset val="238"/>
          </rPr>
          <t>kerkieg levonva</t>
        </r>
      </text>
    </comment>
    <comment ref="N322" authorId="0" shapeId="0" xr:uid="{CF7839DC-7B38-4F1A-9E29-249BD51C3ECF}">
      <text>
        <r>
          <rPr>
            <b/>
            <sz val="9"/>
            <color indexed="81"/>
            <rFont val="Segoe UI"/>
            <family val="2"/>
            <charset val="238"/>
          </rPr>
          <t>kerkieg levonva</t>
        </r>
      </text>
    </comment>
    <comment ref="N323" authorId="0" shapeId="0" xr:uid="{B394814B-376B-4A50-923D-059E5C5D219C}">
      <text>
        <r>
          <rPr>
            <b/>
            <sz val="9"/>
            <color indexed="81"/>
            <rFont val="Segoe UI"/>
            <family val="2"/>
            <charset val="238"/>
          </rPr>
          <t>kerkieg levonva</t>
        </r>
      </text>
    </comment>
    <comment ref="N324" authorId="0" shapeId="0" xr:uid="{2598A18A-7068-4C1D-81C1-B2C1D6D01659}">
      <text>
        <r>
          <rPr>
            <b/>
            <sz val="9"/>
            <color indexed="81"/>
            <rFont val="Segoe UI"/>
            <family val="2"/>
            <charset val="238"/>
          </rPr>
          <t>kerkieg levonva</t>
        </r>
      </text>
    </comment>
    <comment ref="N325" authorId="0" shapeId="0" xr:uid="{5F54AEB8-A52F-43E9-8EC8-2BEF86BC13D2}">
      <text>
        <r>
          <rPr>
            <b/>
            <sz val="9"/>
            <color indexed="81"/>
            <rFont val="Segoe UI"/>
            <family val="2"/>
            <charset val="238"/>
          </rPr>
          <t>kerkieg levonva</t>
        </r>
      </text>
    </comment>
    <comment ref="N326" authorId="0" shapeId="0" xr:uid="{99F6C255-9CB3-43AF-BBCA-8D4A7A23B8DB}">
      <text>
        <r>
          <rPr>
            <b/>
            <sz val="9"/>
            <color indexed="81"/>
            <rFont val="Segoe UI"/>
            <family val="2"/>
            <charset val="238"/>
          </rPr>
          <t>kerkieg levonva</t>
        </r>
      </text>
    </comment>
    <comment ref="N327" authorId="0" shapeId="0" xr:uid="{FA8DAB6E-8C82-466E-A079-3E487AA31A54}">
      <text>
        <r>
          <rPr>
            <b/>
            <sz val="9"/>
            <color indexed="81"/>
            <rFont val="Segoe UI"/>
            <family val="2"/>
            <charset val="238"/>
          </rPr>
          <t>kerkieg levonva</t>
        </r>
      </text>
    </comment>
    <comment ref="N328" authorId="0" shapeId="0" xr:uid="{08D9F4CE-12C9-48A9-AF76-B058A2217365}">
      <text>
        <r>
          <rPr>
            <b/>
            <sz val="9"/>
            <color indexed="81"/>
            <rFont val="Segoe UI"/>
            <family val="2"/>
            <charset val="238"/>
          </rPr>
          <t>kerkieg levonva</t>
        </r>
      </text>
    </comment>
    <comment ref="N329" authorId="0" shapeId="0" xr:uid="{89FFBF6A-15A9-4848-8141-16A0FAEEC135}">
      <text>
        <r>
          <rPr>
            <b/>
            <sz val="9"/>
            <color indexed="81"/>
            <rFont val="Segoe UI"/>
            <family val="2"/>
            <charset val="238"/>
          </rPr>
          <t>kerkieg levonva</t>
        </r>
      </text>
    </comment>
    <comment ref="N330" authorId="0" shapeId="0" xr:uid="{CF9E0599-F68D-4825-B58B-A872B788D14A}">
      <text>
        <r>
          <rPr>
            <b/>
            <sz val="9"/>
            <color indexed="81"/>
            <rFont val="Segoe UI"/>
            <family val="2"/>
            <charset val="238"/>
          </rPr>
          <t>kerkieg levonva</t>
        </r>
      </text>
    </comment>
    <comment ref="N331" authorId="0" shapeId="0" xr:uid="{6FD61CCC-27CF-4C78-8C07-4AD3E39F155C}">
      <text>
        <r>
          <rPr>
            <b/>
            <sz val="9"/>
            <color indexed="81"/>
            <rFont val="Segoe UI"/>
            <family val="2"/>
            <charset val="238"/>
          </rPr>
          <t>kerkieg levonva</t>
        </r>
      </text>
    </comment>
    <comment ref="N332" authorId="0" shapeId="0" xr:uid="{FC616FA0-5C9E-4D38-A781-A85C4621FB4F}">
      <text>
        <r>
          <rPr>
            <b/>
            <sz val="9"/>
            <color indexed="81"/>
            <rFont val="Segoe UI"/>
            <family val="2"/>
            <charset val="238"/>
          </rPr>
          <t>kerkieg levonva</t>
        </r>
      </text>
    </comment>
    <comment ref="N333" authorId="0" shapeId="0" xr:uid="{3E6AB16B-5B00-42FE-B878-C77C3BB0500C}">
      <text>
        <r>
          <rPr>
            <b/>
            <sz val="9"/>
            <color indexed="81"/>
            <rFont val="Segoe UI"/>
            <family val="2"/>
            <charset val="238"/>
          </rPr>
          <t>kerkieg levonva</t>
        </r>
      </text>
    </comment>
    <comment ref="N334" authorId="0" shapeId="0" xr:uid="{7744FF3A-3303-45D8-92BB-ECC27B1688FC}">
      <text>
        <r>
          <rPr>
            <b/>
            <sz val="9"/>
            <color indexed="81"/>
            <rFont val="Segoe UI"/>
            <family val="2"/>
            <charset val="238"/>
          </rPr>
          <t>kerkieg levonva</t>
        </r>
      </text>
    </comment>
    <comment ref="N335" authorId="0" shapeId="0" xr:uid="{3746D5B1-4B0B-4D7E-8C46-77E377193C77}">
      <text>
        <r>
          <rPr>
            <b/>
            <sz val="9"/>
            <color indexed="81"/>
            <rFont val="Segoe UI"/>
            <family val="2"/>
            <charset val="238"/>
          </rPr>
          <t>kerkieg levonva</t>
        </r>
      </text>
    </comment>
    <comment ref="N336" authorId="0" shapeId="0" xr:uid="{E4FE5A81-0352-4672-8E82-4C6ADCAF9CE2}">
      <text>
        <r>
          <rPr>
            <b/>
            <sz val="9"/>
            <color indexed="81"/>
            <rFont val="Segoe UI"/>
            <family val="2"/>
            <charset val="238"/>
          </rPr>
          <t>kerkieg levonva</t>
        </r>
      </text>
    </comment>
    <comment ref="N337" authorId="0" shapeId="0" xr:uid="{4E5EE056-917D-425F-8BF4-75F334D4950B}">
      <text>
        <r>
          <rPr>
            <b/>
            <sz val="9"/>
            <color indexed="81"/>
            <rFont val="Segoe UI"/>
            <family val="2"/>
            <charset val="238"/>
          </rPr>
          <t>kerkieg levonva</t>
        </r>
      </text>
    </comment>
    <comment ref="N338" authorId="0" shapeId="0" xr:uid="{85736BE0-A191-4A92-8725-5F62CDBDBA77}">
      <text>
        <r>
          <rPr>
            <b/>
            <sz val="9"/>
            <color indexed="81"/>
            <rFont val="Segoe UI"/>
            <family val="2"/>
            <charset val="238"/>
          </rPr>
          <t>kerkieg levonva
betegszabi</t>
        </r>
      </text>
    </comment>
    <comment ref="N339" authorId="0" shapeId="0" xr:uid="{4F73F379-4E5B-464C-84C1-22342842C7B3}">
      <text>
        <r>
          <rPr>
            <b/>
            <sz val="9"/>
            <color indexed="81"/>
            <rFont val="Segoe UI"/>
            <family val="2"/>
            <charset val="238"/>
          </rPr>
          <t>kerkieg levonva</t>
        </r>
      </text>
    </comment>
    <comment ref="N340" authorId="0" shapeId="0" xr:uid="{C8973D29-2F5C-4D59-A332-DF8483A8F9EA}">
      <text>
        <r>
          <rPr>
            <b/>
            <sz val="9"/>
            <color indexed="81"/>
            <rFont val="Segoe UI"/>
            <family val="2"/>
            <charset val="238"/>
          </rPr>
          <t>kerkieg levonva</t>
        </r>
      </text>
    </comment>
    <comment ref="N341" authorId="0" shapeId="0" xr:uid="{9F9107AE-F9AE-4F5F-81E7-E2483F96928C}">
      <text>
        <r>
          <rPr>
            <b/>
            <sz val="9"/>
            <color indexed="81"/>
            <rFont val="Segoe UI"/>
            <family val="2"/>
            <charset val="238"/>
          </rPr>
          <t>kerkieg levonva</t>
        </r>
      </text>
    </comment>
    <comment ref="N342" authorId="0" shapeId="0" xr:uid="{49AC9E98-4BA3-4BFF-8FA1-AB123B0411AE}">
      <text>
        <r>
          <rPr>
            <b/>
            <sz val="9"/>
            <color indexed="81"/>
            <rFont val="Segoe UI"/>
            <family val="2"/>
            <charset val="238"/>
          </rPr>
          <t>kerkieg levonva</t>
        </r>
      </text>
    </comment>
    <comment ref="N343" authorId="0" shapeId="0" xr:uid="{14A97DB7-FDC9-473F-9E42-7DBAF1B70209}">
      <text>
        <r>
          <rPr>
            <b/>
            <sz val="9"/>
            <color indexed="81"/>
            <rFont val="Segoe UI"/>
            <family val="2"/>
            <charset val="238"/>
          </rPr>
          <t>kerkieg levonva</t>
        </r>
      </text>
    </comment>
    <comment ref="N344" authorId="0" shapeId="0" xr:uid="{FD6D263C-C96F-497B-A1D8-0C60F9864C3A}">
      <text>
        <r>
          <rPr>
            <b/>
            <sz val="9"/>
            <color indexed="81"/>
            <rFont val="Segoe UI"/>
            <family val="2"/>
            <charset val="238"/>
          </rPr>
          <t>kerkieg levonva</t>
        </r>
      </text>
    </comment>
    <comment ref="N345" authorId="0" shapeId="0" xr:uid="{65216B64-083D-4FEF-97DF-675336643675}">
      <text>
        <r>
          <rPr>
            <b/>
            <sz val="9"/>
            <color indexed="81"/>
            <rFont val="Segoe UI"/>
            <family val="2"/>
            <charset val="238"/>
          </rPr>
          <t>kerkieg levonva</t>
        </r>
      </text>
    </comment>
    <comment ref="N346" authorId="0" shapeId="0" xr:uid="{D6EE8A7C-B70A-4581-BF4A-C9F551BDFCB8}">
      <text>
        <r>
          <rPr>
            <b/>
            <sz val="9"/>
            <color indexed="81"/>
            <rFont val="Segoe UI"/>
            <family val="2"/>
            <charset val="238"/>
          </rPr>
          <t>kerkieg levonva</t>
        </r>
      </text>
    </comment>
    <comment ref="N347" authorId="0" shapeId="0" xr:uid="{F3AB1C78-C438-4484-8460-AE952CC9D947}">
      <text>
        <r>
          <rPr>
            <b/>
            <sz val="9"/>
            <color indexed="81"/>
            <rFont val="Segoe UI"/>
            <family val="2"/>
            <charset val="238"/>
          </rPr>
          <t>kerkieg levonva</t>
        </r>
      </text>
    </comment>
    <comment ref="N348" authorId="0" shapeId="0" xr:uid="{71E69796-44AB-4BF5-8131-02D1B4142C01}">
      <text>
        <r>
          <rPr>
            <b/>
            <sz val="9"/>
            <color indexed="81"/>
            <rFont val="Segoe UI"/>
            <family val="2"/>
            <charset val="238"/>
          </rPr>
          <t>kerkieg levonva</t>
        </r>
      </text>
    </comment>
    <comment ref="N349" authorId="0" shapeId="0" xr:uid="{433A91E6-5007-49F2-AA9B-AF893245695C}">
      <text>
        <r>
          <rPr>
            <b/>
            <sz val="9"/>
            <color indexed="81"/>
            <rFont val="Segoe UI"/>
            <family val="2"/>
            <charset val="238"/>
          </rPr>
          <t>kerkieg levonva</t>
        </r>
      </text>
    </comment>
    <comment ref="N350" authorId="0" shapeId="0" xr:uid="{506D1497-B39E-4E84-918A-53C1665109C6}">
      <text>
        <r>
          <rPr>
            <b/>
            <sz val="9"/>
            <color indexed="81"/>
            <rFont val="Segoe UI"/>
            <family val="2"/>
            <charset val="238"/>
          </rPr>
          <t>kerkieg levonva 50e</t>
        </r>
      </text>
    </comment>
    <comment ref="N351" authorId="0" shapeId="0" xr:uid="{71F27185-5C10-48D5-B42B-72C50716B395}">
      <text>
        <r>
          <rPr>
            <b/>
            <sz val="9"/>
            <color indexed="81"/>
            <rFont val="Segoe UI"/>
            <family val="2"/>
            <charset val="238"/>
          </rPr>
          <t>kerkieg levonva 50e</t>
        </r>
      </text>
    </comment>
    <comment ref="N352" authorId="0" shapeId="0" xr:uid="{CE3DDAD0-F485-482E-8787-DB9BC900C064}">
      <text>
        <r>
          <rPr>
            <b/>
            <sz val="9"/>
            <color indexed="81"/>
            <rFont val="Segoe UI"/>
            <family val="2"/>
            <charset val="238"/>
          </rPr>
          <t>kerkieg levonva 50e</t>
        </r>
      </text>
    </comment>
    <comment ref="N353" authorId="0" shapeId="0" xr:uid="{793C3F4A-DBFB-43B1-BF3F-0D7671CC49F7}">
      <text>
        <r>
          <rPr>
            <b/>
            <sz val="9"/>
            <color indexed="81"/>
            <rFont val="Segoe UI"/>
            <family val="2"/>
            <charset val="238"/>
          </rPr>
          <t>kerkieg levonva 50e</t>
        </r>
      </text>
    </comment>
    <comment ref="N377" authorId="0" shapeId="0" xr:uid="{00DED14D-636C-48E0-8691-12E703016A24}">
      <text>
        <r>
          <rPr>
            <b/>
            <sz val="9"/>
            <color indexed="81"/>
            <rFont val="Tahoma"/>
            <family val="2"/>
            <charset val="238"/>
          </rPr>
          <t>Csak 28-tól van a projekten. Ez három munkanapnyi bére. Kerkieg levonva</t>
        </r>
        <r>
          <rPr>
            <sz val="9"/>
            <color indexed="81"/>
            <rFont val="Tahoma"/>
            <family val="2"/>
            <charset val="238"/>
          </rPr>
          <t xml:space="preserve">
</t>
        </r>
      </text>
    </comment>
    <comment ref="N477" authorId="0" shapeId="0" xr:uid="{29A078E6-4C2F-412B-B6AA-1A35143EBA35}">
      <text>
        <r>
          <rPr>
            <b/>
            <sz val="9"/>
            <color indexed="81"/>
            <rFont val="Tahoma"/>
            <family val="2"/>
            <charset val="238"/>
          </rPr>
          <t>betegszabi</t>
        </r>
        <r>
          <rPr>
            <sz val="9"/>
            <color indexed="81"/>
            <rFont val="Tahoma"/>
            <family val="2"/>
            <charset val="238"/>
          </rPr>
          <t xml:space="preserve">
</t>
        </r>
      </text>
    </comment>
    <comment ref="N478" authorId="0" shapeId="0" xr:uid="{1DDE93B5-F1C9-467D-B52F-8BB1A3539D54}">
      <text>
        <r>
          <rPr>
            <b/>
            <sz val="9"/>
            <color indexed="81"/>
            <rFont val="Tahoma"/>
            <family val="2"/>
            <charset val="238"/>
          </rPr>
          <t>betegszabi</t>
        </r>
        <r>
          <rPr>
            <sz val="9"/>
            <color indexed="81"/>
            <rFont val="Tahoma"/>
            <family val="2"/>
            <charset val="238"/>
          </rPr>
          <t xml:space="preserve">
</t>
        </r>
      </text>
    </comment>
    <comment ref="N484" authorId="0" shapeId="0" xr:uid="{0A7CA562-C0F7-4CD2-950D-6435CE033FD9}">
      <text>
        <r>
          <rPr>
            <b/>
            <sz val="9"/>
            <color indexed="81"/>
            <rFont val="Tahoma"/>
            <family val="2"/>
            <charset val="238"/>
          </rPr>
          <t>betegszabi</t>
        </r>
        <r>
          <rPr>
            <sz val="9"/>
            <color indexed="81"/>
            <rFont val="Tahoma"/>
            <family val="2"/>
            <charset val="238"/>
          </rPr>
          <t xml:space="preserve">
</t>
        </r>
      </text>
    </comment>
    <comment ref="N487" authorId="0" shapeId="0" xr:uid="{A9320E56-8F8F-4429-927D-DA247B8333A9}">
      <text>
        <r>
          <rPr>
            <b/>
            <sz val="9"/>
            <color indexed="81"/>
            <rFont val="Tahoma"/>
            <family val="2"/>
            <charset val="238"/>
          </rPr>
          <t>betegszabi</t>
        </r>
        <r>
          <rPr>
            <sz val="9"/>
            <color indexed="81"/>
            <rFont val="Tahoma"/>
            <family val="2"/>
            <charset val="238"/>
          </rPr>
          <t xml:space="preserve">
</t>
        </r>
      </text>
    </comment>
    <comment ref="N489" authorId="0" shapeId="0" xr:uid="{84F08303-7C14-4B71-B44A-7E78404C316F}">
      <text>
        <r>
          <rPr>
            <b/>
            <sz val="9"/>
            <color indexed="81"/>
            <rFont val="Tahoma"/>
            <family val="2"/>
            <charset val="238"/>
          </rPr>
          <t>szülési szabadság (ha jól tudom)</t>
        </r>
        <r>
          <rPr>
            <sz val="9"/>
            <color indexed="81"/>
            <rFont val="Tahoma"/>
            <family val="2"/>
            <charset val="238"/>
          </rPr>
          <t xml:space="preserve">
</t>
        </r>
      </text>
    </comment>
    <comment ref="N496" authorId="0" shapeId="0" xr:uid="{EC54CC3D-C987-4BCA-81A2-F226E49099A6}">
      <text>
        <r>
          <rPr>
            <b/>
            <sz val="9"/>
            <color indexed="81"/>
            <rFont val="Segoe UI"/>
            <family val="2"/>
            <charset val="238"/>
          </rPr>
          <t>keresőképtelenség</t>
        </r>
        <r>
          <rPr>
            <sz val="9"/>
            <color indexed="81"/>
            <rFont val="Segoe UI"/>
            <family val="2"/>
            <charset val="238"/>
          </rPr>
          <t xml:space="preserve">
</t>
        </r>
      </text>
    </comment>
    <comment ref="N497" authorId="0" shapeId="0" xr:uid="{9BF65821-D827-4041-9232-45D3BF111FF7}">
      <text>
        <r>
          <rPr>
            <b/>
            <sz val="9"/>
            <color indexed="81"/>
            <rFont val="Segoe UI"/>
            <family val="2"/>
            <charset val="238"/>
          </rPr>
          <t>keresőképtelenség</t>
        </r>
        <r>
          <rPr>
            <sz val="9"/>
            <color indexed="81"/>
            <rFont val="Segoe UI"/>
            <family val="2"/>
            <charset val="238"/>
          </rPr>
          <t xml:space="preserve">
</t>
        </r>
      </text>
    </comment>
    <comment ref="N506" authorId="0" shapeId="0" xr:uid="{355C8610-A80B-4221-A67A-3C0EC7AED504}">
      <text>
        <r>
          <rPr>
            <sz val="9"/>
            <color indexed="81"/>
            <rFont val="Segoe UI"/>
            <family val="2"/>
            <charset val="238"/>
          </rPr>
          <t xml:space="preserve">betegszabi
</t>
        </r>
      </text>
    </comment>
    <comment ref="N508" authorId="0" shapeId="0" xr:uid="{49667825-8301-4B57-964F-B15A235645F5}">
      <text>
        <r>
          <rPr>
            <b/>
            <sz val="9"/>
            <color indexed="81"/>
            <rFont val="Segoe UI"/>
            <family val="2"/>
            <charset val="238"/>
          </rPr>
          <t>betegszabi</t>
        </r>
        <r>
          <rPr>
            <sz val="9"/>
            <color indexed="81"/>
            <rFont val="Segoe UI"/>
            <family val="2"/>
            <charset val="238"/>
          </rPr>
          <t xml:space="preserve">
</t>
        </r>
      </text>
    </comment>
    <comment ref="N512" authorId="0" shapeId="0" xr:uid="{C70FB133-9539-4F43-9D5B-8A828A2FC872}">
      <text>
        <r>
          <rPr>
            <b/>
            <sz val="9"/>
            <color indexed="81"/>
            <rFont val="Tahoma"/>
            <family val="2"/>
            <charset val="238"/>
          </rPr>
          <t>betegszabi</t>
        </r>
        <r>
          <rPr>
            <sz val="9"/>
            <color indexed="81"/>
            <rFont val="Tahoma"/>
            <family val="2"/>
            <charset val="238"/>
          </rPr>
          <t xml:space="preserve">
</t>
        </r>
      </text>
    </comment>
    <comment ref="N521" authorId="0" shapeId="0" xr:uid="{206B607A-C9BC-43E1-BA6F-A23210BEA7AE}">
      <text>
        <r>
          <rPr>
            <b/>
            <sz val="9"/>
            <color indexed="81"/>
            <rFont val="Tahoma"/>
            <family val="2"/>
            <charset val="238"/>
          </rPr>
          <t>betegszabi</t>
        </r>
        <r>
          <rPr>
            <sz val="9"/>
            <color indexed="81"/>
            <rFont val="Tahoma"/>
            <family val="2"/>
            <charset val="238"/>
          </rPr>
          <t xml:space="preserve">
</t>
        </r>
      </text>
    </comment>
    <comment ref="N523" authorId="0" shapeId="0" xr:uid="{126A4BED-EB4D-4510-B08C-18C1248A2D28}">
      <text>
        <r>
          <rPr>
            <b/>
            <sz val="9"/>
            <color indexed="81"/>
            <rFont val="Tahoma"/>
            <family val="2"/>
            <charset val="238"/>
          </rPr>
          <t>betegszabi</t>
        </r>
        <r>
          <rPr>
            <sz val="9"/>
            <color indexed="81"/>
            <rFont val="Tahoma"/>
            <family val="2"/>
            <charset val="238"/>
          </rPr>
          <t xml:space="preserve">
</t>
        </r>
      </text>
    </comment>
    <comment ref="S552" authorId="0" shapeId="0" xr:uid="{C825AFB5-03F0-497A-B51F-6C5F23AA5161}">
      <text>
        <r>
          <rPr>
            <b/>
            <sz val="9"/>
            <color indexed="81"/>
            <rFont val="Tahoma"/>
            <charset val="1"/>
          </rPr>
          <t>utólag módosult, javítani!</t>
        </r>
        <r>
          <rPr>
            <sz val="9"/>
            <color indexed="81"/>
            <rFont val="Tahoma"/>
            <charset val="1"/>
          </rPr>
          <t xml:space="preserve">
</t>
        </r>
      </text>
    </comment>
    <comment ref="J573" authorId="0" shapeId="0" xr:uid="{2E795B93-8BA4-4877-BFEC-6C81A6A73AD9}">
      <text>
        <r>
          <rPr>
            <b/>
            <sz val="9"/>
            <color indexed="81"/>
            <rFont val="Tahoma"/>
            <family val="2"/>
            <charset val="238"/>
          </rPr>
          <t>februárban elment fiz. Nélkülire, de van kinevezése augusztusig. Ha visszajön, akkor onnan ismét elszámolhatjuk.</t>
        </r>
        <r>
          <rPr>
            <sz val="9"/>
            <color indexed="81"/>
            <rFont val="Tahoma"/>
            <family val="2"/>
            <charset val="238"/>
          </rPr>
          <t xml:space="preserve">
</t>
        </r>
      </text>
    </comment>
    <comment ref="N601" authorId="0" shapeId="0" xr:uid="{47A6AE8B-B76D-43E9-BDE1-059D36BBBF4B}">
      <text>
        <r>
          <rPr>
            <b/>
            <sz val="9"/>
            <color indexed="81"/>
            <rFont val="Segoe UI"/>
            <family val="2"/>
            <charset val="238"/>
          </rPr>
          <t>vezetői pótlék levonva</t>
        </r>
        <r>
          <rPr>
            <sz val="9"/>
            <color indexed="81"/>
            <rFont val="Segoe UI"/>
            <family val="2"/>
            <charset val="238"/>
          </rPr>
          <t xml:space="preserve">
</t>
        </r>
      </text>
    </comment>
    <comment ref="S601" authorId="0" shapeId="0" xr:uid="{A354EFF0-761C-438F-A85E-44B17988EDFA}">
      <text>
        <r>
          <rPr>
            <b/>
            <sz val="9"/>
            <color indexed="81"/>
            <rFont val="Segoe UI"/>
            <family val="2"/>
            <charset val="238"/>
          </rPr>
          <t>320499 Ft + 49677 Ft könyvelve, eredetileg.  javítottam</t>
        </r>
      </text>
    </comment>
    <comment ref="N602" authorId="0" shapeId="0" xr:uid="{8F06CA94-86E7-45E7-8E07-4D579A0ECEE1}">
      <text>
        <r>
          <rPr>
            <b/>
            <sz val="9"/>
            <color indexed="81"/>
            <rFont val="Segoe UI"/>
            <family val="2"/>
            <charset val="238"/>
          </rPr>
          <t>vezetői pótlék levonva</t>
        </r>
        <r>
          <rPr>
            <sz val="9"/>
            <color indexed="81"/>
            <rFont val="Segoe UI"/>
            <family val="2"/>
            <charset val="238"/>
          </rPr>
          <t xml:space="preserve">
</t>
        </r>
      </text>
    </comment>
    <comment ref="N603" authorId="0" shapeId="0" xr:uid="{BCE6AE7C-0619-48ED-B354-A2C589A0AEC3}">
      <text>
        <r>
          <rPr>
            <b/>
            <sz val="9"/>
            <color indexed="81"/>
            <rFont val="Segoe UI"/>
            <family val="2"/>
            <charset val="238"/>
          </rPr>
          <t>vezetői pótlék levonva</t>
        </r>
        <r>
          <rPr>
            <sz val="9"/>
            <color indexed="81"/>
            <rFont val="Segoe UI"/>
            <family val="2"/>
            <charset val="238"/>
          </rPr>
          <t xml:space="preserve">
</t>
        </r>
      </text>
    </comment>
    <comment ref="N604" authorId="0" shapeId="0" xr:uid="{1FE027D4-C227-4948-8A0B-E2D58A0808B1}">
      <text>
        <r>
          <rPr>
            <b/>
            <sz val="9"/>
            <color indexed="81"/>
            <rFont val="Segoe UI"/>
            <family val="2"/>
            <charset val="238"/>
          </rPr>
          <t>vezetői pótlék levonva</t>
        </r>
        <r>
          <rPr>
            <sz val="9"/>
            <color indexed="81"/>
            <rFont val="Segoe UI"/>
            <family val="2"/>
            <charset val="238"/>
          </rPr>
          <t xml:space="preserve">
</t>
        </r>
      </text>
    </comment>
    <comment ref="N605" authorId="0" shapeId="0" xr:uid="{49D0F9DB-069E-48EC-9286-3D289499351A}">
      <text>
        <r>
          <rPr>
            <b/>
            <sz val="9"/>
            <color indexed="81"/>
            <rFont val="Segoe UI"/>
            <family val="2"/>
            <charset val="238"/>
          </rPr>
          <t>vezetői pótlék levonva</t>
        </r>
        <r>
          <rPr>
            <sz val="9"/>
            <color indexed="81"/>
            <rFont val="Segoe UI"/>
            <family val="2"/>
            <charset val="238"/>
          </rPr>
          <t xml:space="preserve">
</t>
        </r>
      </text>
    </comment>
    <comment ref="N606" authorId="0" shapeId="0" xr:uid="{63C8793E-801F-4EF3-80DC-FB3ECD07B8E2}">
      <text>
        <r>
          <rPr>
            <b/>
            <sz val="9"/>
            <color indexed="81"/>
            <rFont val="Segoe UI"/>
            <family val="2"/>
            <charset val="238"/>
          </rPr>
          <t>vezetői pótlék levonva</t>
        </r>
        <r>
          <rPr>
            <sz val="9"/>
            <color indexed="81"/>
            <rFont val="Segoe UI"/>
            <family val="2"/>
            <charset val="238"/>
          </rPr>
          <t xml:space="preserve">
</t>
        </r>
      </text>
    </comment>
    <comment ref="N607" authorId="0" shapeId="0" xr:uid="{D57FECCD-528E-4563-A159-3CFE6CF04720}">
      <text>
        <r>
          <rPr>
            <b/>
            <sz val="9"/>
            <color indexed="81"/>
            <rFont val="Segoe UI"/>
            <family val="2"/>
            <charset val="238"/>
          </rPr>
          <t>vezetői pótlék levonva</t>
        </r>
        <r>
          <rPr>
            <sz val="9"/>
            <color indexed="81"/>
            <rFont val="Segoe UI"/>
            <family val="2"/>
            <charset val="238"/>
          </rPr>
          <t xml:space="preserve">
</t>
        </r>
      </text>
    </comment>
    <comment ref="N608" authorId="0" shapeId="0" xr:uid="{EDFB13D8-63A8-4F80-9338-16B8D371C858}">
      <text>
        <r>
          <rPr>
            <b/>
            <sz val="9"/>
            <color indexed="81"/>
            <rFont val="Segoe UI"/>
            <family val="2"/>
            <charset val="238"/>
          </rPr>
          <t>vezetői pótlék levonva</t>
        </r>
        <r>
          <rPr>
            <sz val="9"/>
            <color indexed="81"/>
            <rFont val="Segoe UI"/>
            <family val="2"/>
            <charset val="238"/>
          </rPr>
          <t xml:space="preserve">
</t>
        </r>
      </text>
    </comment>
    <comment ref="N609" authorId="0" shapeId="0" xr:uid="{6DBF201D-712F-46DD-A4AC-1EDD555FFB28}">
      <text>
        <r>
          <rPr>
            <b/>
            <sz val="9"/>
            <color indexed="81"/>
            <rFont val="Segoe UI"/>
            <family val="2"/>
            <charset val="238"/>
          </rPr>
          <t>vezetői pótlék levonva</t>
        </r>
        <r>
          <rPr>
            <sz val="9"/>
            <color indexed="81"/>
            <rFont val="Segoe UI"/>
            <family val="2"/>
            <charset val="238"/>
          </rPr>
          <t xml:space="preserve">
</t>
        </r>
      </text>
    </comment>
    <comment ref="N610" authorId="0" shapeId="0" xr:uid="{8E399235-0BB7-4090-90C1-1ACD34B76231}">
      <text>
        <r>
          <rPr>
            <b/>
            <sz val="9"/>
            <color indexed="81"/>
            <rFont val="Segoe UI"/>
            <family val="2"/>
            <charset val="238"/>
          </rPr>
          <t>vezetői pótlék levonva</t>
        </r>
        <r>
          <rPr>
            <sz val="9"/>
            <color indexed="81"/>
            <rFont val="Segoe UI"/>
            <family val="2"/>
            <charset val="238"/>
          </rPr>
          <t xml:space="preserve">
</t>
        </r>
      </text>
    </comment>
    <comment ref="N611" authorId="0" shapeId="0" xr:uid="{ACAB09C3-08A7-48F1-A4E7-301D556D12E8}">
      <text>
        <r>
          <rPr>
            <b/>
            <sz val="9"/>
            <color indexed="81"/>
            <rFont val="Segoe UI"/>
            <family val="2"/>
            <charset val="238"/>
          </rPr>
          <t>vezetői pótlék levonva</t>
        </r>
        <r>
          <rPr>
            <sz val="9"/>
            <color indexed="81"/>
            <rFont val="Segoe UI"/>
            <family val="2"/>
            <charset val="238"/>
          </rPr>
          <t xml:space="preserve">
</t>
        </r>
      </text>
    </comment>
    <comment ref="N612" authorId="0" shapeId="0" xr:uid="{4B56A535-48AE-4F69-8ECD-500E5C57CC5A}">
      <text>
        <r>
          <rPr>
            <b/>
            <sz val="9"/>
            <color indexed="81"/>
            <rFont val="Segoe UI"/>
            <family val="2"/>
            <charset val="238"/>
          </rPr>
          <t>vezetői pótlék levonva</t>
        </r>
        <r>
          <rPr>
            <sz val="9"/>
            <color indexed="81"/>
            <rFont val="Segoe UI"/>
            <family val="2"/>
            <charset val="238"/>
          </rPr>
          <t xml:space="preserve">
</t>
        </r>
      </text>
    </comment>
    <comment ref="N613" authorId="0" shapeId="0" xr:uid="{4EB4DAF4-2402-4863-BF89-94F979274335}">
      <text>
        <r>
          <rPr>
            <b/>
            <sz val="9"/>
            <color indexed="81"/>
            <rFont val="Segoe UI"/>
            <family val="2"/>
            <charset val="238"/>
          </rPr>
          <t>vezetői pótlék levonva</t>
        </r>
        <r>
          <rPr>
            <sz val="9"/>
            <color indexed="81"/>
            <rFont val="Segoe UI"/>
            <family val="2"/>
            <charset val="238"/>
          </rPr>
          <t xml:space="preserve">
</t>
        </r>
      </text>
    </comment>
    <comment ref="N614" authorId="0" shapeId="0" xr:uid="{E3F09339-C55B-46CA-9C2C-8AAC4BC9D481}">
      <text>
        <r>
          <rPr>
            <b/>
            <sz val="9"/>
            <color indexed="81"/>
            <rFont val="Segoe UI"/>
            <family val="2"/>
            <charset val="238"/>
          </rPr>
          <t>vezetői pótlék levonva</t>
        </r>
        <r>
          <rPr>
            <sz val="9"/>
            <color indexed="81"/>
            <rFont val="Segoe UI"/>
            <family val="2"/>
            <charset val="238"/>
          </rPr>
          <t xml:space="preserve">
</t>
        </r>
      </text>
    </comment>
    <comment ref="N615" authorId="0" shapeId="0" xr:uid="{8D878EE9-7F4A-4AE9-BA7A-9BFCE5F10CCF}">
      <text>
        <r>
          <rPr>
            <b/>
            <sz val="9"/>
            <color indexed="81"/>
            <rFont val="Segoe UI"/>
            <family val="2"/>
            <charset val="238"/>
          </rPr>
          <t>vezetői pótlék levonva</t>
        </r>
        <r>
          <rPr>
            <sz val="9"/>
            <color indexed="81"/>
            <rFont val="Segoe UI"/>
            <family val="2"/>
            <charset val="238"/>
          </rPr>
          <t xml:space="preserve">
</t>
        </r>
      </text>
    </comment>
    <comment ref="N616" authorId="0" shapeId="0" xr:uid="{BF5DAB45-B891-451E-8851-15C70BD17BFC}">
      <text>
        <r>
          <rPr>
            <b/>
            <sz val="9"/>
            <color indexed="81"/>
            <rFont val="Segoe UI"/>
            <family val="2"/>
            <charset val="238"/>
          </rPr>
          <t>vezetői pótlék levonva</t>
        </r>
        <r>
          <rPr>
            <sz val="9"/>
            <color indexed="81"/>
            <rFont val="Segoe UI"/>
            <family val="2"/>
            <charset val="238"/>
          </rPr>
          <t xml:space="preserve">
</t>
        </r>
      </text>
    </comment>
    <comment ref="N617" authorId="0" shapeId="0" xr:uid="{C8821140-010A-4578-AD2B-7ABF932BC997}">
      <text>
        <r>
          <rPr>
            <b/>
            <sz val="9"/>
            <color indexed="81"/>
            <rFont val="Segoe UI"/>
            <family val="2"/>
            <charset val="238"/>
          </rPr>
          <t>vezetői pótlék levonva</t>
        </r>
        <r>
          <rPr>
            <sz val="9"/>
            <color indexed="81"/>
            <rFont val="Segoe UI"/>
            <family val="2"/>
            <charset val="238"/>
          </rPr>
          <t xml:space="preserve">
</t>
        </r>
      </text>
    </comment>
    <comment ref="N618" authorId="0" shapeId="0" xr:uid="{B4320981-F738-4FE3-BADB-1EDB3F10C636}">
      <text>
        <r>
          <rPr>
            <b/>
            <sz val="9"/>
            <color indexed="81"/>
            <rFont val="Tahoma"/>
            <family val="2"/>
            <charset val="238"/>
          </rPr>
          <t>kerkieg levonva</t>
        </r>
      </text>
    </comment>
    <comment ref="N641" authorId="0" shapeId="0" xr:uid="{932BD046-7288-4DFB-B215-57F756F41E88}">
      <text>
        <r>
          <rPr>
            <sz val="9"/>
            <color indexed="81"/>
            <rFont val="Tahoma"/>
            <family val="2"/>
            <charset val="238"/>
          </rPr>
          <t>nem fiz. Egész nap távollét miatt kevesebb a bére</t>
        </r>
      </text>
    </comment>
    <comment ref="N642" authorId="0" shapeId="0" xr:uid="{73791E89-8A3C-4D60-8BBD-64C81316AFD7}">
      <text>
        <r>
          <rPr>
            <b/>
            <sz val="9"/>
            <color indexed="81"/>
            <rFont val="Tahoma"/>
            <family val="2"/>
            <charset val="238"/>
          </rPr>
          <t>betegszabi</t>
        </r>
        <r>
          <rPr>
            <sz val="9"/>
            <color indexed="81"/>
            <rFont val="Tahoma"/>
            <family val="2"/>
            <charset val="238"/>
          </rPr>
          <t xml:space="preserve">
</t>
        </r>
      </text>
    </comment>
    <comment ref="O644" authorId="0" shapeId="0" xr:uid="{80C149AC-6078-473C-98FB-92602C0F75C5}">
      <text>
        <r>
          <rPr>
            <b/>
            <sz val="9"/>
            <color indexed="81"/>
            <rFont val="Tahoma"/>
            <family val="2"/>
            <charset val="238"/>
          </rPr>
          <t>járulékkedvezmény</t>
        </r>
        <r>
          <rPr>
            <sz val="9"/>
            <color indexed="81"/>
            <rFont val="Tahoma"/>
            <family val="2"/>
            <charset val="238"/>
          </rPr>
          <t xml:space="preserve">
</t>
        </r>
      </text>
    </comment>
    <comment ref="O645" authorId="0" shapeId="0" xr:uid="{B0D86458-41CE-4098-8151-EB94173468F2}">
      <text>
        <r>
          <rPr>
            <b/>
            <sz val="9"/>
            <color indexed="81"/>
            <rFont val="Tahoma"/>
            <family val="2"/>
            <charset val="238"/>
          </rPr>
          <t>jár. kedvezmény</t>
        </r>
        <r>
          <rPr>
            <sz val="9"/>
            <color indexed="81"/>
            <rFont val="Tahoma"/>
            <family val="2"/>
            <charset val="238"/>
          </rPr>
          <t xml:space="preserve">
</t>
        </r>
      </text>
    </comment>
    <comment ref="O646" authorId="0" shapeId="0" xr:uid="{F20990EA-C63B-48F0-8616-253B67A70298}">
      <text>
        <r>
          <rPr>
            <b/>
            <sz val="9"/>
            <color indexed="81"/>
            <rFont val="Tahoma"/>
            <family val="2"/>
            <charset val="238"/>
          </rPr>
          <t>jár. Kedv.</t>
        </r>
        <r>
          <rPr>
            <sz val="9"/>
            <color indexed="81"/>
            <rFont val="Tahoma"/>
            <family val="2"/>
            <charset val="238"/>
          </rPr>
          <t xml:space="preserve">
</t>
        </r>
      </text>
    </comment>
    <comment ref="O647" authorId="0" shapeId="0" xr:uid="{2E6B1E8A-AF2C-40C0-A50C-DD00D3DFBA02}">
      <text>
        <r>
          <rPr>
            <b/>
            <sz val="9"/>
            <color indexed="81"/>
            <rFont val="Tahoma"/>
            <family val="2"/>
            <charset val="238"/>
          </rPr>
          <t>jár. Kedv.</t>
        </r>
        <r>
          <rPr>
            <sz val="9"/>
            <color indexed="81"/>
            <rFont val="Tahoma"/>
            <family val="2"/>
            <charset val="238"/>
          </rPr>
          <t xml:space="preserve">
</t>
        </r>
      </text>
    </comment>
    <comment ref="O648" authorId="0" shapeId="0" xr:uid="{7FAD22FC-A190-4FA7-8D5D-89D88F5B3184}">
      <text>
        <r>
          <rPr>
            <b/>
            <sz val="9"/>
            <color indexed="81"/>
            <rFont val="Tahoma"/>
            <family val="2"/>
            <charset val="238"/>
          </rPr>
          <t xml:space="preserve">jár kedv
</t>
        </r>
      </text>
    </comment>
    <comment ref="O650" authorId="0" shapeId="0" xr:uid="{85E43907-7AC2-4D1A-97FF-21FCCD6F2E4D}">
      <text>
        <r>
          <rPr>
            <b/>
            <sz val="9"/>
            <color indexed="81"/>
            <rFont val="Tahoma"/>
            <family val="2"/>
            <charset val="238"/>
          </rPr>
          <t>járulékkedvezmény</t>
        </r>
        <r>
          <rPr>
            <sz val="9"/>
            <color indexed="81"/>
            <rFont val="Tahoma"/>
            <family val="2"/>
            <charset val="238"/>
          </rPr>
          <t xml:space="preserve">
</t>
        </r>
      </text>
    </comment>
    <comment ref="O651" authorId="0" shapeId="0" xr:uid="{F8938C64-DA88-42C0-9D2F-DB52F843ECCE}">
      <text>
        <r>
          <rPr>
            <b/>
            <sz val="9"/>
            <color indexed="81"/>
            <rFont val="Tahoma"/>
            <family val="2"/>
            <charset val="238"/>
          </rPr>
          <t>jár. kedvezmény</t>
        </r>
        <r>
          <rPr>
            <sz val="9"/>
            <color indexed="81"/>
            <rFont val="Tahoma"/>
            <family val="2"/>
            <charset val="238"/>
          </rPr>
          <t xml:space="preserve">
</t>
        </r>
      </text>
    </comment>
    <comment ref="O652" authorId="0" shapeId="0" xr:uid="{211A68C4-7AEF-4D7E-93F1-79D2DD3C6447}">
      <text>
        <r>
          <rPr>
            <b/>
            <sz val="9"/>
            <color indexed="81"/>
            <rFont val="Tahoma"/>
            <family val="2"/>
            <charset val="238"/>
          </rPr>
          <t>jár. Kedv.</t>
        </r>
        <r>
          <rPr>
            <sz val="9"/>
            <color indexed="81"/>
            <rFont val="Tahoma"/>
            <family val="2"/>
            <charset val="238"/>
          </rPr>
          <t xml:space="preserve">
</t>
        </r>
      </text>
    </comment>
    <comment ref="O653" authorId="0" shapeId="0" xr:uid="{ACB395DA-B279-436C-92B4-105048751E09}">
      <text>
        <r>
          <rPr>
            <b/>
            <sz val="9"/>
            <color indexed="81"/>
            <rFont val="Tahoma"/>
            <family val="2"/>
            <charset val="238"/>
          </rPr>
          <t>jár. Kedv.</t>
        </r>
        <r>
          <rPr>
            <sz val="9"/>
            <color indexed="81"/>
            <rFont val="Tahoma"/>
            <family val="2"/>
            <charset val="238"/>
          </rPr>
          <t xml:space="preserve">
</t>
        </r>
      </text>
    </comment>
    <comment ref="O654" authorId="0" shapeId="0" xr:uid="{4307DF05-3BAE-410B-90B4-5A530C92093C}">
      <text>
        <r>
          <rPr>
            <b/>
            <sz val="9"/>
            <color indexed="81"/>
            <rFont val="Tahoma"/>
            <family val="2"/>
            <charset val="238"/>
          </rPr>
          <t xml:space="preserve">jár kedv
</t>
        </r>
      </text>
    </comment>
    <comment ref="N656" authorId="0" shapeId="0" xr:uid="{5FE422BF-7AFF-415E-B1E7-365653B4CF4F}">
      <text>
        <r>
          <rPr>
            <b/>
            <sz val="9"/>
            <color indexed="81"/>
            <rFont val="Segoe UI"/>
            <family val="2"/>
            <charset val="238"/>
          </rPr>
          <t>nyelvpótlék levonva</t>
        </r>
        <r>
          <rPr>
            <sz val="9"/>
            <color indexed="81"/>
            <rFont val="Segoe UI"/>
            <family val="2"/>
            <charset val="238"/>
          </rPr>
          <t xml:space="preserve">
</t>
        </r>
      </text>
    </comment>
    <comment ref="N657" authorId="0" shapeId="0" xr:uid="{A58A6283-CA47-4DB7-A132-7DF6031BC3F6}">
      <text>
        <r>
          <rPr>
            <b/>
            <sz val="9"/>
            <color indexed="81"/>
            <rFont val="Segoe UI"/>
            <family val="2"/>
            <charset val="238"/>
          </rPr>
          <t>nyelvpótlék levonva</t>
        </r>
        <r>
          <rPr>
            <sz val="9"/>
            <color indexed="81"/>
            <rFont val="Segoe UI"/>
            <family val="2"/>
            <charset val="238"/>
          </rPr>
          <t xml:space="preserve">
</t>
        </r>
      </text>
    </comment>
    <comment ref="N658" authorId="0" shapeId="0" xr:uid="{FDC68597-41BE-405C-A2D9-3EABB31F5C0D}">
      <text>
        <r>
          <rPr>
            <b/>
            <sz val="9"/>
            <color indexed="81"/>
            <rFont val="Segoe UI"/>
            <family val="2"/>
            <charset val="238"/>
          </rPr>
          <t>nyelvpótlék levonva</t>
        </r>
        <r>
          <rPr>
            <sz val="9"/>
            <color indexed="81"/>
            <rFont val="Segoe UI"/>
            <family val="2"/>
            <charset val="238"/>
          </rPr>
          <t xml:space="preserve">
</t>
        </r>
      </text>
    </comment>
    <comment ref="N659" authorId="0" shapeId="0" xr:uid="{32EAA1C3-4DA3-4DDD-A012-7B5029484044}">
      <text>
        <r>
          <rPr>
            <b/>
            <sz val="9"/>
            <color indexed="81"/>
            <rFont val="Segoe UI"/>
            <family val="2"/>
            <charset val="238"/>
          </rPr>
          <t>nyelvpótlék levonva</t>
        </r>
        <r>
          <rPr>
            <sz val="9"/>
            <color indexed="81"/>
            <rFont val="Segoe UI"/>
            <family val="2"/>
            <charset val="238"/>
          </rPr>
          <t xml:space="preserve">
</t>
        </r>
      </text>
    </comment>
    <comment ref="N660" authorId="0" shapeId="0" xr:uid="{3EEDF02C-769D-4BEB-90D9-12CFC8209D81}">
      <text>
        <r>
          <rPr>
            <b/>
            <sz val="9"/>
            <color indexed="81"/>
            <rFont val="Segoe UI"/>
            <family val="2"/>
            <charset val="238"/>
          </rPr>
          <t>nyelvpótlék levonva</t>
        </r>
        <r>
          <rPr>
            <sz val="9"/>
            <color indexed="81"/>
            <rFont val="Segoe UI"/>
            <family val="2"/>
            <charset val="238"/>
          </rPr>
          <t xml:space="preserve">
</t>
        </r>
      </text>
    </comment>
    <comment ref="N661" authorId="0" shapeId="0" xr:uid="{869AD303-2D0D-4957-B973-825B6681DF05}">
      <text>
        <r>
          <rPr>
            <b/>
            <sz val="9"/>
            <color indexed="81"/>
            <rFont val="Segoe UI"/>
            <family val="2"/>
            <charset val="238"/>
          </rPr>
          <t>nyelvpótlék levonva</t>
        </r>
        <r>
          <rPr>
            <sz val="9"/>
            <color indexed="81"/>
            <rFont val="Segoe UI"/>
            <family val="2"/>
            <charset val="238"/>
          </rPr>
          <t xml:space="preserve">
</t>
        </r>
      </text>
    </comment>
    <comment ref="N662" authorId="0" shapeId="0" xr:uid="{78D2E1E2-8099-4204-96D0-5545A0701064}">
      <text>
        <r>
          <rPr>
            <b/>
            <sz val="9"/>
            <color indexed="81"/>
            <rFont val="Segoe UI"/>
            <family val="2"/>
            <charset val="238"/>
          </rPr>
          <t>nyelvpótlék levonva</t>
        </r>
        <r>
          <rPr>
            <sz val="9"/>
            <color indexed="81"/>
            <rFont val="Segoe UI"/>
            <family val="2"/>
            <charset val="238"/>
          </rPr>
          <t xml:space="preserve">
</t>
        </r>
      </text>
    </comment>
    <comment ref="N663" authorId="0" shapeId="0" xr:uid="{6EE119D1-E563-475D-946B-E8EBA93AA7AC}">
      <text>
        <r>
          <rPr>
            <b/>
            <sz val="9"/>
            <color indexed="81"/>
            <rFont val="Segoe UI"/>
            <family val="2"/>
            <charset val="238"/>
          </rPr>
          <t>nyelvpótlék levonva</t>
        </r>
        <r>
          <rPr>
            <sz val="9"/>
            <color indexed="81"/>
            <rFont val="Segoe UI"/>
            <family val="2"/>
            <charset val="238"/>
          </rPr>
          <t xml:space="preserve">
</t>
        </r>
      </text>
    </comment>
    <comment ref="N664" authorId="0" shapeId="0" xr:uid="{8D8FFA95-DFDA-4DE2-828D-E4987FE34D80}">
      <text>
        <r>
          <rPr>
            <b/>
            <sz val="9"/>
            <color indexed="81"/>
            <rFont val="Segoe UI"/>
            <family val="2"/>
            <charset val="238"/>
          </rPr>
          <t>nyelvpótlék levonva</t>
        </r>
        <r>
          <rPr>
            <sz val="9"/>
            <color indexed="81"/>
            <rFont val="Segoe UI"/>
            <family val="2"/>
            <charset val="238"/>
          </rPr>
          <t xml:space="preserve">
</t>
        </r>
      </text>
    </comment>
    <comment ref="N665" authorId="0" shapeId="0" xr:uid="{F9788CFA-D60E-458E-A405-5F9C6EAD9E7E}">
      <text>
        <r>
          <rPr>
            <b/>
            <sz val="9"/>
            <color indexed="81"/>
            <rFont val="Segoe UI"/>
            <family val="2"/>
            <charset val="238"/>
          </rPr>
          <t>nyelvpótlék levonva</t>
        </r>
        <r>
          <rPr>
            <sz val="9"/>
            <color indexed="81"/>
            <rFont val="Segoe UI"/>
            <family val="2"/>
            <charset val="238"/>
          </rPr>
          <t xml:space="preserve">
</t>
        </r>
      </text>
    </comment>
    <comment ref="N666" authorId="0" shapeId="0" xr:uid="{FFC5D1DC-96C9-453E-A8E5-C1CEC86BE631}">
      <text>
        <r>
          <rPr>
            <b/>
            <sz val="9"/>
            <color indexed="81"/>
            <rFont val="Segoe UI"/>
            <family val="2"/>
            <charset val="238"/>
          </rPr>
          <t>nyelvpótlék levonva</t>
        </r>
        <r>
          <rPr>
            <sz val="9"/>
            <color indexed="81"/>
            <rFont val="Segoe UI"/>
            <family val="2"/>
            <charset val="238"/>
          </rPr>
          <t xml:space="preserve">
</t>
        </r>
      </text>
    </comment>
    <comment ref="N667" authorId="0" shapeId="0" xr:uid="{8FD5E92F-97C9-472D-92F9-F4F2008E8698}">
      <text>
        <r>
          <rPr>
            <b/>
            <sz val="9"/>
            <color indexed="81"/>
            <rFont val="Segoe UI"/>
            <family val="2"/>
            <charset val="238"/>
          </rPr>
          <t>nyelvpótlék levonva</t>
        </r>
        <r>
          <rPr>
            <sz val="9"/>
            <color indexed="81"/>
            <rFont val="Segoe UI"/>
            <family val="2"/>
            <charset val="238"/>
          </rPr>
          <t xml:space="preserve">
</t>
        </r>
      </text>
    </comment>
    <comment ref="N668" authorId="0" shapeId="0" xr:uid="{60C6B4FB-99D4-4236-84EE-AD7D98A55DCB}">
      <text>
        <r>
          <rPr>
            <b/>
            <sz val="9"/>
            <color indexed="81"/>
            <rFont val="Segoe UI"/>
            <family val="2"/>
            <charset val="238"/>
          </rPr>
          <t>nyelvpótlék levonva</t>
        </r>
        <r>
          <rPr>
            <sz val="9"/>
            <color indexed="81"/>
            <rFont val="Segoe UI"/>
            <family val="2"/>
            <charset val="238"/>
          </rPr>
          <t xml:space="preserve">
</t>
        </r>
      </text>
    </comment>
    <comment ref="N669" authorId="0" shapeId="0" xr:uid="{4CC6AED1-F7B7-49D4-A984-E1C56E8B3475}">
      <text>
        <r>
          <rPr>
            <b/>
            <sz val="9"/>
            <color indexed="81"/>
            <rFont val="Segoe UI"/>
            <family val="2"/>
            <charset val="238"/>
          </rPr>
          <t>nyelvpótlék levonva</t>
        </r>
        <r>
          <rPr>
            <sz val="9"/>
            <color indexed="81"/>
            <rFont val="Segoe UI"/>
            <family val="2"/>
            <charset val="238"/>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Domján Gábor</author>
  </authors>
  <commentList>
    <comment ref="H4" authorId="0" shapeId="0" xr:uid="{A5AF4BF0-43E6-4CA4-9013-628AE49DA53F}">
      <text>
        <r>
          <rPr>
            <b/>
            <sz val="9"/>
            <color indexed="81"/>
            <rFont val="Segoe UI"/>
            <family val="2"/>
            <charset val="238"/>
          </rPr>
          <t>vezetői pótlék levonva</t>
        </r>
        <r>
          <rPr>
            <sz val="9"/>
            <color indexed="81"/>
            <rFont val="Segoe UI"/>
            <family val="2"/>
            <charset val="238"/>
          </rPr>
          <t xml:space="preserve">
</t>
        </r>
      </text>
    </comment>
    <comment ref="L4" authorId="0" shapeId="0" xr:uid="{07927E04-A103-45C5-A980-ED447A6F859E}">
      <text>
        <r>
          <rPr>
            <b/>
            <sz val="9"/>
            <color indexed="81"/>
            <rFont val="Segoe UI"/>
            <family val="2"/>
            <charset val="238"/>
          </rPr>
          <t xml:space="preserve">eredetileg 207.178+36.256 Ft-ot könyveltem, javítani kell
</t>
        </r>
      </text>
    </comment>
    <comment ref="U4" authorId="0" shapeId="0" xr:uid="{B47D0923-2BE8-4B25-8363-0D5A50E66479}">
      <text>
        <r>
          <rPr>
            <b/>
            <sz val="9"/>
            <color indexed="81"/>
            <rFont val="Segoe UI"/>
            <family val="2"/>
            <charset val="238"/>
          </rPr>
          <t xml:space="preserve">eredetileg 207.178+36.256 Ft-ot könyveltem, javítani kell
</t>
        </r>
      </text>
    </comment>
    <comment ref="H5" authorId="0" shapeId="0" xr:uid="{19BD6FCF-3834-43AD-9DF0-F9E95544CB6D}">
      <text>
        <r>
          <rPr>
            <b/>
            <sz val="9"/>
            <color indexed="81"/>
            <rFont val="Segoe UI"/>
            <family val="2"/>
            <charset val="238"/>
          </rPr>
          <t>vezetői pótlék levonva</t>
        </r>
        <r>
          <rPr>
            <sz val="9"/>
            <color indexed="81"/>
            <rFont val="Segoe UI"/>
            <family val="2"/>
            <charset val="238"/>
          </rPr>
          <t xml:space="preserve">
</t>
        </r>
      </text>
    </comment>
    <comment ref="L5" authorId="0" shapeId="0" xr:uid="{7EE7EAA4-CE60-459F-B941-66B012AA2A0B}">
      <text>
        <r>
          <rPr>
            <b/>
            <sz val="9"/>
            <color indexed="81"/>
            <rFont val="Segoe UI"/>
            <family val="2"/>
            <charset val="238"/>
          </rPr>
          <t xml:space="preserve">eredetileg 207.178+36.256 Ft-ot könyveltem, javítani kell
</t>
        </r>
      </text>
    </comment>
    <comment ref="U5" authorId="0" shapeId="0" xr:uid="{BAE65094-26CF-4259-8D1C-A1ADC4ECAD26}">
      <text>
        <r>
          <rPr>
            <b/>
            <sz val="9"/>
            <color indexed="81"/>
            <rFont val="Segoe UI"/>
            <family val="2"/>
            <charset val="238"/>
          </rPr>
          <t xml:space="preserve">eredetileg 207.178+36.256 Ft-ot könyveltem, javítani kell
</t>
        </r>
      </text>
    </comment>
    <comment ref="H6" authorId="0" shapeId="0" xr:uid="{257D80B5-EDE3-4482-A88F-37F681A1E873}">
      <text>
        <r>
          <rPr>
            <b/>
            <sz val="9"/>
            <color indexed="81"/>
            <rFont val="Segoe UI"/>
            <family val="2"/>
            <charset val="238"/>
          </rPr>
          <t>vezetői pótlék levonva</t>
        </r>
        <r>
          <rPr>
            <sz val="9"/>
            <color indexed="81"/>
            <rFont val="Segoe UI"/>
            <family val="2"/>
            <charset val="238"/>
          </rPr>
          <t xml:space="preserve">
</t>
        </r>
      </text>
    </comment>
    <comment ref="L6" authorId="0" shapeId="0" xr:uid="{011702AE-92DB-40D8-AD6B-4B1546C34C5B}">
      <text>
        <r>
          <rPr>
            <b/>
            <sz val="9"/>
            <color indexed="81"/>
            <rFont val="Segoe UI"/>
            <family val="2"/>
            <charset val="238"/>
          </rPr>
          <t>eredetileg 554.816+97.093 Ft-ot könyveltem, javítani</t>
        </r>
      </text>
    </comment>
    <comment ref="U6" authorId="0" shapeId="0" xr:uid="{B9D1893D-E2DC-49C6-AEF5-3CCE1F1B6922}">
      <text>
        <r>
          <rPr>
            <b/>
            <sz val="9"/>
            <color indexed="81"/>
            <rFont val="Segoe UI"/>
            <family val="2"/>
            <charset val="238"/>
          </rPr>
          <t>eredetileg 554.816+97.093 Ft-ot könyveltem, javítani</t>
        </r>
      </text>
    </comment>
    <comment ref="H7" authorId="0" shapeId="0" xr:uid="{102CB965-4513-4401-BEB0-2F872C8CDF7F}">
      <text>
        <r>
          <rPr>
            <b/>
            <sz val="9"/>
            <color indexed="81"/>
            <rFont val="Segoe UI"/>
            <family val="2"/>
            <charset val="238"/>
          </rPr>
          <t>vezetői pótlék levonva</t>
        </r>
        <r>
          <rPr>
            <sz val="9"/>
            <color indexed="81"/>
            <rFont val="Segoe UI"/>
            <family val="2"/>
            <charset val="238"/>
          </rPr>
          <t xml:space="preserve">
</t>
        </r>
      </text>
    </comment>
    <comment ref="L7" authorId="0" shapeId="0" xr:uid="{00B95BD7-6629-467D-88FE-ED8214E41416}">
      <text>
        <r>
          <rPr>
            <b/>
            <sz val="9"/>
            <color indexed="81"/>
            <rFont val="Segoe UI"/>
            <family val="2"/>
            <charset val="238"/>
          </rPr>
          <t>eredetileg 554.816+85.996 Ft-ot könyveltem, javítani</t>
        </r>
      </text>
    </comment>
    <comment ref="U7" authorId="0" shapeId="0" xr:uid="{45093D30-3377-460F-97AE-8A8D9587D72F}">
      <text>
        <r>
          <rPr>
            <b/>
            <sz val="9"/>
            <color indexed="81"/>
            <rFont val="Segoe UI"/>
            <family val="2"/>
            <charset val="238"/>
          </rPr>
          <t>eredetileg 554.816+85.996 Ft-ot könyveltem, javítani</t>
        </r>
      </text>
    </comment>
    <comment ref="H8" authorId="0" shapeId="0" xr:uid="{A4E9A6B9-4150-4456-A583-6391BDF7F544}">
      <text>
        <r>
          <rPr>
            <b/>
            <sz val="9"/>
            <color indexed="81"/>
            <rFont val="Segoe UI"/>
            <family val="2"/>
            <charset val="238"/>
          </rPr>
          <t>vezetői pótlék levonva</t>
        </r>
        <r>
          <rPr>
            <sz val="9"/>
            <color indexed="81"/>
            <rFont val="Segoe UI"/>
            <family val="2"/>
            <charset val="238"/>
          </rPr>
          <t xml:space="preserve">
</t>
        </r>
      </text>
    </comment>
    <comment ref="L8" authorId="0" shapeId="0" xr:uid="{9B7214C2-6AEF-4CD2-81EF-8E9AFAF6A115}">
      <text>
        <r>
          <rPr>
            <b/>
            <sz val="9"/>
            <color indexed="81"/>
            <rFont val="Segoe UI"/>
            <family val="2"/>
            <charset val="238"/>
          </rPr>
          <t>eredetileg 554.816+85.996 Ft-ot könyveltem, javítani</t>
        </r>
      </text>
    </comment>
    <comment ref="U8" authorId="0" shapeId="0" xr:uid="{1CF66EBF-1803-4B83-AACB-41E570A6564F}">
      <text>
        <r>
          <rPr>
            <b/>
            <sz val="9"/>
            <color indexed="81"/>
            <rFont val="Segoe UI"/>
            <family val="2"/>
            <charset val="238"/>
          </rPr>
          <t>eredetileg 554.816+85.996 Ft-ot könyveltem, javítani</t>
        </r>
      </text>
    </comment>
    <comment ref="H9" authorId="0" shapeId="0" xr:uid="{72193F57-6935-48BE-BD95-770C1D3E3A58}">
      <text>
        <r>
          <rPr>
            <b/>
            <sz val="9"/>
            <color indexed="81"/>
            <rFont val="Segoe UI"/>
            <family val="2"/>
            <charset val="238"/>
          </rPr>
          <t>vezetői pótlék levonva</t>
        </r>
        <r>
          <rPr>
            <sz val="9"/>
            <color indexed="81"/>
            <rFont val="Segoe UI"/>
            <family val="2"/>
            <charset val="238"/>
          </rPr>
          <t xml:space="preserve">
</t>
        </r>
      </text>
    </comment>
    <comment ref="L9" authorId="0" shapeId="0" xr:uid="{00C31FBB-3B7B-4047-A843-72E1E72B0AA7}">
      <text>
        <r>
          <rPr>
            <b/>
            <sz val="9"/>
            <color indexed="81"/>
            <rFont val="Segoe UI"/>
            <family val="2"/>
            <charset val="238"/>
          </rPr>
          <t>eredetileg 554.816+85.996 Ft-ot könyveltem, javítani</t>
        </r>
      </text>
    </comment>
    <comment ref="U9" authorId="0" shapeId="0" xr:uid="{8844E14E-7D19-4ACC-A03C-EBD92807E3BE}">
      <text>
        <r>
          <rPr>
            <b/>
            <sz val="9"/>
            <color indexed="81"/>
            <rFont val="Segoe UI"/>
            <family val="2"/>
            <charset val="238"/>
          </rPr>
          <t>eredetileg 554.816+85.996 Ft-ot könyveltem, javítani</t>
        </r>
      </text>
    </comment>
    <comment ref="H10" authorId="0" shapeId="0" xr:uid="{222B64E7-F733-49E3-8E60-C07EFFAE5C9B}">
      <text>
        <r>
          <rPr>
            <b/>
            <sz val="9"/>
            <color indexed="81"/>
            <rFont val="Segoe UI"/>
            <family val="2"/>
            <charset val="238"/>
          </rPr>
          <t>nyelvpótlék levonva</t>
        </r>
        <r>
          <rPr>
            <sz val="9"/>
            <color indexed="81"/>
            <rFont val="Segoe UI"/>
            <family val="2"/>
            <charset val="238"/>
          </rPr>
          <t xml:space="preserve">
</t>
        </r>
      </text>
    </comment>
    <comment ref="L10" authorId="0" shapeId="0" xr:uid="{CBAB88C8-98A4-4712-8874-529F2E64C71C}">
      <text>
        <r>
          <rPr>
            <b/>
            <sz val="9"/>
            <color indexed="81"/>
            <rFont val="Segoe UI"/>
            <family val="2"/>
            <charset val="238"/>
          </rPr>
          <t>eredetileg 333.600+51.708 Ft könyvelve, javítani</t>
        </r>
        <r>
          <rPr>
            <sz val="9"/>
            <color indexed="81"/>
            <rFont val="Segoe UI"/>
            <family val="2"/>
            <charset val="238"/>
          </rPr>
          <t xml:space="preserve">
</t>
        </r>
      </text>
    </comment>
    <comment ref="U10" authorId="0" shapeId="0" xr:uid="{68DB67DD-8BA9-4D60-B1C3-A2023E24C14E}">
      <text>
        <r>
          <rPr>
            <b/>
            <sz val="9"/>
            <color indexed="81"/>
            <rFont val="Segoe UI"/>
            <family val="2"/>
            <charset val="238"/>
          </rPr>
          <t>eredetileg 333.600+51.708 Ft könyvelve, javítani</t>
        </r>
        <r>
          <rPr>
            <sz val="9"/>
            <color indexed="81"/>
            <rFont val="Segoe UI"/>
            <family val="2"/>
            <charset val="238"/>
          </rPr>
          <t xml:space="preserve">
</t>
        </r>
      </text>
    </comment>
    <comment ref="H11" authorId="0" shapeId="0" xr:uid="{5B17C104-FF78-4BBB-B993-964DAD452B84}">
      <text>
        <r>
          <rPr>
            <b/>
            <sz val="9"/>
            <color indexed="81"/>
            <rFont val="Segoe UI"/>
            <family val="2"/>
            <charset val="238"/>
          </rPr>
          <t>vezetői pótlék levonva</t>
        </r>
        <r>
          <rPr>
            <sz val="9"/>
            <color indexed="81"/>
            <rFont val="Segoe UI"/>
            <family val="2"/>
            <charset val="238"/>
          </rPr>
          <t xml:space="preserve">
</t>
        </r>
      </text>
    </comment>
    <comment ref="L11" authorId="0" shapeId="0" xr:uid="{0611FFA7-8EA6-4C40-8139-8521DF4B18A9}">
      <text>
        <r>
          <rPr>
            <b/>
            <sz val="9"/>
            <color indexed="81"/>
            <rFont val="Segoe UI"/>
            <family val="2"/>
            <charset val="238"/>
          </rPr>
          <t>320499 Ft + 49677 Ft könyvelve, eredetileg. Javítani kell!</t>
        </r>
        <r>
          <rPr>
            <sz val="9"/>
            <color indexed="81"/>
            <rFont val="Segoe UI"/>
            <family val="2"/>
            <charset val="238"/>
          </rPr>
          <t xml:space="preserve">
</t>
        </r>
      </text>
    </comment>
    <comment ref="U11" authorId="0" shapeId="0" xr:uid="{78CED32B-D55E-43CD-A793-892F78F1C3DB}">
      <text>
        <r>
          <rPr>
            <b/>
            <sz val="9"/>
            <color indexed="81"/>
            <rFont val="Segoe UI"/>
            <family val="2"/>
            <charset val="238"/>
          </rPr>
          <t>320499 Ft + 49677 Ft könyvelve, eredetileg. Javítani kell!</t>
        </r>
        <r>
          <rPr>
            <sz val="9"/>
            <color indexed="81"/>
            <rFont val="Segoe UI"/>
            <family val="2"/>
            <charset val="238"/>
          </rPr>
          <t xml:space="preserve">
</t>
        </r>
      </text>
    </comment>
  </commentList>
</comments>
</file>

<file path=xl/sharedStrings.xml><?xml version="1.0" encoding="utf-8"?>
<sst xmlns="http://schemas.openxmlformats.org/spreadsheetml/2006/main" count="6906" uniqueCount="332">
  <si>
    <t>Fennmaradó 
egyenleg</t>
  </si>
  <si>
    <t>bér arány</t>
  </si>
  <si>
    <t>ÖSSZESEN</t>
  </si>
  <si>
    <t>Témaszám</t>
  </si>
  <si>
    <t>Költség típus</t>
  </si>
  <si>
    <t xml:space="preserve">Szakmai megvalósításban </t>
  </si>
  <si>
    <t>Tény</t>
  </si>
  <si>
    <t>Köt. váll.</t>
  </si>
  <si>
    <t xml:space="preserve">Köt. váll. </t>
  </si>
  <si>
    <t>Köt. vállal terhelt egyenleg</t>
  </si>
  <si>
    <t>Felhasználás</t>
  </si>
  <si>
    <t>Pénzügyi</t>
  </si>
  <si>
    <t>Megbízási</t>
  </si>
  <si>
    <t>Munkaköri</t>
  </si>
  <si>
    <t>Mindösszesen</t>
  </si>
  <si>
    <t>többlet</t>
  </si>
  <si>
    <t>bruttó bér</t>
  </si>
  <si>
    <t>óra</t>
  </si>
  <si>
    <t>elszámolt</t>
  </si>
  <si>
    <t>járulék</t>
  </si>
  <si>
    <t>NR</t>
  </si>
  <si>
    <t>dátuma</t>
  </si>
  <si>
    <t>közreműködő munkatársak (Név)</t>
  </si>
  <si>
    <t>központ (terhelés)</t>
  </si>
  <si>
    <t>központ (számfejtés)</t>
  </si>
  <si>
    <t>MEGBÍZÁSOK</t>
  </si>
  <si>
    <t>SZERVEZETI EGYSÉGEK SZERINT</t>
  </si>
  <si>
    <t>leírás</t>
  </si>
  <si>
    <t>nyilvántartás</t>
  </si>
  <si>
    <t>mértéke</t>
  </si>
  <si>
    <t>2020.12</t>
  </si>
  <si>
    <t>2021.01</t>
  </si>
  <si>
    <t>2021.02</t>
  </si>
  <si>
    <t>2021.03</t>
  </si>
  <si>
    <t>2021.04</t>
  </si>
  <si>
    <t>2021.05</t>
  </si>
  <si>
    <t>2021.06</t>
  </si>
  <si>
    <t>2021.07</t>
  </si>
  <si>
    <t>2021.08</t>
  </si>
  <si>
    <t>2021.09</t>
  </si>
  <si>
    <t>2021.10</t>
  </si>
  <si>
    <t>2021.11</t>
  </si>
  <si>
    <t>2021.12</t>
  </si>
  <si>
    <t>2022.01</t>
  </si>
  <si>
    <t>2022.02</t>
  </si>
  <si>
    <t>2022.03</t>
  </si>
  <si>
    <t>2022.04</t>
  </si>
  <si>
    <t>2022.05</t>
  </si>
  <si>
    <t>2022.06</t>
  </si>
  <si>
    <t>2022.07</t>
  </si>
  <si>
    <t>2022.08</t>
  </si>
  <si>
    <t>2022.09</t>
  </si>
  <si>
    <t>2022.10</t>
  </si>
  <si>
    <t>2022.11</t>
  </si>
  <si>
    <t>2022.12</t>
  </si>
  <si>
    <t>Tevékenység neve</t>
  </si>
  <si>
    <t>Keret</t>
  </si>
  <si>
    <t>óra arány</t>
  </si>
  <si>
    <t>különbsége</t>
  </si>
  <si>
    <t>Alap dokumentum</t>
  </si>
  <si>
    <t>Aláírt</t>
  </si>
  <si>
    <t>kinevezés</t>
  </si>
  <si>
    <t>KÖLTSÉGEK</t>
  </si>
  <si>
    <t>Szervezeti egység</t>
  </si>
  <si>
    <t>Szoc. Ho.</t>
  </si>
  <si>
    <t>adó</t>
  </si>
  <si>
    <t>i</t>
  </si>
  <si>
    <t>(kinev/többlet)</t>
  </si>
  <si>
    <t>Technikus</t>
  </si>
  <si>
    <t>Segédszemélyzet</t>
  </si>
  <si>
    <t>Munkabér</t>
  </si>
  <si>
    <t>3 tizedesre kerekített munkaidő%</t>
  </si>
  <si>
    <t>Költség kategória</t>
  </si>
  <si>
    <t>Költség elem</t>
  </si>
  <si>
    <t>Időszak</t>
  </si>
  <si>
    <t>Hallgatói foglalkoztatás</t>
  </si>
  <si>
    <t>K+F munkatárs</t>
  </si>
  <si>
    <t>Projektmenedzsment</t>
  </si>
  <si>
    <t>Egyéb</t>
  </si>
  <si>
    <t>Adott kolléga milyen munkakört tölt be a projektben (legördülő menüből választani)
TÖLTENDŐ!</t>
  </si>
  <si>
    <t>Résztvevő</t>
  </si>
  <si>
    <t>Kezdete</t>
  </si>
  <si>
    <t>típusa</t>
  </si>
  <si>
    <t>Foglalkoztatás</t>
  </si>
  <si>
    <t>Teljes</t>
  </si>
  <si>
    <t>bruttó munkabér</t>
  </si>
  <si>
    <t>bérjárulék</t>
  </si>
  <si>
    <t>havi</t>
  </si>
  <si>
    <t>munkaidő</t>
  </si>
  <si>
    <t>Projekten</t>
  </si>
  <si>
    <t>sorszáma</t>
  </si>
  <si>
    <t>Elszámolás</t>
  </si>
  <si>
    <t>neve</t>
  </si>
  <si>
    <t>Tevékenység</t>
  </si>
  <si>
    <t>Költség</t>
  </si>
  <si>
    <t>kategória</t>
  </si>
  <si>
    <t>típus</t>
  </si>
  <si>
    <t>elem</t>
  </si>
  <si>
    <t>Egyéb paraméter</t>
  </si>
  <si>
    <t>Támogatást igénylő</t>
  </si>
  <si>
    <t>Finanszírozási mód</t>
  </si>
  <si>
    <t>Állami támogatás kategória</t>
  </si>
  <si>
    <t>Beszerzés jellege</t>
  </si>
  <si>
    <t>Elszámolási mód</t>
  </si>
  <si>
    <t>Mérföldkő hozzárendelése</t>
  </si>
  <si>
    <t>Nettó egységár</t>
  </si>
  <si>
    <t>Nettó egységárra jutó ÁFA</t>
  </si>
  <si>
    <t>Bruttó egységár</t>
  </si>
  <si>
    <t>Mennyiség</t>
  </si>
  <si>
    <t>Nettó érték</t>
  </si>
  <si>
    <t>ÁFA érték</t>
  </si>
  <si>
    <t>Teljes költség</t>
  </si>
  <si>
    <t>Elszámolható költség</t>
  </si>
  <si>
    <t>Nem elszámolható költség</t>
  </si>
  <si>
    <t>Támogatási százalék</t>
  </si>
  <si>
    <t>Támogatási összeg</t>
  </si>
  <si>
    <t>Összes kifizethető költség (Ft) - Utófinanszírozott</t>
  </si>
  <si>
    <t>Összes kifizethető költség (Ft) - Szállítói finanszírozású</t>
  </si>
  <si>
    <t>Részletezés</t>
  </si>
  <si>
    <t>Megvalósítási helyszín</t>
  </si>
  <si>
    <t>Átjárhatóság</t>
  </si>
  <si>
    <t>Szakágazat</t>
  </si>
  <si>
    <t>PANNON EGYETEM</t>
  </si>
  <si>
    <t>54. Bérköltség</t>
  </si>
  <si>
    <t>54. Bérköltség - Kutató-fejlesztő munkatárs</t>
  </si>
  <si>
    <t>Utófinanszírozás</t>
  </si>
  <si>
    <t>Nem állami támogatás</t>
  </si>
  <si>
    <t>Saját teljesítés</t>
  </si>
  <si>
    <t>Valós költség</t>
  </si>
  <si>
    <t>Koordináció</t>
  </si>
  <si>
    <t>54. Bérköltség - Projektmenedzser</t>
  </si>
  <si>
    <t>54. Bérköltség - technikus segédszemélyzet</t>
  </si>
  <si>
    <t>56. Bérjárulék</t>
  </si>
  <si>
    <t>56. Bérjárulék - Kutató-fejlesztő munkatárs</t>
  </si>
  <si>
    <t>56. Bérjárulék - Projektmenedzser</t>
  </si>
  <si>
    <t>56. Bérjárulék - technikus segédszemélyzet</t>
  </si>
  <si>
    <t>Pénzügyi központ:</t>
  </si>
  <si>
    <t>Baumgartner János</t>
  </si>
  <si>
    <t>Leitold Dániel</t>
  </si>
  <si>
    <t>Nyári Zsófia</t>
  </si>
  <si>
    <t>Süle Zoltán</t>
  </si>
  <si>
    <t>E031100000</t>
  </si>
  <si>
    <t>E031110000</t>
  </si>
  <si>
    <t>M211120000</t>
  </si>
  <si>
    <t>E011110000</t>
  </si>
  <si>
    <t>Vége</t>
  </si>
  <si>
    <t>okmány</t>
  </si>
  <si>
    <t>Pályázat benyújtásának időpontja:</t>
  </si>
  <si>
    <t>Konzorcium vezetője:</t>
  </si>
  <si>
    <t>Futamidő:</t>
  </si>
  <si>
    <t>Bérkorlátok:</t>
  </si>
  <si>
    <t xml:space="preserve">54. Bérköltség - Kutató/fejlesztő </t>
  </si>
  <si>
    <t>54. Bérköltség - Technikus</t>
  </si>
  <si>
    <t>54. Bérköltség - Marketing munkatárs</t>
  </si>
  <si>
    <t>Előleg igénylés mérföldkövenként történhet, az elszámolás elfogadását követően.</t>
  </si>
  <si>
    <t>A projekt fizikai befejezése napjának a projekt utolsó támogatott tevékenysége fizikai teljesítésének a napja minősül.</t>
  </si>
  <si>
    <t>A projekttel kapcsolatos szakmai és pénzügyi záróbeszámoló benyújtásának végső határideje a projekt fizikai befejezésének – támogatói okiratban/támogatási szerződésben rögzített – dátumát követő 60. nap.</t>
  </si>
  <si>
    <t>A részbeszámolót a mérföldkövet követő 30 napon belül kell benyújtani.</t>
  </si>
  <si>
    <t>Munkaszakaszok közötti átcsoportosítás a teljes költség 20%-ig megengedett.</t>
  </si>
  <si>
    <t>Az adott mérföldkőben az arra az időszakra eső teljesítési idejű bizonylatok számolhatók el. A kifizetésnek legkésőbb a záró időpontot követő 30 napban kell megvalósulnia.</t>
  </si>
  <si>
    <t>Külföldi számlát le kell fordítani.</t>
  </si>
  <si>
    <t>Előlegszámla csak részszámlával vagy végszámlával számolható el.</t>
  </si>
  <si>
    <t>Devizás számla átváltása: a teljesítés napján érvénes MNB deviza középárfolyamon.</t>
  </si>
  <si>
    <t>Mérföldkövek:</t>
  </si>
  <si>
    <t>MIK</t>
  </si>
  <si>
    <t>Munkakör</t>
  </si>
  <si>
    <t>Alkalmazott (ipari) kutatás</t>
  </si>
  <si>
    <t>Fejlesztő bér</t>
  </si>
  <si>
    <t>Fejlesztők személyi jellegű kifizetése a projekt 1. mérföldkövének megvalósítási ideje alatt. A fejlesztők feladatai:A projektben résztvevő fejlesztők feladatai többek között a megvalósuló, új, adaptív gyártási technológia megtervezése, valamint a hozzá szükséges egyedi gyártású (robotkarok, adagolók, összeszerelő sor elemei) és általános (alapanyag tartó rack-ek, karbantartó eszközök, szerszámok) eszközök, felszerelések tervezése, legyártatása, beszerzése. Koordinálják és támogatják a gyártási technológia segítségével előállított egyedi BIPV napelemes termékek fejlesztését. Felügyelik a különböző prototípusok legyártását, a sikeres prototípusok tömeggyártásba kerülését. Tesztek alapján kiválasztják a megfelelő alapanyagokat és pontosan meghatározzák a megfelelő gyártási módszertant. Szakmai tapasztalatuknak és kompetenciájuknak megfelelően segítik a projekt sikeres lebonyolítását, valamint a technikusok munkáját.</t>
  </si>
  <si>
    <t>Kísérleti fejlesztés</t>
  </si>
  <si>
    <t>Fejlesztők személyi jellegű kifizetése a projekt 2. és 3. mérföldkövének megvalósítási ideje alatt. A fejlesztők feladatai:A projektben résztvevő fejlesztők feladatai többek között a megvalósuló, új, adaptív gyártási technológia megtervezése, valamint a hozzá szükséges egyedi gyártású (robotkarok, adagolók, összeszerelő sor elemei) és általános (alapanyag tartó rack-ek, karbantartó eszközök, szerszámok) eszközök, felszerelések tervezése, legyártatása, beszerzése. Koordinálják és támogatják a gyártási technológia segítségével előállított egyedi BIPV napelemes termékek fejlesztését. Felügyelik a különböző prototípusok legyártását, a sikeres prototípusok tömeggyártásba kerülését. Tesztek alapján kiválasztják a megfelelő alapanyagokat és pontosan meghatározzák a megfelelő gyártási módszertant. Szakmai tapasztalatuknak és kompetenciájuknak megfelelően segítik a projekt sikeres lebonyolítását, valamint a technikusok munkáját.</t>
  </si>
  <si>
    <t>Technikus/egyéb bér</t>
  </si>
  <si>
    <t>Technikusok személyi jellegű kifizetése a projekt 1. mérföldkövének megvalósítási ideje alatt. A technikusok feladatai:A megtervezett, beszerzett gépek telepítését végzik, majd ezt követően a fejlesztők utasításainak megfelelően üzemeltetik a gyártási technológia részét képező gépeket, berendezéseket. Elvégzik a szükséges gépbeállításokat a tervezett megelőző vagy hibajavító karbantartásokat. Végrehajtják a fejlesztők által meghatározott teszteket, módosításokat. Az egyedi BIPV napelemes termékek gyártását támogatva részt vesznek a gyártási folyamatban, egészen a prototípusgyártástól kezdődően a sorozatgyártásba kerülésig. A gyártás során többek között az alapanyag biztosítását az összeszerelő gépek felügyeletét, a különböző folyamat közi tevékenységeket végzik. Fontos résztvevői a fejlesztésnek, hiszen sok éves tapasztalatuk elősegíti az esetlegesen a rendszerben lévő gyengepontok kiszűrését.</t>
  </si>
  <si>
    <t>Projektmenedzser bér</t>
  </si>
  <si>
    <t>"Projektmenedzsment személyi jellegű kifizetése a projekt megvalósítási ideje alatt (36 hónap). A projektben 1 fő Projektmenedzser vesz részt. A projektmenedzsment személyi jellegű ráfordítása havi 170000 Ft bérköltség + 29750 Ft járulék. FTE érték összesen: 1. Projektmenedzsment feladatok:Határidők betartása, változások lejelentése, a megvalósítás egyes lépéseinek minőségbiztosítása, adminisztratív rend betartása, bizonylatok minőségbiztosítása, dokumentumok elkészítése, belső szervezeti egységekkel történő kapcsolattartás és feladatok támogatása, külső partnerek és hivatalokkal való kapcsolattartás.
Elszámolások elkészítése, feladása, hiánypótlás teljesítése, beszámoló összeállítása, társterületekkel való együttműködés, bérösszesítők készítése, elszámolás dokumentumainak ellenőrzése, elkészítése, minőségbiztosítása. 
A pályázathoz tartozó számlák és szerződések ellenőrzése a pályázati helyesség alapján, kapcsolódó bizonylatok, jegyzőkönyvek, teljesítési igazolások pályázati mappába iktatása.
A K+F tevékenység, szolgáltatás vásárlás összevetése a pályázati dokumentációval, műszaki tartalom ellenőrzése, változás esetén változás jelentése, műszaki tartalom változása esetén bejelentése. Részvétel az eljárás kapcsán készítendő emlékeztetők / jegyzőkönyvek elkészítésében.
Ad-hoc a pályázattal és annak megvalósításával kapcsolatos és felmerülő feladatok elvégzése a megrendelő vagy közreműködő szervezet igénye alapján"</t>
  </si>
  <si>
    <t>Technikusok személyi jellegű kifizetése a projekt megvalósítási ideje alatt (36 hónap). A projektben 1 fő Technikus vesz részt. A technikusok személyi jellegű ráfordítása havi 225000 Ft bérköltség + 39375 Ft járulék. FTE érték összesen: 0,7. Technikus feladatai:A megtervezett, beszerzett gépek telepítését végzik, majd ezt követően a fejlesztők utasításainak megfelelően üzemeltetik a gyártási technológia részét képező gépeket, berendezéseket. Elvégzik a szükséges gépbeállításokat a tervezett megelőző vagy hibajavító karbantartásokat. Végrehajtják a fejlesztők által meghatározott teszteket, módosításokat. Az egyedi BIPV napelemes termékek gyártását támogatva részt vesznek a gyártási folyamatban, egészen a prototípusgyártástól kezdődően a sorozatgyártásba kerülésig. A gyártás során többek között az alapanyag biztosítását az összeszerelő gépek felügyeletét, a különböző folyamat közi tevékenységeket végzik. Fontos résztvevői a fejlesztésnek, hiszen sok éves tapasztalatuk elősegíti az esetlegesen a rendszerben lévő gyengepontok kiszűrését.</t>
  </si>
  <si>
    <t>Fejlesztő járulék</t>
  </si>
  <si>
    <t>Projektmenedzser járulék</t>
  </si>
  <si>
    <t>Technikus/egyéb járulék</t>
  </si>
  <si>
    <t>C017200106</t>
  </si>
  <si>
    <t>E017200105</t>
  </si>
  <si>
    <t>M217200107</t>
  </si>
  <si>
    <t>Abonyi János</t>
  </si>
  <si>
    <t>Bertók Ákos Botond</t>
  </si>
  <si>
    <t>Czvetkó Tímea</t>
  </si>
  <si>
    <t>Csalódi Róbert</t>
  </si>
  <si>
    <t>Dal Hasan Dávid</t>
  </si>
  <si>
    <t>Darányi András</t>
  </si>
  <si>
    <t>Frits Márton</t>
  </si>
  <si>
    <t>Hámán Szilvi</t>
  </si>
  <si>
    <t>Honti Gergely Marcell</t>
  </si>
  <si>
    <t>Klein Mónika</t>
  </si>
  <si>
    <t>Kovács Róbert</t>
  </si>
  <si>
    <t>Kummer Alex</t>
  </si>
  <si>
    <t>Machalik Károly</t>
  </si>
  <si>
    <t>Medvegy Tibor</t>
  </si>
  <si>
    <t>Mikó Barbara</t>
  </si>
  <si>
    <t>Nagy László</t>
  </si>
  <si>
    <t>Orosz Ákos</t>
  </si>
  <si>
    <t>Ruppert Tamás</t>
  </si>
  <si>
    <t>Zadravecz Renáta</t>
  </si>
  <si>
    <t>Vesz-Mont '2000 Szereléstechnikai és Gépipari Kft. (Nemesvámos)</t>
  </si>
  <si>
    <t>2020.01.01-2022.12.31</t>
  </si>
  <si>
    <t>Elszámolható költségek számlánkénti legkisebb (bruttó) összege 2000 Ft.</t>
  </si>
  <si>
    <t>Kizárólag az alapbér és személyi jellegű egyéb kifizetések számolhatók el. Keresetkiegészítés nem.</t>
  </si>
  <si>
    <t>Megbízási díj elszámolható.</t>
  </si>
  <si>
    <t>(Hónap)</t>
  </si>
  <si>
    <t xml:space="preserve"> (komp. nélkül)</t>
  </si>
  <si>
    <t>C011110000</t>
  </si>
  <si>
    <t>Technikus - Kísérleti fejlesztés</t>
  </si>
  <si>
    <t>Bér</t>
  </si>
  <si>
    <t>már lekerült a projektről, de továbbra is könyvelésre került</t>
  </si>
  <si>
    <t>Fejlesztő bér (AK)</t>
  </si>
  <si>
    <t>Fejlesztő bér (KF)</t>
  </si>
  <si>
    <t>Technikus/egyéb bér (AK)</t>
  </si>
  <si>
    <t>Technikus/egyéb bér (KF)</t>
  </si>
  <si>
    <t>2020.01</t>
  </si>
  <si>
    <t>2020.02</t>
  </si>
  <si>
    <t>2020.03</t>
  </si>
  <si>
    <t>2020.04</t>
  </si>
  <si>
    <t>2020.05</t>
  </si>
  <si>
    <t>2020.06</t>
  </si>
  <si>
    <t>2020.07</t>
  </si>
  <si>
    <t>2020.08</t>
  </si>
  <si>
    <t>2020.09</t>
  </si>
  <si>
    <t>2020.10</t>
  </si>
  <si>
    <t>2020.11</t>
  </si>
  <si>
    <t>C081100000</t>
  </si>
  <si>
    <t>C211100000</t>
  </si>
  <si>
    <t>C211110000</t>
  </si>
  <si>
    <t>C087400008</t>
  </si>
  <si>
    <t>C231110000</t>
  </si>
  <si>
    <t>C231100000</t>
  </si>
  <si>
    <t>K011110000</t>
  </si>
  <si>
    <t>PM</t>
  </si>
  <si>
    <t>MK</t>
  </si>
  <si>
    <t>Előlegek</t>
  </si>
  <si>
    <t>csak alapilletmény elszámolható</t>
  </si>
  <si>
    <t>Béni István</t>
  </si>
  <si>
    <t>Csontos Balázs</t>
  </si>
  <si>
    <t>Heckl István</t>
  </si>
  <si>
    <t>Kerstner Máté</t>
  </si>
  <si>
    <t>Többletfeladat</t>
  </si>
  <si>
    <t>Megbízási szerz.</t>
  </si>
  <si>
    <t>Telj. Ig</t>
  </si>
  <si>
    <t>Tarczali Tünde Tímea</t>
  </si>
  <si>
    <t>Fodor Fruzsina</t>
  </si>
  <si>
    <t>Leitold Adrienn</t>
  </si>
  <si>
    <t>E041100000</t>
  </si>
  <si>
    <t>Dávid Ákos</t>
  </si>
  <si>
    <t>E011100000</t>
  </si>
  <si>
    <t>Bertók-Kiss Judit</t>
  </si>
  <si>
    <t>Süle Péter</t>
  </si>
  <si>
    <t>Kiss Krisztián Attila</t>
  </si>
  <si>
    <t>2022.09.28</t>
  </si>
  <si>
    <t>2022.09.30</t>
  </si>
  <si>
    <t>Rádli Richárd Bence</t>
  </si>
  <si>
    <t>2023.01</t>
  </si>
  <si>
    <t>Kegyes Tamás</t>
  </si>
  <si>
    <t>Tran Tuan-Anh</t>
  </si>
  <si>
    <t>Tarcsay Bálint</t>
  </si>
  <si>
    <t>Ipkovich Ádám</t>
  </si>
  <si>
    <t>E021100000</t>
  </si>
  <si>
    <t>E021110000</t>
  </si>
  <si>
    <t>Dolgozó</t>
  </si>
  <si>
    <t>adóazonosító</t>
  </si>
  <si>
    <t>8433880187</t>
  </si>
  <si>
    <t>8399633682</t>
  </si>
  <si>
    <t>8350332492</t>
  </si>
  <si>
    <t>8477853010</t>
  </si>
  <si>
    <t>8433700847</t>
  </si>
  <si>
    <t>8403740913</t>
  </si>
  <si>
    <t>8479830956</t>
  </si>
  <si>
    <t>8438500706</t>
  </si>
  <si>
    <t>8400900790</t>
  </si>
  <si>
    <t>8486570808</t>
  </si>
  <si>
    <t>8419883549</t>
  </si>
  <si>
    <t>8469560212</t>
  </si>
  <si>
    <t>8395304986</t>
  </si>
  <si>
    <t>8389142244</t>
  </si>
  <si>
    <t>8404433356</t>
  </si>
  <si>
    <t>8456941492</t>
  </si>
  <si>
    <t>8433111051</t>
  </si>
  <si>
    <t>8452442041</t>
  </si>
  <si>
    <t>8406634006</t>
  </si>
  <si>
    <t>8452020228</t>
  </si>
  <si>
    <t>8463660355</t>
  </si>
  <si>
    <t>8445023675</t>
  </si>
  <si>
    <t>8428810354</t>
  </si>
  <si>
    <t>8413880491</t>
  </si>
  <si>
    <t>8403263651</t>
  </si>
  <si>
    <t>8408953524</t>
  </si>
  <si>
    <t>8344203074</t>
  </si>
  <si>
    <t>8469983482</t>
  </si>
  <si>
    <t>8459943798</t>
  </si>
  <si>
    <t>2023.02</t>
  </si>
  <si>
    <t>2023.03</t>
  </si>
  <si>
    <t>2023.04</t>
  </si>
  <si>
    <t>Név</t>
  </si>
  <si>
    <t>Adóazonosító jel</t>
  </si>
  <si>
    <t>Számfejtés</t>
  </si>
  <si>
    <t>Járulék</t>
  </si>
  <si>
    <t>Bertók-Kiss Judit Zsuzsanna</t>
  </si>
  <si>
    <t>Dr. Baumgartner János</t>
  </si>
  <si>
    <t>Dr. Bertók Ákos Botond</t>
  </si>
  <si>
    <t>Dr. Dávid Ákos</t>
  </si>
  <si>
    <t>Dr. Heckl István</t>
  </si>
  <si>
    <t>Dr. Leitold Adrien Ilona</t>
  </si>
  <si>
    <t>Dr. Medvegy Tibor</t>
  </si>
  <si>
    <t>Dr. Ruppert Tamás</t>
  </si>
  <si>
    <t>Dr. Süle Zoltán</t>
  </si>
  <si>
    <t>Dr. Tarczali Tünde Tímea</t>
  </si>
  <si>
    <t>Tarcsay Bálint Levente</t>
  </si>
  <si>
    <t>Tran Tuan Anh</t>
  </si>
  <si>
    <t>eltérés</t>
  </si>
  <si>
    <t>EGYEZIK</t>
  </si>
  <si>
    <t>HIBÁS</t>
  </si>
  <si>
    <t>Gadár László</t>
  </si>
  <si>
    <t>8408982311</t>
  </si>
  <si>
    <t>8392423828</t>
  </si>
  <si>
    <t>M211130000</t>
  </si>
  <si>
    <t>Pölösné Fischer Helga</t>
  </si>
  <si>
    <t>8397461884</t>
  </si>
  <si>
    <t>számfejtés</t>
  </si>
  <si>
    <t>terhelés</t>
  </si>
  <si>
    <t>fentiek könyvelve</t>
  </si>
  <si>
    <t>Dr. Abonyi János</t>
  </si>
  <si>
    <t>Eredetileg ennyi került könyvelésre.</t>
  </si>
  <si>
    <t>Terhelés</t>
  </si>
  <si>
    <t>Hónap</t>
  </si>
  <si>
    <t>Kihagyás</t>
  </si>
  <si>
    <t>Adóazonosító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</si>
</sst>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 #,##0.00\ &quot;Ft&quot;_-;\-* #,##0.00\ &quot;Ft&quot;_-;_-* &quot;-&quot;??\ &quot;Ft&quot;_-;_-@_-"/>
    <numFmt numFmtId="164" formatCode="_-* #,##0.00\ _F_t_-;\-* #,##0.00\ _F_t_-;_-* &quot;-&quot;??\ _F_t_-;_-@_-"/>
    <numFmt numFmtId="165" formatCode="_-* #,##0\ _F_t_-;\-* #,##0\ _F_t_-;_-* &quot;-&quot;??\ _F_t_-;_-@_-"/>
    <numFmt numFmtId="166" formatCode="#,##0\ &quot;Ft&quot;"/>
    <numFmt numFmtId="167" formatCode="#,##0_ ;[Red]\-#,##0\ "/>
    <numFmt numFmtId="168" formatCode="0.000%"/>
    <numFmt numFmtId="169" formatCode="_-* #,##0\ &quot;Ft&quot;_-;\-* #,##0\ &quot;Ft&quot;_-;_-* &quot;-&quot;??\ &quot;Ft&quot;_-;_-@_-"/>
    <numFmt numFmtId="170" formatCode="0.0%"/>
    <numFmt numFmtId="171" formatCode="_-* #,##0_-;\-* #,##0_-;_-* &quot;-&quot;??_-;_-@_-"/>
  </numFmts>
  <fonts count="61" x14ac:knownFonts="1">
    <font>
      <sz val="11"/>
      <color theme="1"/>
      <name val="Calibri"/>
      <family val="2"/>
      <charset val="238"/>
      <scheme val="minor"/>
    </font>
    <font>
      <sz val="11"/>
      <color indexed="8"/>
      <name val="Calibri"/>
      <family val="2"/>
      <charset val="238"/>
    </font>
    <font>
      <b/>
      <sz val="10"/>
      <name val="Times New Roman"/>
      <family val="1"/>
      <charset val="238"/>
    </font>
    <font>
      <sz val="10"/>
      <name val="Times New Roman"/>
      <family val="1"/>
      <charset val="238"/>
    </font>
    <font>
      <b/>
      <sz val="11"/>
      <color indexed="8"/>
      <name val="Calibri"/>
      <family val="2"/>
      <charset val="238"/>
    </font>
    <font>
      <sz val="10"/>
      <color indexed="8"/>
      <name val="Times New Roman"/>
      <family val="1"/>
      <charset val="238"/>
    </font>
    <font>
      <sz val="8"/>
      <name val="Calibri"/>
      <family val="2"/>
      <charset val="238"/>
    </font>
    <font>
      <sz val="11"/>
      <color indexed="8"/>
      <name val="Calibri"/>
      <family val="2"/>
      <charset val="238"/>
    </font>
    <font>
      <sz val="11"/>
      <name val="Calibri"/>
      <family val="2"/>
      <charset val="238"/>
    </font>
    <font>
      <b/>
      <sz val="14"/>
      <name val="Times New Roman"/>
      <family val="1"/>
      <charset val="238"/>
    </font>
    <font>
      <b/>
      <sz val="11"/>
      <name val="Times New Roman"/>
      <family val="1"/>
      <charset val="238"/>
    </font>
    <font>
      <sz val="11"/>
      <color theme="1"/>
      <name val="Calibri"/>
      <family val="2"/>
      <charset val="238"/>
      <scheme val="minor"/>
    </font>
    <font>
      <sz val="11"/>
      <color rgb="FF3F3F76"/>
      <name val="Calibri"/>
      <family val="2"/>
      <charset val="238"/>
      <scheme val="minor"/>
    </font>
    <font>
      <sz val="11"/>
      <name val="Calibri"/>
      <family val="2"/>
      <charset val="238"/>
      <scheme val="minor"/>
    </font>
    <font>
      <sz val="10"/>
      <name val="Arial"/>
      <family val="2"/>
      <charset val="238"/>
    </font>
    <font>
      <sz val="10"/>
      <name val="Arial"/>
      <family val="2"/>
      <charset val="238"/>
    </font>
    <font>
      <sz val="11"/>
      <color indexed="9"/>
      <name val="Calibri"/>
      <family val="2"/>
      <charset val="238"/>
    </font>
    <font>
      <sz val="11"/>
      <color indexed="62"/>
      <name val="Calibri"/>
      <family val="2"/>
      <charset val="238"/>
    </font>
    <font>
      <b/>
      <sz val="18"/>
      <color indexed="56"/>
      <name val="Cambria"/>
      <family val="2"/>
      <charset val="238"/>
    </font>
    <font>
      <b/>
      <sz val="15"/>
      <color indexed="56"/>
      <name val="Calibri"/>
      <family val="2"/>
      <charset val="238"/>
    </font>
    <font>
      <b/>
      <sz val="13"/>
      <color indexed="56"/>
      <name val="Calibri"/>
      <family val="2"/>
      <charset val="238"/>
    </font>
    <font>
      <b/>
      <sz val="11"/>
      <color indexed="56"/>
      <name val="Calibri"/>
      <family val="2"/>
      <charset val="238"/>
    </font>
    <font>
      <b/>
      <sz val="11"/>
      <color indexed="9"/>
      <name val="Calibri"/>
      <family val="2"/>
      <charset val="238"/>
    </font>
    <font>
      <sz val="11"/>
      <color indexed="10"/>
      <name val="Calibri"/>
      <family val="2"/>
      <charset val="238"/>
    </font>
    <font>
      <sz val="11"/>
      <color indexed="52"/>
      <name val="Calibri"/>
      <family val="2"/>
      <charset val="238"/>
    </font>
    <font>
      <sz val="11"/>
      <color indexed="17"/>
      <name val="Calibri"/>
      <family val="2"/>
      <charset val="238"/>
    </font>
    <font>
      <b/>
      <sz val="11"/>
      <color indexed="63"/>
      <name val="Calibri"/>
      <family val="2"/>
      <charset val="238"/>
    </font>
    <font>
      <i/>
      <sz val="11"/>
      <color indexed="23"/>
      <name val="Calibri"/>
      <family val="2"/>
      <charset val="238"/>
    </font>
    <font>
      <sz val="11"/>
      <color indexed="20"/>
      <name val="Calibri"/>
      <family val="2"/>
      <charset val="238"/>
    </font>
    <font>
      <sz val="11"/>
      <color indexed="60"/>
      <name val="Calibri"/>
      <family val="2"/>
      <charset val="238"/>
    </font>
    <font>
      <b/>
      <sz val="11"/>
      <color indexed="52"/>
      <name val="Calibri"/>
      <family val="2"/>
      <charset val="238"/>
    </font>
    <font>
      <sz val="11"/>
      <color rgb="FF000000"/>
      <name val="Calibri"/>
      <family val="2"/>
      <charset val="238"/>
    </font>
    <font>
      <u/>
      <sz val="10"/>
      <color theme="10"/>
      <name val="Arial"/>
      <family val="2"/>
      <charset val="238"/>
    </font>
    <font>
      <u/>
      <sz val="10"/>
      <color theme="11"/>
      <name val="Arial"/>
      <family val="2"/>
      <charset val="238"/>
    </font>
    <font>
      <sz val="12"/>
      <color theme="0"/>
      <name val="Calibri"/>
      <family val="2"/>
      <scheme val="minor"/>
    </font>
    <font>
      <b/>
      <sz val="11"/>
      <name val="Calibri"/>
      <family val="2"/>
      <charset val="238"/>
    </font>
    <font>
      <b/>
      <sz val="11"/>
      <color theme="1"/>
      <name val="Calibri"/>
      <family val="2"/>
      <charset val="238"/>
      <scheme val="minor"/>
    </font>
    <font>
      <sz val="10"/>
      <name val="Times New Roman"/>
      <family val="1"/>
      <charset val="238"/>
    </font>
    <font>
      <sz val="11"/>
      <name val="Times New Roman"/>
      <family val="1"/>
      <charset val="238"/>
    </font>
    <font>
      <sz val="11"/>
      <color rgb="FF000000"/>
      <name val="Calibri"/>
      <family val="2"/>
      <charset val="238"/>
    </font>
    <font>
      <sz val="14"/>
      <name val="Times New Roman"/>
      <family val="1"/>
      <charset val="238"/>
    </font>
    <font>
      <b/>
      <sz val="9"/>
      <color rgb="FFFF0000"/>
      <name val="Calibri"/>
      <family val="2"/>
      <charset val="238"/>
      <scheme val="minor"/>
    </font>
    <font>
      <b/>
      <sz val="11"/>
      <name val="Calibri"/>
      <family val="2"/>
      <charset val="238"/>
      <scheme val="minor"/>
    </font>
    <font>
      <sz val="10"/>
      <color rgb="FFFF0000"/>
      <name val="Times New Roman"/>
      <family val="1"/>
      <charset val="238"/>
    </font>
    <font>
      <b/>
      <sz val="11"/>
      <color rgb="FFFF0000"/>
      <name val="Calibri"/>
      <family val="2"/>
      <charset val="238"/>
      <scheme val="minor"/>
    </font>
    <font>
      <b/>
      <sz val="14"/>
      <color rgb="FFFF0000"/>
      <name val="Calibri"/>
      <family val="2"/>
      <charset val="238"/>
      <scheme val="minor"/>
    </font>
    <font>
      <b/>
      <sz val="10"/>
      <color indexed="8"/>
      <name val="Times New Roman"/>
      <family val="1"/>
      <charset val="238"/>
    </font>
    <font>
      <sz val="9"/>
      <color indexed="81"/>
      <name val="Tahoma"/>
      <family val="2"/>
      <charset val="238"/>
    </font>
    <font>
      <b/>
      <sz val="9"/>
      <color indexed="81"/>
      <name val="Tahoma"/>
      <family val="2"/>
      <charset val="238"/>
    </font>
    <font>
      <u/>
      <sz val="11"/>
      <color theme="1"/>
      <name val="Calibri"/>
      <family val="2"/>
      <charset val="238"/>
      <scheme val="minor"/>
    </font>
    <font>
      <b/>
      <sz val="11"/>
      <color rgb="FF000000"/>
      <name val="Calibri"/>
      <family val="2"/>
      <charset val="238"/>
    </font>
    <font>
      <b/>
      <sz val="9"/>
      <color indexed="81"/>
      <name val="Segoe UI"/>
      <family val="2"/>
      <charset val="238"/>
    </font>
    <font>
      <sz val="9"/>
      <color indexed="81"/>
      <name val="Segoe UI"/>
      <family val="2"/>
      <charset val="238"/>
    </font>
    <font>
      <sz val="8"/>
      <name val="Calibri"/>
      <family val="2"/>
      <charset val="238"/>
      <scheme val="minor"/>
    </font>
    <font>
      <sz val="11"/>
      <color rgb="FFFF0000"/>
      <name val="Calibri"/>
      <family val="2"/>
      <charset val="238"/>
      <scheme val="minor"/>
    </font>
    <font>
      <b/>
      <sz val="11"/>
      <color theme="1"/>
      <name val="Calibri"/>
      <family val="2"/>
      <scheme val="minor"/>
    </font>
    <font>
      <b/>
      <sz val="10"/>
      <color rgb="FF000000"/>
      <name val="Calibri"/>
      <family val="2"/>
      <charset val="238"/>
    </font>
    <font>
      <sz val="11"/>
      <color rgb="FF00B050"/>
      <name val="Calibri"/>
      <family val="2"/>
      <charset val="238"/>
    </font>
    <font>
      <sz val="11"/>
      <color rgb="FF00B050"/>
      <name val="Calibri"/>
      <family val="2"/>
      <charset val="238"/>
      <scheme val="minor"/>
    </font>
    <font>
      <sz val="9"/>
      <color indexed="81"/>
      <name val="Tahoma"/>
      <charset val="1"/>
    </font>
    <font>
      <b/>
      <sz val="9"/>
      <color indexed="81"/>
      <name val="Tahoma"/>
      <charset val="1"/>
    </font>
  </fonts>
  <fills count="46">
    <fill>
      <patternFill patternType="none"/>
    </fill>
    <fill>
      <patternFill patternType="gray125"/>
    </fill>
    <fill>
      <patternFill patternType="solid">
        <fgColor rgb="FFFFCC99"/>
      </patternFill>
    </fill>
    <fill>
      <patternFill patternType="solid">
        <fgColor rgb="FFFFFF00"/>
        <bgColor indexed="64"/>
      </patternFill>
    </fill>
    <fill>
      <patternFill patternType="solid">
        <fgColor theme="5"/>
      </patternFill>
    </fill>
    <fill>
      <patternFill patternType="solid">
        <fgColor theme="7" tint="0.59999389629810485"/>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55"/>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theme="8" tint="0.59999389629810485"/>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0"/>
        <bgColor indexed="64"/>
      </patternFill>
    </fill>
    <fill>
      <patternFill patternType="solid">
        <fgColor theme="0" tint="-0.14999847407452621"/>
        <bgColor indexed="64"/>
      </patternFill>
    </fill>
    <fill>
      <patternFill patternType="solid">
        <fgColor rgb="FFA1C8FB"/>
        <bgColor rgb="FF000000"/>
      </patternFill>
    </fill>
    <fill>
      <patternFill patternType="solid">
        <fgColor rgb="FFE6EDF7"/>
        <bgColor rgb="FF000000"/>
      </patternFill>
    </fill>
    <fill>
      <patternFill patternType="solid">
        <fgColor theme="4" tint="0.59999389629810485"/>
        <bgColor indexed="64"/>
      </patternFill>
    </fill>
    <fill>
      <patternFill patternType="solid">
        <fgColor indexed="55"/>
        <bgColor indexed="64"/>
      </patternFill>
    </fill>
    <fill>
      <patternFill patternType="solid">
        <fgColor rgb="FFFF0000"/>
        <bgColor indexed="64"/>
      </patternFill>
    </fill>
    <fill>
      <patternFill patternType="solid">
        <fgColor theme="9"/>
        <bgColor indexed="64"/>
      </patternFill>
    </fill>
    <fill>
      <patternFill patternType="solid">
        <fgColor rgb="FF92D050"/>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rgb="FF7F7F7F"/>
      </left>
      <right style="thin">
        <color rgb="FF7F7F7F"/>
      </right>
      <top style="thin">
        <color rgb="FF7F7F7F"/>
      </top>
      <bottom style="thin">
        <color rgb="FF7F7F7F"/>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diagonalUp="1">
      <left style="thin">
        <color indexed="64"/>
      </left>
      <right style="thin">
        <color indexed="64"/>
      </right>
      <top style="thin">
        <color indexed="64"/>
      </top>
      <bottom style="thin">
        <color indexed="64"/>
      </bottom>
      <diagonal style="thin">
        <color indexed="64"/>
      </diagonal>
    </border>
    <border>
      <left style="thin">
        <color indexed="64"/>
      </left>
      <right style="thin">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diagonalUp="1">
      <left/>
      <right style="thin">
        <color indexed="64"/>
      </right>
      <top style="thin">
        <color indexed="64"/>
      </top>
      <bottom style="thin">
        <color indexed="64"/>
      </bottom>
      <diagonal style="thin">
        <color indexed="64"/>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diagonalUp="1">
      <left style="thin">
        <color indexed="64"/>
      </left>
      <right style="medium">
        <color indexed="64"/>
      </right>
      <top style="thin">
        <color indexed="64"/>
      </top>
      <bottom style="thin">
        <color indexed="64"/>
      </bottom>
      <diagonal style="thin">
        <color indexed="64"/>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bottom style="thin">
        <color indexed="64"/>
      </bottom>
      <diagonal/>
    </border>
    <border>
      <left style="medium">
        <color indexed="64"/>
      </left>
      <right style="medium">
        <color indexed="64"/>
      </right>
      <top/>
      <bottom/>
      <diagonal/>
    </border>
    <border>
      <left/>
      <right/>
      <top/>
      <bottom style="thin">
        <color theme="4" tint="0.39997558519241921"/>
      </bottom>
      <diagonal/>
    </border>
  </borders>
  <cellStyleXfs count="147">
    <xf numFmtId="0" fontId="0" fillId="0" borderId="0"/>
    <xf numFmtId="0" fontId="12" fillId="2" borderId="8" applyNumberFormat="0" applyAlignment="0" applyProtection="0"/>
    <xf numFmtId="164" fontId="7" fillId="0" borderId="0" applyFont="0" applyFill="0" applyBorder="0" applyAlignment="0" applyProtection="0"/>
    <xf numFmtId="0" fontId="14" fillId="0" borderId="0"/>
    <xf numFmtId="0" fontId="15" fillId="0" borderId="0"/>
    <xf numFmtId="44"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9"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6" fillId="16"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9" borderId="0" applyNumberFormat="0" applyBorder="0" applyAlignment="0" applyProtection="0"/>
    <xf numFmtId="0" fontId="17" fillId="11" borderId="9" applyNumberFormat="0" applyAlignment="0" applyProtection="0"/>
    <xf numFmtId="0" fontId="18" fillId="0" borderId="0" applyNumberFormat="0" applyFill="0" applyBorder="0" applyAlignment="0" applyProtection="0"/>
    <xf numFmtId="0" fontId="19" fillId="0" borderId="10" applyNumberFormat="0" applyFill="0" applyAlignment="0" applyProtection="0"/>
    <xf numFmtId="0" fontId="20" fillId="0" borderId="11" applyNumberFormat="0" applyFill="0" applyAlignment="0" applyProtection="0"/>
    <xf numFmtId="0" fontId="21" fillId="0" borderId="12" applyNumberFormat="0" applyFill="0" applyAlignment="0" applyProtection="0"/>
    <xf numFmtId="0" fontId="21" fillId="0" borderId="0" applyNumberFormat="0" applyFill="0" applyBorder="0" applyAlignment="0" applyProtection="0"/>
    <xf numFmtId="0" fontId="22" fillId="20" borderId="13" applyNumberFormat="0" applyAlignment="0" applyProtection="0"/>
    <xf numFmtId="0" fontId="23" fillId="0" borderId="0" applyNumberFormat="0" applyFill="0" applyBorder="0" applyAlignment="0" applyProtection="0"/>
    <xf numFmtId="0" fontId="24" fillId="0" borderId="14" applyNumberFormat="0" applyFill="0" applyAlignment="0" applyProtection="0"/>
    <xf numFmtId="0" fontId="1" fillId="21" borderId="15" applyNumberFormat="0" applyFont="0" applyAlignment="0" applyProtection="0"/>
    <xf numFmtId="0" fontId="16" fillId="22" borderId="0" applyNumberFormat="0" applyBorder="0" applyAlignment="0" applyProtection="0"/>
    <xf numFmtId="0" fontId="16" fillId="23" borderId="0" applyNumberFormat="0" applyBorder="0" applyAlignment="0" applyProtection="0"/>
    <xf numFmtId="0" fontId="16" fillId="24"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25" borderId="0" applyNumberFormat="0" applyBorder="0" applyAlignment="0" applyProtection="0"/>
    <xf numFmtId="0" fontId="25" fillId="8" borderId="0" applyNumberFormat="0" applyBorder="0" applyAlignment="0" applyProtection="0"/>
    <xf numFmtId="0" fontId="26" fillId="26" borderId="16" applyNumberFormat="0" applyAlignment="0" applyProtection="0"/>
    <xf numFmtId="0" fontId="27" fillId="0" borderId="0" applyNumberFormat="0" applyFill="0" applyBorder="0" applyAlignment="0" applyProtection="0"/>
    <xf numFmtId="0" fontId="4" fillId="0" borderId="17" applyNumberFormat="0" applyFill="0" applyAlignment="0" applyProtection="0"/>
    <xf numFmtId="0" fontId="28" fillId="7" borderId="0" applyNumberFormat="0" applyBorder="0" applyAlignment="0" applyProtection="0"/>
    <xf numFmtId="0" fontId="29" fillId="27" borderId="0" applyNumberFormat="0" applyBorder="0" applyAlignment="0" applyProtection="0"/>
    <xf numFmtId="0" fontId="30" fillId="26" borderId="9" applyNumberFormat="0" applyAlignment="0" applyProtection="0"/>
    <xf numFmtId="44" fontId="15" fillId="0" borderId="0" applyFont="0" applyFill="0" applyBorder="0" applyAlignment="0" applyProtection="0"/>
    <xf numFmtId="9" fontId="15" fillId="0" borderId="0" applyFont="0" applyFill="0" applyBorder="0" applyAlignment="0" applyProtection="0"/>
    <xf numFmtId="0" fontId="11" fillId="0" borderId="0"/>
    <xf numFmtId="0" fontId="11" fillId="5" borderId="0" applyNumberFormat="0" applyBorder="0" applyAlignment="0" applyProtection="0"/>
    <xf numFmtId="0" fontId="11" fillId="0" borderId="0"/>
    <xf numFmtId="0" fontId="31" fillId="0" borderId="0"/>
    <xf numFmtId="0" fontId="17" fillId="11" borderId="9" applyNumberFormat="0" applyAlignment="0" applyProtection="0"/>
    <xf numFmtId="0" fontId="1" fillId="21" borderId="15" applyNumberFormat="0" applyFont="0" applyAlignment="0" applyProtection="0"/>
    <xf numFmtId="0" fontId="26" fillId="26" borderId="16" applyNumberFormat="0" applyAlignment="0" applyProtection="0"/>
    <xf numFmtId="0" fontId="4" fillId="0" borderId="17" applyNumberFormat="0" applyFill="0" applyAlignment="0" applyProtection="0"/>
    <xf numFmtId="0" fontId="30" fillId="26" borderId="9" applyNumberFormat="0" applyAlignment="0" applyProtection="0"/>
    <xf numFmtId="0" fontId="11" fillId="5" borderId="0" applyNumberFormat="0" applyBorder="0" applyAlignment="0" applyProtection="0"/>
    <xf numFmtId="0" fontId="11" fillId="0" borderId="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4" fillId="4" borderId="0" applyNumberFormat="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26" fillId="26" borderId="16" applyNumberFormat="0" applyAlignment="0" applyProtection="0"/>
    <xf numFmtId="0" fontId="1" fillId="21" borderId="15" applyNumberFormat="0" applyFont="0" applyAlignment="0" applyProtection="0"/>
    <xf numFmtId="0" fontId="4" fillId="0" borderId="17" applyNumberFormat="0" applyFill="0" applyAlignment="0" applyProtection="0"/>
    <xf numFmtId="0" fontId="26" fillId="26" borderId="16" applyNumberFormat="0" applyAlignment="0" applyProtection="0"/>
    <xf numFmtId="0" fontId="30" fillId="26" borderId="9" applyNumberFormat="0" applyAlignment="0" applyProtection="0"/>
    <xf numFmtId="0" fontId="4" fillId="0" borderId="17" applyNumberFormat="0" applyFill="0" applyAlignment="0" applyProtection="0"/>
    <xf numFmtId="0" fontId="26" fillId="26" borderId="16" applyNumberFormat="0" applyAlignment="0" applyProtection="0"/>
    <xf numFmtId="0" fontId="1" fillId="21" borderId="15" applyNumberFormat="0" applyFont="0" applyAlignment="0" applyProtection="0"/>
    <xf numFmtId="0" fontId="17" fillId="11" borderId="9" applyNumberFormat="0" applyAlignment="0" applyProtection="0"/>
    <xf numFmtId="0" fontId="1" fillId="21" borderId="15" applyNumberFormat="0" applyFont="0" applyAlignment="0" applyProtection="0"/>
    <xf numFmtId="0" fontId="1" fillId="21" borderId="15" applyNumberFormat="0" applyFont="0" applyAlignment="0" applyProtection="0"/>
    <xf numFmtId="0" fontId="17" fillId="11" borderId="9" applyNumberFormat="0" applyAlignment="0" applyProtection="0"/>
    <xf numFmtId="0" fontId="26" fillId="26" borderId="16" applyNumberFormat="0" applyAlignment="0" applyProtection="0"/>
    <xf numFmtId="0" fontId="4" fillId="0" borderId="17" applyNumberFormat="0" applyFill="0" applyAlignment="0" applyProtection="0"/>
    <xf numFmtId="0" fontId="30" fillId="26" borderId="9" applyNumberFormat="0" applyAlignment="0" applyProtection="0"/>
    <xf numFmtId="0" fontId="30" fillId="26" borderId="9" applyNumberFormat="0" applyAlignment="0" applyProtection="0"/>
    <xf numFmtId="0" fontId="17" fillId="11" borderId="9" applyNumberFormat="0" applyAlignment="0" applyProtection="0"/>
    <xf numFmtId="0" fontId="11" fillId="0" borderId="0"/>
    <xf numFmtId="0" fontId="11" fillId="5" borderId="0" applyNumberFormat="0" applyBorder="0" applyAlignment="0" applyProtection="0"/>
    <xf numFmtId="0" fontId="11" fillId="0" borderId="0"/>
    <xf numFmtId="0" fontId="11" fillId="5" borderId="0" applyNumberFormat="0" applyBorder="0" applyAlignment="0" applyProtection="0"/>
    <xf numFmtId="0" fontId="11" fillId="0" borderId="0"/>
    <xf numFmtId="0" fontId="26" fillId="26" borderId="16" applyNumberFormat="0" applyAlignment="0" applyProtection="0"/>
    <xf numFmtId="0" fontId="1" fillId="21" borderId="15" applyNumberFormat="0" applyFont="0" applyAlignment="0" applyProtection="0"/>
    <xf numFmtId="0" fontId="17" fillId="11" borderId="9" applyNumberFormat="0" applyAlignment="0" applyProtection="0"/>
    <xf numFmtId="0" fontId="30" fillId="26" borderId="9" applyNumberFormat="0" applyAlignment="0" applyProtection="0"/>
    <xf numFmtId="0" fontId="30" fillId="26" borderId="9" applyNumberFormat="0" applyAlignment="0" applyProtection="0"/>
    <xf numFmtId="0" fontId="4" fillId="0" borderId="17" applyNumberFormat="0" applyFill="0" applyAlignment="0" applyProtection="0"/>
    <xf numFmtId="0" fontId="17" fillId="11" borderId="9" applyNumberFormat="0" applyAlignment="0" applyProtection="0"/>
    <xf numFmtId="0" fontId="30" fillId="26" borderId="9" applyNumberFormat="0" applyAlignment="0" applyProtection="0"/>
    <xf numFmtId="0" fontId="4" fillId="0" borderId="17" applyNumberFormat="0" applyFill="0" applyAlignment="0" applyProtection="0"/>
    <xf numFmtId="0" fontId="4" fillId="0" borderId="17" applyNumberFormat="0" applyFill="0" applyAlignment="0" applyProtection="0"/>
    <xf numFmtId="0" fontId="26" fillId="26" borderId="16" applyNumberFormat="0" applyAlignment="0" applyProtection="0"/>
    <xf numFmtId="0" fontId="1" fillId="21" borderId="15" applyNumberFormat="0" applyFont="0" applyAlignment="0" applyProtection="0"/>
    <xf numFmtId="0" fontId="17" fillId="11" borderId="9" applyNumberFormat="0" applyAlignment="0" applyProtection="0"/>
    <xf numFmtId="0" fontId="30" fillId="26" borderId="9" applyNumberFormat="0" applyAlignment="0" applyProtection="0"/>
    <xf numFmtId="0" fontId="4" fillId="0" borderId="17" applyNumberFormat="0" applyFill="0" applyAlignment="0" applyProtection="0"/>
    <xf numFmtId="0" fontId="26" fillId="26" borderId="16" applyNumberFormat="0" applyAlignment="0" applyProtection="0"/>
    <xf numFmtId="0" fontId="1" fillId="21" borderId="15" applyNumberFormat="0" applyFont="0" applyAlignment="0" applyProtection="0"/>
    <xf numFmtId="0" fontId="17" fillId="11" borderId="9" applyNumberFormat="0" applyAlignment="0" applyProtection="0"/>
    <xf numFmtId="9" fontId="11" fillId="0" borderId="0" applyFont="0" applyFill="0" applyBorder="0" applyAlignment="0" applyProtection="0"/>
    <xf numFmtId="164" fontId="11" fillId="0" borderId="0" applyFont="0" applyFill="0" applyBorder="0" applyAlignment="0" applyProtection="0"/>
    <xf numFmtId="0" fontId="31" fillId="0" borderId="0"/>
    <xf numFmtId="164" fontId="11" fillId="0" borderId="0" applyFont="0" applyFill="0" applyBorder="0" applyAlignment="0" applyProtection="0"/>
    <xf numFmtId="164" fontId="31" fillId="0" borderId="0" applyFont="0" applyFill="0" applyBorder="0" applyAlignment="0" applyProtection="0"/>
    <xf numFmtId="0" fontId="37" fillId="0" borderId="0"/>
    <xf numFmtId="164" fontId="3" fillId="0" borderId="0" applyFont="0" applyFill="0" applyBorder="0" applyAlignment="0" applyProtection="0"/>
    <xf numFmtId="0" fontId="39" fillId="0" borderId="0"/>
    <xf numFmtId="44" fontId="11" fillId="0" borderId="0" applyFont="0" applyFill="0" applyBorder="0" applyAlignment="0" applyProtection="0"/>
  </cellStyleXfs>
  <cellXfs count="237">
    <xf numFmtId="0" fontId="0" fillId="0" borderId="0" xfId="0"/>
    <xf numFmtId="0" fontId="3" fillId="3" borderId="1" xfId="0" applyFont="1" applyFill="1" applyBorder="1" applyAlignment="1">
      <alignment horizontal="left"/>
    </xf>
    <xf numFmtId="49" fontId="0" fillId="0" borderId="0" xfId="0" applyNumberFormat="1"/>
    <xf numFmtId="0" fontId="13" fillId="0" borderId="0" xfId="0" applyFont="1"/>
    <xf numFmtId="0" fontId="0" fillId="0" borderId="0" xfId="0" applyAlignment="1">
      <alignment horizontal="center"/>
    </xf>
    <xf numFmtId="0" fontId="0" fillId="0" borderId="0" xfId="0" applyAlignment="1">
      <alignment vertical="center"/>
    </xf>
    <xf numFmtId="0" fontId="9" fillId="0" borderId="0" xfId="0" applyFont="1" applyAlignment="1">
      <alignment horizontal="center" vertical="center" wrapText="1"/>
    </xf>
    <xf numFmtId="10" fontId="8" fillId="0" borderId="1" xfId="0" applyNumberFormat="1" applyFont="1" applyBorder="1" applyAlignment="1">
      <alignment horizontal="center" wrapText="1"/>
    </xf>
    <xf numFmtId="167" fontId="13" fillId="0" borderId="0" xfId="0" applyNumberFormat="1" applyFont="1"/>
    <xf numFmtId="167" fontId="13" fillId="3" borderId="1" xfId="0" applyNumberFormat="1" applyFont="1" applyFill="1" applyBorder="1"/>
    <xf numFmtId="167" fontId="13" fillId="0" borderId="1" xfId="0" applyNumberFormat="1" applyFont="1" applyBorder="1"/>
    <xf numFmtId="3" fontId="0" fillId="0" borderId="0" xfId="0" applyNumberFormat="1"/>
    <xf numFmtId="0" fontId="13" fillId="0" borderId="1" xfId="0" applyFont="1" applyBorder="1" applyAlignment="1">
      <alignment horizontal="center"/>
    </xf>
    <xf numFmtId="3" fontId="41" fillId="0" borderId="0" xfId="0" applyNumberFormat="1" applyFont="1"/>
    <xf numFmtId="9" fontId="8" fillId="0" borderId="1" xfId="0" applyNumberFormat="1" applyFont="1" applyBorder="1" applyAlignment="1">
      <alignment horizontal="center" wrapText="1"/>
    </xf>
    <xf numFmtId="49" fontId="0" fillId="0" borderId="0" xfId="0" applyNumberFormat="1" applyAlignment="1">
      <alignment horizontal="center"/>
    </xf>
    <xf numFmtId="10" fontId="13" fillId="0" borderId="18" xfId="0" applyNumberFormat="1" applyFont="1" applyBorder="1" applyAlignment="1">
      <alignment horizontal="center" wrapText="1"/>
    </xf>
    <xf numFmtId="14" fontId="13" fillId="0" borderId="1" xfId="0" applyNumberFormat="1" applyFont="1" applyBorder="1" applyAlignment="1">
      <alignment horizontal="center"/>
    </xf>
    <xf numFmtId="0" fontId="13" fillId="0" borderId="0" xfId="0" applyFont="1" applyAlignment="1">
      <alignment horizontal="center"/>
    </xf>
    <xf numFmtId="0" fontId="13" fillId="31" borderId="1" xfId="0" applyFont="1" applyFill="1" applyBorder="1" applyAlignment="1">
      <alignment horizontal="center"/>
    </xf>
    <xf numFmtId="3" fontId="3" fillId="3" borderId="1" xfId="0" applyNumberFormat="1" applyFont="1" applyFill="1" applyBorder="1" applyAlignment="1">
      <alignment vertical="center" wrapText="1"/>
    </xf>
    <xf numFmtId="167" fontId="2" fillId="0" borderId="1" xfId="0" applyNumberFormat="1" applyFont="1" applyBorder="1" applyAlignment="1">
      <alignment horizontal="center" vertical="center" wrapText="1"/>
    </xf>
    <xf numFmtId="0" fontId="43" fillId="0" borderId="0" xfId="0" applyFont="1" applyAlignment="1">
      <alignment horizontal="left" vertical="center"/>
    </xf>
    <xf numFmtId="3" fontId="44" fillId="0" borderId="0" xfId="0" applyNumberFormat="1" applyFont="1" applyAlignment="1">
      <alignment horizontal="center"/>
    </xf>
    <xf numFmtId="10" fontId="0" fillId="0" borderId="0" xfId="0" applyNumberFormat="1" applyAlignment="1">
      <alignment horizontal="center"/>
    </xf>
    <xf numFmtId="0" fontId="5" fillId="34" borderId="7" xfId="0" applyFont="1" applyFill="1" applyBorder="1" applyAlignment="1">
      <alignment horizontal="center" vertical="center" wrapText="1"/>
    </xf>
    <xf numFmtId="0" fontId="5" fillId="34" borderId="2" xfId="0" applyFont="1" applyFill="1" applyBorder="1" applyAlignment="1">
      <alignment horizontal="center" vertical="center" wrapText="1"/>
    </xf>
    <xf numFmtId="0" fontId="5" fillId="34" borderId="3" xfId="0" applyFont="1" applyFill="1" applyBorder="1" applyAlignment="1">
      <alignment horizontal="center" vertical="center" wrapText="1"/>
    </xf>
    <xf numFmtId="0" fontId="3" fillId="34" borderId="7" xfId="0" applyFont="1" applyFill="1" applyBorder="1" applyAlignment="1">
      <alignment horizontal="center" vertical="center" wrapText="1"/>
    </xf>
    <xf numFmtId="0" fontId="3" fillId="34" borderId="2" xfId="0" applyFont="1" applyFill="1" applyBorder="1" applyAlignment="1">
      <alignment horizontal="center" vertical="center" wrapText="1"/>
    </xf>
    <xf numFmtId="0" fontId="3" fillId="34" borderId="3" xfId="0" applyFont="1" applyFill="1" applyBorder="1" applyAlignment="1">
      <alignment horizontal="center" vertical="center" wrapText="1"/>
    </xf>
    <xf numFmtId="0" fontId="5" fillId="36" borderId="5" xfId="0" applyFont="1" applyFill="1" applyBorder="1" applyAlignment="1">
      <alignment horizontal="center" vertical="center" wrapText="1"/>
    </xf>
    <xf numFmtId="0" fontId="5" fillId="36" borderId="6" xfId="0" applyFont="1" applyFill="1" applyBorder="1" applyAlignment="1">
      <alignment horizontal="center" vertical="center" wrapText="1"/>
    </xf>
    <xf numFmtId="3" fontId="13" fillId="32" borderId="1" xfId="0" applyNumberFormat="1" applyFont="1" applyFill="1" applyBorder="1"/>
    <xf numFmtId="0" fontId="3" fillId="3" borderId="1" xfId="0" applyFont="1" applyFill="1" applyBorder="1" applyAlignment="1">
      <alignment horizontal="center"/>
    </xf>
    <xf numFmtId="0" fontId="0" fillId="0" borderId="1" xfId="0" applyBorder="1" applyAlignment="1">
      <alignment horizontal="center"/>
    </xf>
    <xf numFmtId="165" fontId="0" fillId="0" borderId="0" xfId="2" applyNumberFormat="1" applyFont="1" applyAlignment="1">
      <alignment horizontal="center"/>
    </xf>
    <xf numFmtId="165" fontId="0" fillId="0" borderId="0" xfId="2" applyNumberFormat="1" applyFont="1"/>
    <xf numFmtId="165" fontId="0" fillId="0" borderId="0" xfId="2" applyNumberFormat="1" applyFont="1" applyAlignment="1">
      <alignment horizontal="center" vertical="center"/>
    </xf>
    <xf numFmtId="14" fontId="0" fillId="0" borderId="0" xfId="2" applyNumberFormat="1" applyFont="1" applyAlignment="1">
      <alignment horizontal="center"/>
    </xf>
    <xf numFmtId="165" fontId="36" fillId="0" borderId="0" xfId="2" applyNumberFormat="1" applyFont="1" applyAlignment="1">
      <alignment horizontal="center"/>
    </xf>
    <xf numFmtId="17" fontId="0" fillId="0" borderId="0" xfId="0" quotePrefix="1" applyNumberFormat="1"/>
    <xf numFmtId="0" fontId="0" fillId="0" borderId="0" xfId="0" quotePrefix="1"/>
    <xf numFmtId="0" fontId="36" fillId="33" borderId="20" xfId="0" applyFont="1" applyFill="1" applyBorder="1" applyAlignment="1">
      <alignment horizontal="left"/>
    </xf>
    <xf numFmtId="0" fontId="0" fillId="33" borderId="21" xfId="0" applyFill="1" applyBorder="1" applyAlignment="1">
      <alignment horizontal="center"/>
    </xf>
    <xf numFmtId="167" fontId="13" fillId="33" borderId="21" xfId="0" applyNumberFormat="1" applyFont="1" applyFill="1" applyBorder="1"/>
    <xf numFmtId="167" fontId="13" fillId="33" borderId="22" xfId="0" applyNumberFormat="1" applyFont="1" applyFill="1" applyBorder="1"/>
    <xf numFmtId="167" fontId="2" fillId="0" borderId="23" xfId="0" applyNumberFormat="1" applyFont="1" applyBorder="1" applyAlignment="1">
      <alignment horizontal="center" vertical="center" wrapText="1"/>
    </xf>
    <xf numFmtId="167" fontId="2" fillId="0" borderId="24" xfId="0" applyNumberFormat="1" applyFont="1" applyBorder="1" applyAlignment="1">
      <alignment horizontal="center" vertical="center" wrapText="1"/>
    </xf>
    <xf numFmtId="0" fontId="3" fillId="3" borderId="23" xfId="0" applyFont="1" applyFill="1" applyBorder="1" applyAlignment="1">
      <alignment horizontal="center"/>
    </xf>
    <xf numFmtId="0" fontId="3" fillId="3" borderId="24" xfId="0" applyFont="1" applyFill="1" applyBorder="1" applyAlignment="1">
      <alignment horizontal="left"/>
    </xf>
    <xf numFmtId="0" fontId="0" fillId="0" borderId="23" xfId="0" applyBorder="1" applyAlignment="1">
      <alignment horizontal="center"/>
    </xf>
    <xf numFmtId="167" fontId="13" fillId="0" borderId="24" xfId="0" applyNumberFormat="1" applyFont="1" applyBorder="1"/>
    <xf numFmtId="9" fontId="0" fillId="0" borderId="0" xfId="0" applyNumberFormat="1" applyAlignment="1">
      <alignment horizontal="center"/>
    </xf>
    <xf numFmtId="9" fontId="5" fillId="35" borderId="4" xfId="0" applyNumberFormat="1" applyFont="1" applyFill="1" applyBorder="1" applyAlignment="1">
      <alignment horizontal="center" vertical="center"/>
    </xf>
    <xf numFmtId="9" fontId="5" fillId="35" borderId="5" xfId="0" applyNumberFormat="1" applyFont="1" applyFill="1" applyBorder="1" applyAlignment="1">
      <alignment horizontal="center" vertical="center" wrapText="1"/>
    </xf>
    <xf numFmtId="9" fontId="5" fillId="35" borderId="6" xfId="0" applyNumberFormat="1" applyFont="1" applyFill="1" applyBorder="1" applyAlignment="1">
      <alignment horizontal="center" vertical="center" wrapText="1"/>
    </xf>
    <xf numFmtId="9" fontId="13" fillId="0" borderId="6" xfId="0" applyNumberFormat="1" applyFont="1" applyBorder="1" applyAlignment="1">
      <alignment horizontal="center"/>
    </xf>
    <xf numFmtId="9" fontId="13" fillId="0" borderId="1" xfId="0" applyNumberFormat="1" applyFont="1" applyBorder="1" applyAlignment="1">
      <alignment horizontal="center" wrapText="1"/>
    </xf>
    <xf numFmtId="9" fontId="13" fillId="31" borderId="1" xfId="0" applyNumberFormat="1" applyFont="1" applyFill="1" applyBorder="1" applyAlignment="1">
      <alignment horizontal="center" wrapText="1"/>
    </xf>
    <xf numFmtId="9" fontId="13" fillId="0" borderId="18" xfId="0" applyNumberFormat="1" applyFont="1" applyBorder="1" applyAlignment="1">
      <alignment horizontal="center" wrapText="1"/>
    </xf>
    <xf numFmtId="0" fontId="40" fillId="0" borderId="0" xfId="0" applyFont="1" applyAlignment="1">
      <alignment horizontal="center" vertical="center" wrapText="1"/>
    </xf>
    <xf numFmtId="0" fontId="0" fillId="0" borderId="33" xfId="0" applyBorder="1" applyAlignment="1">
      <alignment vertical="center"/>
    </xf>
    <xf numFmtId="0" fontId="0" fillId="0" borderId="34" xfId="0" applyBorder="1" applyAlignment="1">
      <alignment vertical="center"/>
    </xf>
    <xf numFmtId="0" fontId="0" fillId="37" borderId="35" xfId="0" applyFill="1" applyBorder="1"/>
    <xf numFmtId="0" fontId="0" fillId="37" borderId="33" xfId="0" applyFill="1" applyBorder="1"/>
    <xf numFmtId="0" fontId="0" fillId="37" borderId="34" xfId="0" applyFill="1" applyBorder="1"/>
    <xf numFmtId="3" fontId="3" fillId="28" borderId="7" xfId="0" applyNumberFormat="1" applyFont="1" applyFill="1" applyBorder="1" applyAlignment="1">
      <alignment horizontal="center" vertical="center"/>
    </xf>
    <xf numFmtId="3" fontId="3" fillId="28" borderId="2" xfId="0" applyNumberFormat="1" applyFont="1" applyFill="1" applyBorder="1" applyAlignment="1">
      <alignment horizontal="center" vertical="center"/>
    </xf>
    <xf numFmtId="3" fontId="3" fillId="28" borderId="3" xfId="0" applyNumberFormat="1" applyFont="1" applyFill="1" applyBorder="1" applyAlignment="1">
      <alignment horizontal="center" vertical="center"/>
    </xf>
    <xf numFmtId="10" fontId="13" fillId="0" borderId="31" xfId="138" applyNumberFormat="1" applyFont="1" applyFill="1" applyBorder="1" applyAlignment="1">
      <alignment horizontal="center" wrapText="1"/>
    </xf>
    <xf numFmtId="2" fontId="13" fillId="31" borderId="31" xfId="0" applyNumberFormat="1" applyFont="1" applyFill="1" applyBorder="1" applyAlignment="1">
      <alignment horizontal="center" wrapText="1"/>
    </xf>
    <xf numFmtId="2" fontId="13" fillId="0" borderId="31" xfId="0" applyNumberFormat="1" applyFont="1" applyBorder="1" applyAlignment="1">
      <alignment horizontal="center" wrapText="1"/>
    </xf>
    <xf numFmtId="2" fontId="13" fillId="0" borderId="32" xfId="138" applyNumberFormat="1" applyFont="1" applyFill="1" applyBorder="1" applyAlignment="1">
      <alignment horizontal="center" wrapText="1"/>
    </xf>
    <xf numFmtId="10" fontId="8" fillId="0" borderId="31" xfId="0" applyNumberFormat="1" applyFont="1" applyBorder="1" applyAlignment="1">
      <alignment horizontal="center" wrapText="1"/>
    </xf>
    <xf numFmtId="3" fontId="2" fillId="37" borderId="36" xfId="0" applyNumberFormat="1" applyFont="1" applyFill="1" applyBorder="1" applyAlignment="1">
      <alignment horizontal="center" vertical="center"/>
    </xf>
    <xf numFmtId="3" fontId="2" fillId="37" borderId="37" xfId="0" applyNumberFormat="1" applyFont="1" applyFill="1" applyBorder="1" applyAlignment="1">
      <alignment horizontal="center" vertical="center"/>
    </xf>
    <xf numFmtId="3" fontId="2" fillId="37" borderId="23" xfId="0" applyNumberFormat="1" applyFont="1" applyFill="1" applyBorder="1" applyAlignment="1">
      <alignment horizontal="center" vertical="center"/>
    </xf>
    <xf numFmtId="3" fontId="2" fillId="37" borderId="1" xfId="0" applyNumberFormat="1" applyFont="1" applyFill="1" applyBorder="1" applyAlignment="1">
      <alignment horizontal="center" vertical="center"/>
    </xf>
    <xf numFmtId="3" fontId="2" fillId="37" borderId="25" xfId="0" applyNumberFormat="1" applyFont="1" applyFill="1" applyBorder="1" applyAlignment="1">
      <alignment horizontal="center" vertical="center"/>
    </xf>
    <xf numFmtId="3" fontId="2" fillId="37" borderId="26" xfId="0" applyNumberFormat="1" applyFont="1" applyFill="1" applyBorder="1" applyAlignment="1">
      <alignment horizontal="center" vertical="center"/>
    </xf>
    <xf numFmtId="3" fontId="2" fillId="37" borderId="26" xfId="0" applyNumberFormat="1" applyFont="1" applyFill="1" applyBorder="1" applyAlignment="1">
      <alignment horizontal="center" vertical="center" wrapText="1"/>
    </xf>
    <xf numFmtId="3" fontId="2" fillId="0" borderId="1" xfId="0" applyNumberFormat="1" applyFont="1" applyBorder="1" applyAlignment="1">
      <alignment horizontal="center" vertical="center" wrapText="1"/>
    </xf>
    <xf numFmtId="0" fontId="0" fillId="29" borderId="42" xfId="0" applyFill="1" applyBorder="1"/>
    <xf numFmtId="0" fontId="0" fillId="29" borderId="41" xfId="0" applyFill="1" applyBorder="1"/>
    <xf numFmtId="169" fontId="13" fillId="29" borderId="41" xfId="146" applyNumberFormat="1" applyFont="1" applyFill="1" applyBorder="1"/>
    <xf numFmtId="169" fontId="36" fillId="30" borderId="41" xfId="146" applyNumberFormat="1" applyFont="1" applyFill="1" applyBorder="1" applyAlignment="1">
      <alignment vertical="center"/>
    </xf>
    <xf numFmtId="0" fontId="38" fillId="31" borderId="1" xfId="0" applyFont="1" applyFill="1" applyBorder="1"/>
    <xf numFmtId="3" fontId="38" fillId="31" borderId="1" xfId="1" applyNumberFormat="1" applyFont="1" applyFill="1" applyBorder="1" applyAlignment="1" applyProtection="1">
      <alignment horizontal="center" wrapText="1"/>
      <protection locked="0"/>
    </xf>
    <xf numFmtId="3" fontId="3" fillId="31" borderId="1" xfId="0" applyNumberFormat="1" applyFont="1" applyFill="1" applyBorder="1" applyAlignment="1">
      <alignment horizontal="left"/>
    </xf>
    <xf numFmtId="3" fontId="38" fillId="31" borderId="1" xfId="0" applyNumberFormat="1" applyFont="1" applyFill="1" applyBorder="1" applyAlignment="1">
      <alignment horizontal="left"/>
    </xf>
    <xf numFmtId="3" fontId="13" fillId="31" borderId="1" xfId="0" applyNumberFormat="1" applyFont="1" applyFill="1" applyBorder="1" applyAlignment="1">
      <alignment wrapText="1"/>
    </xf>
    <xf numFmtId="0" fontId="13" fillId="31" borderId="1" xfId="0" applyFont="1" applyFill="1" applyBorder="1" applyAlignment="1">
      <alignment horizontal="center" wrapText="1"/>
    </xf>
    <xf numFmtId="166" fontId="42" fillId="31" borderId="1" xfId="0" applyNumberFormat="1" applyFont="1" applyFill="1" applyBorder="1" applyAlignment="1">
      <alignment wrapText="1"/>
    </xf>
    <xf numFmtId="166" fontId="42" fillId="31" borderId="24" xfId="0" applyNumberFormat="1" applyFont="1" applyFill="1" applyBorder="1" applyAlignment="1">
      <alignment wrapText="1"/>
    </xf>
    <xf numFmtId="3" fontId="38" fillId="0" borderId="6" xfId="1" applyNumberFormat="1" applyFont="1" applyFill="1" applyBorder="1" applyAlignment="1" applyProtection="1">
      <alignment horizontal="center" wrapText="1"/>
      <protection locked="0"/>
    </xf>
    <xf numFmtId="0" fontId="38" fillId="0" borderId="6" xfId="0" applyFont="1" applyBorder="1"/>
    <xf numFmtId="3" fontId="13" fillId="0" borderId="6" xfId="0" applyNumberFormat="1" applyFont="1" applyBorder="1" applyAlignment="1">
      <alignment wrapText="1"/>
    </xf>
    <xf numFmtId="166" fontId="42" fillId="0" borderId="28" xfId="0" applyNumberFormat="1" applyFont="1" applyBorder="1" applyAlignment="1">
      <alignment wrapText="1"/>
    </xf>
    <xf numFmtId="0" fontId="38" fillId="0" borderId="1" xfId="0" applyFont="1" applyBorder="1"/>
    <xf numFmtId="3" fontId="38" fillId="0" borderId="1" xfId="1" applyNumberFormat="1" applyFont="1" applyFill="1" applyBorder="1" applyAlignment="1" applyProtection="1">
      <alignment horizontal="center" wrapText="1"/>
      <protection locked="0"/>
    </xf>
    <xf numFmtId="3" fontId="38" fillId="0" borderId="1" xfId="0" applyNumberFormat="1" applyFont="1" applyBorder="1" applyAlignment="1">
      <alignment horizontal="left"/>
    </xf>
    <xf numFmtId="3" fontId="13" fillId="0" borderId="1" xfId="1" applyNumberFormat="1" applyFont="1" applyFill="1" applyBorder="1" applyAlignment="1" applyProtection="1">
      <alignment wrapText="1"/>
      <protection locked="0"/>
    </xf>
    <xf numFmtId="3" fontId="13" fillId="0" borderId="1" xfId="0" applyNumberFormat="1" applyFont="1" applyBorder="1" applyAlignment="1">
      <alignment wrapText="1"/>
    </xf>
    <xf numFmtId="0" fontId="13" fillId="0" borderId="1" xfId="0" applyFont="1" applyBorder="1" applyAlignment="1">
      <alignment horizontal="center" wrapText="1"/>
    </xf>
    <xf numFmtId="166" fontId="42" fillId="0" borderId="1" xfId="0" applyNumberFormat="1" applyFont="1" applyBorder="1" applyAlignment="1">
      <alignment wrapText="1"/>
    </xf>
    <xf numFmtId="166" fontId="42" fillId="0" borderId="24" xfId="0" applyNumberFormat="1" applyFont="1" applyBorder="1" applyAlignment="1">
      <alignment wrapText="1"/>
    </xf>
    <xf numFmtId="3" fontId="3" fillId="0" borderId="1" xfId="0" applyNumberFormat="1" applyFont="1" applyBorder="1" applyAlignment="1">
      <alignment horizontal="left"/>
    </xf>
    <xf numFmtId="0" fontId="38" fillId="0" borderId="18" xfId="0" applyFont="1" applyBorder="1"/>
    <xf numFmtId="3" fontId="38" fillId="0" borderId="18" xfId="1" applyNumberFormat="1" applyFont="1" applyFill="1" applyBorder="1" applyAlignment="1" applyProtection="1">
      <alignment horizontal="center" wrapText="1"/>
      <protection locked="0"/>
    </xf>
    <xf numFmtId="3" fontId="38" fillId="0" borderId="18" xfId="1" applyNumberFormat="1" applyFont="1" applyFill="1" applyBorder="1" applyAlignment="1" applyProtection="1">
      <alignment wrapText="1"/>
      <protection locked="0"/>
    </xf>
    <xf numFmtId="3" fontId="13" fillId="0" borderId="18" xfId="2" applyNumberFormat="1" applyFont="1" applyFill="1" applyBorder="1" applyAlignment="1">
      <alignment wrapText="1"/>
    </xf>
    <xf numFmtId="0" fontId="13" fillId="0" borderId="18" xfId="0" applyFont="1" applyBorder="1" applyAlignment="1">
      <alignment horizontal="center" wrapText="1"/>
    </xf>
    <xf numFmtId="166" fontId="42" fillId="0" borderId="18" xfId="0" applyNumberFormat="1" applyFont="1" applyBorder="1" applyAlignment="1">
      <alignment wrapText="1"/>
    </xf>
    <xf numFmtId="166" fontId="42" fillId="0" borderId="39" xfId="0" applyNumberFormat="1" applyFont="1" applyBorder="1" applyAlignment="1">
      <alignment wrapText="1"/>
    </xf>
    <xf numFmtId="0" fontId="10" fillId="0" borderId="26" xfId="0" applyFont="1" applyBorder="1"/>
    <xf numFmtId="3" fontId="13" fillId="0" borderId="26" xfId="1" applyNumberFormat="1" applyFont="1" applyFill="1" applyBorder="1" applyAlignment="1" applyProtection="1">
      <alignment wrapText="1"/>
      <protection locked="0"/>
    </xf>
    <xf numFmtId="3" fontId="13" fillId="0" borderId="26" xfId="1" applyNumberFormat="1" applyFont="1" applyFill="1" applyBorder="1" applyAlignment="1" applyProtection="1">
      <alignment horizontal="center" wrapText="1"/>
      <protection locked="0"/>
    </xf>
    <xf numFmtId="0" fontId="13" fillId="0" borderId="26" xfId="0" applyFont="1" applyBorder="1"/>
    <xf numFmtId="3" fontId="8" fillId="0" borderId="26" xfId="0" applyNumberFormat="1" applyFont="1" applyBorder="1" applyAlignment="1">
      <alignment wrapText="1"/>
    </xf>
    <xf numFmtId="9" fontId="8" fillId="0" borderId="26" xfId="0" applyNumberFormat="1" applyFont="1" applyBorder="1" applyAlignment="1">
      <alignment horizontal="center" wrapText="1"/>
    </xf>
    <xf numFmtId="0" fontId="8" fillId="0" borderId="26" xfId="0" applyFont="1" applyBorder="1" applyAlignment="1">
      <alignment horizontal="center" wrapText="1"/>
    </xf>
    <xf numFmtId="166" fontId="35" fillId="0" borderId="26" xfId="0" applyNumberFormat="1" applyFont="1" applyBorder="1" applyAlignment="1">
      <alignment wrapText="1"/>
    </xf>
    <xf numFmtId="166" fontId="35" fillId="0" borderId="27" xfId="0" applyNumberFormat="1" applyFont="1" applyBorder="1" applyAlignment="1">
      <alignment wrapText="1"/>
    </xf>
    <xf numFmtId="0" fontId="0" fillId="40" borderId="43" xfId="0" applyFill="1" applyBorder="1"/>
    <xf numFmtId="3" fontId="0" fillId="40" borderId="43" xfId="0" applyNumberFormat="1" applyFill="1" applyBorder="1"/>
    <xf numFmtId="0" fontId="0" fillId="0" borderId="43" xfId="0" applyBorder="1"/>
    <xf numFmtId="3" fontId="0" fillId="0" borderId="43" xfId="0" applyNumberFormat="1" applyBorder="1"/>
    <xf numFmtId="0" fontId="0" fillId="38" borderId="1" xfId="0" applyFill="1" applyBorder="1" applyAlignment="1">
      <alignment vertical="center" wrapText="1"/>
    </xf>
    <xf numFmtId="3" fontId="13" fillId="32" borderId="1" xfId="0" applyNumberFormat="1" applyFont="1" applyFill="1" applyBorder="1" applyAlignment="1">
      <alignment vertical="center" wrapText="1"/>
    </xf>
    <xf numFmtId="0" fontId="0" fillId="41" borderId="0" xfId="0" applyFill="1"/>
    <xf numFmtId="0" fontId="0" fillId="0" borderId="44" xfId="0" applyBorder="1" applyAlignment="1">
      <alignment vertical="center"/>
    </xf>
    <xf numFmtId="0" fontId="0" fillId="0" borderId="45" xfId="0" applyBorder="1" applyAlignment="1">
      <alignment vertical="center"/>
    </xf>
    <xf numFmtId="0" fontId="0" fillId="0" borderId="46" xfId="0" applyBorder="1" applyAlignment="1">
      <alignment vertical="center"/>
    </xf>
    <xf numFmtId="0" fontId="0" fillId="0" borderId="47" xfId="0" applyBorder="1" applyAlignment="1">
      <alignment vertical="center"/>
    </xf>
    <xf numFmtId="3" fontId="38" fillId="0" borderId="1" xfId="1" applyNumberFormat="1" applyFont="1" applyFill="1" applyBorder="1" applyAlignment="1" applyProtection="1">
      <alignment horizontal="left" wrapText="1"/>
      <protection locked="0"/>
    </xf>
    <xf numFmtId="3" fontId="38" fillId="31" borderId="1" xfId="1" applyNumberFormat="1" applyFont="1" applyFill="1" applyBorder="1" applyAlignment="1" applyProtection="1">
      <alignment horizontal="left" wrapText="1"/>
      <protection locked="0"/>
    </xf>
    <xf numFmtId="3" fontId="38" fillId="0" borderId="18" xfId="1" applyNumberFormat="1" applyFont="1" applyFill="1" applyBorder="1" applyAlignment="1" applyProtection="1">
      <alignment horizontal="left" wrapText="1"/>
      <protection locked="0"/>
    </xf>
    <xf numFmtId="3" fontId="38" fillId="0" borderId="6" xfId="1" applyNumberFormat="1" applyFont="1" applyFill="1" applyBorder="1" applyAlignment="1" applyProtection="1">
      <alignment horizontal="left"/>
      <protection locked="0"/>
    </xf>
    <xf numFmtId="3" fontId="38" fillId="0" borderId="6" xfId="1" applyNumberFormat="1" applyFont="1" applyFill="1" applyBorder="1" applyAlignment="1" applyProtection="1">
      <alignment horizontal="left" wrapText="1"/>
      <protection locked="0"/>
    </xf>
    <xf numFmtId="170" fontId="13" fillId="0" borderId="6" xfId="0" applyNumberFormat="1" applyFont="1" applyBorder="1" applyAlignment="1">
      <alignment horizontal="center"/>
    </xf>
    <xf numFmtId="0" fontId="13" fillId="0" borderId="23" xfId="0" applyFont="1" applyBorder="1" applyAlignment="1">
      <alignment horizontal="center"/>
    </xf>
    <xf numFmtId="0" fontId="0" fillId="31" borderId="23" xfId="0" applyFill="1" applyBorder="1" applyAlignment="1">
      <alignment horizontal="center"/>
    </xf>
    <xf numFmtId="0" fontId="0" fillId="0" borderId="25" xfId="0" applyBorder="1" applyAlignment="1">
      <alignment horizontal="center"/>
    </xf>
    <xf numFmtId="14" fontId="0" fillId="0" borderId="0" xfId="0" applyNumberFormat="1"/>
    <xf numFmtId="0" fontId="49" fillId="0" borderId="0" xfId="0" applyFont="1"/>
    <xf numFmtId="169" fontId="0" fillId="0" borderId="0" xfId="146" applyNumberFormat="1" applyFont="1"/>
    <xf numFmtId="3" fontId="36" fillId="30" borderId="26" xfId="0" applyNumberFormat="1" applyFont="1" applyFill="1" applyBorder="1" applyAlignment="1">
      <alignment horizontal="center" vertical="center"/>
    </xf>
    <xf numFmtId="3" fontId="2" fillId="41" borderId="37" xfId="0" applyNumberFormat="1" applyFont="1" applyFill="1" applyBorder="1" applyAlignment="1">
      <alignment horizontal="center" vertical="center"/>
    </xf>
    <xf numFmtId="3" fontId="2" fillId="41" borderId="37" xfId="0" applyNumberFormat="1" applyFont="1" applyFill="1" applyBorder="1" applyAlignment="1">
      <alignment horizontal="center" vertical="center" wrapText="1"/>
    </xf>
    <xf numFmtId="3" fontId="2" fillId="41" borderId="37" xfId="0" applyNumberFormat="1" applyFont="1" applyFill="1" applyBorder="1" applyAlignment="1">
      <alignment vertical="center" wrapText="1"/>
    </xf>
    <xf numFmtId="3" fontId="2" fillId="41" borderId="1" xfId="0" applyNumberFormat="1" applyFont="1" applyFill="1" applyBorder="1" applyAlignment="1">
      <alignment horizontal="center" vertical="center"/>
    </xf>
    <xf numFmtId="3" fontId="2" fillId="41" borderId="1" xfId="0" applyNumberFormat="1" applyFont="1" applyFill="1" applyBorder="1" applyAlignment="1">
      <alignment horizontal="center" vertical="center" wrapText="1"/>
    </xf>
    <xf numFmtId="3" fontId="2" fillId="41" borderId="26" xfId="0" applyNumberFormat="1" applyFont="1" applyFill="1" applyBorder="1" applyAlignment="1">
      <alignment horizontal="center" vertical="center" wrapText="1"/>
    </xf>
    <xf numFmtId="0" fontId="46" fillId="34" borderId="37" xfId="0" applyFont="1" applyFill="1" applyBorder="1" applyAlignment="1">
      <alignment horizontal="center" vertical="center" wrapText="1"/>
    </xf>
    <xf numFmtId="3" fontId="46" fillId="34" borderId="37" xfId="0" applyNumberFormat="1" applyFont="1" applyFill="1" applyBorder="1" applyAlignment="1">
      <alignment horizontal="center" vertical="center"/>
    </xf>
    <xf numFmtId="3" fontId="2" fillId="34" borderId="37" xfId="0" applyNumberFormat="1" applyFont="1" applyFill="1" applyBorder="1" applyAlignment="1">
      <alignment horizontal="center" vertical="center"/>
    </xf>
    <xf numFmtId="0" fontId="46" fillId="34" borderId="1" xfId="0" applyFont="1" applyFill="1" applyBorder="1" applyAlignment="1">
      <alignment horizontal="center" vertical="center" wrapText="1"/>
    </xf>
    <xf numFmtId="3" fontId="46" fillId="34" borderId="1" xfId="0" applyNumberFormat="1" applyFont="1" applyFill="1" applyBorder="1" applyAlignment="1">
      <alignment horizontal="center" vertical="center" wrapText="1"/>
    </xf>
    <xf numFmtId="3" fontId="2" fillId="34" borderId="1" xfId="0" applyNumberFormat="1" applyFont="1" applyFill="1" applyBorder="1" applyAlignment="1">
      <alignment horizontal="center" vertical="center" wrapText="1"/>
    </xf>
    <xf numFmtId="49" fontId="2" fillId="34" borderId="1" xfId="0" applyNumberFormat="1" applyFont="1" applyFill="1" applyBorder="1" applyAlignment="1">
      <alignment horizontal="center" vertical="center"/>
    </xf>
    <xf numFmtId="3" fontId="2" fillId="34" borderId="1" xfId="0" applyNumberFormat="1" applyFont="1" applyFill="1" applyBorder="1" applyAlignment="1">
      <alignment horizontal="center" vertical="center"/>
    </xf>
    <xf numFmtId="3" fontId="2" fillId="34" borderId="24" xfId="0" applyNumberFormat="1" applyFont="1" applyFill="1" applyBorder="1" applyAlignment="1">
      <alignment horizontal="center" vertical="center"/>
    </xf>
    <xf numFmtId="0" fontId="46" fillId="34" borderId="26" xfId="0" applyFont="1" applyFill="1" applyBorder="1" applyAlignment="1">
      <alignment horizontal="center" vertical="center" wrapText="1"/>
    </xf>
    <xf numFmtId="3" fontId="46" fillId="34" borderId="26" xfId="0" applyNumberFormat="1" applyFont="1" applyFill="1" applyBorder="1" applyAlignment="1">
      <alignment horizontal="center" vertical="center" wrapText="1"/>
    </xf>
    <xf numFmtId="3" fontId="2" fillId="34" borderId="26" xfId="0" applyNumberFormat="1" applyFont="1" applyFill="1" applyBorder="1" applyAlignment="1">
      <alignment horizontal="center" vertical="center" wrapText="1"/>
    </xf>
    <xf numFmtId="49" fontId="2" fillId="34" borderId="26" xfId="0" applyNumberFormat="1" applyFont="1" applyFill="1" applyBorder="1" applyAlignment="1">
      <alignment horizontal="center" vertical="center"/>
    </xf>
    <xf numFmtId="3" fontId="2" fillId="34" borderId="27" xfId="0" applyNumberFormat="1" applyFont="1" applyFill="1" applyBorder="1" applyAlignment="1">
      <alignment horizontal="center" vertical="center" wrapText="1"/>
    </xf>
    <xf numFmtId="3" fontId="2" fillId="41" borderId="26" xfId="0" applyNumberFormat="1" applyFont="1" applyFill="1" applyBorder="1" applyAlignment="1">
      <alignment vertical="center" wrapText="1"/>
    </xf>
    <xf numFmtId="3" fontId="2" fillId="34" borderId="38" xfId="0" applyNumberFormat="1" applyFont="1" applyFill="1" applyBorder="1" applyAlignment="1">
      <alignment horizontal="center" vertical="center"/>
    </xf>
    <xf numFmtId="0" fontId="50" fillId="39" borderId="43" xfId="0" applyFont="1" applyFill="1" applyBorder="1" applyAlignment="1">
      <alignment horizontal="center"/>
    </xf>
    <xf numFmtId="3" fontId="3" fillId="42" borderId="6" xfId="0" applyNumberFormat="1" applyFont="1" applyFill="1" applyBorder="1" applyAlignment="1">
      <alignment horizontal="center" vertical="center"/>
    </xf>
    <xf numFmtId="3" fontId="3" fillId="42" borderId="6" xfId="0" applyNumberFormat="1" applyFont="1" applyFill="1" applyBorder="1" applyAlignment="1">
      <alignment horizontal="center" vertical="center" wrapText="1"/>
    </xf>
    <xf numFmtId="3" fontId="3" fillId="42" borderId="48" xfId="0" applyNumberFormat="1" applyFont="1" applyFill="1" applyBorder="1" applyAlignment="1">
      <alignment horizontal="center" vertical="center" wrapText="1"/>
    </xf>
    <xf numFmtId="0" fontId="5" fillId="28" borderId="6" xfId="0" applyFont="1" applyFill="1" applyBorder="1" applyAlignment="1">
      <alignment horizontal="center" vertical="center" wrapText="1"/>
    </xf>
    <xf numFmtId="3" fontId="5" fillId="28" borderId="6" xfId="0" applyNumberFormat="1" applyFont="1" applyFill="1" applyBorder="1" applyAlignment="1">
      <alignment horizontal="center" vertical="center" wrapText="1"/>
    </xf>
    <xf numFmtId="3" fontId="3" fillId="28" borderId="6" xfId="0" applyNumberFormat="1" applyFont="1" applyFill="1" applyBorder="1" applyAlignment="1">
      <alignment horizontal="center" vertical="center" wrapText="1"/>
    </xf>
    <xf numFmtId="49" fontId="3" fillId="28" borderId="6" xfId="0" applyNumberFormat="1" applyFont="1" applyFill="1" applyBorder="1" applyAlignment="1">
      <alignment horizontal="center" vertical="center"/>
    </xf>
    <xf numFmtId="3" fontId="3" fillId="28" borderId="6" xfId="0" applyNumberFormat="1" applyFont="1" applyFill="1" applyBorder="1" applyAlignment="1">
      <alignment horizontal="center" vertical="center"/>
    </xf>
    <xf numFmtId="3" fontId="5" fillId="35" borderId="6" xfId="0" applyNumberFormat="1" applyFont="1" applyFill="1" applyBorder="1" applyAlignment="1">
      <alignment horizontal="center" vertical="center" wrapText="1"/>
    </xf>
    <xf numFmtId="10" fontId="13" fillId="0" borderId="1" xfId="138" applyNumberFormat="1" applyFont="1" applyFill="1" applyBorder="1" applyAlignment="1">
      <alignment horizontal="center" wrapText="1"/>
    </xf>
    <xf numFmtId="170" fontId="13" fillId="0" borderId="1" xfId="0" applyNumberFormat="1" applyFont="1" applyBorder="1" applyAlignment="1">
      <alignment horizontal="center" wrapText="1"/>
    </xf>
    <xf numFmtId="0" fontId="0" fillId="0" borderId="49" xfId="0" applyBorder="1" applyAlignment="1">
      <alignment vertical="center"/>
    </xf>
    <xf numFmtId="166" fontId="42" fillId="43" borderId="1" xfId="0" applyNumberFormat="1" applyFont="1" applyFill="1" applyBorder="1" applyAlignment="1">
      <alignment wrapText="1"/>
    </xf>
    <xf numFmtId="3" fontId="45" fillId="0" borderId="0" xfId="0" applyNumberFormat="1" applyFont="1" applyAlignment="1">
      <alignment horizontal="center"/>
    </xf>
    <xf numFmtId="169" fontId="13" fillId="0" borderId="1" xfId="146" applyNumberFormat="1" applyFont="1" applyBorder="1" applyAlignment="1">
      <alignment vertical="center"/>
    </xf>
    <xf numFmtId="0" fontId="0" fillId="29" borderId="42" xfId="0" applyFill="1" applyBorder="1" applyAlignment="1">
      <alignment vertical="center"/>
    </xf>
    <xf numFmtId="0" fontId="0" fillId="29" borderId="41" xfId="0" applyFill="1" applyBorder="1" applyAlignment="1">
      <alignment vertical="center"/>
    </xf>
    <xf numFmtId="169" fontId="13" fillId="29" borderId="41" xfId="146" applyNumberFormat="1" applyFont="1" applyFill="1" applyBorder="1" applyAlignment="1">
      <alignment vertical="center"/>
    </xf>
    <xf numFmtId="168" fontId="2" fillId="34" borderId="26" xfId="0" applyNumberFormat="1" applyFont="1" applyFill="1" applyBorder="1" applyAlignment="1">
      <alignment vertical="center" wrapText="1"/>
    </xf>
    <xf numFmtId="14" fontId="38" fillId="0" borderId="1" xfId="1" applyNumberFormat="1" applyFont="1" applyFill="1" applyBorder="1" applyAlignment="1" applyProtection="1">
      <alignment horizontal="center" wrapText="1"/>
      <protection locked="0"/>
    </xf>
    <xf numFmtId="170" fontId="13" fillId="0" borderId="6" xfId="0" applyNumberFormat="1" applyFont="1" applyBorder="1" applyAlignment="1">
      <alignment horizontal="center" wrapText="1"/>
    </xf>
    <xf numFmtId="3" fontId="38" fillId="0" borderId="1" xfId="1" quotePrefix="1" applyNumberFormat="1" applyFont="1" applyFill="1" applyBorder="1" applyAlignment="1" applyProtection="1">
      <alignment horizontal="center" wrapText="1"/>
      <protection locked="0"/>
    </xf>
    <xf numFmtId="0" fontId="54" fillId="0" borderId="0" xfId="0" applyFont="1" applyAlignment="1">
      <alignment horizontal="center"/>
    </xf>
    <xf numFmtId="0" fontId="5" fillId="36" borderId="4" xfId="0" applyFont="1" applyFill="1" applyBorder="1" applyAlignment="1">
      <alignment horizontal="center" vertical="center" wrapText="1"/>
    </xf>
    <xf numFmtId="0" fontId="36" fillId="0" borderId="0" xfId="0" applyFont="1" applyAlignment="1">
      <alignment horizontal="center"/>
    </xf>
    <xf numFmtId="0" fontId="55" fillId="0" borderId="0" xfId="0" applyFont="1" applyAlignment="1">
      <alignment horizontal="left"/>
    </xf>
    <xf numFmtId="0" fontId="0" fillId="0" borderId="0" xfId="0" applyAlignment="1">
      <alignment horizontal="left"/>
    </xf>
    <xf numFmtId="171" fontId="0" fillId="0" borderId="0" xfId="0" applyNumberFormat="1"/>
    <xf numFmtId="0" fontId="55" fillId="0" borderId="50" xfId="0" applyFont="1" applyBorder="1"/>
    <xf numFmtId="0" fontId="55" fillId="0" borderId="0" xfId="0" applyFont="1"/>
    <xf numFmtId="0" fontId="0" fillId="44" borderId="0" xfId="0" applyFill="1" applyAlignment="1">
      <alignment vertical="center"/>
    </xf>
    <xf numFmtId="0" fontId="36" fillId="44" borderId="0" xfId="0" applyFont="1" applyFill="1" applyAlignment="1">
      <alignment horizontal="center" vertical="center"/>
    </xf>
    <xf numFmtId="0" fontId="56" fillId="44" borderId="0" xfId="0" applyFont="1" applyFill="1" applyAlignment="1">
      <alignment horizontal="center" vertical="center" wrapText="1"/>
    </xf>
    <xf numFmtId="0" fontId="8" fillId="0" borderId="0" xfId="0" applyFont="1" applyAlignment="1">
      <alignment vertical="center"/>
    </xf>
    <xf numFmtId="0" fontId="57" fillId="0" borderId="0" xfId="0" applyFont="1" applyAlignment="1">
      <alignment vertical="center"/>
    </xf>
    <xf numFmtId="49" fontId="5" fillId="35" borderId="4" xfId="0" applyNumberFormat="1" applyFont="1" applyFill="1" applyBorder="1" applyAlignment="1">
      <alignment horizontal="center" vertical="center"/>
    </xf>
    <xf numFmtId="49" fontId="5" fillId="35" borderId="5" xfId="0" applyNumberFormat="1" applyFont="1" applyFill="1" applyBorder="1" applyAlignment="1">
      <alignment horizontal="center" vertical="center" wrapText="1"/>
    </xf>
    <xf numFmtId="49" fontId="5" fillId="35" borderId="6" xfId="0" applyNumberFormat="1" applyFont="1" applyFill="1" applyBorder="1" applyAlignment="1">
      <alignment horizontal="center" vertical="center" wrapText="1"/>
    </xf>
    <xf numFmtId="49" fontId="13" fillId="0" borderId="6" xfId="0" applyNumberFormat="1" applyFont="1" applyBorder="1" applyAlignment="1">
      <alignment horizontal="center"/>
    </xf>
    <xf numFmtId="49" fontId="13" fillId="0" borderId="1" xfId="0" applyNumberFormat="1" applyFont="1" applyBorder="1" applyAlignment="1">
      <alignment horizontal="center" wrapText="1"/>
    </xf>
    <xf numFmtId="49" fontId="13" fillId="0" borderId="6" xfId="0" applyNumberFormat="1" applyFont="1" applyBorder="1" applyAlignment="1">
      <alignment horizontal="center" wrapText="1"/>
    </xf>
    <xf numFmtId="49" fontId="13" fillId="31" borderId="1" xfId="0" applyNumberFormat="1" applyFont="1" applyFill="1" applyBorder="1" applyAlignment="1">
      <alignment horizontal="center" wrapText="1"/>
    </xf>
    <xf numFmtId="49" fontId="13" fillId="0" borderId="18" xfId="0" applyNumberFormat="1" applyFont="1" applyBorder="1" applyAlignment="1">
      <alignment horizontal="center" wrapText="1"/>
    </xf>
    <xf numFmtId="49" fontId="8" fillId="0" borderId="1" xfId="0" applyNumberFormat="1" applyFont="1" applyBorder="1" applyAlignment="1">
      <alignment horizontal="center" wrapText="1"/>
    </xf>
    <xf numFmtId="10" fontId="13" fillId="0" borderId="1" xfId="0" applyNumberFormat="1" applyFont="1" applyBorder="1" applyAlignment="1">
      <alignment horizontal="center"/>
    </xf>
    <xf numFmtId="49" fontId="8" fillId="0" borderId="0" xfId="0" applyNumberFormat="1" applyFont="1" applyAlignment="1">
      <alignment vertical="center"/>
    </xf>
    <xf numFmtId="49" fontId="57" fillId="0" borderId="0" xfId="0" applyNumberFormat="1" applyFont="1" applyAlignment="1">
      <alignment vertical="center"/>
    </xf>
    <xf numFmtId="0" fontId="55" fillId="0" borderId="50" xfId="0" applyFont="1" applyBorder="1" applyAlignment="1">
      <alignment horizontal="left"/>
    </xf>
    <xf numFmtId="0" fontId="58" fillId="0" borderId="0" xfId="0" applyFont="1"/>
    <xf numFmtId="0" fontId="38" fillId="45" borderId="5" xfId="0" applyFont="1" applyFill="1" applyBorder="1"/>
    <xf numFmtId="49" fontId="13" fillId="0" borderId="6" xfId="0" applyNumberFormat="1" applyFont="1" applyBorder="1" applyAlignment="1">
      <alignment horizontal="left"/>
    </xf>
    <xf numFmtId="166" fontId="44" fillId="0" borderId="1" xfId="0" applyNumberFormat="1" applyFont="1" applyBorder="1" applyAlignment="1">
      <alignment wrapText="1"/>
    </xf>
    <xf numFmtId="0" fontId="36" fillId="33" borderId="20" xfId="0" applyFont="1" applyFill="1" applyBorder="1" applyAlignment="1">
      <alignment horizontal="center"/>
    </xf>
    <xf numFmtId="0" fontId="36" fillId="33" borderId="21" xfId="0" applyFont="1" applyFill="1" applyBorder="1" applyAlignment="1">
      <alignment horizontal="center"/>
    </xf>
    <xf numFmtId="0" fontId="36" fillId="33" borderId="22" xfId="0" applyFont="1" applyFill="1" applyBorder="1" applyAlignment="1">
      <alignment horizontal="center"/>
    </xf>
    <xf numFmtId="0" fontId="36" fillId="30" borderId="29" xfId="0" applyFont="1" applyFill="1" applyBorder="1" applyAlignment="1">
      <alignment horizontal="center" vertical="center"/>
    </xf>
    <xf numFmtId="0" fontId="36" fillId="30" borderId="30" xfId="0" applyFont="1" applyFill="1" applyBorder="1" applyAlignment="1">
      <alignment horizontal="center" vertical="center"/>
    </xf>
    <xf numFmtId="0" fontId="36" fillId="30" borderId="40" xfId="0" applyFont="1" applyFill="1" applyBorder="1" applyAlignment="1">
      <alignment horizontal="center" vertical="center"/>
    </xf>
    <xf numFmtId="0" fontId="36" fillId="30" borderId="25" xfId="0" applyFont="1" applyFill="1" applyBorder="1" applyAlignment="1">
      <alignment horizontal="center" vertical="center"/>
    </xf>
    <xf numFmtId="0" fontId="36" fillId="30" borderId="26" xfId="0" applyFont="1" applyFill="1" applyBorder="1" applyAlignment="1">
      <alignment horizontal="center" vertical="center"/>
    </xf>
    <xf numFmtId="0" fontId="40" fillId="0" borderId="0" xfId="0" applyFont="1" applyAlignment="1">
      <alignment horizontal="center" vertical="center" wrapText="1"/>
    </xf>
    <xf numFmtId="0" fontId="9" fillId="0" borderId="0" xfId="0" applyFont="1" applyAlignment="1">
      <alignment horizontal="center" vertical="center" wrapText="1"/>
    </xf>
    <xf numFmtId="3" fontId="2" fillId="41" borderId="19" xfId="0" applyNumberFormat="1" applyFont="1" applyFill="1" applyBorder="1" applyAlignment="1">
      <alignment horizontal="center" vertical="center" wrapText="1"/>
    </xf>
    <xf numFmtId="3" fontId="2" fillId="41" borderId="6" xfId="0" applyNumberFormat="1" applyFont="1" applyFill="1" applyBorder="1" applyAlignment="1">
      <alignment horizontal="center" vertical="center" wrapText="1"/>
    </xf>
    <xf numFmtId="168" fontId="2" fillId="34" borderId="19" xfId="0" applyNumberFormat="1" applyFont="1" applyFill="1" applyBorder="1" applyAlignment="1">
      <alignment horizontal="center" vertical="center" wrapText="1"/>
    </xf>
    <xf numFmtId="168" fontId="2" fillId="34" borderId="6" xfId="0" applyNumberFormat="1" applyFont="1" applyFill="1" applyBorder="1" applyAlignment="1">
      <alignment horizontal="center" vertical="center" wrapText="1"/>
    </xf>
  </cellXfs>
  <cellStyles count="147">
    <cellStyle name="20% - 1. jelölőszín 2" xfId="9" xr:uid="{00000000-0005-0000-0000-000000000000}"/>
    <cellStyle name="20% - 2. jelölőszín 2" xfId="10" xr:uid="{00000000-0005-0000-0000-000001000000}"/>
    <cellStyle name="20% - 3. jelölőszín 2" xfId="11" xr:uid="{00000000-0005-0000-0000-000002000000}"/>
    <cellStyle name="20% - 4. jelölőszín 2" xfId="12" xr:uid="{00000000-0005-0000-0000-000003000000}"/>
    <cellStyle name="20% - 5. jelölőszín 2" xfId="13" xr:uid="{00000000-0005-0000-0000-000004000000}"/>
    <cellStyle name="20% - 6. jelölőszín 2" xfId="14" xr:uid="{00000000-0005-0000-0000-000005000000}"/>
    <cellStyle name="40% - 1. jelölőszín 2" xfId="15" xr:uid="{00000000-0005-0000-0000-000006000000}"/>
    <cellStyle name="40% - 2. jelölőszín 2" xfId="16" xr:uid="{00000000-0005-0000-0000-000007000000}"/>
    <cellStyle name="40% - 3. jelölőszín 2" xfId="17" xr:uid="{00000000-0005-0000-0000-000008000000}"/>
    <cellStyle name="40% - 4. jelölőszín 2" xfId="18" xr:uid="{00000000-0005-0000-0000-000009000000}"/>
    <cellStyle name="40% - 4. jelölőszín 3" xfId="53" xr:uid="{00000000-0005-0000-0000-00000A000000}"/>
    <cellStyle name="40% - 4. jelölőszín 3 2" xfId="116" xr:uid="{00000000-0005-0000-0000-00000B000000}"/>
    <cellStyle name="40% - 4. jelölőszín 4" xfId="61" xr:uid="{00000000-0005-0000-0000-00000C000000}"/>
    <cellStyle name="40% - 4. jelölőszín 4 2" xfId="118" xr:uid="{00000000-0005-0000-0000-00000D000000}"/>
    <cellStyle name="40% - 5. jelölőszín 2" xfId="19" xr:uid="{00000000-0005-0000-0000-00000E000000}"/>
    <cellStyle name="40% - 6. jelölőszín 2" xfId="20" xr:uid="{00000000-0005-0000-0000-00000F000000}"/>
    <cellStyle name="60% - 1. jelölőszín 2" xfId="21" xr:uid="{00000000-0005-0000-0000-000010000000}"/>
    <cellStyle name="60% - 2. jelölőszín 2" xfId="22" xr:uid="{00000000-0005-0000-0000-000011000000}"/>
    <cellStyle name="60% - 3. jelölőszín 2" xfId="23" xr:uid="{00000000-0005-0000-0000-000012000000}"/>
    <cellStyle name="60% - 4. jelölőszín 2" xfId="24" xr:uid="{00000000-0005-0000-0000-000013000000}"/>
    <cellStyle name="60% - 5. jelölőszín 2" xfId="25" xr:uid="{00000000-0005-0000-0000-000014000000}"/>
    <cellStyle name="60% - 6. jelölőszín 2" xfId="26" xr:uid="{00000000-0005-0000-0000-000015000000}"/>
    <cellStyle name="Bevitel" xfId="1" builtinId="20"/>
    <cellStyle name="Bevitel 2" xfId="27" xr:uid="{00000000-0005-0000-0000-000017000000}"/>
    <cellStyle name="Bevitel 2 2" xfId="56" xr:uid="{00000000-0005-0000-0000-000018000000}"/>
    <cellStyle name="Bevitel 2 2 2" xfId="106" xr:uid="{00000000-0005-0000-0000-000019000000}"/>
    <cellStyle name="Bevitel 2 2 3" xfId="109" xr:uid="{00000000-0005-0000-0000-00001A000000}"/>
    <cellStyle name="Bevitel 2 2 4" xfId="132" xr:uid="{00000000-0005-0000-0000-00001B000000}"/>
    <cellStyle name="Bevitel 2 2 5" xfId="137" xr:uid="{00000000-0005-0000-0000-00001C000000}"/>
    <cellStyle name="Bevitel 2 3" xfId="114" xr:uid="{00000000-0005-0000-0000-00001D000000}"/>
    <cellStyle name="Bevitel 2 4" xfId="126" xr:uid="{00000000-0005-0000-0000-00001E000000}"/>
    <cellStyle name="Bevitel 2 5" xfId="122" xr:uid="{00000000-0005-0000-0000-00001F000000}"/>
    <cellStyle name="Cím 2" xfId="28" xr:uid="{00000000-0005-0000-0000-000020000000}"/>
    <cellStyle name="Címsor 1 2" xfId="29" xr:uid="{00000000-0005-0000-0000-000021000000}"/>
    <cellStyle name="Címsor 2 2" xfId="30" xr:uid="{00000000-0005-0000-0000-000022000000}"/>
    <cellStyle name="Címsor 3 2" xfId="31" xr:uid="{00000000-0005-0000-0000-000023000000}"/>
    <cellStyle name="Címsor 4 2" xfId="32" xr:uid="{00000000-0005-0000-0000-000024000000}"/>
    <cellStyle name="Ellenőrzőcella 2" xfId="33" xr:uid="{00000000-0005-0000-0000-000025000000}"/>
    <cellStyle name="Ezres" xfId="2" builtinId="3"/>
    <cellStyle name="Ezres 2" xfId="139" xr:uid="{00000000-0005-0000-0000-000027000000}"/>
    <cellStyle name="Ezres 2 2" xfId="141" xr:uid="{00000000-0005-0000-0000-000028000000}"/>
    <cellStyle name="Ezres 3" xfId="142" xr:uid="{00000000-0005-0000-0000-000029000000}"/>
    <cellStyle name="Ezres 4" xfId="144" xr:uid="{00000000-0005-0000-0000-00002A000000}"/>
    <cellStyle name="Figyelmeztetés 2" xfId="34" xr:uid="{00000000-0005-0000-0000-00002B000000}"/>
    <cellStyle name="Hivatkozás 10" xfId="80" xr:uid="{00000000-0005-0000-0000-00002C000000}"/>
    <cellStyle name="Hivatkozás 11" xfId="82" xr:uid="{00000000-0005-0000-0000-00002D000000}"/>
    <cellStyle name="Hivatkozás 12" xfId="84" xr:uid="{00000000-0005-0000-0000-00002E000000}"/>
    <cellStyle name="Hivatkozás 13" xfId="86" xr:uid="{00000000-0005-0000-0000-00002F000000}"/>
    <cellStyle name="Hivatkozás 14" xfId="88" xr:uid="{00000000-0005-0000-0000-000030000000}"/>
    <cellStyle name="Hivatkozás 15" xfId="90" xr:uid="{00000000-0005-0000-0000-000031000000}"/>
    <cellStyle name="Hivatkozás 16" xfId="92" xr:uid="{00000000-0005-0000-0000-000032000000}"/>
    <cellStyle name="Hivatkozás 17" xfId="94" xr:uid="{00000000-0005-0000-0000-000033000000}"/>
    <cellStyle name="Hivatkozás 18" xfId="96" xr:uid="{00000000-0005-0000-0000-000034000000}"/>
    <cellStyle name="Hivatkozás 2" xfId="63" xr:uid="{00000000-0005-0000-0000-000035000000}"/>
    <cellStyle name="Hivatkozás 3" xfId="65" xr:uid="{00000000-0005-0000-0000-000036000000}"/>
    <cellStyle name="Hivatkozás 4" xfId="68" xr:uid="{00000000-0005-0000-0000-000037000000}"/>
    <cellStyle name="Hivatkozás 5" xfId="70" xr:uid="{00000000-0005-0000-0000-000038000000}"/>
    <cellStyle name="Hivatkozás 6" xfId="72" xr:uid="{00000000-0005-0000-0000-000039000000}"/>
    <cellStyle name="Hivatkozás 7" xfId="74" xr:uid="{00000000-0005-0000-0000-00003A000000}"/>
    <cellStyle name="Hivatkozás 8" xfId="76" xr:uid="{00000000-0005-0000-0000-00003B000000}"/>
    <cellStyle name="Hivatkozás 9" xfId="78" xr:uid="{00000000-0005-0000-0000-00003C000000}"/>
    <cellStyle name="Hivatkozott cella 2" xfId="35" xr:uid="{00000000-0005-0000-0000-00003D000000}"/>
    <cellStyle name="Jegyzet 2" xfId="36" xr:uid="{00000000-0005-0000-0000-00003E000000}"/>
    <cellStyle name="Jegyzet 2 2" xfId="57" xr:uid="{00000000-0005-0000-0000-00003F000000}"/>
    <cellStyle name="Jegyzet 2 2 2" xfId="105" xr:uid="{00000000-0005-0000-0000-000040000000}"/>
    <cellStyle name="Jegyzet 2 2 3" xfId="121" xr:uid="{00000000-0005-0000-0000-000041000000}"/>
    <cellStyle name="Jegyzet 2 2 4" xfId="131" xr:uid="{00000000-0005-0000-0000-000042000000}"/>
    <cellStyle name="Jegyzet 2 2 5" xfId="136" xr:uid="{00000000-0005-0000-0000-000043000000}"/>
    <cellStyle name="Jegyzet 2 3" xfId="108" xr:uid="{00000000-0005-0000-0000-000044000000}"/>
    <cellStyle name="Jegyzet 2 4" xfId="107" xr:uid="{00000000-0005-0000-0000-000045000000}"/>
    <cellStyle name="Jegyzet 2 5" xfId="99" xr:uid="{00000000-0005-0000-0000-000046000000}"/>
    <cellStyle name="Jelölőszín (1) 2" xfId="37" xr:uid="{00000000-0005-0000-0000-000047000000}"/>
    <cellStyle name="Jelölőszín (2) 2" xfId="38" xr:uid="{00000000-0005-0000-0000-000048000000}"/>
    <cellStyle name="Jelölőszín (2) 3" xfId="67" xr:uid="{00000000-0005-0000-0000-000049000000}"/>
    <cellStyle name="Jelölőszín (3) 2" xfId="39" xr:uid="{00000000-0005-0000-0000-00004A000000}"/>
    <cellStyle name="Jelölőszín (4) 2" xfId="40" xr:uid="{00000000-0005-0000-0000-00004B000000}"/>
    <cellStyle name="Jelölőszín (5) 2" xfId="41" xr:uid="{00000000-0005-0000-0000-00004C000000}"/>
    <cellStyle name="Jelölőszín (6) 2" xfId="42" xr:uid="{00000000-0005-0000-0000-00004D000000}"/>
    <cellStyle name="Jó 2" xfId="43" xr:uid="{00000000-0005-0000-0000-00004E000000}"/>
    <cellStyle name="Kimenet 2" xfId="44" xr:uid="{00000000-0005-0000-0000-00004F000000}"/>
    <cellStyle name="Kimenet 2 2" xfId="58" xr:uid="{00000000-0005-0000-0000-000050000000}"/>
    <cellStyle name="Kimenet 2 2 2" xfId="104" xr:uid="{00000000-0005-0000-0000-000051000000}"/>
    <cellStyle name="Kimenet 2 2 3" xfId="110" xr:uid="{00000000-0005-0000-0000-000052000000}"/>
    <cellStyle name="Kimenet 2 2 4" xfId="130" xr:uid="{00000000-0005-0000-0000-000053000000}"/>
    <cellStyle name="Kimenet 2 2 5" xfId="135" xr:uid="{00000000-0005-0000-0000-000054000000}"/>
    <cellStyle name="Kimenet 2 3" xfId="120" xr:uid="{00000000-0005-0000-0000-000055000000}"/>
    <cellStyle name="Kimenet 2 4" xfId="101" xr:uid="{00000000-0005-0000-0000-000056000000}"/>
    <cellStyle name="Kimenet 2 5" xfId="98" xr:uid="{00000000-0005-0000-0000-000057000000}"/>
    <cellStyle name="Látott hivatkozás 10" xfId="81" xr:uid="{00000000-0005-0000-0000-000058000000}"/>
    <cellStyle name="Látott hivatkozás 11" xfId="83" xr:uid="{00000000-0005-0000-0000-000059000000}"/>
    <cellStyle name="Látott hivatkozás 12" xfId="85" xr:uid="{00000000-0005-0000-0000-00005A000000}"/>
    <cellStyle name="Látott hivatkozás 13" xfId="87" xr:uid="{00000000-0005-0000-0000-00005B000000}"/>
    <cellStyle name="Látott hivatkozás 14" xfId="89" xr:uid="{00000000-0005-0000-0000-00005C000000}"/>
    <cellStyle name="Látott hivatkozás 15" xfId="91" xr:uid="{00000000-0005-0000-0000-00005D000000}"/>
    <cellStyle name="Látott hivatkozás 16" xfId="93" xr:uid="{00000000-0005-0000-0000-00005E000000}"/>
    <cellStyle name="Látott hivatkozás 17" xfId="95" xr:uid="{00000000-0005-0000-0000-00005F000000}"/>
    <cellStyle name="Látott hivatkozás 18" xfId="97" xr:uid="{00000000-0005-0000-0000-000060000000}"/>
    <cellStyle name="Látott hivatkozás 2" xfId="64" xr:uid="{00000000-0005-0000-0000-000061000000}"/>
    <cellStyle name="Látott hivatkozás 3" xfId="66" xr:uid="{00000000-0005-0000-0000-000062000000}"/>
    <cellStyle name="Látott hivatkozás 4" xfId="69" xr:uid="{00000000-0005-0000-0000-000063000000}"/>
    <cellStyle name="Látott hivatkozás 5" xfId="71" xr:uid="{00000000-0005-0000-0000-000064000000}"/>
    <cellStyle name="Látott hivatkozás 6" xfId="73" xr:uid="{00000000-0005-0000-0000-000065000000}"/>
    <cellStyle name="Látott hivatkozás 7" xfId="75" xr:uid="{00000000-0005-0000-0000-000066000000}"/>
    <cellStyle name="Látott hivatkozás 8" xfId="77" xr:uid="{00000000-0005-0000-0000-000067000000}"/>
    <cellStyle name="Látott hivatkozás 9" xfId="79" xr:uid="{00000000-0005-0000-0000-000068000000}"/>
    <cellStyle name="Magyarázó szöveg 2" xfId="45" xr:uid="{00000000-0005-0000-0000-000069000000}"/>
    <cellStyle name="Normál" xfId="0" builtinId="0"/>
    <cellStyle name="Normál 2" xfId="4" xr:uid="{00000000-0005-0000-0000-00006B000000}"/>
    <cellStyle name="Normál 2 2" xfId="8" xr:uid="{00000000-0005-0000-0000-00006C000000}"/>
    <cellStyle name="Normál 3" xfId="52" xr:uid="{00000000-0005-0000-0000-00006D000000}"/>
    <cellStyle name="Normál 3 2" xfId="54" xr:uid="{00000000-0005-0000-0000-00006E000000}"/>
    <cellStyle name="Normál 3 2 2" xfId="117" xr:uid="{00000000-0005-0000-0000-00006F000000}"/>
    <cellStyle name="Normál 3 3" xfId="62" xr:uid="{00000000-0005-0000-0000-000070000000}"/>
    <cellStyle name="Normál 3 3 2" xfId="119" xr:uid="{00000000-0005-0000-0000-000071000000}"/>
    <cellStyle name="Normál 3 4" xfId="115" xr:uid="{00000000-0005-0000-0000-000072000000}"/>
    <cellStyle name="Normál 4" xfId="7" xr:uid="{00000000-0005-0000-0000-000073000000}"/>
    <cellStyle name="Normál 5" xfId="3" xr:uid="{00000000-0005-0000-0000-000074000000}"/>
    <cellStyle name="Normál 6" xfId="140" xr:uid="{00000000-0005-0000-0000-000075000000}"/>
    <cellStyle name="Normál 7" xfId="143" xr:uid="{00000000-0005-0000-0000-000076000000}"/>
    <cellStyle name="Normál 8" xfId="145" xr:uid="{00000000-0005-0000-0000-000077000000}"/>
    <cellStyle name="Összesen 2" xfId="46" xr:uid="{00000000-0005-0000-0000-000078000000}"/>
    <cellStyle name="Összesen 2 2" xfId="59" xr:uid="{00000000-0005-0000-0000-000079000000}"/>
    <cellStyle name="Összesen 2 2 2" xfId="103" xr:uid="{00000000-0005-0000-0000-00007A000000}"/>
    <cellStyle name="Összesen 2 2 3" xfId="111" xr:uid="{00000000-0005-0000-0000-00007B000000}"/>
    <cellStyle name="Összesen 2 2 4" xfId="129" xr:uid="{00000000-0005-0000-0000-00007C000000}"/>
    <cellStyle name="Összesen 2 2 5" xfId="134" xr:uid="{00000000-0005-0000-0000-00007D000000}"/>
    <cellStyle name="Összesen 2 3" xfId="125" xr:uid="{00000000-0005-0000-0000-00007E000000}"/>
    <cellStyle name="Összesen 2 4" xfId="128" xr:uid="{00000000-0005-0000-0000-00007F000000}"/>
    <cellStyle name="Összesen 2 5" xfId="100" xr:uid="{00000000-0005-0000-0000-000080000000}"/>
    <cellStyle name="Pénznem" xfId="146" builtinId="4"/>
    <cellStyle name="Pénznem 2" xfId="50" xr:uid="{00000000-0005-0000-0000-000082000000}"/>
    <cellStyle name="Pénznem 3" xfId="5" xr:uid="{00000000-0005-0000-0000-000083000000}"/>
    <cellStyle name="Rossz 2" xfId="47" xr:uid="{00000000-0005-0000-0000-000084000000}"/>
    <cellStyle name="Semleges 2" xfId="48" xr:uid="{00000000-0005-0000-0000-000085000000}"/>
    <cellStyle name="Számítás 2" xfId="49" xr:uid="{00000000-0005-0000-0000-000086000000}"/>
    <cellStyle name="Számítás 2 2" xfId="60" xr:uid="{00000000-0005-0000-0000-000087000000}"/>
    <cellStyle name="Számítás 2 2 2" xfId="102" xr:uid="{00000000-0005-0000-0000-000088000000}"/>
    <cellStyle name="Számítás 2 2 3" xfId="112" xr:uid="{00000000-0005-0000-0000-000089000000}"/>
    <cellStyle name="Számítás 2 2 4" xfId="123" xr:uid="{00000000-0005-0000-0000-00008A000000}"/>
    <cellStyle name="Számítás 2 2 5" xfId="133" xr:uid="{00000000-0005-0000-0000-00008B000000}"/>
    <cellStyle name="Számítás 2 3" xfId="124" xr:uid="{00000000-0005-0000-0000-00008C000000}"/>
    <cellStyle name="Számítás 2 4" xfId="127" xr:uid="{00000000-0005-0000-0000-00008D000000}"/>
    <cellStyle name="Számítás 2 5" xfId="113" xr:uid="{00000000-0005-0000-0000-00008E000000}"/>
    <cellStyle name="Százalék" xfId="138" builtinId="5"/>
    <cellStyle name="Százalék 2" xfId="51" xr:uid="{00000000-0005-0000-0000-000090000000}"/>
    <cellStyle name="Százalék 3" xfId="6" xr:uid="{00000000-0005-0000-0000-000091000000}"/>
    <cellStyle name="TableStyleLight1" xfId="55" xr:uid="{00000000-0005-0000-0000-000092000000}"/>
  </cellStyles>
  <dxfs count="1">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té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unka1"/>
  <dimension ref="A1:Q21"/>
  <sheetViews>
    <sheetView topLeftCell="B1" zoomScaleNormal="100" workbookViewId="0">
      <selection activeCell="I17" sqref="I17"/>
    </sheetView>
  </sheetViews>
  <sheetFormatPr defaultRowHeight="15" x14ac:dyDescent="0.25"/>
  <cols>
    <col min="1" max="1" width="22.85546875" customWidth="1"/>
    <col min="2" max="3" width="24.42578125" customWidth="1"/>
    <col min="4" max="4" width="34.5703125" customWidth="1"/>
    <col min="5" max="5" width="23" style="11" customWidth="1"/>
    <col min="6" max="6" width="15.42578125" style="8" customWidth="1"/>
    <col min="7" max="7" width="16.5703125" style="8" customWidth="1"/>
    <col min="8" max="8" width="14.85546875" style="8" customWidth="1"/>
    <col min="9" max="9" width="15" style="8" customWidth="1"/>
    <col min="10" max="10" width="4.85546875" customWidth="1"/>
    <col min="11" max="11" width="14.140625" style="4" customWidth="1"/>
    <col min="12" max="13" width="14.85546875" style="4" customWidth="1"/>
    <col min="14" max="14" width="15.7109375" customWidth="1"/>
    <col min="15" max="17" width="13.28515625" customWidth="1"/>
  </cols>
  <sheetData>
    <row r="1" spans="1:17" ht="15" customHeight="1" x14ac:dyDescent="0.25">
      <c r="A1" s="223" t="s">
        <v>62</v>
      </c>
      <c r="B1" s="224"/>
      <c r="C1" s="224"/>
      <c r="D1" s="224"/>
      <c r="E1" s="224"/>
      <c r="F1" s="224"/>
      <c r="G1" s="224"/>
      <c r="H1" s="224"/>
      <c r="I1" s="225"/>
      <c r="K1" s="43" t="s">
        <v>26</v>
      </c>
      <c r="L1" s="44"/>
      <c r="M1" s="44"/>
      <c r="N1" s="44"/>
      <c r="O1" s="45"/>
      <c r="P1" s="45"/>
      <c r="Q1" s="46"/>
    </row>
    <row r="2" spans="1:17" ht="39.75" customHeight="1" x14ac:dyDescent="0.25">
      <c r="A2" s="82" t="s">
        <v>55</v>
      </c>
      <c r="B2" s="82" t="s">
        <v>72</v>
      </c>
      <c r="C2" s="82" t="s">
        <v>4</v>
      </c>
      <c r="D2" s="82" t="s">
        <v>73</v>
      </c>
      <c r="E2" s="82" t="s">
        <v>56</v>
      </c>
      <c r="F2" s="21" t="s">
        <v>10</v>
      </c>
      <c r="G2" s="21" t="s">
        <v>0</v>
      </c>
      <c r="H2" s="21" t="s">
        <v>8</v>
      </c>
      <c r="I2" s="21" t="s">
        <v>9</v>
      </c>
      <c r="K2" s="47" t="s">
        <v>63</v>
      </c>
      <c r="L2" s="21" t="s">
        <v>3</v>
      </c>
      <c r="M2" s="21" t="s">
        <v>56</v>
      </c>
      <c r="N2" s="21" t="s">
        <v>10</v>
      </c>
      <c r="O2" s="21" t="s">
        <v>0</v>
      </c>
      <c r="P2" s="21" t="s">
        <v>8</v>
      </c>
      <c r="Q2" s="48" t="s">
        <v>9</v>
      </c>
    </row>
    <row r="3" spans="1:17" x14ac:dyDescent="0.25">
      <c r="A3" s="1"/>
      <c r="B3" s="1"/>
      <c r="C3" s="1"/>
      <c r="D3" s="1"/>
      <c r="E3" s="20"/>
      <c r="F3" s="9"/>
      <c r="G3" s="9"/>
      <c r="H3" s="9"/>
      <c r="I3" s="9"/>
      <c r="K3" s="49"/>
      <c r="L3" s="34"/>
      <c r="M3" s="34"/>
      <c r="N3" s="1"/>
      <c r="O3" s="1"/>
      <c r="P3" s="1"/>
      <c r="Q3" s="50"/>
    </row>
    <row r="4" spans="1:17" ht="30" x14ac:dyDescent="0.25">
      <c r="A4" s="128" t="s">
        <v>166</v>
      </c>
      <c r="B4" s="128" t="s">
        <v>123</v>
      </c>
      <c r="C4" s="128" t="s">
        <v>124</v>
      </c>
      <c r="D4" s="128" t="s">
        <v>212</v>
      </c>
      <c r="E4" s="129">
        <v>21953807</v>
      </c>
      <c r="F4" s="185">
        <f>SUMIFS(Bérköltség!$S$6:$S$686,Bérköltség!$F$6:$F$686,$D4,Bérköltség!$L$6:$L$686,"Tény")</f>
        <v>21511259</v>
      </c>
      <c r="G4" s="185">
        <f>E4-F4</f>
        <v>442548</v>
      </c>
      <c r="H4" s="185">
        <f>SUMIFS(Bérköltség!$S$6:$S$686,Bérköltség!$F$6:$F$686,$D4,Bérköltség!$L$6:$L$686,"Köt. váll.")</f>
        <v>0</v>
      </c>
      <c r="I4" s="185">
        <f>G4-H4</f>
        <v>442548</v>
      </c>
      <c r="K4" s="51" t="s">
        <v>235</v>
      </c>
      <c r="L4" s="35" t="s">
        <v>179</v>
      </c>
      <c r="M4" s="33">
        <v>106278768</v>
      </c>
      <c r="N4" s="10">
        <f>SUMIFS(Bérköltség!$S$6:$S$686,Bérköltség!$L$6:$L$686,"Tény",Bérköltség!$G$6:$G$686,$L4)+SUMIFS(Bérköltség!$T$6:$T$686,Bérköltség!$L$6:$L$686,"Tény",Bérköltség!$G$6:$G$686,$L4)</f>
        <v>102320448</v>
      </c>
      <c r="O4" s="10">
        <f>M4-N4</f>
        <v>3958320</v>
      </c>
      <c r="P4" s="10">
        <f>SUMIFS(Bérköltség!$S$6:$S$686,Bérköltség!$L$6:$L$686,"Köt. váll.",Bérköltség!$G$6:$G$686,$L4)+SUMIFS(Bérköltség!$T$6:$T$686,Bérköltség!$L$6:$L$686,"Köt. váll.",Bérköltség!$G$6:$G$686,$L4)</f>
        <v>4037326</v>
      </c>
      <c r="Q4" s="52">
        <f>O4-P4</f>
        <v>-79006</v>
      </c>
    </row>
    <row r="5" spans="1:17" ht="30" x14ac:dyDescent="0.25">
      <c r="A5" s="128" t="s">
        <v>169</v>
      </c>
      <c r="B5" s="128" t="s">
        <v>123</v>
      </c>
      <c r="C5" s="128" t="s">
        <v>124</v>
      </c>
      <c r="D5" s="128" t="s">
        <v>213</v>
      </c>
      <c r="E5" s="129">
        <v>152338726</v>
      </c>
      <c r="F5" s="185">
        <f>SUMIFS(Bérköltség!$S$6:$S$686,Bérköltség!$F$6:$F$686,$D5,Bérköltség!$L$6:$L$686,"Tény")</f>
        <v>128017475</v>
      </c>
      <c r="G5" s="185">
        <f t="shared" ref="G5:G8" si="0">E5-F5</f>
        <v>24321251</v>
      </c>
      <c r="H5" s="185">
        <f>SUMIFS(Bérköltség!$S$6:$S$686,Bérköltség!$F$6:$F$686,$D5,Bérköltség!$L$6:$L$686,"Köt. váll.")</f>
        <v>7871325</v>
      </c>
      <c r="I5" s="185">
        <f t="shared" ref="I5:I8" si="1">G5-H5</f>
        <v>16449926</v>
      </c>
      <c r="K5" s="51" t="s">
        <v>164</v>
      </c>
      <c r="L5" s="35" t="s">
        <v>180</v>
      </c>
      <c r="M5" s="33">
        <v>106278768</v>
      </c>
      <c r="N5" s="10">
        <f>SUMIFS(Bérköltség!$S$6:$S$686,Bérköltség!$L$6:$L$686,"Tény",Bérköltség!$G$6:$G$686,$L5)+SUMIFS(Bérköltség!$T$6:$T$686,Bérköltség!$L$6:$L$686,"Tény",Bérköltség!$G$6:$G$686,$L5)</f>
        <v>99582026</v>
      </c>
      <c r="O5" s="10">
        <f t="shared" ref="O5:O6" si="2">M5-N5</f>
        <v>6696742</v>
      </c>
      <c r="P5" s="10">
        <f>SUMIFS(Bérköltség!$S$6:$S$686,Bérköltség!$L$6:$L$686,"Köt. váll.",Bérköltség!$G$6:$G$686,$L5)+SUMIFS(Bérköltség!$T$6:$T$686,Bérköltség!$L$6:$L$686,"Köt. váll.",Bérköltség!$G$6:$G$686,$L5)</f>
        <v>6658989</v>
      </c>
      <c r="Q5" s="52">
        <f t="shared" ref="Q5:Q6" si="3">O5-P5</f>
        <v>37753</v>
      </c>
    </row>
    <row r="6" spans="1:17" ht="30" x14ac:dyDescent="0.25">
      <c r="A6" s="128" t="s">
        <v>166</v>
      </c>
      <c r="B6" s="128" t="s">
        <v>123</v>
      </c>
      <c r="C6" s="128" t="s">
        <v>131</v>
      </c>
      <c r="D6" s="128" t="s">
        <v>214</v>
      </c>
      <c r="E6" s="129">
        <v>3968286</v>
      </c>
      <c r="F6" s="185">
        <f>SUMIFS(Bérköltség!$S$6:$S$686,Bérköltség!$F$6:$F$686,$D6,Bérköltség!$L$6:$L$686,"Tény")</f>
        <v>3703030</v>
      </c>
      <c r="G6" s="185">
        <f t="shared" si="0"/>
        <v>265256</v>
      </c>
      <c r="H6" s="185">
        <f>SUMIFS(Bérköltség!$S$6:$S$686,Bérköltség!$F$6:$F$686,$D6,Bérköltség!$L$6:$L$686,"Köt. váll.")</f>
        <v>0</v>
      </c>
      <c r="I6" s="185">
        <f t="shared" si="1"/>
        <v>265256</v>
      </c>
      <c r="K6" s="51" t="s">
        <v>234</v>
      </c>
      <c r="L6" s="35" t="s">
        <v>181</v>
      </c>
      <c r="M6" s="33">
        <v>7191000</v>
      </c>
      <c r="N6" s="10">
        <f>SUMIFS(Bérköltség!$S$6:$S$686,Bérköltség!$L$6:$L$686,"Tény",Bérköltség!$G$6:$G$686,$L6)+SUMIFS(Bérköltség!$T$6:$T$686,Bérköltség!$L$6:$L$686,"Tény",Bérköltség!$G$6:$G$686,$L6)</f>
        <v>6943805</v>
      </c>
      <c r="O6" s="10">
        <f t="shared" si="2"/>
        <v>247195</v>
      </c>
      <c r="P6" s="10">
        <f>SUMIFS(Bérköltség!$S$6:$S$686,Bérköltség!$L$6:$L$686,"Köt. váll.",Bérköltség!$G$6:$G$686,$L6)+SUMIFS(Bérköltség!$T$6:$T$686,Bérköltség!$L$6:$L$686,"Köt. váll.",Bérköltség!$G$6:$G$686,$L6)</f>
        <v>240028</v>
      </c>
      <c r="Q6" s="52">
        <f t="shared" si="3"/>
        <v>7167</v>
      </c>
    </row>
    <row r="7" spans="1:17" ht="30.75" thickBot="1" x14ac:dyDescent="0.3">
      <c r="A7" s="128" t="s">
        <v>169</v>
      </c>
      <c r="B7" s="128" t="s">
        <v>123</v>
      </c>
      <c r="C7" s="128" t="s">
        <v>131</v>
      </c>
      <c r="D7" s="128" t="s">
        <v>215</v>
      </c>
      <c r="E7" s="129">
        <v>5670000</v>
      </c>
      <c r="F7" s="185">
        <f>SUMIFS(Bérköltség!$S$6:$S$686,Bérköltség!$F$6:$F$686,$D7,Bérköltség!$L$6:$L$686,"Tény")</f>
        <v>23827174</v>
      </c>
      <c r="G7" s="185">
        <f t="shared" si="0"/>
        <v>-18157174</v>
      </c>
      <c r="H7" s="185">
        <f>SUMIFS(Bérköltség!$S$6:$S$686,Bérköltség!$F$6:$F$686,$D7,Bérköltség!$L$6:$L$686,"Köt. váll.")</f>
        <v>1594440</v>
      </c>
      <c r="I7" s="185">
        <f t="shared" si="1"/>
        <v>-19751614</v>
      </c>
      <c r="K7" s="229" t="s">
        <v>14</v>
      </c>
      <c r="L7" s="230"/>
      <c r="M7" s="147">
        <f>SUM(M4:M6)</f>
        <v>219748536</v>
      </c>
      <c r="N7" s="147">
        <f t="shared" ref="N7:Q7" si="4">SUM(N4:N6)</f>
        <v>208846279</v>
      </c>
      <c r="O7" s="147">
        <f t="shared" si="4"/>
        <v>10902257</v>
      </c>
      <c r="P7" s="147">
        <f t="shared" si="4"/>
        <v>10936343</v>
      </c>
      <c r="Q7" s="147">
        <f t="shared" si="4"/>
        <v>-34086</v>
      </c>
    </row>
    <row r="8" spans="1:17" ht="30.75" thickBot="1" x14ac:dyDescent="0.3">
      <c r="A8" s="128" t="s">
        <v>129</v>
      </c>
      <c r="B8" s="128" t="s">
        <v>123</v>
      </c>
      <c r="C8" s="128" t="s">
        <v>130</v>
      </c>
      <c r="D8" s="128" t="s">
        <v>173</v>
      </c>
      <c r="E8" s="129">
        <v>6120000</v>
      </c>
      <c r="F8" s="185">
        <f>SUMIFS(Bérköltség!$S$6:$S$686,Bérköltség!$F$6:$F$686,$D8,Bérköltség!$L$6:$L$686,"Tény")</f>
        <v>6073876</v>
      </c>
      <c r="G8" s="185">
        <f t="shared" si="0"/>
        <v>46124</v>
      </c>
      <c r="H8" s="185">
        <f>SUMIFS(Bérköltség!$S$6:$S$686,Bérköltség!$F$6:$F$686,$D8,Bérköltség!$L$6:$L$686,"Köt. váll.")</f>
        <v>212414</v>
      </c>
      <c r="I8" s="185">
        <f t="shared" si="1"/>
        <v>-166290</v>
      </c>
    </row>
    <row r="9" spans="1:17" ht="15.75" thickBot="1" x14ac:dyDescent="0.3">
      <c r="A9" s="83"/>
      <c r="B9" s="83"/>
      <c r="C9" s="186"/>
      <c r="D9" s="187"/>
      <c r="E9" s="188">
        <f>SUM(E4:E8)</f>
        <v>190050819</v>
      </c>
      <c r="F9" s="188">
        <f>SUM(F4:F8)</f>
        <v>183132814</v>
      </c>
      <c r="G9" s="188">
        <f>SUM(G4:G8)</f>
        <v>6918005</v>
      </c>
      <c r="H9" s="188">
        <f>SUM(H4:H8)</f>
        <v>9678179</v>
      </c>
      <c r="I9" s="188">
        <f>SUM(I4:I8)</f>
        <v>-2760174</v>
      </c>
      <c r="M9" s="193"/>
    </row>
    <row r="10" spans="1:17" ht="30" x14ac:dyDescent="0.25">
      <c r="A10" s="128" t="s">
        <v>166</v>
      </c>
      <c r="B10" s="128" t="s">
        <v>132</v>
      </c>
      <c r="C10" s="128" t="s">
        <v>133</v>
      </c>
      <c r="D10" s="128" t="s">
        <v>212</v>
      </c>
      <c r="E10" s="129">
        <v>3402840</v>
      </c>
      <c r="F10" s="185">
        <f>SUMIFS(Bérköltség!$T$6:$T$686,Bérköltség!$F$6:$F$686,$D4,Bérköltség!$L$6:$L$686,"Tény")</f>
        <v>3377241</v>
      </c>
      <c r="G10" s="185">
        <f>E10-F10</f>
        <v>25599</v>
      </c>
      <c r="H10" s="185">
        <f>SUMIFS(Bérköltség!$T$6:$T$686,Bérköltség!$F$6:$F$686,$D4,Bérköltség!$L$6:$L$686,"Köt. váll.")</f>
        <v>0</v>
      </c>
      <c r="I10" s="185">
        <f>G10-H10</f>
        <v>25599</v>
      </c>
      <c r="K10" s="40" t="s">
        <v>236</v>
      </c>
      <c r="L10" s="39">
        <v>44213</v>
      </c>
      <c r="M10" s="39">
        <v>44943</v>
      </c>
      <c r="N10" s="39">
        <v>44943</v>
      </c>
      <c r="O10" s="37"/>
      <c r="P10" s="37"/>
      <c r="Q10" s="37"/>
    </row>
    <row r="11" spans="1:17" ht="30" x14ac:dyDescent="0.25">
      <c r="A11" s="128" t="s">
        <v>169</v>
      </c>
      <c r="B11" s="128" t="s">
        <v>132</v>
      </c>
      <c r="C11" s="128" t="s">
        <v>133</v>
      </c>
      <c r="D11" s="128" t="s">
        <v>213</v>
      </c>
      <c r="E11" s="129">
        <v>23612502</v>
      </c>
      <c r="F11" s="185">
        <f>SUMIFS(Bérköltség!$T$6:$T$686,Bérköltség!$F$6:$F$686,$D5,Bérköltség!$L$6:$L$686,"Tény")</f>
        <v>17641248</v>
      </c>
      <c r="G11" s="185">
        <f t="shared" ref="G11:G14" si="5">E11-F11</f>
        <v>5971254</v>
      </c>
      <c r="H11" s="185">
        <f>SUMIFS(Bérköltség!$T$6:$T$686,Bérköltség!$F$6:$F$686,$D5,Bérköltség!$L$6:$L$686,"Köt. váll.")</f>
        <v>1023272</v>
      </c>
      <c r="I11" s="185">
        <f t="shared" ref="I11:I14" si="6">G11-H11</f>
        <v>4947982</v>
      </c>
      <c r="K11" s="38" t="s">
        <v>235</v>
      </c>
      <c r="L11" s="38">
        <v>43426256</v>
      </c>
      <c r="M11" s="38">
        <v>23745577</v>
      </c>
      <c r="N11" s="38">
        <v>36561890</v>
      </c>
      <c r="O11" s="37"/>
      <c r="P11" s="37"/>
      <c r="Q11" s="37"/>
    </row>
    <row r="12" spans="1:17" ht="30" x14ac:dyDescent="0.25">
      <c r="A12" s="128" t="s">
        <v>166</v>
      </c>
      <c r="B12" s="128" t="s">
        <v>132</v>
      </c>
      <c r="C12" s="128" t="s">
        <v>135</v>
      </c>
      <c r="D12" s="128" t="s">
        <v>214</v>
      </c>
      <c r="E12" s="129">
        <v>619107</v>
      </c>
      <c r="F12" s="185">
        <f>SUMIFS(Bérköltség!$T$6:$T$686,Bérköltség!$F$6:$F$686,$D6,Bérköltség!$L$6:$L$686,"Tény")</f>
        <v>577993</v>
      </c>
      <c r="G12" s="185">
        <f t="shared" si="5"/>
        <v>41114</v>
      </c>
      <c r="H12" s="185">
        <f>SUMIFS(Bérköltség!$T$6:$T$686,Bérköltség!$F$6:$F$686,$D6,Bérköltség!$L$6:$L$686,"Köt. váll.")</f>
        <v>0</v>
      </c>
      <c r="I12" s="185">
        <f t="shared" si="6"/>
        <v>41114</v>
      </c>
      <c r="K12" s="36" t="s">
        <v>164</v>
      </c>
      <c r="L12" s="38">
        <v>26426256</v>
      </c>
      <c r="M12" s="36"/>
      <c r="N12" s="36">
        <v>55000000</v>
      </c>
      <c r="O12" s="37"/>
      <c r="P12" s="37"/>
      <c r="Q12" s="37"/>
    </row>
    <row r="13" spans="1:17" ht="30" x14ac:dyDescent="0.25">
      <c r="A13" s="128" t="s">
        <v>169</v>
      </c>
      <c r="B13" s="128" t="s">
        <v>132</v>
      </c>
      <c r="C13" s="128" t="s">
        <v>135</v>
      </c>
      <c r="D13" s="128" t="s">
        <v>215</v>
      </c>
      <c r="E13" s="129">
        <v>992268</v>
      </c>
      <c r="F13" s="185">
        <f>SUMIFS(Bérköltség!$T$6:$T$686,Bérköltség!$F$6:$F$686,$D7,Bérköltség!$L$6:$L$686,"Tény")</f>
        <v>3247054</v>
      </c>
      <c r="G13" s="185">
        <f t="shared" si="5"/>
        <v>-2254786</v>
      </c>
      <c r="H13" s="185">
        <f>SUMIFS(Bérköltség!$T$6:$T$686,Bérköltség!$F$6:$F$686,$D7,Bérköltség!$L$6:$L$686,"Köt. váll.")</f>
        <v>207278</v>
      </c>
      <c r="I13" s="185">
        <f t="shared" si="6"/>
        <v>-2462064</v>
      </c>
      <c r="K13" s="36" t="s">
        <v>234</v>
      </c>
      <c r="L13" s="36">
        <v>3397000</v>
      </c>
      <c r="M13" s="36">
        <v>3794000</v>
      </c>
      <c r="N13" s="36"/>
      <c r="O13" s="37"/>
      <c r="P13" s="37"/>
      <c r="Q13" s="37"/>
    </row>
    <row r="14" spans="1:17" ht="30.75" thickBot="1" x14ac:dyDescent="0.3">
      <c r="A14" s="128" t="s">
        <v>129</v>
      </c>
      <c r="B14" s="128" t="s">
        <v>132</v>
      </c>
      <c r="C14" s="128" t="s">
        <v>134</v>
      </c>
      <c r="D14" s="128" t="s">
        <v>173</v>
      </c>
      <c r="E14" s="129">
        <v>1071000</v>
      </c>
      <c r="F14" s="185">
        <f>SUMIFS(Bérköltség!$T$6:$T$686,Bérköltség!$F$6:$F$686,$D8,Bérköltség!$L$6:$L$686,"Tény")</f>
        <v>869929</v>
      </c>
      <c r="G14" s="185">
        <f t="shared" si="5"/>
        <v>201071</v>
      </c>
      <c r="H14" s="185">
        <f>SUMIFS(Bérköltség!$T$6:$T$686,Bérköltség!$F$6:$F$686,$D8,Bérköltség!$L$6:$L$686,"Köt. váll.")</f>
        <v>27614</v>
      </c>
      <c r="I14" s="185">
        <f t="shared" si="6"/>
        <v>173457</v>
      </c>
      <c r="K14" s="36"/>
      <c r="L14" s="40">
        <f>SUM(L11:L13)</f>
        <v>73249512</v>
      </c>
      <c r="M14" s="40">
        <f>SUM(M11:M13)</f>
        <v>27539577</v>
      </c>
      <c r="N14" s="40">
        <f>SUM(N11:N13)</f>
        <v>91561890</v>
      </c>
      <c r="O14" s="37"/>
      <c r="P14" s="37"/>
      <c r="Q14" s="37"/>
    </row>
    <row r="15" spans="1:17" ht="15.75" thickBot="1" x14ac:dyDescent="0.3">
      <c r="A15" s="83"/>
      <c r="B15" s="83"/>
      <c r="C15" s="83"/>
      <c r="D15" s="84"/>
      <c r="E15" s="85">
        <f>SUM(E10:E14)</f>
        <v>29697717</v>
      </c>
      <c r="F15" s="85">
        <f>SUM(F10:F14)</f>
        <v>25713465</v>
      </c>
      <c r="G15" s="85">
        <f>SUM(G10:G14)</f>
        <v>3984252</v>
      </c>
      <c r="H15" s="85">
        <f>SUM(H10:H14)</f>
        <v>1258164</v>
      </c>
      <c r="I15" s="85">
        <f>SUM(I10:I14)</f>
        <v>2726088</v>
      </c>
      <c r="K15" s="36"/>
      <c r="L15" s="36"/>
      <c r="M15" s="36"/>
      <c r="N15" s="37"/>
      <c r="O15" s="37"/>
      <c r="P15" s="37"/>
      <c r="Q15" s="37"/>
    </row>
    <row r="16" spans="1:17" s="5" customFormat="1" ht="21.75" customHeight="1" thickBot="1" x14ac:dyDescent="0.3">
      <c r="A16" s="226" t="s">
        <v>14</v>
      </c>
      <c r="B16" s="227"/>
      <c r="C16" s="227"/>
      <c r="D16" s="228"/>
      <c r="E16" s="86">
        <f>E9+E15</f>
        <v>219748536</v>
      </c>
      <c r="F16" s="86">
        <f>F9+F15</f>
        <v>208846279</v>
      </c>
      <c r="G16" s="86">
        <f>G9+G15</f>
        <v>10902257</v>
      </c>
      <c r="H16" s="86">
        <f>H9+H15</f>
        <v>10936343</v>
      </c>
      <c r="I16" s="86">
        <f>I9+I15</f>
        <v>-34086</v>
      </c>
      <c r="K16" s="40"/>
      <c r="L16" s="36"/>
      <c r="M16" s="36"/>
      <c r="N16" s="37"/>
      <c r="O16" s="37"/>
      <c r="P16" s="37"/>
      <c r="Q16" s="37"/>
    </row>
    <row r="17" spans="5:17" x14ac:dyDescent="0.25">
      <c r="K17" s="36"/>
      <c r="L17" s="36"/>
      <c r="M17" s="36"/>
      <c r="N17" s="37"/>
      <c r="O17" s="37"/>
      <c r="P17" s="37"/>
      <c r="Q17" s="37"/>
    </row>
    <row r="18" spans="5:17" x14ac:dyDescent="0.25">
      <c r="K18" s="36"/>
      <c r="L18" s="36"/>
      <c r="M18" s="36"/>
      <c r="N18" s="37"/>
      <c r="O18" s="37"/>
      <c r="P18" s="37"/>
      <c r="Q18" s="37"/>
    </row>
    <row r="19" spans="5:17" x14ac:dyDescent="0.25">
      <c r="K19" s="36"/>
      <c r="L19" s="36"/>
      <c r="M19" s="36"/>
      <c r="N19" s="37"/>
      <c r="O19" s="37"/>
      <c r="P19" s="37"/>
      <c r="Q19" s="37"/>
    </row>
    <row r="20" spans="5:17" x14ac:dyDescent="0.25">
      <c r="K20" s="36"/>
      <c r="L20" s="36"/>
      <c r="M20" s="36"/>
      <c r="N20" s="37"/>
      <c r="O20" s="37"/>
      <c r="P20" s="37"/>
      <c r="Q20" s="37"/>
    </row>
    <row r="21" spans="5:17" x14ac:dyDescent="0.25">
      <c r="E21" s="8"/>
    </row>
  </sheetData>
  <customSheetViews>
    <customSheetView guid="{B3053EE5-F487-4331-B4B6-28A1F2EF1617}" scale="85" showAutoFilter="1">
      <selection activeCell="H12" sqref="H12"/>
      <pageMargins left="0.7" right="0.7" top="0.75" bottom="0.75" header="0.3" footer="0.3"/>
      <pageSetup paperSize="9" orientation="landscape" horizontalDpi="4294967293" r:id="rId1"/>
      <autoFilter ref="A3:L77" xr:uid="{D31E420A-6E53-4600-B3C0-B0F1B784ABF5}"/>
    </customSheetView>
  </customSheetViews>
  <mergeCells count="3">
    <mergeCell ref="A1:I1"/>
    <mergeCell ref="A16:D16"/>
    <mergeCell ref="K7:L7"/>
  </mergeCells>
  <phoneticPr fontId="6" type="noConversion"/>
  <conditionalFormatting sqref="I4:I16">
    <cfRule type="cellIs" dxfId="0" priority="1" operator="lessThan">
      <formula>0</formula>
    </cfRule>
  </conditionalFormatting>
  <pageMargins left="0.7" right="0.7" top="0.75" bottom="0.75" header="0.3" footer="0.3"/>
  <pageSetup paperSize="9" orientation="landscape" horizontalDpi="4294967293"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Munka2"/>
  <dimension ref="A1:AF689"/>
  <sheetViews>
    <sheetView tabSelected="1" topLeftCell="G1" zoomScaleNormal="100" workbookViewId="0">
      <pane ySplit="5" topLeftCell="A6" activePane="bottomLeft" state="frozen"/>
      <selection pane="bottomLeft" activeCell="S11" sqref="S11"/>
    </sheetView>
  </sheetViews>
  <sheetFormatPr defaultRowHeight="15" outlineLevelCol="1" x14ac:dyDescent="0.25"/>
  <cols>
    <col min="1" max="1" width="10.85546875" style="4" bestFit="1" customWidth="1"/>
    <col min="2" max="2" width="32.28515625" bestFit="1" customWidth="1"/>
    <col min="3" max="3" width="22.42578125" hidden="1" customWidth="1" outlineLevel="1"/>
    <col min="4" max="4" width="19.28515625" hidden="1" customWidth="1" outlineLevel="1"/>
    <col min="5" max="5" width="14.7109375" hidden="1" customWidth="1" outlineLevel="1"/>
    <col min="6" max="6" width="34.7109375" hidden="1" customWidth="1" outlineLevel="1"/>
    <col min="7" max="7" width="16.28515625" customWidth="1" collapsed="1"/>
    <col min="8" max="8" width="15" customWidth="1"/>
    <col min="9" max="9" width="22" customWidth="1"/>
    <col min="10" max="10" width="11.7109375" style="4" customWidth="1"/>
    <col min="11" max="11" width="10.140625" style="4" customWidth="1"/>
    <col min="12" max="12" width="12.28515625" customWidth="1"/>
    <col min="13" max="13" width="12.85546875" customWidth="1"/>
    <col min="14" max="14" width="11.85546875" style="11" customWidth="1"/>
    <col min="15" max="15" width="10.7109375" style="11" customWidth="1"/>
    <col min="16" max="16" width="11.140625" style="4" customWidth="1"/>
    <col min="17" max="18" width="11" style="15" customWidth="1"/>
    <col min="19" max="19" width="13.85546875" style="2" customWidth="1"/>
    <col min="20" max="20" width="14.5703125" style="2" customWidth="1"/>
    <col min="21" max="21" width="16.42578125" style="24" customWidth="1"/>
    <col min="22" max="22" width="10.5703125" style="53" customWidth="1"/>
    <col min="23" max="23" width="13.85546875" style="15" customWidth="1"/>
    <col min="24" max="24" width="16.42578125" style="4" customWidth="1"/>
    <col min="25" max="25" width="10.5703125" style="4" customWidth="1"/>
    <col min="26" max="26" width="10.5703125" style="18" customWidth="1"/>
    <col min="27" max="27" width="11.140625" style="4" customWidth="1"/>
    <col min="29" max="31" width="11.7109375" customWidth="1"/>
    <col min="32" max="47" width="8.85546875"/>
  </cols>
  <sheetData>
    <row r="1" spans="1:32" x14ac:dyDescent="0.25">
      <c r="B1" t="s">
        <v>298</v>
      </c>
      <c r="G1" t="s">
        <v>328</v>
      </c>
      <c r="H1" t="s">
        <v>300</v>
      </c>
      <c r="J1" s="4" t="s">
        <v>329</v>
      </c>
      <c r="S1" s="2" t="s">
        <v>210</v>
      </c>
      <c r="T1" s="2" t="s">
        <v>301</v>
      </c>
      <c r="W1" s="15" t="s">
        <v>331</v>
      </c>
      <c r="AF1" t="s">
        <v>330</v>
      </c>
    </row>
    <row r="2" spans="1:32" ht="19.5" thickBot="1" x14ac:dyDescent="0.35">
      <c r="B2" s="231"/>
      <c r="C2" s="231"/>
      <c r="D2" s="231"/>
      <c r="E2" s="231"/>
      <c r="F2" s="231"/>
      <c r="G2" s="231"/>
      <c r="H2" s="231"/>
      <c r="I2" s="232"/>
      <c r="J2" s="231"/>
      <c r="K2" s="61"/>
      <c r="L2" s="22"/>
      <c r="M2" s="6"/>
      <c r="N2" s="184" t="s">
        <v>237</v>
      </c>
      <c r="O2" s="13"/>
      <c r="U2" s="23"/>
      <c r="AC2" s="204" t="e">
        <f>IF(VLOOKUP($W2,'Havi béradatok'!$B:$E,2,FALSE)=H2,"EGYEZIK","HIBÁS")</f>
        <v>#N/A</v>
      </c>
      <c r="AD2" s="216" t="e">
        <f>VLOOKUP($W2,'Havi béradatok'!$B:$E,3,FALSE)-N2</f>
        <v>#N/A</v>
      </c>
      <c r="AE2" s="216" t="e">
        <f>VLOOKUP($W2,'Havi béradatok'!$B:$E,4,FALSE)-O2</f>
        <v>#N/A</v>
      </c>
    </row>
    <row r="3" spans="1:32" s="5" customFormat="1" ht="30" customHeight="1" x14ac:dyDescent="0.25">
      <c r="A3" s="75"/>
      <c r="B3" s="76" t="s">
        <v>80</v>
      </c>
      <c r="C3" s="76"/>
      <c r="D3" s="76"/>
      <c r="E3" s="76"/>
      <c r="F3" s="148"/>
      <c r="G3" s="148"/>
      <c r="H3" s="148"/>
      <c r="I3" s="233" t="s">
        <v>79</v>
      </c>
      <c r="J3" s="149"/>
      <c r="K3" s="149"/>
      <c r="L3" s="150"/>
      <c r="M3" s="149" t="s">
        <v>83</v>
      </c>
      <c r="N3" s="154" t="s">
        <v>84</v>
      </c>
      <c r="O3" s="155" t="s">
        <v>84</v>
      </c>
      <c r="P3" s="156" t="s">
        <v>84</v>
      </c>
      <c r="Q3" s="156" t="s">
        <v>89</v>
      </c>
      <c r="R3" s="235" t="s">
        <v>71</v>
      </c>
      <c r="S3" s="156" t="s">
        <v>89</v>
      </c>
      <c r="T3" s="169" t="s">
        <v>89</v>
      </c>
      <c r="U3" s="67" t="s">
        <v>57</v>
      </c>
      <c r="V3" s="54" t="s">
        <v>64</v>
      </c>
      <c r="W3" s="206"/>
      <c r="X3" s="194" t="s">
        <v>59</v>
      </c>
      <c r="Y3" s="25" t="s">
        <v>60</v>
      </c>
      <c r="Z3" s="28" t="s">
        <v>13</v>
      </c>
      <c r="AA3" s="25" t="s">
        <v>242</v>
      </c>
      <c r="AC3" s="201"/>
      <c r="AD3" s="201"/>
      <c r="AE3" s="201"/>
    </row>
    <row r="4" spans="1:32" s="5" customFormat="1" ht="30" customHeight="1" x14ac:dyDescent="0.25">
      <c r="A4" s="77" t="s">
        <v>91</v>
      </c>
      <c r="B4" s="78" t="s">
        <v>5</v>
      </c>
      <c r="C4" s="78" t="s">
        <v>93</v>
      </c>
      <c r="D4" s="78" t="s">
        <v>94</v>
      </c>
      <c r="E4" s="78" t="s">
        <v>94</v>
      </c>
      <c r="F4" s="151" t="s">
        <v>94</v>
      </c>
      <c r="G4" s="152" t="s">
        <v>11</v>
      </c>
      <c r="H4" s="152" t="s">
        <v>11</v>
      </c>
      <c r="I4" s="234"/>
      <c r="J4" s="152" t="s">
        <v>74</v>
      </c>
      <c r="K4" s="152" t="s">
        <v>74</v>
      </c>
      <c r="L4" s="152" t="s">
        <v>6</v>
      </c>
      <c r="M4" s="152" t="s">
        <v>82</v>
      </c>
      <c r="N4" s="157" t="s">
        <v>85</v>
      </c>
      <c r="O4" s="158" t="s">
        <v>86</v>
      </c>
      <c r="P4" s="159" t="s">
        <v>87</v>
      </c>
      <c r="Q4" s="160" t="s">
        <v>18</v>
      </c>
      <c r="R4" s="236"/>
      <c r="S4" s="161" t="s">
        <v>18</v>
      </c>
      <c r="T4" s="162" t="s">
        <v>18</v>
      </c>
      <c r="U4" s="68" t="s">
        <v>1</v>
      </c>
      <c r="V4" s="55" t="s">
        <v>65</v>
      </c>
      <c r="W4" s="207" t="s">
        <v>264</v>
      </c>
      <c r="X4" s="31" t="s">
        <v>67</v>
      </c>
      <c r="Y4" s="26" t="s">
        <v>61</v>
      </c>
      <c r="Z4" s="29" t="s">
        <v>27</v>
      </c>
      <c r="AA4" s="26" t="s">
        <v>243</v>
      </c>
      <c r="AC4" s="202" t="s">
        <v>3</v>
      </c>
      <c r="AD4" s="202" t="s">
        <v>210</v>
      </c>
      <c r="AE4" s="202" t="s">
        <v>301</v>
      </c>
    </row>
    <row r="5" spans="1:32" s="5" customFormat="1" ht="30" customHeight="1" thickBot="1" x14ac:dyDescent="0.3">
      <c r="A5" s="79" t="s">
        <v>90</v>
      </c>
      <c r="B5" s="80" t="s">
        <v>22</v>
      </c>
      <c r="C5" s="81" t="s">
        <v>92</v>
      </c>
      <c r="D5" s="81" t="s">
        <v>95</v>
      </c>
      <c r="E5" s="81" t="s">
        <v>96</v>
      </c>
      <c r="F5" s="153" t="s">
        <v>97</v>
      </c>
      <c r="G5" s="153" t="s">
        <v>23</v>
      </c>
      <c r="H5" s="153" t="s">
        <v>24</v>
      </c>
      <c r="I5" s="168"/>
      <c r="J5" s="153" t="s">
        <v>81</v>
      </c>
      <c r="K5" s="153" t="s">
        <v>145</v>
      </c>
      <c r="L5" s="153" t="s">
        <v>7</v>
      </c>
      <c r="M5" s="153"/>
      <c r="N5" s="163"/>
      <c r="O5" s="164"/>
      <c r="P5" s="165" t="s">
        <v>88</v>
      </c>
      <c r="Q5" s="166" t="s">
        <v>17</v>
      </c>
      <c r="R5" s="189"/>
      <c r="S5" s="165" t="s">
        <v>16</v>
      </c>
      <c r="T5" s="167" t="s">
        <v>19</v>
      </c>
      <c r="U5" s="69" t="s">
        <v>58</v>
      </c>
      <c r="V5" s="56" t="s">
        <v>29</v>
      </c>
      <c r="W5" s="208" t="s">
        <v>265</v>
      </c>
      <c r="X5" s="32" t="s">
        <v>21</v>
      </c>
      <c r="Y5" s="27" t="s">
        <v>15</v>
      </c>
      <c r="Z5" s="30"/>
      <c r="AA5" s="27" t="s">
        <v>244</v>
      </c>
      <c r="AB5" s="5" t="s">
        <v>146</v>
      </c>
      <c r="AC5" s="203" t="s">
        <v>314</v>
      </c>
      <c r="AD5" s="203" t="s">
        <v>314</v>
      </c>
      <c r="AE5" s="203" t="s">
        <v>314</v>
      </c>
    </row>
    <row r="6" spans="1:32" s="3" customFormat="1" ht="14.45" customHeight="1" x14ac:dyDescent="0.25">
      <c r="A6" s="141">
        <v>1</v>
      </c>
      <c r="B6" s="99" t="s">
        <v>182</v>
      </c>
      <c r="C6" s="95" t="str">
        <f>VLOOKUP($F6,Admin!$D$11:$F$19,2,FALSE)</f>
        <v>Alkalmazott (ipari) kutatás</v>
      </c>
      <c r="D6" s="138" t="s">
        <v>123</v>
      </c>
      <c r="E6" s="95" t="str">
        <f>VLOOKUP($F6,Admin!$D$11:$F$19,3,FALSE)</f>
        <v>54. Bérköltség - Kutató-fejlesztő munkatárs</v>
      </c>
      <c r="F6" s="139" t="s">
        <v>212</v>
      </c>
      <c r="G6" s="100" t="s">
        <v>179</v>
      </c>
      <c r="H6" s="100" t="s">
        <v>227</v>
      </c>
      <c r="I6" s="139" t="str">
        <f>VLOOKUP($F6,Admin!$D$11:$G$19,4,FALSE)</f>
        <v>K+F munkatárs</v>
      </c>
      <c r="J6" s="100" t="s">
        <v>219</v>
      </c>
      <c r="K6" s="95" t="str">
        <f>J6</f>
        <v>2020.04</v>
      </c>
      <c r="L6" s="101" t="s">
        <v>6</v>
      </c>
      <c r="M6" s="96" t="s">
        <v>70</v>
      </c>
      <c r="N6" s="102">
        <v>571000</v>
      </c>
      <c r="O6" s="97">
        <f>ROUND(N6*V6,0)</f>
        <v>99925</v>
      </c>
      <c r="P6" s="104">
        <v>174</v>
      </c>
      <c r="Q6" s="104">
        <v>59</v>
      </c>
      <c r="R6" s="215">
        <f t="shared" ref="R6:R79" si="0">Q6/P6</f>
        <v>0.33908045977011492</v>
      </c>
      <c r="S6" s="105">
        <f>ROUND(N6*Q6/P6,0)</f>
        <v>193615</v>
      </c>
      <c r="T6" s="98">
        <f>ROUND(S6*V6,0)</f>
        <v>33883</v>
      </c>
      <c r="U6" s="70">
        <f t="shared" ref="U6:U80" si="1">Q6/P6-S6/N6</f>
        <v>-1.0065020034089045E-7</v>
      </c>
      <c r="V6" s="140">
        <v>0.17499999999999999</v>
      </c>
      <c r="W6" s="209"/>
      <c r="X6" s="17">
        <v>43901</v>
      </c>
      <c r="Y6" s="12" t="s">
        <v>66</v>
      </c>
      <c r="Z6" s="12"/>
      <c r="AA6" s="12"/>
      <c r="AB6" s="3">
        <v>1</v>
      </c>
    </row>
    <row r="7" spans="1:32" s="3" customFormat="1" ht="14.45" customHeight="1" x14ac:dyDescent="0.25">
      <c r="A7" s="141">
        <v>1</v>
      </c>
      <c r="B7" s="99" t="s">
        <v>182</v>
      </c>
      <c r="C7" s="95" t="str">
        <f>VLOOKUP($F7,Admin!$D$11:$F$19,2,FALSE)</f>
        <v>Alkalmazott (ipari) kutatás</v>
      </c>
      <c r="D7" s="138" t="s">
        <v>123</v>
      </c>
      <c r="E7" s="95" t="str">
        <f>VLOOKUP($F7,Admin!$D$11:$F$19,3,FALSE)</f>
        <v>54. Bérköltség - Kutató-fejlesztő munkatárs</v>
      </c>
      <c r="F7" s="139" t="s">
        <v>212</v>
      </c>
      <c r="G7" s="100" t="s">
        <v>179</v>
      </c>
      <c r="H7" s="100" t="s">
        <v>227</v>
      </c>
      <c r="I7" s="139" t="str">
        <f>VLOOKUP($F7,Admin!$D$11:$G$19,4,FALSE)</f>
        <v>K+F munkatárs</v>
      </c>
      <c r="J7" s="100" t="s">
        <v>220</v>
      </c>
      <c r="K7" s="95" t="str">
        <f t="shared" ref="K7:K81" si="2">J7</f>
        <v>2020.05</v>
      </c>
      <c r="L7" s="101" t="s">
        <v>6</v>
      </c>
      <c r="M7" s="96" t="s">
        <v>70</v>
      </c>
      <c r="N7" s="102">
        <v>571000</v>
      </c>
      <c r="O7" s="97">
        <f t="shared" ref="O7:O81" si="3">ROUND(N7*V7,0)</f>
        <v>99925</v>
      </c>
      <c r="P7" s="104">
        <v>174</v>
      </c>
      <c r="Q7" s="104">
        <v>59</v>
      </c>
      <c r="R7" s="215">
        <f t="shared" si="0"/>
        <v>0.33908045977011492</v>
      </c>
      <c r="S7" s="105">
        <f>ROUND(N7*Q7/P7,0)</f>
        <v>193615</v>
      </c>
      <c r="T7" s="98">
        <f t="shared" ref="T7:T81" si="4">ROUND(S7*V7,0)</f>
        <v>33883</v>
      </c>
      <c r="U7" s="70">
        <f t="shared" si="1"/>
        <v>-1.0065020034089045E-7</v>
      </c>
      <c r="V7" s="140">
        <v>0.17499999999999999</v>
      </c>
      <c r="W7" s="209"/>
      <c r="X7" s="17">
        <v>43901</v>
      </c>
      <c r="Y7" s="12" t="s">
        <v>66</v>
      </c>
      <c r="Z7" s="12"/>
      <c r="AA7" s="12"/>
      <c r="AB7" s="3">
        <v>1</v>
      </c>
    </row>
    <row r="8" spans="1:32" s="3" customFormat="1" ht="14.45" customHeight="1" x14ac:dyDescent="0.25">
      <c r="A8" s="141">
        <v>1</v>
      </c>
      <c r="B8" s="99" t="s">
        <v>182</v>
      </c>
      <c r="C8" s="95" t="str">
        <f>VLOOKUP($F8,Admin!$D$11:$F$19,2,FALSE)</f>
        <v>Alkalmazott (ipari) kutatás</v>
      </c>
      <c r="D8" s="138" t="s">
        <v>123</v>
      </c>
      <c r="E8" s="95" t="str">
        <f>VLOOKUP($F8,Admin!$D$11:$F$19,3,FALSE)</f>
        <v>54. Bérköltség - Kutató-fejlesztő munkatárs</v>
      </c>
      <c r="F8" s="139" t="s">
        <v>212</v>
      </c>
      <c r="G8" s="100" t="s">
        <v>179</v>
      </c>
      <c r="H8" s="100" t="s">
        <v>227</v>
      </c>
      <c r="I8" s="139" t="str">
        <f>VLOOKUP($F8,Admin!$D$11:$G$19,4,FALSE)</f>
        <v>K+F munkatárs</v>
      </c>
      <c r="J8" s="100" t="s">
        <v>221</v>
      </c>
      <c r="K8" s="95" t="str">
        <f t="shared" si="2"/>
        <v>2020.06</v>
      </c>
      <c r="L8" s="101" t="s">
        <v>6</v>
      </c>
      <c r="M8" s="96" t="s">
        <v>70</v>
      </c>
      <c r="N8" s="102">
        <v>571000</v>
      </c>
      <c r="O8" s="97">
        <f t="shared" si="3"/>
        <v>99925</v>
      </c>
      <c r="P8" s="104">
        <v>174</v>
      </c>
      <c r="Q8" s="104">
        <v>158</v>
      </c>
      <c r="R8" s="215">
        <f t="shared" si="0"/>
        <v>0.90804597701149425</v>
      </c>
      <c r="S8" s="105">
        <f t="shared" ref="S8:S528" si="5">ROUND(N8*Q8/P8,0)</f>
        <v>518494</v>
      </c>
      <c r="T8" s="98">
        <f t="shared" si="4"/>
        <v>90736</v>
      </c>
      <c r="U8" s="70">
        <f t="shared" si="1"/>
        <v>4.4286088130007784E-7</v>
      </c>
      <c r="V8" s="140">
        <v>0.17499999999999999</v>
      </c>
      <c r="W8" s="209"/>
      <c r="X8" s="17">
        <v>43956</v>
      </c>
      <c r="Y8" s="12" t="s">
        <v>66</v>
      </c>
      <c r="Z8" s="12"/>
      <c r="AA8" s="12"/>
      <c r="AB8" s="3">
        <v>1</v>
      </c>
    </row>
    <row r="9" spans="1:32" s="3" customFormat="1" ht="14.45" customHeight="1" x14ac:dyDescent="0.25">
      <c r="A9" s="141">
        <v>1</v>
      </c>
      <c r="B9" s="99" t="s">
        <v>182</v>
      </c>
      <c r="C9" s="95" t="str">
        <f>VLOOKUP($F9,Admin!$D$11:$F$19,2,FALSE)</f>
        <v>Alkalmazott (ipari) kutatás</v>
      </c>
      <c r="D9" s="138" t="s">
        <v>123</v>
      </c>
      <c r="E9" s="95" t="str">
        <f>VLOOKUP($F9,Admin!$D$11:$F$19,3,FALSE)</f>
        <v>54. Bérköltség - Kutató-fejlesztő munkatárs</v>
      </c>
      <c r="F9" s="139" t="s">
        <v>212</v>
      </c>
      <c r="G9" s="100" t="s">
        <v>179</v>
      </c>
      <c r="H9" s="100" t="s">
        <v>227</v>
      </c>
      <c r="I9" s="139" t="str">
        <f>VLOOKUP($F9,Admin!$D$11:$G$19,4,FALSE)</f>
        <v>K+F munkatárs</v>
      </c>
      <c r="J9" s="100" t="s">
        <v>222</v>
      </c>
      <c r="K9" s="95" t="str">
        <f t="shared" si="2"/>
        <v>2020.07</v>
      </c>
      <c r="L9" s="101" t="s">
        <v>6</v>
      </c>
      <c r="M9" s="96" t="s">
        <v>70</v>
      </c>
      <c r="N9" s="102">
        <v>571000</v>
      </c>
      <c r="O9" s="97">
        <f t="shared" si="3"/>
        <v>88505</v>
      </c>
      <c r="P9" s="104">
        <v>174</v>
      </c>
      <c r="Q9" s="104">
        <v>158</v>
      </c>
      <c r="R9" s="215">
        <f t="shared" si="0"/>
        <v>0.90804597701149425</v>
      </c>
      <c r="S9" s="105">
        <f t="shared" si="5"/>
        <v>518494</v>
      </c>
      <c r="T9" s="98">
        <f t="shared" si="4"/>
        <v>80367</v>
      </c>
      <c r="U9" s="70">
        <f t="shared" si="1"/>
        <v>4.4286088130007784E-7</v>
      </c>
      <c r="V9" s="140">
        <v>0.155</v>
      </c>
      <c r="W9" s="209"/>
      <c r="X9" s="17">
        <v>43956</v>
      </c>
      <c r="Y9" s="12" t="s">
        <v>66</v>
      </c>
      <c r="Z9" s="12"/>
      <c r="AA9" s="12"/>
      <c r="AB9" s="3">
        <v>1</v>
      </c>
    </row>
    <row r="10" spans="1:32" s="3" customFormat="1" ht="14.45" customHeight="1" x14ac:dyDescent="0.25">
      <c r="A10" s="141">
        <v>1</v>
      </c>
      <c r="B10" s="99" t="s">
        <v>182</v>
      </c>
      <c r="C10" s="95" t="str">
        <f>VLOOKUP($F10,Admin!$D$11:$F$19,2,FALSE)</f>
        <v>Alkalmazott (ipari) kutatás</v>
      </c>
      <c r="D10" s="138" t="s">
        <v>123</v>
      </c>
      <c r="E10" s="95" t="str">
        <f>VLOOKUP($F10,Admin!$D$11:$F$19,3,FALSE)</f>
        <v>54. Bérköltség - Kutató-fejlesztő munkatárs</v>
      </c>
      <c r="F10" s="139" t="s">
        <v>212</v>
      </c>
      <c r="G10" s="100" t="s">
        <v>179</v>
      </c>
      <c r="H10" s="100" t="s">
        <v>228</v>
      </c>
      <c r="I10" s="139" t="str">
        <f>VLOOKUP($F10,Admin!$D$11:$G$19,4,FALSE)</f>
        <v>K+F munkatárs</v>
      </c>
      <c r="J10" s="100" t="s">
        <v>223</v>
      </c>
      <c r="K10" s="95" t="str">
        <f t="shared" si="2"/>
        <v>2020.08</v>
      </c>
      <c r="L10" s="101" t="s">
        <v>6</v>
      </c>
      <c r="M10" s="96" t="s">
        <v>70</v>
      </c>
      <c r="N10" s="102">
        <v>571000</v>
      </c>
      <c r="O10" s="97">
        <f t="shared" si="3"/>
        <v>88505</v>
      </c>
      <c r="P10" s="104">
        <v>174</v>
      </c>
      <c r="Q10" s="104">
        <v>158</v>
      </c>
      <c r="R10" s="215">
        <f t="shared" si="0"/>
        <v>0.90804597701149425</v>
      </c>
      <c r="S10" s="105">
        <f t="shared" si="5"/>
        <v>518494</v>
      </c>
      <c r="T10" s="98">
        <f t="shared" si="4"/>
        <v>80367</v>
      </c>
      <c r="U10" s="70">
        <f t="shared" si="1"/>
        <v>4.4286088130007784E-7</v>
      </c>
      <c r="V10" s="140">
        <v>0.155</v>
      </c>
      <c r="W10" s="209"/>
      <c r="X10" s="17">
        <v>43956</v>
      </c>
      <c r="Y10" s="12" t="s">
        <v>66</v>
      </c>
      <c r="Z10" s="12"/>
      <c r="AA10" s="12"/>
      <c r="AB10" s="3">
        <v>1</v>
      </c>
    </row>
    <row r="11" spans="1:32" s="3" customFormat="1" ht="14.45" customHeight="1" x14ac:dyDescent="0.25">
      <c r="A11" s="141">
        <v>1</v>
      </c>
      <c r="B11" s="99" t="s">
        <v>182</v>
      </c>
      <c r="C11" s="95" t="str">
        <f>VLOOKUP($F11,Admin!$D$11:$F$19,2,FALSE)</f>
        <v>Alkalmazott (ipari) kutatás</v>
      </c>
      <c r="D11" s="138" t="s">
        <v>123</v>
      </c>
      <c r="E11" s="95" t="str">
        <f>VLOOKUP($F11,Admin!$D$11:$F$19,3,FALSE)</f>
        <v>54. Bérköltség - Kutató-fejlesztő munkatárs</v>
      </c>
      <c r="F11" s="139" t="s">
        <v>212</v>
      </c>
      <c r="G11" s="100" t="s">
        <v>179</v>
      </c>
      <c r="H11" s="100" t="s">
        <v>228</v>
      </c>
      <c r="I11" s="139" t="str">
        <f>VLOOKUP($F11,Admin!$D$11:$G$19,4,FALSE)</f>
        <v>K+F munkatárs</v>
      </c>
      <c r="J11" s="100" t="s">
        <v>224</v>
      </c>
      <c r="K11" s="95" t="str">
        <f t="shared" si="2"/>
        <v>2020.09</v>
      </c>
      <c r="L11" s="101" t="s">
        <v>6</v>
      </c>
      <c r="M11" s="96" t="s">
        <v>70</v>
      </c>
      <c r="N11" s="102">
        <v>571000</v>
      </c>
      <c r="O11" s="97">
        <f t="shared" si="3"/>
        <v>88505</v>
      </c>
      <c r="P11" s="104">
        <v>174</v>
      </c>
      <c r="Q11" s="104">
        <v>158</v>
      </c>
      <c r="R11" s="215">
        <f t="shared" si="0"/>
        <v>0.90804597701149425</v>
      </c>
      <c r="S11" s="105">
        <f t="shared" si="5"/>
        <v>518494</v>
      </c>
      <c r="T11" s="98">
        <f t="shared" si="4"/>
        <v>80367</v>
      </c>
      <c r="U11" s="70">
        <f t="shared" si="1"/>
        <v>4.4286088130007784E-7</v>
      </c>
      <c r="V11" s="140">
        <v>0.155</v>
      </c>
      <c r="W11" s="209"/>
      <c r="X11" s="17">
        <v>43956</v>
      </c>
      <c r="Y11" s="12" t="s">
        <v>66</v>
      </c>
      <c r="Z11" s="12"/>
      <c r="AA11" s="12"/>
      <c r="AB11" s="3">
        <v>1</v>
      </c>
    </row>
    <row r="12" spans="1:32" s="3" customFormat="1" ht="14.45" customHeight="1" x14ac:dyDescent="0.25">
      <c r="A12" s="141">
        <v>1</v>
      </c>
      <c r="B12" s="99" t="s">
        <v>182</v>
      </c>
      <c r="C12" s="95" t="str">
        <f>VLOOKUP($F12,Admin!$D$11:$F$19,2,FALSE)</f>
        <v>Alkalmazott (ipari) kutatás</v>
      </c>
      <c r="D12" s="138" t="s">
        <v>123</v>
      </c>
      <c r="E12" s="95" t="str">
        <f>VLOOKUP($F12,Admin!$D$11:$F$19,3,FALSE)</f>
        <v>54. Bérköltség - Kutató-fejlesztő munkatárs</v>
      </c>
      <c r="F12" s="139" t="s">
        <v>212</v>
      </c>
      <c r="G12" s="100" t="s">
        <v>179</v>
      </c>
      <c r="H12" s="100" t="s">
        <v>228</v>
      </c>
      <c r="I12" s="139" t="str">
        <f>VLOOKUP($F12,Admin!$D$11:$G$19,4,FALSE)</f>
        <v>K+F munkatárs</v>
      </c>
      <c r="J12" s="100" t="s">
        <v>225</v>
      </c>
      <c r="K12" s="95" t="str">
        <f t="shared" si="2"/>
        <v>2020.10</v>
      </c>
      <c r="L12" s="101" t="s">
        <v>6</v>
      </c>
      <c r="M12" s="96" t="s">
        <v>70</v>
      </c>
      <c r="N12" s="102">
        <v>571000</v>
      </c>
      <c r="O12" s="97">
        <f t="shared" si="3"/>
        <v>88505</v>
      </c>
      <c r="P12" s="104">
        <v>174</v>
      </c>
      <c r="Q12" s="104">
        <v>158</v>
      </c>
      <c r="R12" s="215">
        <f t="shared" si="0"/>
        <v>0.90804597701149425</v>
      </c>
      <c r="S12" s="105">
        <f t="shared" si="5"/>
        <v>518494</v>
      </c>
      <c r="T12" s="98">
        <f t="shared" si="4"/>
        <v>80367</v>
      </c>
      <c r="U12" s="70">
        <f t="shared" si="1"/>
        <v>4.4286088130007784E-7</v>
      </c>
      <c r="V12" s="140">
        <v>0.155</v>
      </c>
      <c r="W12" s="209"/>
      <c r="X12" s="17">
        <v>43956</v>
      </c>
      <c r="Y12" s="12" t="s">
        <v>66</v>
      </c>
      <c r="Z12" s="12"/>
      <c r="AA12" s="12"/>
      <c r="AB12" s="3">
        <v>1</v>
      </c>
    </row>
    <row r="13" spans="1:32" s="3" customFormat="1" ht="14.45" customHeight="1" x14ac:dyDescent="0.25">
      <c r="A13" s="141">
        <v>1</v>
      </c>
      <c r="B13" s="99" t="s">
        <v>182</v>
      </c>
      <c r="C13" s="95" t="str">
        <f>VLOOKUP($F13,Admin!$D$11:$F$19,2,FALSE)</f>
        <v>Alkalmazott (ipari) kutatás</v>
      </c>
      <c r="D13" s="138" t="s">
        <v>123</v>
      </c>
      <c r="E13" s="95" t="str">
        <f>VLOOKUP($F13,Admin!$D$11:$F$19,3,FALSE)</f>
        <v>54. Bérköltség - Kutató-fejlesztő munkatárs</v>
      </c>
      <c r="F13" s="139" t="s">
        <v>212</v>
      </c>
      <c r="G13" s="100" t="s">
        <v>179</v>
      </c>
      <c r="H13" s="100" t="s">
        <v>228</v>
      </c>
      <c r="I13" s="139" t="str">
        <f>VLOOKUP($F13,Admin!$D$11:$G$19,4,FALSE)</f>
        <v>K+F munkatárs</v>
      </c>
      <c r="J13" s="100" t="s">
        <v>226</v>
      </c>
      <c r="K13" s="95" t="str">
        <f t="shared" si="2"/>
        <v>2020.11</v>
      </c>
      <c r="L13" s="101" t="s">
        <v>6</v>
      </c>
      <c r="M13" s="96" t="s">
        <v>70</v>
      </c>
      <c r="N13" s="102">
        <v>571000</v>
      </c>
      <c r="O13" s="97">
        <f t="shared" si="3"/>
        <v>88505</v>
      </c>
      <c r="P13" s="104">
        <v>174</v>
      </c>
      <c r="Q13" s="104">
        <v>158</v>
      </c>
      <c r="R13" s="215">
        <f t="shared" si="0"/>
        <v>0.90804597701149425</v>
      </c>
      <c r="S13" s="105">
        <f t="shared" si="5"/>
        <v>518494</v>
      </c>
      <c r="T13" s="98">
        <f t="shared" si="4"/>
        <v>80367</v>
      </c>
      <c r="U13" s="70">
        <f t="shared" si="1"/>
        <v>4.4286088130007784E-7</v>
      </c>
      <c r="V13" s="140">
        <v>0.155</v>
      </c>
      <c r="W13" s="209"/>
      <c r="X13" s="17">
        <v>43956</v>
      </c>
      <c r="Y13" s="12" t="s">
        <v>66</v>
      </c>
      <c r="Z13" s="12"/>
      <c r="AA13" s="12"/>
      <c r="AB13" s="3">
        <v>1</v>
      </c>
    </row>
    <row r="14" spans="1:32" s="3" customFormat="1" ht="14.45" customHeight="1" x14ac:dyDescent="0.25">
      <c r="A14" s="141">
        <v>1</v>
      </c>
      <c r="B14" s="99" t="s">
        <v>182</v>
      </c>
      <c r="C14" s="95" t="str">
        <f>VLOOKUP($F14,Admin!$D$11:$F$19,2,FALSE)</f>
        <v>Alkalmazott (ipari) kutatás</v>
      </c>
      <c r="D14" s="138" t="s">
        <v>123</v>
      </c>
      <c r="E14" s="95" t="str">
        <f>VLOOKUP($F14,Admin!$D$11:$F$19,3,FALSE)</f>
        <v>54. Bérköltség - Kutató-fejlesztő munkatárs</v>
      </c>
      <c r="F14" s="139" t="s">
        <v>212</v>
      </c>
      <c r="G14" s="100" t="s">
        <v>179</v>
      </c>
      <c r="H14" s="100" t="s">
        <v>228</v>
      </c>
      <c r="I14" s="139" t="str">
        <f>VLOOKUP($F14,Admin!$D$11:$G$19,4,FALSE)</f>
        <v>K+F munkatárs</v>
      </c>
      <c r="J14" s="100" t="s">
        <v>30</v>
      </c>
      <c r="K14" s="95" t="str">
        <f t="shared" si="2"/>
        <v>2020.12</v>
      </c>
      <c r="L14" s="101" t="s">
        <v>6</v>
      </c>
      <c r="M14" s="96" t="s">
        <v>70</v>
      </c>
      <c r="N14" s="102">
        <v>571000</v>
      </c>
      <c r="O14" s="97">
        <f t="shared" si="3"/>
        <v>88505</v>
      </c>
      <c r="P14" s="104">
        <v>174</v>
      </c>
      <c r="Q14" s="104">
        <v>158</v>
      </c>
      <c r="R14" s="215">
        <f t="shared" si="0"/>
        <v>0.90804597701149425</v>
      </c>
      <c r="S14" s="105">
        <f t="shared" si="5"/>
        <v>518494</v>
      </c>
      <c r="T14" s="98">
        <f t="shared" si="4"/>
        <v>80367</v>
      </c>
      <c r="U14" s="70">
        <f t="shared" si="1"/>
        <v>4.4286088130007784E-7</v>
      </c>
      <c r="V14" s="140">
        <v>0.155</v>
      </c>
      <c r="W14" s="209"/>
      <c r="X14" s="17">
        <v>43956</v>
      </c>
      <c r="Y14" s="12" t="s">
        <v>66</v>
      </c>
      <c r="Z14" s="12"/>
      <c r="AA14" s="12"/>
      <c r="AB14" s="3">
        <v>1</v>
      </c>
    </row>
    <row r="15" spans="1:32" s="3" customFormat="1" ht="14.45" customHeight="1" x14ac:dyDescent="0.25">
      <c r="A15" s="141">
        <v>1</v>
      </c>
      <c r="B15" s="99" t="s">
        <v>182</v>
      </c>
      <c r="C15" s="95" t="str">
        <f>VLOOKUP($F15,Admin!$D$11:$F$19,2,FALSE)</f>
        <v>Alkalmazott (ipari) kutatás</v>
      </c>
      <c r="D15" s="138" t="s">
        <v>123</v>
      </c>
      <c r="E15" s="95" t="str">
        <f>VLOOKUP($F15,Admin!$D$11:$F$19,3,FALSE)</f>
        <v>54. Bérköltség - Kutató-fejlesztő munkatárs</v>
      </c>
      <c r="F15" s="139" t="s">
        <v>212</v>
      </c>
      <c r="G15" s="100" t="s">
        <v>179</v>
      </c>
      <c r="H15" s="100" t="s">
        <v>228</v>
      </c>
      <c r="I15" s="139" t="str">
        <f>VLOOKUP($F15,Admin!$D$11:$G$19,4,FALSE)</f>
        <v>K+F munkatárs</v>
      </c>
      <c r="J15" s="100" t="s">
        <v>31</v>
      </c>
      <c r="K15" s="95" t="str">
        <f t="shared" si="2"/>
        <v>2021.01</v>
      </c>
      <c r="L15" s="101" t="s">
        <v>6</v>
      </c>
      <c r="M15" s="96" t="s">
        <v>70</v>
      </c>
      <c r="N15" s="102">
        <v>571000</v>
      </c>
      <c r="O15" s="97">
        <f t="shared" si="3"/>
        <v>88505</v>
      </c>
      <c r="P15" s="104">
        <v>174</v>
      </c>
      <c r="Q15" s="104">
        <v>158</v>
      </c>
      <c r="R15" s="215">
        <f t="shared" si="0"/>
        <v>0.90804597701149425</v>
      </c>
      <c r="S15" s="105">
        <f t="shared" si="5"/>
        <v>518494</v>
      </c>
      <c r="T15" s="98">
        <f t="shared" si="4"/>
        <v>80367</v>
      </c>
      <c r="U15" s="70">
        <f t="shared" si="1"/>
        <v>4.4286088130007784E-7</v>
      </c>
      <c r="V15" s="140">
        <v>0.155</v>
      </c>
      <c r="W15" s="209"/>
      <c r="X15" s="17">
        <v>44160</v>
      </c>
      <c r="Y15" s="12" t="s">
        <v>66</v>
      </c>
      <c r="Z15" s="12"/>
      <c r="AA15" s="12"/>
      <c r="AB15" s="3">
        <v>1</v>
      </c>
    </row>
    <row r="16" spans="1:32" s="3" customFormat="1" ht="14.45" customHeight="1" x14ac:dyDescent="0.25">
      <c r="A16" s="141">
        <v>2</v>
      </c>
      <c r="B16" s="99" t="s">
        <v>182</v>
      </c>
      <c r="C16" s="95" t="str">
        <f>VLOOKUP($F16,Admin!$D$11:$F$19,2,FALSE)</f>
        <v>Kísérleti fejlesztés</v>
      </c>
      <c r="D16" s="138" t="s">
        <v>123</v>
      </c>
      <c r="E16" s="95" t="str">
        <f>VLOOKUP($F16,Admin!$D$11:$F$19,3,FALSE)</f>
        <v>54. Bérköltség - Kutató-fejlesztő munkatárs</v>
      </c>
      <c r="F16" s="139" t="s">
        <v>213</v>
      </c>
      <c r="G16" s="100" t="s">
        <v>179</v>
      </c>
      <c r="H16" s="100" t="s">
        <v>228</v>
      </c>
      <c r="I16" s="139" t="str">
        <f>VLOOKUP($F16,Admin!$D$11:$G$19,4,FALSE)</f>
        <v>K+F munkatárs</v>
      </c>
      <c r="J16" s="100" t="s">
        <v>32</v>
      </c>
      <c r="K16" s="95" t="str">
        <f t="shared" si="2"/>
        <v>2021.02</v>
      </c>
      <c r="L16" s="101" t="s">
        <v>6</v>
      </c>
      <c r="M16" s="96" t="s">
        <v>70</v>
      </c>
      <c r="N16" s="102">
        <v>571000</v>
      </c>
      <c r="O16" s="97">
        <f t="shared" si="3"/>
        <v>88505</v>
      </c>
      <c r="P16" s="104">
        <v>174</v>
      </c>
      <c r="Q16" s="104">
        <v>158</v>
      </c>
      <c r="R16" s="215">
        <f t="shared" si="0"/>
        <v>0.90804597701149425</v>
      </c>
      <c r="S16" s="105">
        <f t="shared" si="5"/>
        <v>518494</v>
      </c>
      <c r="T16" s="98">
        <f t="shared" si="4"/>
        <v>80367</v>
      </c>
      <c r="U16" s="70">
        <f t="shared" si="1"/>
        <v>4.4286088130007784E-7</v>
      </c>
      <c r="V16" s="140">
        <v>0.155</v>
      </c>
      <c r="W16" s="209"/>
      <c r="X16" s="17">
        <v>44160</v>
      </c>
      <c r="Y16" s="12" t="s">
        <v>66</v>
      </c>
      <c r="Z16" s="12"/>
      <c r="AA16" s="12"/>
      <c r="AB16" s="3">
        <v>1</v>
      </c>
    </row>
    <row r="17" spans="1:28" s="3" customFormat="1" ht="14.45" customHeight="1" x14ac:dyDescent="0.25">
      <c r="A17" s="141">
        <v>2</v>
      </c>
      <c r="B17" s="99" t="s">
        <v>182</v>
      </c>
      <c r="C17" s="95" t="str">
        <f>VLOOKUP($F17,Admin!$D$11:$F$19,2,FALSE)</f>
        <v>Kísérleti fejlesztés</v>
      </c>
      <c r="D17" s="138" t="s">
        <v>123</v>
      </c>
      <c r="E17" s="95" t="str">
        <f>VLOOKUP($F17,Admin!$D$11:$F$19,3,FALSE)</f>
        <v>54. Bérköltség - Kutató-fejlesztő munkatárs</v>
      </c>
      <c r="F17" s="139" t="s">
        <v>213</v>
      </c>
      <c r="G17" s="100" t="s">
        <v>179</v>
      </c>
      <c r="H17" s="100" t="s">
        <v>228</v>
      </c>
      <c r="I17" s="139" t="str">
        <f>VLOOKUP($F17,Admin!$D$11:$G$19,4,FALSE)</f>
        <v>K+F munkatárs</v>
      </c>
      <c r="J17" s="100" t="s">
        <v>33</v>
      </c>
      <c r="K17" s="95" t="str">
        <f t="shared" si="2"/>
        <v>2021.03</v>
      </c>
      <c r="L17" s="101" t="s">
        <v>6</v>
      </c>
      <c r="M17" s="96" t="s">
        <v>70</v>
      </c>
      <c r="N17" s="102">
        <v>571000</v>
      </c>
      <c r="O17" s="97">
        <f t="shared" si="3"/>
        <v>88505</v>
      </c>
      <c r="P17" s="104">
        <v>174</v>
      </c>
      <c r="Q17" s="104">
        <v>158</v>
      </c>
      <c r="R17" s="215">
        <f t="shared" si="0"/>
        <v>0.90804597701149425</v>
      </c>
      <c r="S17" s="105">
        <f t="shared" si="5"/>
        <v>518494</v>
      </c>
      <c r="T17" s="98">
        <f t="shared" si="4"/>
        <v>80367</v>
      </c>
      <c r="U17" s="70">
        <f t="shared" si="1"/>
        <v>4.4286088130007784E-7</v>
      </c>
      <c r="V17" s="140">
        <v>0.155</v>
      </c>
      <c r="W17" s="209"/>
      <c r="X17" s="17">
        <v>44160</v>
      </c>
      <c r="Y17" s="12" t="s">
        <v>66</v>
      </c>
      <c r="Z17" s="12"/>
      <c r="AA17" s="12"/>
      <c r="AB17" s="3">
        <v>1</v>
      </c>
    </row>
    <row r="18" spans="1:28" s="3" customFormat="1" ht="14.45" customHeight="1" x14ac:dyDescent="0.25">
      <c r="A18" s="141">
        <v>2</v>
      </c>
      <c r="B18" s="99" t="s">
        <v>182</v>
      </c>
      <c r="C18" s="95" t="str">
        <f>VLOOKUP($F18,Admin!$D$11:$F$19,2,FALSE)</f>
        <v>Kísérleti fejlesztés</v>
      </c>
      <c r="D18" s="138" t="s">
        <v>123</v>
      </c>
      <c r="E18" s="95" t="str">
        <f>VLOOKUP($F18,Admin!$D$11:$F$19,3,FALSE)</f>
        <v>54. Bérköltség - Kutató-fejlesztő munkatárs</v>
      </c>
      <c r="F18" s="139" t="s">
        <v>213</v>
      </c>
      <c r="G18" s="100" t="s">
        <v>179</v>
      </c>
      <c r="H18" s="100" t="s">
        <v>228</v>
      </c>
      <c r="I18" s="139" t="str">
        <f>VLOOKUP($F18,Admin!$D$11:$G$19,4,FALSE)</f>
        <v>K+F munkatárs</v>
      </c>
      <c r="J18" s="100" t="s">
        <v>34</v>
      </c>
      <c r="K18" s="95" t="str">
        <f t="shared" si="2"/>
        <v>2021.04</v>
      </c>
      <c r="L18" s="101" t="s">
        <v>6</v>
      </c>
      <c r="M18" s="96" t="s">
        <v>70</v>
      </c>
      <c r="N18" s="102">
        <v>571000</v>
      </c>
      <c r="O18" s="97">
        <f t="shared" si="3"/>
        <v>88505</v>
      </c>
      <c r="P18" s="104">
        <v>174</v>
      </c>
      <c r="Q18" s="104">
        <v>158</v>
      </c>
      <c r="R18" s="215">
        <f t="shared" si="0"/>
        <v>0.90804597701149425</v>
      </c>
      <c r="S18" s="105">
        <f t="shared" si="5"/>
        <v>518494</v>
      </c>
      <c r="T18" s="98">
        <f t="shared" si="4"/>
        <v>80367</v>
      </c>
      <c r="U18" s="70">
        <f t="shared" si="1"/>
        <v>4.4286088130007784E-7</v>
      </c>
      <c r="V18" s="140">
        <v>0.155</v>
      </c>
      <c r="W18" s="209"/>
      <c r="X18" s="17">
        <v>44160</v>
      </c>
      <c r="Y18" s="12" t="s">
        <v>66</v>
      </c>
      <c r="Z18" s="12"/>
      <c r="AA18" s="12"/>
      <c r="AB18" s="3">
        <v>1</v>
      </c>
    </row>
    <row r="19" spans="1:28" s="3" customFormat="1" ht="14.45" customHeight="1" x14ac:dyDescent="0.25">
      <c r="A19" s="141">
        <v>2</v>
      </c>
      <c r="B19" s="99" t="s">
        <v>182</v>
      </c>
      <c r="C19" s="95" t="str">
        <f>VLOOKUP($F19,Admin!$D$11:$F$19,2,FALSE)</f>
        <v>Kísérleti fejlesztés</v>
      </c>
      <c r="D19" s="138" t="s">
        <v>123</v>
      </c>
      <c r="E19" s="95" t="str">
        <f>VLOOKUP($F19,Admin!$D$11:$F$19,3,FALSE)</f>
        <v>54. Bérköltség - Kutató-fejlesztő munkatárs</v>
      </c>
      <c r="F19" s="139" t="s">
        <v>213</v>
      </c>
      <c r="G19" s="100" t="s">
        <v>179</v>
      </c>
      <c r="H19" s="100" t="s">
        <v>228</v>
      </c>
      <c r="I19" s="139" t="str">
        <f>VLOOKUP($F19,Admin!$D$11:$G$19,4,FALSE)</f>
        <v>K+F munkatárs</v>
      </c>
      <c r="J19" s="100" t="s">
        <v>35</v>
      </c>
      <c r="K19" s="95" t="str">
        <f t="shared" si="2"/>
        <v>2021.05</v>
      </c>
      <c r="L19" s="101" t="s">
        <v>6</v>
      </c>
      <c r="M19" s="96" t="s">
        <v>70</v>
      </c>
      <c r="N19" s="102">
        <v>571000</v>
      </c>
      <c r="O19" s="97">
        <f t="shared" si="3"/>
        <v>88505</v>
      </c>
      <c r="P19" s="104">
        <v>174</v>
      </c>
      <c r="Q19" s="104">
        <v>158</v>
      </c>
      <c r="R19" s="215">
        <f t="shared" si="0"/>
        <v>0.90804597701149425</v>
      </c>
      <c r="S19" s="105">
        <f t="shared" si="5"/>
        <v>518494</v>
      </c>
      <c r="T19" s="98">
        <f t="shared" si="4"/>
        <v>80367</v>
      </c>
      <c r="U19" s="70">
        <f t="shared" si="1"/>
        <v>4.4286088130007784E-7</v>
      </c>
      <c r="V19" s="140">
        <v>0.155</v>
      </c>
      <c r="W19" s="209"/>
      <c r="X19" s="17">
        <v>44160</v>
      </c>
      <c r="Y19" s="12" t="s">
        <v>66</v>
      </c>
      <c r="Z19" s="12"/>
      <c r="AA19" s="12"/>
      <c r="AB19" s="3">
        <v>1</v>
      </c>
    </row>
    <row r="20" spans="1:28" s="3" customFormat="1" ht="14.45" customHeight="1" x14ac:dyDescent="0.25">
      <c r="A20" s="141">
        <v>2</v>
      </c>
      <c r="B20" s="99" t="s">
        <v>182</v>
      </c>
      <c r="C20" s="95" t="str">
        <f>VLOOKUP($F20,Admin!$D$11:$F$19,2,FALSE)</f>
        <v>Kísérleti fejlesztés</v>
      </c>
      <c r="D20" s="138" t="s">
        <v>123</v>
      </c>
      <c r="E20" s="95" t="str">
        <f>VLOOKUP($F20,Admin!$D$11:$F$19,3,FALSE)</f>
        <v>54. Bérköltség - Kutató-fejlesztő munkatárs</v>
      </c>
      <c r="F20" s="139" t="s">
        <v>213</v>
      </c>
      <c r="G20" s="100" t="s">
        <v>179</v>
      </c>
      <c r="H20" s="100" t="s">
        <v>228</v>
      </c>
      <c r="I20" s="139" t="str">
        <f>VLOOKUP($F20,Admin!$D$11:$G$19,4,FALSE)</f>
        <v>K+F munkatárs</v>
      </c>
      <c r="J20" s="100" t="s">
        <v>36</v>
      </c>
      <c r="K20" s="95" t="str">
        <f t="shared" si="2"/>
        <v>2021.06</v>
      </c>
      <c r="L20" s="101" t="s">
        <v>6</v>
      </c>
      <c r="M20" s="96" t="s">
        <v>70</v>
      </c>
      <c r="N20" s="102">
        <v>571000</v>
      </c>
      <c r="O20" s="97">
        <f t="shared" si="3"/>
        <v>88505</v>
      </c>
      <c r="P20" s="104">
        <v>174</v>
      </c>
      <c r="Q20" s="104">
        <v>158</v>
      </c>
      <c r="R20" s="215">
        <f t="shared" si="0"/>
        <v>0.90804597701149425</v>
      </c>
      <c r="S20" s="105">
        <f t="shared" si="5"/>
        <v>518494</v>
      </c>
      <c r="T20" s="98">
        <f t="shared" si="4"/>
        <v>80367</v>
      </c>
      <c r="U20" s="70">
        <f t="shared" si="1"/>
        <v>4.4286088130007784E-7</v>
      </c>
      <c r="V20" s="140">
        <v>0.155</v>
      </c>
      <c r="W20" s="209"/>
      <c r="X20" s="17">
        <v>44160</v>
      </c>
      <c r="Y20" s="12" t="s">
        <v>66</v>
      </c>
      <c r="Z20" s="12"/>
      <c r="AA20" s="12"/>
      <c r="AB20" s="3">
        <v>1</v>
      </c>
    </row>
    <row r="21" spans="1:28" s="3" customFormat="1" ht="14.45" customHeight="1" x14ac:dyDescent="0.25">
      <c r="A21" s="141">
        <v>2</v>
      </c>
      <c r="B21" s="99" t="s">
        <v>182</v>
      </c>
      <c r="C21" s="95" t="str">
        <f>VLOOKUP($F21,Admin!$D$11:$F$19,2,FALSE)</f>
        <v>Kísérleti fejlesztés</v>
      </c>
      <c r="D21" s="138" t="s">
        <v>123</v>
      </c>
      <c r="E21" s="95" t="str">
        <f>VLOOKUP($F21,Admin!$D$11:$F$19,3,FALSE)</f>
        <v>54. Bérköltség - Kutató-fejlesztő munkatárs</v>
      </c>
      <c r="F21" s="139" t="s">
        <v>213</v>
      </c>
      <c r="G21" s="100" t="s">
        <v>179</v>
      </c>
      <c r="H21" s="100" t="s">
        <v>228</v>
      </c>
      <c r="I21" s="139" t="str">
        <f>VLOOKUP($F21,Admin!$D$11:$G$19,4,FALSE)</f>
        <v>K+F munkatárs</v>
      </c>
      <c r="J21" s="100" t="s">
        <v>37</v>
      </c>
      <c r="K21" s="95" t="str">
        <f t="shared" si="2"/>
        <v>2021.07</v>
      </c>
      <c r="L21" s="101" t="s">
        <v>6</v>
      </c>
      <c r="M21" s="96" t="s">
        <v>70</v>
      </c>
      <c r="N21" s="102">
        <v>571000</v>
      </c>
      <c r="O21" s="97">
        <f t="shared" si="3"/>
        <v>88505</v>
      </c>
      <c r="P21" s="104">
        <v>174</v>
      </c>
      <c r="Q21" s="104">
        <v>158</v>
      </c>
      <c r="R21" s="215">
        <f t="shared" si="0"/>
        <v>0.90804597701149425</v>
      </c>
      <c r="S21" s="105">
        <f t="shared" si="5"/>
        <v>518494</v>
      </c>
      <c r="T21" s="98">
        <f t="shared" si="4"/>
        <v>80367</v>
      </c>
      <c r="U21" s="70">
        <f t="shared" si="1"/>
        <v>4.4286088130007784E-7</v>
      </c>
      <c r="V21" s="140">
        <v>0.155</v>
      </c>
      <c r="W21" s="209"/>
      <c r="X21" s="17">
        <v>44349</v>
      </c>
      <c r="Y21" s="12" t="s">
        <v>66</v>
      </c>
      <c r="Z21" s="12"/>
      <c r="AA21" s="12"/>
      <c r="AB21" s="3">
        <v>1</v>
      </c>
    </row>
    <row r="22" spans="1:28" s="3" customFormat="1" ht="14.45" customHeight="1" x14ac:dyDescent="0.25">
      <c r="A22" s="141">
        <v>2</v>
      </c>
      <c r="B22" s="99" t="s">
        <v>182</v>
      </c>
      <c r="C22" s="95" t="str">
        <f>VLOOKUP($F22,Admin!$D$11:$F$19,2,FALSE)</f>
        <v>Kísérleti fejlesztés</v>
      </c>
      <c r="D22" s="138" t="s">
        <v>123</v>
      </c>
      <c r="E22" s="95" t="str">
        <f>VLOOKUP($F22,Admin!$D$11:$F$19,3,FALSE)</f>
        <v>54. Bérköltség - Kutató-fejlesztő munkatárs</v>
      </c>
      <c r="F22" s="139" t="s">
        <v>213</v>
      </c>
      <c r="G22" s="100" t="s">
        <v>179</v>
      </c>
      <c r="H22" s="100" t="s">
        <v>228</v>
      </c>
      <c r="I22" s="139" t="str">
        <f>VLOOKUP($F22,Admin!$D$11:$G$19,4,FALSE)</f>
        <v>K+F munkatárs</v>
      </c>
      <c r="J22" s="100" t="s">
        <v>38</v>
      </c>
      <c r="K22" s="95" t="str">
        <f t="shared" si="2"/>
        <v>2021.08</v>
      </c>
      <c r="L22" s="101" t="s">
        <v>6</v>
      </c>
      <c r="M22" s="96" t="s">
        <v>70</v>
      </c>
      <c r="N22" s="102">
        <v>571000</v>
      </c>
      <c r="O22" s="97">
        <f t="shared" si="3"/>
        <v>88505</v>
      </c>
      <c r="P22" s="104">
        <v>174</v>
      </c>
      <c r="Q22" s="104">
        <v>158</v>
      </c>
      <c r="R22" s="215">
        <f t="shared" si="0"/>
        <v>0.90804597701149425</v>
      </c>
      <c r="S22" s="105">
        <f t="shared" si="5"/>
        <v>518494</v>
      </c>
      <c r="T22" s="98">
        <f t="shared" si="4"/>
        <v>80367</v>
      </c>
      <c r="U22" s="70">
        <f t="shared" si="1"/>
        <v>4.4286088130007784E-7</v>
      </c>
      <c r="V22" s="140">
        <v>0.155</v>
      </c>
      <c r="W22" s="209"/>
      <c r="X22" s="17">
        <v>44349</v>
      </c>
      <c r="Y22" s="12" t="s">
        <v>66</v>
      </c>
      <c r="Z22" s="12"/>
      <c r="AA22" s="12"/>
      <c r="AB22" s="3">
        <v>1</v>
      </c>
    </row>
    <row r="23" spans="1:28" s="3" customFormat="1" ht="14.45" customHeight="1" x14ac:dyDescent="0.25">
      <c r="A23" s="141">
        <v>2</v>
      </c>
      <c r="B23" s="99" t="s">
        <v>182</v>
      </c>
      <c r="C23" s="95" t="str">
        <f>VLOOKUP($F23,Admin!$D$11:$F$19,2,FALSE)</f>
        <v>Kísérleti fejlesztés</v>
      </c>
      <c r="D23" s="138" t="s">
        <v>123</v>
      </c>
      <c r="E23" s="95" t="str">
        <f>VLOOKUP($F23,Admin!$D$11:$F$19,3,FALSE)</f>
        <v>54. Bérköltség - Kutató-fejlesztő munkatárs</v>
      </c>
      <c r="F23" s="139" t="s">
        <v>213</v>
      </c>
      <c r="G23" s="100" t="s">
        <v>179</v>
      </c>
      <c r="H23" s="100" t="s">
        <v>228</v>
      </c>
      <c r="I23" s="139" t="str">
        <f>VLOOKUP($F23,Admin!$D$11:$G$19,4,FALSE)</f>
        <v>K+F munkatárs</v>
      </c>
      <c r="J23" s="100" t="s">
        <v>39</v>
      </c>
      <c r="K23" s="95" t="str">
        <f t="shared" si="2"/>
        <v>2021.09</v>
      </c>
      <c r="L23" s="101" t="s">
        <v>6</v>
      </c>
      <c r="M23" s="96" t="s">
        <v>70</v>
      </c>
      <c r="N23" s="102">
        <v>571000</v>
      </c>
      <c r="O23" s="97">
        <f t="shared" si="3"/>
        <v>88505</v>
      </c>
      <c r="P23" s="104">
        <v>174</v>
      </c>
      <c r="Q23" s="104">
        <v>158</v>
      </c>
      <c r="R23" s="215">
        <f t="shared" si="0"/>
        <v>0.90804597701149425</v>
      </c>
      <c r="S23" s="105">
        <f t="shared" si="5"/>
        <v>518494</v>
      </c>
      <c r="T23" s="98">
        <f t="shared" si="4"/>
        <v>80367</v>
      </c>
      <c r="U23" s="70">
        <f t="shared" si="1"/>
        <v>4.4286088130007784E-7</v>
      </c>
      <c r="V23" s="140">
        <v>0.155</v>
      </c>
      <c r="W23" s="209"/>
      <c r="X23" s="17">
        <v>44390</v>
      </c>
      <c r="Y23" s="12" t="s">
        <v>66</v>
      </c>
      <c r="Z23" s="12"/>
      <c r="AA23" s="12"/>
      <c r="AB23" s="3">
        <v>1</v>
      </c>
    </row>
    <row r="24" spans="1:28" s="3" customFormat="1" ht="14.45" customHeight="1" x14ac:dyDescent="0.25">
      <c r="A24" s="141">
        <v>2</v>
      </c>
      <c r="B24" s="99" t="s">
        <v>182</v>
      </c>
      <c r="C24" s="95" t="str">
        <f>VLOOKUP($F24,Admin!$D$11:$F$19,2,FALSE)</f>
        <v>Kísérleti fejlesztés</v>
      </c>
      <c r="D24" s="138" t="s">
        <v>123</v>
      </c>
      <c r="E24" s="95" t="str">
        <f>VLOOKUP($F24,Admin!$D$11:$F$19,3,FALSE)</f>
        <v>54. Bérköltség - Kutató-fejlesztő munkatárs</v>
      </c>
      <c r="F24" s="139" t="s">
        <v>213</v>
      </c>
      <c r="G24" s="100" t="s">
        <v>179</v>
      </c>
      <c r="H24" s="100" t="s">
        <v>228</v>
      </c>
      <c r="I24" s="139" t="str">
        <f>VLOOKUP($F24,Admin!$D$11:$G$19,4,FALSE)</f>
        <v>K+F munkatárs</v>
      </c>
      <c r="J24" s="100" t="s">
        <v>40</v>
      </c>
      <c r="K24" s="95" t="str">
        <f t="shared" si="2"/>
        <v>2021.10</v>
      </c>
      <c r="L24" s="101" t="s">
        <v>6</v>
      </c>
      <c r="M24" s="96" t="s">
        <v>70</v>
      </c>
      <c r="N24" s="102">
        <v>662700</v>
      </c>
      <c r="O24" s="97">
        <f t="shared" si="3"/>
        <v>102719</v>
      </c>
      <c r="P24" s="104">
        <v>174</v>
      </c>
      <c r="Q24" s="104">
        <v>158</v>
      </c>
      <c r="R24" s="215">
        <f t="shared" si="0"/>
        <v>0.90804597701149425</v>
      </c>
      <c r="S24" s="105">
        <f t="shared" si="5"/>
        <v>601762</v>
      </c>
      <c r="T24" s="98">
        <f t="shared" si="4"/>
        <v>93273</v>
      </c>
      <c r="U24" s="70">
        <f t="shared" si="1"/>
        <v>1.0406747730229426E-7</v>
      </c>
      <c r="V24" s="140">
        <v>0.155</v>
      </c>
      <c r="W24" s="209"/>
      <c r="X24" s="17">
        <v>44390</v>
      </c>
      <c r="Y24" s="12" t="s">
        <v>66</v>
      </c>
      <c r="Z24" s="12"/>
      <c r="AA24" s="12"/>
      <c r="AB24" s="3">
        <v>1</v>
      </c>
    </row>
    <row r="25" spans="1:28" s="3" customFormat="1" ht="14.45" customHeight="1" x14ac:dyDescent="0.25">
      <c r="A25" s="141">
        <v>2</v>
      </c>
      <c r="B25" s="99" t="s">
        <v>182</v>
      </c>
      <c r="C25" s="95" t="str">
        <f>VLOOKUP($F25,Admin!$D$11:$F$19,2,FALSE)</f>
        <v>Kísérleti fejlesztés</v>
      </c>
      <c r="D25" s="138" t="s">
        <v>123</v>
      </c>
      <c r="E25" s="95" t="str">
        <f>VLOOKUP($F25,Admin!$D$11:$F$19,3,FALSE)</f>
        <v>54. Bérköltség - Kutató-fejlesztő munkatárs</v>
      </c>
      <c r="F25" s="139" t="s">
        <v>213</v>
      </c>
      <c r="G25" s="100" t="s">
        <v>179</v>
      </c>
      <c r="H25" s="100" t="s">
        <v>228</v>
      </c>
      <c r="I25" s="139" t="str">
        <f>VLOOKUP($F25,Admin!$D$11:$G$19,4,FALSE)</f>
        <v>K+F munkatárs</v>
      </c>
      <c r="J25" s="100" t="s">
        <v>41</v>
      </c>
      <c r="K25" s="95" t="str">
        <f t="shared" si="2"/>
        <v>2021.11</v>
      </c>
      <c r="L25" s="101" t="s">
        <v>6</v>
      </c>
      <c r="M25" s="96" t="s">
        <v>70</v>
      </c>
      <c r="N25" s="102">
        <v>662700</v>
      </c>
      <c r="O25" s="97">
        <f t="shared" si="3"/>
        <v>102719</v>
      </c>
      <c r="P25" s="104">
        <v>174</v>
      </c>
      <c r="Q25" s="104">
        <v>158</v>
      </c>
      <c r="R25" s="215">
        <f t="shared" si="0"/>
        <v>0.90804597701149425</v>
      </c>
      <c r="S25" s="105">
        <f t="shared" si="5"/>
        <v>601762</v>
      </c>
      <c r="T25" s="98">
        <f t="shared" si="4"/>
        <v>93273</v>
      </c>
      <c r="U25" s="70">
        <f t="shared" si="1"/>
        <v>1.0406747730229426E-7</v>
      </c>
      <c r="V25" s="140">
        <v>0.155</v>
      </c>
      <c r="W25" s="209"/>
      <c r="X25" s="17">
        <v>44390</v>
      </c>
      <c r="Y25" s="12" t="s">
        <v>66</v>
      </c>
      <c r="Z25" s="12"/>
      <c r="AA25" s="12"/>
      <c r="AB25" s="3">
        <v>1</v>
      </c>
    </row>
    <row r="26" spans="1:28" s="3" customFormat="1" ht="14.45" customHeight="1" x14ac:dyDescent="0.25">
      <c r="A26" s="141">
        <v>2</v>
      </c>
      <c r="B26" s="99" t="s">
        <v>182</v>
      </c>
      <c r="C26" s="95" t="str">
        <f>VLOOKUP($F26,Admin!$D$11:$F$19,2,FALSE)</f>
        <v>Kísérleti fejlesztés</v>
      </c>
      <c r="D26" s="138" t="s">
        <v>123</v>
      </c>
      <c r="E26" s="95" t="str">
        <f>VLOOKUP($F26,Admin!$D$11:$F$19,3,FALSE)</f>
        <v>54. Bérköltség - Kutató-fejlesztő munkatárs</v>
      </c>
      <c r="F26" s="139" t="s">
        <v>213</v>
      </c>
      <c r="G26" s="100" t="s">
        <v>179</v>
      </c>
      <c r="H26" s="100" t="s">
        <v>228</v>
      </c>
      <c r="I26" s="139" t="str">
        <f>VLOOKUP($F26,Admin!$D$11:$G$19,4,FALSE)</f>
        <v>K+F munkatárs</v>
      </c>
      <c r="J26" s="100" t="s">
        <v>42</v>
      </c>
      <c r="K26" s="95" t="str">
        <f t="shared" si="2"/>
        <v>2021.12</v>
      </c>
      <c r="L26" s="101" t="s">
        <v>6</v>
      </c>
      <c r="M26" s="96" t="s">
        <v>70</v>
      </c>
      <c r="N26" s="102">
        <v>662700</v>
      </c>
      <c r="O26" s="97">
        <f t="shared" si="3"/>
        <v>102719</v>
      </c>
      <c r="P26" s="104">
        <v>174</v>
      </c>
      <c r="Q26" s="104">
        <v>158</v>
      </c>
      <c r="R26" s="215">
        <f t="shared" si="0"/>
        <v>0.90804597701149425</v>
      </c>
      <c r="S26" s="105">
        <f t="shared" si="5"/>
        <v>601762</v>
      </c>
      <c r="T26" s="98">
        <f t="shared" si="4"/>
        <v>93273</v>
      </c>
      <c r="U26" s="70">
        <f t="shared" si="1"/>
        <v>1.0406747730229426E-7</v>
      </c>
      <c r="V26" s="140">
        <v>0.155</v>
      </c>
      <c r="W26" s="209"/>
      <c r="X26" s="17">
        <v>44390</v>
      </c>
      <c r="Y26" s="12" t="s">
        <v>66</v>
      </c>
      <c r="Z26" s="12"/>
      <c r="AA26" s="12"/>
      <c r="AB26" s="3">
        <v>1</v>
      </c>
    </row>
    <row r="27" spans="1:28" s="3" customFormat="1" ht="14.45" customHeight="1" x14ac:dyDescent="0.25">
      <c r="A27" s="141">
        <v>2</v>
      </c>
      <c r="B27" s="99" t="s">
        <v>182</v>
      </c>
      <c r="C27" s="95" t="str">
        <f>VLOOKUP($F27,Admin!$D$11:$F$19,2,FALSE)</f>
        <v>Kísérleti fejlesztés</v>
      </c>
      <c r="D27" s="138" t="s">
        <v>123</v>
      </c>
      <c r="E27" s="95" t="str">
        <f>VLOOKUP($F27,Admin!$D$11:$F$19,3,FALSE)</f>
        <v>54. Bérköltség - Kutató-fejlesztő munkatárs</v>
      </c>
      <c r="F27" s="139" t="s">
        <v>213</v>
      </c>
      <c r="G27" s="100" t="s">
        <v>179</v>
      </c>
      <c r="H27" s="100" t="s">
        <v>228</v>
      </c>
      <c r="I27" s="139" t="str">
        <f>VLOOKUP($F27,Admin!$D$11:$G$19,4,FALSE)</f>
        <v>K+F munkatárs</v>
      </c>
      <c r="J27" s="100" t="s">
        <v>43</v>
      </c>
      <c r="K27" s="95" t="str">
        <f t="shared" si="2"/>
        <v>2022.01</v>
      </c>
      <c r="L27" s="101" t="s">
        <v>6</v>
      </c>
      <c r="M27" s="96" t="s">
        <v>70</v>
      </c>
      <c r="N27" s="102">
        <v>720000</v>
      </c>
      <c r="O27" s="97">
        <f t="shared" si="3"/>
        <v>93600</v>
      </c>
      <c r="P27" s="104">
        <v>174</v>
      </c>
      <c r="Q27" s="104">
        <v>158</v>
      </c>
      <c r="R27" s="215">
        <f t="shared" si="0"/>
        <v>0.90804597701149425</v>
      </c>
      <c r="S27" s="105">
        <f t="shared" si="5"/>
        <v>653793</v>
      </c>
      <c r="T27" s="98">
        <f t="shared" si="4"/>
        <v>84993</v>
      </c>
      <c r="U27" s="70">
        <f t="shared" si="1"/>
        <v>1.4367816092430985E-7</v>
      </c>
      <c r="V27" s="140">
        <v>0.13</v>
      </c>
      <c r="W27" s="209"/>
      <c r="X27" s="17">
        <v>44390</v>
      </c>
      <c r="Y27" s="12" t="s">
        <v>66</v>
      </c>
      <c r="Z27" s="12"/>
      <c r="AA27" s="12"/>
      <c r="AB27" s="3">
        <v>1</v>
      </c>
    </row>
    <row r="28" spans="1:28" s="3" customFormat="1" ht="14.45" customHeight="1" x14ac:dyDescent="0.25">
      <c r="A28" s="141">
        <v>3</v>
      </c>
      <c r="B28" s="99" t="s">
        <v>182</v>
      </c>
      <c r="C28" s="95" t="str">
        <f>VLOOKUP($F28,Admin!$D$11:$F$19,2,FALSE)</f>
        <v>Kísérleti fejlesztés</v>
      </c>
      <c r="D28" s="138" t="s">
        <v>123</v>
      </c>
      <c r="E28" s="95" t="str">
        <f>VLOOKUP($F28,Admin!$D$11:$F$19,3,FALSE)</f>
        <v>54. Bérköltség - Kutató-fejlesztő munkatárs</v>
      </c>
      <c r="F28" s="139" t="s">
        <v>213</v>
      </c>
      <c r="G28" s="100" t="s">
        <v>179</v>
      </c>
      <c r="H28" s="100" t="s">
        <v>228</v>
      </c>
      <c r="I28" s="139" t="str">
        <f>VLOOKUP($F28,Admin!$D$11:$G$19,4,FALSE)</f>
        <v>K+F munkatárs</v>
      </c>
      <c r="J28" s="100" t="s">
        <v>44</v>
      </c>
      <c r="K28" s="95" t="str">
        <f t="shared" si="2"/>
        <v>2022.02</v>
      </c>
      <c r="L28" s="101" t="s">
        <v>6</v>
      </c>
      <c r="M28" s="96" t="s">
        <v>70</v>
      </c>
      <c r="N28" s="102">
        <v>720000</v>
      </c>
      <c r="O28" s="97">
        <f t="shared" si="3"/>
        <v>93600</v>
      </c>
      <c r="P28" s="104">
        <v>174</v>
      </c>
      <c r="Q28" s="104">
        <v>158</v>
      </c>
      <c r="R28" s="215">
        <f t="shared" si="0"/>
        <v>0.90804597701149425</v>
      </c>
      <c r="S28" s="105">
        <f t="shared" si="5"/>
        <v>653793</v>
      </c>
      <c r="T28" s="98">
        <f t="shared" si="4"/>
        <v>84993</v>
      </c>
      <c r="U28" s="70">
        <f t="shared" si="1"/>
        <v>1.4367816092430985E-7</v>
      </c>
      <c r="V28" s="140">
        <v>0.13</v>
      </c>
      <c r="W28" s="209"/>
      <c r="X28" s="17">
        <v>44390</v>
      </c>
      <c r="Y28" s="12" t="s">
        <v>66</v>
      </c>
      <c r="Z28" s="12"/>
      <c r="AA28" s="12"/>
      <c r="AB28" s="3">
        <v>1</v>
      </c>
    </row>
    <row r="29" spans="1:28" s="3" customFormat="1" ht="14.45" customHeight="1" x14ac:dyDescent="0.25">
      <c r="A29" s="141">
        <v>3</v>
      </c>
      <c r="B29" s="99" t="s">
        <v>182</v>
      </c>
      <c r="C29" s="95" t="str">
        <f>VLOOKUP($F29,Admin!$D$11:$F$19,2,FALSE)</f>
        <v>Kísérleti fejlesztés</v>
      </c>
      <c r="D29" s="138" t="s">
        <v>123</v>
      </c>
      <c r="E29" s="95" t="str">
        <f>VLOOKUP($F29,Admin!$D$11:$F$19,3,FALSE)</f>
        <v>54. Bérköltség - Kutató-fejlesztő munkatárs</v>
      </c>
      <c r="F29" s="139" t="s">
        <v>213</v>
      </c>
      <c r="G29" s="100" t="s">
        <v>179</v>
      </c>
      <c r="H29" s="100" t="s">
        <v>228</v>
      </c>
      <c r="I29" s="139" t="str">
        <f>VLOOKUP($F29,Admin!$D$11:$G$19,4,FALSE)</f>
        <v>K+F munkatárs</v>
      </c>
      <c r="J29" s="100" t="s">
        <v>45</v>
      </c>
      <c r="K29" s="95" t="str">
        <f t="shared" si="2"/>
        <v>2022.03</v>
      </c>
      <c r="L29" s="101" t="s">
        <v>6</v>
      </c>
      <c r="M29" s="96" t="s">
        <v>70</v>
      </c>
      <c r="N29" s="102">
        <v>720000</v>
      </c>
      <c r="O29" s="97">
        <f t="shared" si="3"/>
        <v>93600</v>
      </c>
      <c r="P29" s="104">
        <v>174</v>
      </c>
      <c r="Q29" s="104">
        <v>158</v>
      </c>
      <c r="R29" s="215">
        <f t="shared" si="0"/>
        <v>0.90804597701149425</v>
      </c>
      <c r="S29" s="105">
        <f t="shared" si="5"/>
        <v>653793</v>
      </c>
      <c r="T29" s="98">
        <f t="shared" si="4"/>
        <v>84993</v>
      </c>
      <c r="U29" s="70">
        <f t="shared" si="1"/>
        <v>1.4367816092430985E-7</v>
      </c>
      <c r="V29" s="140">
        <v>0.13</v>
      </c>
      <c r="W29" s="209"/>
      <c r="X29" s="17">
        <v>44390</v>
      </c>
      <c r="Y29" s="12" t="s">
        <v>66</v>
      </c>
      <c r="Z29" s="12"/>
      <c r="AA29" s="12"/>
      <c r="AB29" s="3">
        <v>1</v>
      </c>
    </row>
    <row r="30" spans="1:28" s="3" customFormat="1" ht="14.45" customHeight="1" x14ac:dyDescent="0.25">
      <c r="A30" s="141">
        <v>3</v>
      </c>
      <c r="B30" s="99" t="s">
        <v>182</v>
      </c>
      <c r="C30" s="95" t="str">
        <f>VLOOKUP($F30,Admin!$D$11:$F$19,2,FALSE)</f>
        <v>Kísérleti fejlesztés</v>
      </c>
      <c r="D30" s="138" t="s">
        <v>123</v>
      </c>
      <c r="E30" s="95" t="str">
        <f>VLOOKUP($F30,Admin!$D$11:$F$19,3,FALSE)</f>
        <v>54. Bérköltség - Kutató-fejlesztő munkatárs</v>
      </c>
      <c r="F30" s="139" t="s">
        <v>213</v>
      </c>
      <c r="G30" s="100" t="s">
        <v>179</v>
      </c>
      <c r="H30" s="100" t="s">
        <v>228</v>
      </c>
      <c r="I30" s="139" t="str">
        <f>VLOOKUP($F30,Admin!$D$11:$G$19,4,FALSE)</f>
        <v>K+F munkatárs</v>
      </c>
      <c r="J30" s="100" t="s">
        <v>46</v>
      </c>
      <c r="K30" s="95" t="str">
        <f t="shared" si="2"/>
        <v>2022.04</v>
      </c>
      <c r="L30" s="101" t="s">
        <v>6</v>
      </c>
      <c r="M30" s="96" t="s">
        <v>70</v>
      </c>
      <c r="N30" s="102">
        <v>720000</v>
      </c>
      <c r="O30" s="97">
        <f t="shared" si="3"/>
        <v>93600</v>
      </c>
      <c r="P30" s="104">
        <v>174</v>
      </c>
      <c r="Q30" s="104">
        <v>158</v>
      </c>
      <c r="R30" s="215">
        <f t="shared" si="0"/>
        <v>0.90804597701149425</v>
      </c>
      <c r="S30" s="105">
        <f t="shared" si="5"/>
        <v>653793</v>
      </c>
      <c r="T30" s="98">
        <f t="shared" si="4"/>
        <v>84993</v>
      </c>
      <c r="U30" s="70">
        <f t="shared" si="1"/>
        <v>1.4367816092430985E-7</v>
      </c>
      <c r="V30" s="140">
        <v>0.13</v>
      </c>
      <c r="W30" s="209"/>
      <c r="X30" s="17">
        <v>44390</v>
      </c>
      <c r="Y30" s="12" t="s">
        <v>66</v>
      </c>
      <c r="Z30" s="12"/>
      <c r="AA30" s="12"/>
      <c r="AB30" s="3">
        <v>1</v>
      </c>
    </row>
    <row r="31" spans="1:28" s="3" customFormat="1" ht="14.45" customHeight="1" x14ac:dyDescent="0.25">
      <c r="A31" s="141">
        <v>3</v>
      </c>
      <c r="B31" s="99" t="s">
        <v>182</v>
      </c>
      <c r="C31" s="95" t="str">
        <f>VLOOKUP($F31,Admin!$D$11:$F$19,2,FALSE)</f>
        <v>Kísérleti fejlesztés</v>
      </c>
      <c r="D31" s="138" t="s">
        <v>123</v>
      </c>
      <c r="E31" s="95" t="str">
        <f>VLOOKUP($F31,Admin!$D$11:$F$19,3,FALSE)</f>
        <v>54. Bérköltség - Kutató-fejlesztő munkatárs</v>
      </c>
      <c r="F31" s="139" t="s">
        <v>213</v>
      </c>
      <c r="G31" s="100" t="s">
        <v>179</v>
      </c>
      <c r="H31" s="100" t="s">
        <v>228</v>
      </c>
      <c r="I31" s="139" t="str">
        <f>VLOOKUP($F31,Admin!$D$11:$G$19,4,FALSE)</f>
        <v>K+F munkatárs</v>
      </c>
      <c r="J31" s="100" t="s">
        <v>47</v>
      </c>
      <c r="K31" s="95" t="str">
        <f t="shared" si="2"/>
        <v>2022.05</v>
      </c>
      <c r="L31" s="101" t="s">
        <v>6</v>
      </c>
      <c r="M31" s="96" t="s">
        <v>70</v>
      </c>
      <c r="N31" s="102">
        <v>720000</v>
      </c>
      <c r="O31" s="97">
        <f t="shared" si="3"/>
        <v>93600</v>
      </c>
      <c r="P31" s="104">
        <v>174</v>
      </c>
      <c r="Q31" s="104">
        <v>158</v>
      </c>
      <c r="R31" s="215">
        <f t="shared" si="0"/>
        <v>0.90804597701149425</v>
      </c>
      <c r="S31" s="105">
        <f t="shared" si="5"/>
        <v>653793</v>
      </c>
      <c r="T31" s="98">
        <f t="shared" si="4"/>
        <v>84993</v>
      </c>
      <c r="U31" s="70">
        <f t="shared" si="1"/>
        <v>1.4367816092430985E-7</v>
      </c>
      <c r="V31" s="140">
        <v>0.13</v>
      </c>
      <c r="W31" s="209"/>
      <c r="X31" s="17">
        <v>44390</v>
      </c>
      <c r="Y31" s="12" t="s">
        <v>66</v>
      </c>
      <c r="Z31" s="12"/>
      <c r="AA31" s="12"/>
      <c r="AB31" s="3">
        <v>1</v>
      </c>
    </row>
    <row r="32" spans="1:28" s="3" customFormat="1" ht="14.45" customHeight="1" x14ac:dyDescent="0.25">
      <c r="A32" s="141">
        <v>3</v>
      </c>
      <c r="B32" s="99" t="s">
        <v>182</v>
      </c>
      <c r="C32" s="95" t="str">
        <f>VLOOKUP($F32,Admin!$D$11:$F$19,2,FALSE)</f>
        <v>Kísérleti fejlesztés</v>
      </c>
      <c r="D32" s="138" t="s">
        <v>123</v>
      </c>
      <c r="E32" s="95" t="str">
        <f>VLOOKUP($F32,Admin!$D$11:$F$19,3,FALSE)</f>
        <v>54. Bérköltség - Kutató-fejlesztő munkatárs</v>
      </c>
      <c r="F32" s="139" t="s">
        <v>213</v>
      </c>
      <c r="G32" s="100" t="s">
        <v>179</v>
      </c>
      <c r="H32" s="100" t="s">
        <v>228</v>
      </c>
      <c r="I32" s="139" t="str">
        <f>VLOOKUP($F32,Admin!$D$11:$G$19,4,FALSE)</f>
        <v>K+F munkatárs</v>
      </c>
      <c r="J32" s="100" t="s">
        <v>48</v>
      </c>
      <c r="K32" s="95" t="str">
        <f t="shared" si="2"/>
        <v>2022.06</v>
      </c>
      <c r="L32" s="101" t="s">
        <v>6</v>
      </c>
      <c r="M32" s="96" t="s">
        <v>70</v>
      </c>
      <c r="N32" s="102">
        <v>720000</v>
      </c>
      <c r="O32" s="97">
        <f t="shared" si="3"/>
        <v>93600</v>
      </c>
      <c r="P32" s="104">
        <v>174</v>
      </c>
      <c r="Q32" s="104">
        <v>158</v>
      </c>
      <c r="R32" s="215">
        <f t="shared" si="0"/>
        <v>0.90804597701149425</v>
      </c>
      <c r="S32" s="105">
        <f t="shared" si="5"/>
        <v>653793</v>
      </c>
      <c r="T32" s="98">
        <f t="shared" si="4"/>
        <v>84993</v>
      </c>
      <c r="U32" s="70">
        <f t="shared" si="1"/>
        <v>1.4367816092430985E-7</v>
      </c>
      <c r="V32" s="140">
        <v>0.13</v>
      </c>
      <c r="W32" s="209"/>
      <c r="X32" s="17">
        <v>44390</v>
      </c>
      <c r="Y32" s="12" t="s">
        <v>66</v>
      </c>
      <c r="Z32" s="12"/>
      <c r="AA32" s="12"/>
      <c r="AB32" s="3">
        <v>1</v>
      </c>
    </row>
    <row r="33" spans="1:31" s="3" customFormat="1" ht="14.45" customHeight="1" x14ac:dyDescent="0.25">
      <c r="A33" s="141"/>
      <c r="B33" s="99" t="s">
        <v>182</v>
      </c>
      <c r="C33" s="95" t="str">
        <f>VLOOKUP($F33,Admin!$D$11:$F$19,2,FALSE)</f>
        <v>Kísérleti fejlesztés</v>
      </c>
      <c r="D33" s="138" t="s">
        <v>123</v>
      </c>
      <c r="E33" s="95" t="str">
        <f>VLOOKUP($F33,Admin!$D$11:$F$19,3,FALSE)</f>
        <v>54. Bérköltség - Kutató-fejlesztő munkatárs</v>
      </c>
      <c r="F33" s="139" t="s">
        <v>213</v>
      </c>
      <c r="G33" s="100" t="s">
        <v>179</v>
      </c>
      <c r="H33" s="100" t="s">
        <v>228</v>
      </c>
      <c r="I33" s="139" t="str">
        <f>VLOOKUP($F33,Admin!$D$11:$G$19,4,FALSE)</f>
        <v>K+F munkatárs</v>
      </c>
      <c r="J33" s="100" t="s">
        <v>296</v>
      </c>
      <c r="K33" s="95" t="str">
        <f t="shared" ref="K33:K34" si="6">J33</f>
        <v>2023.03</v>
      </c>
      <c r="L33" s="101" t="s">
        <v>6</v>
      </c>
      <c r="M33" s="96" t="s">
        <v>70</v>
      </c>
      <c r="N33" s="102">
        <v>1161000</v>
      </c>
      <c r="O33" s="97">
        <f t="shared" ref="O33" si="7">ROUND(N33*V33,0)</f>
        <v>150930</v>
      </c>
      <c r="P33" s="104">
        <v>174</v>
      </c>
      <c r="Q33" s="104">
        <v>43</v>
      </c>
      <c r="R33" s="215">
        <f t="shared" ref="R33" si="8">Q33/P33</f>
        <v>0.2471264367816092</v>
      </c>
      <c r="S33" s="105">
        <f t="shared" ref="S33" si="9">ROUND(N33*Q33/P33,0)</f>
        <v>286914</v>
      </c>
      <c r="T33" s="98">
        <f t="shared" ref="T33" si="10">ROUND(S33*V33,0)</f>
        <v>37299</v>
      </c>
      <c r="U33" s="70">
        <f t="shared" ref="U33" si="11">Q33/P33-S33/N33</f>
        <v>-1.7820547090763306E-7</v>
      </c>
      <c r="V33" s="140">
        <v>0.13</v>
      </c>
      <c r="W33" s="209" t="s">
        <v>319</v>
      </c>
      <c r="X33" s="17">
        <v>44980</v>
      </c>
      <c r="Y33" s="12" t="s">
        <v>66</v>
      </c>
      <c r="Z33" s="12"/>
      <c r="AA33" s="12"/>
      <c r="AB33" s="3">
        <v>1</v>
      </c>
      <c r="AC33" s="3" t="s">
        <v>315</v>
      </c>
      <c r="AD33" s="3">
        <v>0</v>
      </c>
      <c r="AE33" s="219">
        <v>148070</v>
      </c>
    </row>
    <row r="34" spans="1:31" s="3" customFormat="1" ht="14.45" customHeight="1" x14ac:dyDescent="0.25">
      <c r="A34" s="141"/>
      <c r="B34" s="99" t="s">
        <v>182</v>
      </c>
      <c r="C34" s="95" t="str">
        <f>VLOOKUP($F34,Admin!$D$11:$F$19,2,FALSE)</f>
        <v>Kísérleti fejlesztés</v>
      </c>
      <c r="D34" s="138" t="s">
        <v>123</v>
      </c>
      <c r="E34" s="95" t="str">
        <f>VLOOKUP($F34,Admin!$D$11:$F$19,3,FALSE)</f>
        <v>54. Bérköltség - Kutató-fejlesztő munkatárs</v>
      </c>
      <c r="F34" s="139" t="s">
        <v>213</v>
      </c>
      <c r="G34" s="100" t="s">
        <v>179</v>
      </c>
      <c r="H34" s="100" t="s">
        <v>228</v>
      </c>
      <c r="I34" s="139" t="str">
        <f>VLOOKUP($F34,Admin!$D$11:$G$19,4,FALSE)</f>
        <v>K+F munkatárs</v>
      </c>
      <c r="J34" s="100" t="s">
        <v>297</v>
      </c>
      <c r="K34" s="95" t="str">
        <f t="shared" si="6"/>
        <v>2023.04</v>
      </c>
      <c r="L34" s="101" t="s">
        <v>7</v>
      </c>
      <c r="M34" s="96" t="s">
        <v>70</v>
      </c>
      <c r="N34" s="102">
        <v>1161000</v>
      </c>
      <c r="O34" s="97">
        <f t="shared" ref="O34" si="12">ROUND(N34*V34,0)</f>
        <v>150930</v>
      </c>
      <c r="P34" s="104">
        <v>174</v>
      </c>
      <c r="Q34" s="104">
        <v>43</v>
      </c>
      <c r="R34" s="215">
        <f t="shared" ref="R34" si="13">Q34/P34</f>
        <v>0.2471264367816092</v>
      </c>
      <c r="S34" s="105">
        <f t="shared" ref="S34" si="14">ROUND(N34*Q34/P34,0)</f>
        <v>286914</v>
      </c>
      <c r="T34" s="98">
        <f t="shared" ref="T34" si="15">ROUND(S34*V34,0)</f>
        <v>37299</v>
      </c>
      <c r="U34" s="70">
        <f t="shared" ref="U34" si="16">Q34/P34-S34/N34</f>
        <v>-1.7820547090763306E-7</v>
      </c>
      <c r="V34" s="140">
        <v>0.13</v>
      </c>
      <c r="W34" s="209" t="s">
        <v>319</v>
      </c>
      <c r="X34" s="17">
        <v>44980</v>
      </c>
      <c r="Y34" s="12" t="s">
        <v>66</v>
      </c>
      <c r="Z34" s="12"/>
      <c r="AA34" s="12"/>
    </row>
    <row r="35" spans="1:31" s="3" customFormat="1" ht="14.45" customHeight="1" x14ac:dyDescent="0.25">
      <c r="A35" s="141">
        <v>1</v>
      </c>
      <c r="B35" s="99" t="s">
        <v>137</v>
      </c>
      <c r="C35" s="95" t="str">
        <f>VLOOKUP($F35,Admin!$D$11:$F$19,2,FALSE)</f>
        <v>Alkalmazott (ipari) kutatás</v>
      </c>
      <c r="D35" s="138" t="s">
        <v>123</v>
      </c>
      <c r="E35" s="95" t="str">
        <f>VLOOKUP($F35,Admin!$D$11:$F$19,3,FALSE)</f>
        <v>54. Bérköltség - Kutató-fejlesztő munkatárs</v>
      </c>
      <c r="F35" s="139" t="s">
        <v>212</v>
      </c>
      <c r="G35" s="100" t="s">
        <v>180</v>
      </c>
      <c r="H35" s="100" t="s">
        <v>141</v>
      </c>
      <c r="I35" s="139" t="str">
        <f>VLOOKUP($F35,Admin!$D$11:$G$19,4,FALSE)</f>
        <v>K+F munkatárs</v>
      </c>
      <c r="J35" s="100" t="s">
        <v>225</v>
      </c>
      <c r="K35" s="95" t="str">
        <f t="shared" si="2"/>
        <v>2020.10</v>
      </c>
      <c r="L35" s="101" t="s">
        <v>6</v>
      </c>
      <c r="M35" s="96" t="s">
        <v>70</v>
      </c>
      <c r="N35" s="102">
        <v>600000</v>
      </c>
      <c r="O35" s="97">
        <f t="shared" si="3"/>
        <v>93000</v>
      </c>
      <c r="P35" s="104">
        <v>174</v>
      </c>
      <c r="Q35" s="104">
        <v>58</v>
      </c>
      <c r="R35" s="215">
        <f t="shared" si="0"/>
        <v>0.33333333333333331</v>
      </c>
      <c r="S35" s="105">
        <f t="shared" si="5"/>
        <v>200000</v>
      </c>
      <c r="T35" s="98">
        <f t="shared" si="4"/>
        <v>31000</v>
      </c>
      <c r="U35" s="70">
        <f t="shared" si="1"/>
        <v>0</v>
      </c>
      <c r="V35" s="140">
        <v>0.155</v>
      </c>
      <c r="W35" s="209"/>
      <c r="X35" s="17">
        <v>44103</v>
      </c>
      <c r="Y35" s="12" t="s">
        <v>66</v>
      </c>
      <c r="Z35" s="12"/>
      <c r="AA35" s="12"/>
      <c r="AB35" s="3">
        <v>1</v>
      </c>
    </row>
    <row r="36" spans="1:31" s="3" customFormat="1" ht="14.45" customHeight="1" x14ac:dyDescent="0.25">
      <c r="A36" s="141">
        <v>1</v>
      </c>
      <c r="B36" s="99" t="s">
        <v>137</v>
      </c>
      <c r="C36" s="95" t="str">
        <f>VLOOKUP($F36,Admin!$D$11:$F$19,2,FALSE)</f>
        <v>Alkalmazott (ipari) kutatás</v>
      </c>
      <c r="D36" s="138" t="s">
        <v>123</v>
      </c>
      <c r="E36" s="95" t="str">
        <f>VLOOKUP($F36,Admin!$D$11:$F$19,3,FALSE)</f>
        <v>54. Bérköltség - Kutató-fejlesztő munkatárs</v>
      </c>
      <c r="F36" s="139" t="s">
        <v>212</v>
      </c>
      <c r="G36" s="100" t="s">
        <v>180</v>
      </c>
      <c r="H36" s="100" t="s">
        <v>141</v>
      </c>
      <c r="I36" s="139" t="str">
        <f>VLOOKUP($F36,Admin!$D$11:$G$19,4,FALSE)</f>
        <v>K+F munkatárs</v>
      </c>
      <c r="J36" s="100" t="s">
        <v>226</v>
      </c>
      <c r="K36" s="95" t="str">
        <f t="shared" si="2"/>
        <v>2020.11</v>
      </c>
      <c r="L36" s="101" t="s">
        <v>6</v>
      </c>
      <c r="M36" s="96" t="s">
        <v>70</v>
      </c>
      <c r="N36" s="102">
        <v>600000</v>
      </c>
      <c r="O36" s="97">
        <f t="shared" si="3"/>
        <v>93000</v>
      </c>
      <c r="P36" s="104">
        <v>174</v>
      </c>
      <c r="Q36" s="104">
        <v>58</v>
      </c>
      <c r="R36" s="215">
        <f t="shared" si="0"/>
        <v>0.33333333333333331</v>
      </c>
      <c r="S36" s="105">
        <f t="shared" si="5"/>
        <v>200000</v>
      </c>
      <c r="T36" s="98">
        <f t="shared" si="4"/>
        <v>31000</v>
      </c>
      <c r="U36" s="70">
        <f t="shared" si="1"/>
        <v>0</v>
      </c>
      <c r="V36" s="140">
        <v>0.155</v>
      </c>
      <c r="W36" s="209"/>
      <c r="X36" s="17">
        <v>44103</v>
      </c>
      <c r="Y36" s="12" t="s">
        <v>66</v>
      </c>
      <c r="Z36" s="12"/>
      <c r="AA36" s="12"/>
      <c r="AB36" s="3">
        <v>1</v>
      </c>
    </row>
    <row r="37" spans="1:31" s="3" customFormat="1" ht="14.45" customHeight="1" x14ac:dyDescent="0.25">
      <c r="A37" s="141">
        <v>1</v>
      </c>
      <c r="B37" s="99" t="s">
        <v>137</v>
      </c>
      <c r="C37" s="95" t="str">
        <f>VLOOKUP($F37,Admin!$D$11:$F$19,2,FALSE)</f>
        <v>Alkalmazott (ipari) kutatás</v>
      </c>
      <c r="D37" s="138" t="s">
        <v>123</v>
      </c>
      <c r="E37" s="95" t="str">
        <f>VLOOKUP($F37,Admin!$D$11:$F$19,3,FALSE)</f>
        <v>54. Bérköltség - Kutató-fejlesztő munkatárs</v>
      </c>
      <c r="F37" s="139" t="s">
        <v>212</v>
      </c>
      <c r="G37" s="100" t="s">
        <v>180</v>
      </c>
      <c r="H37" s="100" t="s">
        <v>141</v>
      </c>
      <c r="I37" s="139" t="str">
        <f>VLOOKUP($F37,Admin!$D$11:$G$19,4,FALSE)</f>
        <v>K+F munkatárs</v>
      </c>
      <c r="J37" s="100" t="s">
        <v>30</v>
      </c>
      <c r="K37" s="95" t="str">
        <f t="shared" si="2"/>
        <v>2020.12</v>
      </c>
      <c r="L37" s="101" t="s">
        <v>6</v>
      </c>
      <c r="M37" s="96" t="s">
        <v>70</v>
      </c>
      <c r="N37" s="102">
        <v>666000</v>
      </c>
      <c r="O37" s="97">
        <f t="shared" si="3"/>
        <v>103230</v>
      </c>
      <c r="P37" s="104">
        <v>174</v>
      </c>
      <c r="Q37" s="104">
        <v>58</v>
      </c>
      <c r="R37" s="215">
        <f t="shared" si="0"/>
        <v>0.33333333333333331</v>
      </c>
      <c r="S37" s="105">
        <v>200000</v>
      </c>
      <c r="T37" s="98">
        <f t="shared" si="4"/>
        <v>31000</v>
      </c>
      <c r="U37" s="70">
        <f t="shared" si="1"/>
        <v>3.303303303303301E-2</v>
      </c>
      <c r="V37" s="140">
        <v>0.155</v>
      </c>
      <c r="W37" s="209"/>
      <c r="X37" s="17">
        <v>44160</v>
      </c>
      <c r="Y37" s="12" t="s">
        <v>66</v>
      </c>
      <c r="Z37" s="12"/>
      <c r="AA37" s="12"/>
      <c r="AB37" s="3">
        <v>1</v>
      </c>
    </row>
    <row r="38" spans="1:31" s="3" customFormat="1" ht="14.45" customHeight="1" x14ac:dyDescent="0.25">
      <c r="A38" s="141">
        <v>1</v>
      </c>
      <c r="B38" s="99" t="s">
        <v>137</v>
      </c>
      <c r="C38" s="95" t="str">
        <f>VLOOKUP($F38,Admin!$D$11:$F$19,2,FALSE)</f>
        <v>Alkalmazott (ipari) kutatás</v>
      </c>
      <c r="D38" s="138" t="s">
        <v>123</v>
      </c>
      <c r="E38" s="95" t="str">
        <f>VLOOKUP($F38,Admin!$D$11:$F$19,3,FALSE)</f>
        <v>54. Bérköltség - Kutató-fejlesztő munkatárs</v>
      </c>
      <c r="F38" s="139" t="s">
        <v>212</v>
      </c>
      <c r="G38" s="100" t="s">
        <v>180</v>
      </c>
      <c r="H38" s="100" t="s">
        <v>141</v>
      </c>
      <c r="I38" s="139" t="str">
        <f>VLOOKUP($F38,Admin!$D$11:$G$19,4,FALSE)</f>
        <v>K+F munkatárs</v>
      </c>
      <c r="J38" s="100" t="s">
        <v>31</v>
      </c>
      <c r="K38" s="95" t="str">
        <f t="shared" si="2"/>
        <v>2021.01</v>
      </c>
      <c r="L38" s="101" t="s">
        <v>6</v>
      </c>
      <c r="M38" s="96" t="s">
        <v>70</v>
      </c>
      <c r="N38" s="102">
        <v>600000</v>
      </c>
      <c r="O38" s="97">
        <f t="shared" si="3"/>
        <v>93000</v>
      </c>
      <c r="P38" s="104">
        <v>174</v>
      </c>
      <c r="Q38" s="104">
        <v>58</v>
      </c>
      <c r="R38" s="215">
        <f t="shared" si="0"/>
        <v>0.33333333333333331</v>
      </c>
      <c r="S38" s="105">
        <f t="shared" si="5"/>
        <v>200000</v>
      </c>
      <c r="T38" s="98">
        <f t="shared" si="4"/>
        <v>31000</v>
      </c>
      <c r="U38" s="70">
        <f t="shared" si="1"/>
        <v>0</v>
      </c>
      <c r="V38" s="140">
        <v>0.155</v>
      </c>
      <c r="W38" s="209"/>
      <c r="X38" s="17">
        <v>44188</v>
      </c>
      <c r="Y38" s="12" t="s">
        <v>66</v>
      </c>
      <c r="Z38" s="12"/>
      <c r="AA38" s="12"/>
      <c r="AB38" s="3">
        <v>1</v>
      </c>
    </row>
    <row r="39" spans="1:31" s="3" customFormat="1" ht="14.45" customHeight="1" x14ac:dyDescent="0.25">
      <c r="A39" s="141">
        <v>2</v>
      </c>
      <c r="B39" s="99" t="s">
        <v>137</v>
      </c>
      <c r="C39" s="95" t="str">
        <f>VLOOKUP($F39,Admin!$D$11:$F$19,2,FALSE)</f>
        <v>Kísérleti fejlesztés</v>
      </c>
      <c r="D39" s="138" t="s">
        <v>123</v>
      </c>
      <c r="E39" s="95" t="str">
        <f>VLOOKUP($F39,Admin!$D$11:$F$19,3,FALSE)</f>
        <v>54. Bérköltség - Kutató-fejlesztő munkatárs</v>
      </c>
      <c r="F39" s="139" t="s">
        <v>213</v>
      </c>
      <c r="G39" s="100" t="s">
        <v>180</v>
      </c>
      <c r="H39" s="100" t="s">
        <v>141</v>
      </c>
      <c r="I39" s="139" t="str">
        <f>VLOOKUP($F39,Admin!$D$11:$G$19,4,FALSE)</f>
        <v>K+F munkatárs</v>
      </c>
      <c r="J39" s="100" t="s">
        <v>32</v>
      </c>
      <c r="K39" s="95" t="str">
        <f t="shared" si="2"/>
        <v>2021.02</v>
      </c>
      <c r="L39" s="101" t="s">
        <v>6</v>
      </c>
      <c r="M39" s="96" t="s">
        <v>70</v>
      </c>
      <c r="N39" s="102">
        <v>600000</v>
      </c>
      <c r="O39" s="97">
        <f t="shared" si="3"/>
        <v>93000</v>
      </c>
      <c r="P39" s="104">
        <v>174</v>
      </c>
      <c r="Q39" s="104">
        <v>44</v>
      </c>
      <c r="R39" s="215">
        <f t="shared" si="0"/>
        <v>0.25287356321839083</v>
      </c>
      <c r="S39" s="105">
        <f t="shared" si="5"/>
        <v>151724</v>
      </c>
      <c r="T39" s="98">
        <f t="shared" si="4"/>
        <v>23517</v>
      </c>
      <c r="U39" s="70">
        <f t="shared" si="1"/>
        <v>2.2988505748999799E-7</v>
      </c>
      <c r="V39" s="140">
        <v>0.155</v>
      </c>
      <c r="W39" s="209"/>
      <c r="X39" s="17">
        <v>44216</v>
      </c>
      <c r="Y39" s="12" t="s">
        <v>66</v>
      </c>
      <c r="Z39" s="12"/>
      <c r="AA39" s="12"/>
      <c r="AB39" s="3">
        <v>1</v>
      </c>
    </row>
    <row r="40" spans="1:31" s="3" customFormat="1" ht="14.45" customHeight="1" x14ac:dyDescent="0.25">
      <c r="A40" s="141">
        <v>2</v>
      </c>
      <c r="B40" s="99" t="s">
        <v>137</v>
      </c>
      <c r="C40" s="95" t="str">
        <f>VLOOKUP($F40,Admin!$D$11:$F$19,2,FALSE)</f>
        <v>Kísérleti fejlesztés</v>
      </c>
      <c r="D40" s="138" t="s">
        <v>123</v>
      </c>
      <c r="E40" s="95" t="str">
        <f>VLOOKUP($F40,Admin!$D$11:$F$19,3,FALSE)</f>
        <v>54. Bérköltség - Kutató-fejlesztő munkatárs</v>
      </c>
      <c r="F40" s="139" t="s">
        <v>213</v>
      </c>
      <c r="G40" s="100" t="s">
        <v>180</v>
      </c>
      <c r="H40" s="100" t="s">
        <v>141</v>
      </c>
      <c r="I40" s="139" t="str">
        <f>VLOOKUP($F40,Admin!$D$11:$G$19,4,FALSE)</f>
        <v>K+F munkatárs</v>
      </c>
      <c r="J40" s="100" t="s">
        <v>33</v>
      </c>
      <c r="K40" s="95" t="str">
        <f t="shared" si="2"/>
        <v>2021.03</v>
      </c>
      <c r="L40" s="101" t="s">
        <v>6</v>
      </c>
      <c r="M40" s="96" t="s">
        <v>70</v>
      </c>
      <c r="N40" s="102">
        <v>609000</v>
      </c>
      <c r="O40" s="97">
        <f t="shared" si="3"/>
        <v>94395</v>
      </c>
      <c r="P40" s="104">
        <v>174</v>
      </c>
      <c r="Q40" s="104">
        <v>87</v>
      </c>
      <c r="R40" s="215">
        <f t="shared" si="0"/>
        <v>0.5</v>
      </c>
      <c r="S40" s="105">
        <v>300000</v>
      </c>
      <c r="T40" s="98">
        <f t="shared" si="4"/>
        <v>46500</v>
      </c>
      <c r="U40" s="70">
        <f t="shared" si="1"/>
        <v>7.3891625615763457E-3</v>
      </c>
      <c r="V40" s="140">
        <v>0.155</v>
      </c>
      <c r="W40" s="209"/>
      <c r="X40" s="17">
        <v>44251</v>
      </c>
      <c r="Y40" s="12" t="s">
        <v>66</v>
      </c>
      <c r="Z40" s="12"/>
      <c r="AA40" s="12"/>
      <c r="AB40" s="3">
        <v>1</v>
      </c>
    </row>
    <row r="41" spans="1:31" s="3" customFormat="1" ht="14.45" customHeight="1" x14ac:dyDescent="0.25">
      <c r="A41" s="141">
        <v>2</v>
      </c>
      <c r="B41" s="99" t="s">
        <v>137</v>
      </c>
      <c r="C41" s="95" t="str">
        <f>VLOOKUP($F41,Admin!$D$11:$F$19,2,FALSE)</f>
        <v>Kísérleti fejlesztés</v>
      </c>
      <c r="D41" s="138" t="s">
        <v>123</v>
      </c>
      <c r="E41" s="95" t="str">
        <f>VLOOKUP($F41,Admin!$D$11:$F$19,3,FALSE)</f>
        <v>54. Bérköltség - Kutató-fejlesztő munkatárs</v>
      </c>
      <c r="F41" s="139" t="s">
        <v>213</v>
      </c>
      <c r="G41" s="100" t="s">
        <v>180</v>
      </c>
      <c r="H41" s="100" t="s">
        <v>141</v>
      </c>
      <c r="I41" s="139" t="str">
        <f>VLOOKUP($F41,Admin!$D$11:$G$19,4,FALSE)</f>
        <v>K+F munkatárs</v>
      </c>
      <c r="J41" s="100" t="s">
        <v>34</v>
      </c>
      <c r="K41" s="95" t="str">
        <f t="shared" si="2"/>
        <v>2021.04</v>
      </c>
      <c r="L41" s="101" t="s">
        <v>6</v>
      </c>
      <c r="M41" s="96" t="s">
        <v>70</v>
      </c>
      <c r="N41" s="102">
        <v>609000</v>
      </c>
      <c r="O41" s="97">
        <f t="shared" si="3"/>
        <v>94395</v>
      </c>
      <c r="P41" s="104">
        <v>174</v>
      </c>
      <c r="Q41" s="104">
        <v>87</v>
      </c>
      <c r="R41" s="215">
        <f t="shared" si="0"/>
        <v>0.5</v>
      </c>
      <c r="S41" s="105">
        <v>300000</v>
      </c>
      <c r="T41" s="98">
        <f t="shared" si="4"/>
        <v>46500</v>
      </c>
      <c r="U41" s="70">
        <f t="shared" si="1"/>
        <v>7.3891625615763457E-3</v>
      </c>
      <c r="V41" s="140">
        <v>0.155</v>
      </c>
      <c r="W41" s="209"/>
      <c r="X41" s="17">
        <v>44251</v>
      </c>
      <c r="Y41" s="12" t="s">
        <v>66</v>
      </c>
      <c r="Z41" s="12"/>
      <c r="AA41" s="12"/>
      <c r="AB41" s="3">
        <v>1</v>
      </c>
    </row>
    <row r="42" spans="1:31" s="3" customFormat="1" ht="14.45" customHeight="1" x14ac:dyDescent="0.25">
      <c r="A42" s="141">
        <v>2</v>
      </c>
      <c r="B42" s="99" t="s">
        <v>137</v>
      </c>
      <c r="C42" s="95" t="str">
        <f>VLOOKUP($F42,Admin!$D$11:$F$19,2,FALSE)</f>
        <v>Kísérleti fejlesztés</v>
      </c>
      <c r="D42" s="138" t="s">
        <v>123</v>
      </c>
      <c r="E42" s="95" t="str">
        <f>VLOOKUP($F42,Admin!$D$11:$F$19,3,FALSE)</f>
        <v>54. Bérköltség - Kutató-fejlesztő munkatárs</v>
      </c>
      <c r="F42" s="139" t="s">
        <v>213</v>
      </c>
      <c r="G42" s="100" t="s">
        <v>180</v>
      </c>
      <c r="H42" s="100" t="s">
        <v>141</v>
      </c>
      <c r="I42" s="139" t="str">
        <f>VLOOKUP($F42,Admin!$D$11:$G$19,4,FALSE)</f>
        <v>K+F munkatárs</v>
      </c>
      <c r="J42" s="100" t="s">
        <v>35</v>
      </c>
      <c r="K42" s="95" t="str">
        <f t="shared" si="2"/>
        <v>2021.05</v>
      </c>
      <c r="L42" s="101" t="s">
        <v>6</v>
      </c>
      <c r="M42" s="96" t="s">
        <v>70</v>
      </c>
      <c r="N42" s="102">
        <v>609000</v>
      </c>
      <c r="O42" s="97">
        <f t="shared" si="3"/>
        <v>94395</v>
      </c>
      <c r="P42" s="104">
        <v>174</v>
      </c>
      <c r="Q42" s="104">
        <v>87</v>
      </c>
      <c r="R42" s="215">
        <f t="shared" si="0"/>
        <v>0.5</v>
      </c>
      <c r="S42" s="105">
        <v>300000</v>
      </c>
      <c r="T42" s="98">
        <f t="shared" si="4"/>
        <v>46500</v>
      </c>
      <c r="U42" s="70">
        <f t="shared" si="1"/>
        <v>7.3891625615763457E-3</v>
      </c>
      <c r="V42" s="140">
        <v>0.155</v>
      </c>
      <c r="W42" s="209"/>
      <c r="X42" s="17">
        <v>44251</v>
      </c>
      <c r="Y42" s="12" t="s">
        <v>66</v>
      </c>
      <c r="Z42" s="12"/>
      <c r="AA42" s="12"/>
      <c r="AB42" s="3">
        <v>1</v>
      </c>
    </row>
    <row r="43" spans="1:31" s="3" customFormat="1" ht="14.45" customHeight="1" x14ac:dyDescent="0.25">
      <c r="A43" s="141">
        <v>2</v>
      </c>
      <c r="B43" s="99" t="s">
        <v>137</v>
      </c>
      <c r="C43" s="95" t="str">
        <f>VLOOKUP($F43,Admin!$D$11:$F$19,2,FALSE)</f>
        <v>Kísérleti fejlesztés</v>
      </c>
      <c r="D43" s="138" t="s">
        <v>123</v>
      </c>
      <c r="E43" s="95" t="str">
        <f>VLOOKUP($F43,Admin!$D$11:$F$19,3,FALSE)</f>
        <v>54. Bérköltség - Kutató-fejlesztő munkatárs</v>
      </c>
      <c r="F43" s="139" t="s">
        <v>213</v>
      </c>
      <c r="G43" s="100" t="s">
        <v>180</v>
      </c>
      <c r="H43" s="100" t="s">
        <v>141</v>
      </c>
      <c r="I43" s="139" t="str">
        <f>VLOOKUP($F43,Admin!$D$11:$G$19,4,FALSE)</f>
        <v>K+F munkatárs</v>
      </c>
      <c r="J43" s="100" t="s">
        <v>36</v>
      </c>
      <c r="K43" s="95" t="str">
        <f t="shared" si="2"/>
        <v>2021.06</v>
      </c>
      <c r="L43" s="101" t="s">
        <v>6</v>
      </c>
      <c r="M43" s="96" t="s">
        <v>70</v>
      </c>
      <c r="N43" s="102">
        <v>609000</v>
      </c>
      <c r="O43" s="97">
        <f t="shared" si="3"/>
        <v>94395</v>
      </c>
      <c r="P43" s="104">
        <v>174</v>
      </c>
      <c r="Q43" s="104">
        <v>87</v>
      </c>
      <c r="R43" s="215">
        <f t="shared" si="0"/>
        <v>0.5</v>
      </c>
      <c r="S43" s="105">
        <v>300000</v>
      </c>
      <c r="T43" s="98">
        <f t="shared" si="4"/>
        <v>46500</v>
      </c>
      <c r="U43" s="70">
        <f t="shared" si="1"/>
        <v>7.3891625615763457E-3</v>
      </c>
      <c r="V43" s="140">
        <v>0.155</v>
      </c>
      <c r="W43" s="209"/>
      <c r="X43" s="17">
        <v>44251</v>
      </c>
      <c r="Y43" s="12" t="s">
        <v>66</v>
      </c>
      <c r="Z43" s="12"/>
      <c r="AA43" s="12"/>
      <c r="AB43" s="3">
        <v>1</v>
      </c>
    </row>
    <row r="44" spans="1:31" s="3" customFormat="1" ht="14.45" customHeight="1" x14ac:dyDescent="0.25">
      <c r="A44" s="141">
        <v>2</v>
      </c>
      <c r="B44" s="99" t="s">
        <v>137</v>
      </c>
      <c r="C44" s="95" t="str">
        <f>VLOOKUP($F44,Admin!$D$11:$F$19,2,FALSE)</f>
        <v>Kísérleti fejlesztés</v>
      </c>
      <c r="D44" s="138" t="s">
        <v>123</v>
      </c>
      <c r="E44" s="95" t="str">
        <f>VLOOKUP($F44,Admin!$D$11:$F$19,3,FALSE)</f>
        <v>54. Bérköltség - Kutató-fejlesztő munkatárs</v>
      </c>
      <c r="F44" s="139" t="s">
        <v>213</v>
      </c>
      <c r="G44" s="100" t="s">
        <v>180</v>
      </c>
      <c r="H44" s="100" t="s">
        <v>141</v>
      </c>
      <c r="I44" s="139" t="str">
        <f>VLOOKUP($F44,Admin!$D$11:$G$19,4,FALSE)</f>
        <v>K+F munkatárs</v>
      </c>
      <c r="J44" s="100" t="s">
        <v>37</v>
      </c>
      <c r="K44" s="95" t="str">
        <f t="shared" si="2"/>
        <v>2021.07</v>
      </c>
      <c r="L44" s="101" t="s">
        <v>6</v>
      </c>
      <c r="M44" s="96" t="s">
        <v>70</v>
      </c>
      <c r="N44" s="102">
        <v>600000</v>
      </c>
      <c r="O44" s="97">
        <f t="shared" si="3"/>
        <v>93000</v>
      </c>
      <c r="P44" s="104">
        <v>174</v>
      </c>
      <c r="Q44" s="104">
        <v>87</v>
      </c>
      <c r="R44" s="215">
        <f t="shared" si="0"/>
        <v>0.5</v>
      </c>
      <c r="S44" s="105">
        <f t="shared" ref="S44:S47" si="17">ROUND(N44*Q44/P44,0)</f>
        <v>300000</v>
      </c>
      <c r="T44" s="98">
        <f t="shared" si="4"/>
        <v>46500</v>
      </c>
      <c r="U44" s="70">
        <f t="shared" si="1"/>
        <v>0</v>
      </c>
      <c r="V44" s="140">
        <v>0.155</v>
      </c>
      <c r="W44" s="209"/>
      <c r="X44" s="17">
        <v>44357</v>
      </c>
      <c r="Y44" s="12" t="s">
        <v>66</v>
      </c>
      <c r="Z44" s="12"/>
      <c r="AA44" s="12"/>
      <c r="AB44" s="3">
        <v>1</v>
      </c>
    </row>
    <row r="45" spans="1:31" s="3" customFormat="1" ht="14.45" customHeight="1" x14ac:dyDescent="0.25">
      <c r="A45" s="141">
        <v>2</v>
      </c>
      <c r="B45" s="99" t="s">
        <v>137</v>
      </c>
      <c r="C45" s="95" t="str">
        <f>VLOOKUP($F45,Admin!$D$11:$F$19,2,FALSE)</f>
        <v>Kísérleti fejlesztés</v>
      </c>
      <c r="D45" s="138" t="s">
        <v>123</v>
      </c>
      <c r="E45" s="95" t="str">
        <f>VLOOKUP($F45,Admin!$D$11:$F$19,3,FALSE)</f>
        <v>54. Bérköltség - Kutató-fejlesztő munkatárs</v>
      </c>
      <c r="F45" s="139" t="s">
        <v>213</v>
      </c>
      <c r="G45" s="100" t="s">
        <v>180</v>
      </c>
      <c r="H45" s="100" t="s">
        <v>141</v>
      </c>
      <c r="I45" s="139" t="str">
        <f>VLOOKUP($F45,Admin!$D$11:$G$19,4,FALSE)</f>
        <v>K+F munkatárs</v>
      </c>
      <c r="J45" s="100" t="s">
        <v>38</v>
      </c>
      <c r="K45" s="95" t="str">
        <f t="shared" si="2"/>
        <v>2021.08</v>
      </c>
      <c r="L45" s="101" t="s">
        <v>6</v>
      </c>
      <c r="M45" s="96" t="s">
        <v>70</v>
      </c>
      <c r="N45" s="102">
        <v>600000</v>
      </c>
      <c r="O45" s="97">
        <f t="shared" si="3"/>
        <v>93000</v>
      </c>
      <c r="P45" s="104">
        <v>174</v>
      </c>
      <c r="Q45" s="104">
        <v>87</v>
      </c>
      <c r="R45" s="215">
        <f t="shared" si="0"/>
        <v>0.5</v>
      </c>
      <c r="S45" s="105">
        <f t="shared" si="17"/>
        <v>300000</v>
      </c>
      <c r="T45" s="98">
        <f t="shared" si="4"/>
        <v>46500</v>
      </c>
      <c r="U45" s="70">
        <f t="shared" si="1"/>
        <v>0</v>
      </c>
      <c r="V45" s="140">
        <v>0.155</v>
      </c>
      <c r="W45" s="209"/>
      <c r="X45" s="17">
        <v>44357</v>
      </c>
      <c r="Y45" s="12" t="s">
        <v>66</v>
      </c>
      <c r="Z45" s="12"/>
      <c r="AA45" s="12"/>
      <c r="AB45" s="3">
        <v>1</v>
      </c>
    </row>
    <row r="46" spans="1:31" s="3" customFormat="1" ht="14.45" customHeight="1" x14ac:dyDescent="0.25">
      <c r="A46" s="141">
        <v>2</v>
      </c>
      <c r="B46" s="99" t="s">
        <v>137</v>
      </c>
      <c r="C46" s="95" t="str">
        <f>VLOOKUP($F46,Admin!$D$11:$F$19,2,FALSE)</f>
        <v>Kísérleti fejlesztés</v>
      </c>
      <c r="D46" s="138" t="s">
        <v>123</v>
      </c>
      <c r="E46" s="95" t="str">
        <f>VLOOKUP($F46,Admin!$D$11:$F$19,3,FALSE)</f>
        <v>54. Bérköltség - Kutató-fejlesztő munkatárs</v>
      </c>
      <c r="F46" s="139" t="s">
        <v>213</v>
      </c>
      <c r="G46" s="100" t="s">
        <v>180</v>
      </c>
      <c r="H46" s="100" t="s">
        <v>141</v>
      </c>
      <c r="I46" s="139" t="str">
        <f>VLOOKUP($F46,Admin!$D$11:$G$19,4,FALSE)</f>
        <v>K+F munkatárs</v>
      </c>
      <c r="J46" s="100" t="s">
        <v>39</v>
      </c>
      <c r="K46" s="95" t="str">
        <f t="shared" si="2"/>
        <v>2021.09</v>
      </c>
      <c r="L46" s="101" t="s">
        <v>6</v>
      </c>
      <c r="M46" s="96" t="s">
        <v>70</v>
      </c>
      <c r="N46" s="102">
        <v>600000</v>
      </c>
      <c r="O46" s="97">
        <f t="shared" si="3"/>
        <v>93000</v>
      </c>
      <c r="P46" s="104">
        <v>174</v>
      </c>
      <c r="Q46" s="104">
        <v>87</v>
      </c>
      <c r="R46" s="215">
        <f t="shared" si="0"/>
        <v>0.5</v>
      </c>
      <c r="S46" s="105">
        <f t="shared" si="17"/>
        <v>300000</v>
      </c>
      <c r="T46" s="98">
        <f t="shared" si="4"/>
        <v>46500</v>
      </c>
      <c r="U46" s="70">
        <f t="shared" si="1"/>
        <v>0</v>
      </c>
      <c r="V46" s="140">
        <v>0.155</v>
      </c>
      <c r="W46" s="209"/>
      <c r="X46" s="17">
        <v>44357</v>
      </c>
      <c r="Y46" s="12" t="s">
        <v>66</v>
      </c>
      <c r="Z46" s="12"/>
      <c r="AA46" s="12"/>
      <c r="AB46" s="3">
        <v>1</v>
      </c>
    </row>
    <row r="47" spans="1:31" s="3" customFormat="1" ht="14.45" customHeight="1" x14ac:dyDescent="0.25">
      <c r="A47" s="141">
        <v>2</v>
      </c>
      <c r="B47" s="99" t="s">
        <v>137</v>
      </c>
      <c r="C47" s="95" t="str">
        <f>VLOOKUP($F47,Admin!$D$11:$F$19,2,FALSE)</f>
        <v>Kísérleti fejlesztés</v>
      </c>
      <c r="D47" s="138" t="s">
        <v>123</v>
      </c>
      <c r="E47" s="95" t="str">
        <f>VLOOKUP($F47,Admin!$D$11:$F$19,3,FALSE)</f>
        <v>54. Bérköltség - Kutató-fejlesztő munkatárs</v>
      </c>
      <c r="F47" s="139" t="s">
        <v>213</v>
      </c>
      <c r="G47" s="100" t="s">
        <v>180</v>
      </c>
      <c r="H47" s="100" t="s">
        <v>141</v>
      </c>
      <c r="I47" s="139" t="str">
        <f>VLOOKUP($F47,Admin!$D$11:$G$19,4,FALSE)</f>
        <v>K+F munkatárs</v>
      </c>
      <c r="J47" s="100" t="s">
        <v>40</v>
      </c>
      <c r="K47" s="95" t="str">
        <f t="shared" si="2"/>
        <v>2021.10</v>
      </c>
      <c r="L47" s="101" t="s">
        <v>6</v>
      </c>
      <c r="M47" s="96" t="s">
        <v>70</v>
      </c>
      <c r="N47" s="102">
        <v>689999</v>
      </c>
      <c r="O47" s="97">
        <f t="shared" si="3"/>
        <v>106950</v>
      </c>
      <c r="P47" s="104">
        <v>174</v>
      </c>
      <c r="Q47" s="104">
        <v>87</v>
      </c>
      <c r="R47" s="215">
        <f t="shared" si="0"/>
        <v>0.5</v>
      </c>
      <c r="S47" s="105">
        <f t="shared" si="17"/>
        <v>345000</v>
      </c>
      <c r="T47" s="98">
        <f t="shared" si="4"/>
        <v>53475</v>
      </c>
      <c r="U47" s="70">
        <f t="shared" si="1"/>
        <v>-7.2463873135308887E-7</v>
      </c>
      <c r="V47" s="140">
        <v>0.155</v>
      </c>
      <c r="W47" s="209"/>
      <c r="X47" s="17">
        <v>44357</v>
      </c>
      <c r="Y47" s="12" t="s">
        <v>66</v>
      </c>
      <c r="Z47" s="12"/>
      <c r="AA47" s="12"/>
      <c r="AB47" s="3">
        <v>1</v>
      </c>
    </row>
    <row r="48" spans="1:31" s="3" customFormat="1" ht="14.45" customHeight="1" x14ac:dyDescent="0.25">
      <c r="A48" s="141">
        <v>2</v>
      </c>
      <c r="B48" s="99" t="s">
        <v>137</v>
      </c>
      <c r="C48" s="95" t="str">
        <f>VLOOKUP($F48,Admin!$D$11:$F$19,2,FALSE)</f>
        <v>Kísérleti fejlesztés</v>
      </c>
      <c r="D48" s="138" t="s">
        <v>123</v>
      </c>
      <c r="E48" s="95" t="str">
        <f>VLOOKUP($F48,Admin!$D$11:$F$19,3,FALSE)</f>
        <v>54. Bérköltség - Kutató-fejlesztő munkatárs</v>
      </c>
      <c r="F48" s="139" t="s">
        <v>213</v>
      </c>
      <c r="G48" s="100" t="s">
        <v>180</v>
      </c>
      <c r="H48" s="100" t="s">
        <v>141</v>
      </c>
      <c r="I48" s="139" t="str">
        <f>VLOOKUP($F48,Admin!$D$11:$G$19,4,FALSE)</f>
        <v>K+F munkatárs</v>
      </c>
      <c r="J48" s="100" t="s">
        <v>41</v>
      </c>
      <c r="K48" s="95" t="str">
        <f t="shared" si="2"/>
        <v>2021.11</v>
      </c>
      <c r="L48" s="101" t="s">
        <v>6</v>
      </c>
      <c r="M48" s="96" t="s">
        <v>70</v>
      </c>
      <c r="N48" s="102">
        <v>756000</v>
      </c>
      <c r="O48" s="97">
        <f t="shared" si="3"/>
        <v>117180</v>
      </c>
      <c r="P48" s="104">
        <v>174</v>
      </c>
      <c r="Q48" s="104">
        <v>86</v>
      </c>
      <c r="R48" s="215">
        <f t="shared" si="0"/>
        <v>0.4942528735632184</v>
      </c>
      <c r="S48" s="105">
        <v>300000</v>
      </c>
      <c r="T48" s="98">
        <f t="shared" si="4"/>
        <v>46500</v>
      </c>
      <c r="U48" s="70">
        <f t="shared" si="1"/>
        <v>9.7427476737821594E-2</v>
      </c>
      <c r="V48" s="140">
        <v>0.155</v>
      </c>
      <c r="W48" s="209"/>
      <c r="X48" s="17">
        <v>44525</v>
      </c>
      <c r="Y48" s="12" t="s">
        <v>66</v>
      </c>
      <c r="Z48" s="12"/>
      <c r="AA48" s="12"/>
      <c r="AB48" s="3">
        <v>1</v>
      </c>
    </row>
    <row r="49" spans="1:31" s="3" customFormat="1" ht="14.45" customHeight="1" x14ac:dyDescent="0.25">
      <c r="A49" s="141">
        <v>2</v>
      </c>
      <c r="B49" s="99" t="s">
        <v>137</v>
      </c>
      <c r="C49" s="95" t="str">
        <f>VLOOKUP($F49,Admin!$D$11:$F$19,2,FALSE)</f>
        <v>Kísérleti fejlesztés</v>
      </c>
      <c r="D49" s="138" t="s">
        <v>123</v>
      </c>
      <c r="E49" s="95" t="str">
        <f>VLOOKUP($F49,Admin!$D$11:$F$19,3,FALSE)</f>
        <v>54. Bérköltség - Kutató-fejlesztő munkatárs</v>
      </c>
      <c r="F49" s="139" t="s">
        <v>213</v>
      </c>
      <c r="G49" s="100" t="s">
        <v>180</v>
      </c>
      <c r="H49" s="100" t="s">
        <v>141</v>
      </c>
      <c r="I49" s="139" t="str">
        <f>VLOOKUP($F49,Admin!$D$11:$G$19,4,FALSE)</f>
        <v>K+F munkatárs</v>
      </c>
      <c r="J49" s="100" t="s">
        <v>42</v>
      </c>
      <c r="K49" s="95" t="str">
        <f t="shared" si="2"/>
        <v>2021.12</v>
      </c>
      <c r="L49" s="101" t="s">
        <v>6</v>
      </c>
      <c r="M49" s="96" t="s">
        <v>70</v>
      </c>
      <c r="N49" s="102">
        <v>677113</v>
      </c>
      <c r="O49" s="97">
        <f t="shared" si="3"/>
        <v>104953</v>
      </c>
      <c r="P49" s="104">
        <v>174</v>
      </c>
      <c r="Q49" s="104">
        <v>86</v>
      </c>
      <c r="R49" s="215">
        <f t="shared" si="0"/>
        <v>0.4942528735632184</v>
      </c>
      <c r="S49" s="105">
        <v>300000</v>
      </c>
      <c r="T49" s="98">
        <f t="shared" si="4"/>
        <v>46500</v>
      </c>
      <c r="U49" s="70">
        <f t="shared" si="1"/>
        <v>5.1195363221517687E-2</v>
      </c>
      <c r="V49" s="140">
        <v>0.155</v>
      </c>
      <c r="W49" s="209"/>
      <c r="X49" s="17">
        <v>44525</v>
      </c>
      <c r="Y49" s="12" t="s">
        <v>66</v>
      </c>
      <c r="Z49" s="12"/>
      <c r="AA49" s="12"/>
      <c r="AB49" s="3">
        <v>1</v>
      </c>
    </row>
    <row r="50" spans="1:31" s="3" customFormat="1" ht="14.45" customHeight="1" x14ac:dyDescent="0.25">
      <c r="A50" s="141">
        <v>2</v>
      </c>
      <c r="B50" s="99" t="s">
        <v>137</v>
      </c>
      <c r="C50" s="95" t="str">
        <f>VLOOKUP($F50,Admin!$D$11:$F$19,2,FALSE)</f>
        <v>Kísérleti fejlesztés</v>
      </c>
      <c r="D50" s="138" t="s">
        <v>123</v>
      </c>
      <c r="E50" s="95" t="str">
        <f>VLOOKUP($F50,Admin!$D$11:$F$19,3,FALSE)</f>
        <v>54. Bérköltség - Kutató-fejlesztő munkatárs</v>
      </c>
      <c r="F50" s="139" t="s">
        <v>213</v>
      </c>
      <c r="G50" s="100" t="s">
        <v>180</v>
      </c>
      <c r="H50" s="100" t="s">
        <v>141</v>
      </c>
      <c r="I50" s="139" t="str">
        <f>VLOOKUP($F50,Admin!$D$11:$G$19,4,FALSE)</f>
        <v>K+F munkatárs</v>
      </c>
      <c r="J50" s="100" t="s">
        <v>43</v>
      </c>
      <c r="K50" s="95" t="str">
        <f t="shared" si="2"/>
        <v>2022.01</v>
      </c>
      <c r="L50" s="101" t="s">
        <v>6</v>
      </c>
      <c r="M50" s="96" t="s">
        <v>70</v>
      </c>
      <c r="N50" s="102">
        <v>826000</v>
      </c>
      <c r="O50" s="97">
        <f t="shared" si="3"/>
        <v>107380</v>
      </c>
      <c r="P50" s="104">
        <v>174</v>
      </c>
      <c r="Q50" s="104">
        <v>79</v>
      </c>
      <c r="R50" s="215">
        <f t="shared" si="0"/>
        <v>0.45402298850574713</v>
      </c>
      <c r="S50" s="105">
        <f t="shared" ref="S50:S78" si="18">ROUND(N50*Q50/P50,0)</f>
        <v>375023</v>
      </c>
      <c r="T50" s="98">
        <f t="shared" si="4"/>
        <v>48753</v>
      </c>
      <c r="U50" s="70">
        <f t="shared" si="1"/>
        <v>-1.3915560370669766E-8</v>
      </c>
      <c r="V50" s="140">
        <v>0.13</v>
      </c>
      <c r="W50" s="209"/>
      <c r="X50" s="17">
        <v>44552</v>
      </c>
      <c r="Y50" s="12" t="s">
        <v>66</v>
      </c>
      <c r="Z50" s="12"/>
      <c r="AA50" s="12"/>
      <c r="AB50" s="3">
        <v>1</v>
      </c>
    </row>
    <row r="51" spans="1:31" s="3" customFormat="1" ht="14.45" customHeight="1" x14ac:dyDescent="0.25">
      <c r="A51" s="141">
        <v>3</v>
      </c>
      <c r="B51" s="99" t="s">
        <v>137</v>
      </c>
      <c r="C51" s="95" t="str">
        <f>VLOOKUP($F51,Admin!$D$11:$F$19,2,FALSE)</f>
        <v>Kísérleti fejlesztés</v>
      </c>
      <c r="D51" s="138" t="s">
        <v>123</v>
      </c>
      <c r="E51" s="95" t="str">
        <f>VLOOKUP($F51,Admin!$D$11:$F$19,3,FALSE)</f>
        <v>54. Bérköltség - Kutató-fejlesztő munkatárs</v>
      </c>
      <c r="F51" s="139" t="s">
        <v>213</v>
      </c>
      <c r="G51" s="100" t="s">
        <v>180</v>
      </c>
      <c r="H51" s="100" t="s">
        <v>141</v>
      </c>
      <c r="I51" s="139" t="str">
        <f>VLOOKUP($F51,Admin!$D$11:$G$19,4,FALSE)</f>
        <v>K+F munkatárs</v>
      </c>
      <c r="J51" s="100" t="s">
        <v>44</v>
      </c>
      <c r="K51" s="95" t="str">
        <f t="shared" si="2"/>
        <v>2022.02</v>
      </c>
      <c r="L51" s="101" t="s">
        <v>6</v>
      </c>
      <c r="M51" s="96" t="s">
        <v>70</v>
      </c>
      <c r="N51" s="102">
        <v>760000</v>
      </c>
      <c r="O51" s="97">
        <f t="shared" si="3"/>
        <v>98800</v>
      </c>
      <c r="P51" s="104">
        <v>174</v>
      </c>
      <c r="Q51" s="104">
        <v>87</v>
      </c>
      <c r="R51" s="215">
        <f t="shared" si="0"/>
        <v>0.5</v>
      </c>
      <c r="S51" s="105">
        <f t="shared" si="18"/>
        <v>380000</v>
      </c>
      <c r="T51" s="98">
        <f t="shared" si="4"/>
        <v>49400</v>
      </c>
      <c r="U51" s="70">
        <f t="shared" si="1"/>
        <v>0</v>
      </c>
      <c r="V51" s="140">
        <v>0.13</v>
      </c>
      <c r="W51" s="209"/>
      <c r="X51" s="17">
        <v>44594</v>
      </c>
      <c r="Y51" s="12" t="s">
        <v>66</v>
      </c>
      <c r="Z51" s="12"/>
      <c r="AA51" s="12"/>
      <c r="AB51" s="3">
        <v>1</v>
      </c>
    </row>
    <row r="52" spans="1:31" s="3" customFormat="1" ht="14.45" customHeight="1" x14ac:dyDescent="0.25">
      <c r="A52" s="141">
        <v>3</v>
      </c>
      <c r="B52" s="99" t="s">
        <v>137</v>
      </c>
      <c r="C52" s="95" t="str">
        <f>VLOOKUP($F52,Admin!$D$11:$F$19,2,FALSE)</f>
        <v>Kísérleti fejlesztés</v>
      </c>
      <c r="D52" s="138" t="s">
        <v>123</v>
      </c>
      <c r="E52" s="95" t="str">
        <f>VLOOKUP($F52,Admin!$D$11:$F$19,3,FALSE)</f>
        <v>54. Bérköltség - Kutató-fejlesztő munkatárs</v>
      </c>
      <c r="F52" s="139" t="s">
        <v>213</v>
      </c>
      <c r="G52" s="100" t="s">
        <v>180</v>
      </c>
      <c r="H52" s="100" t="s">
        <v>141</v>
      </c>
      <c r="I52" s="139" t="str">
        <f>VLOOKUP($F52,Admin!$D$11:$G$19,4,FALSE)</f>
        <v>K+F munkatárs</v>
      </c>
      <c r="J52" s="100" t="s">
        <v>45</v>
      </c>
      <c r="K52" s="95" t="str">
        <f t="shared" si="2"/>
        <v>2022.03</v>
      </c>
      <c r="L52" s="101" t="s">
        <v>6</v>
      </c>
      <c r="M52" s="96" t="s">
        <v>70</v>
      </c>
      <c r="N52" s="102">
        <v>760000</v>
      </c>
      <c r="O52" s="97">
        <f t="shared" si="3"/>
        <v>98800</v>
      </c>
      <c r="P52" s="104">
        <v>174</v>
      </c>
      <c r="Q52" s="104">
        <v>87</v>
      </c>
      <c r="R52" s="215">
        <f t="shared" si="0"/>
        <v>0.5</v>
      </c>
      <c r="S52" s="105">
        <f t="shared" si="18"/>
        <v>380000</v>
      </c>
      <c r="T52" s="98">
        <f t="shared" si="4"/>
        <v>49400</v>
      </c>
      <c r="U52" s="70">
        <f t="shared" si="1"/>
        <v>0</v>
      </c>
      <c r="V52" s="140">
        <v>0.13</v>
      </c>
      <c r="W52" s="209"/>
      <c r="X52" s="17">
        <v>44594</v>
      </c>
      <c r="Y52" s="12" t="s">
        <v>66</v>
      </c>
      <c r="Z52" s="12"/>
      <c r="AA52" s="12"/>
      <c r="AB52" s="3">
        <v>1</v>
      </c>
    </row>
    <row r="53" spans="1:31" s="3" customFormat="1" ht="14.45" customHeight="1" x14ac:dyDescent="0.25">
      <c r="A53" s="141">
        <v>3</v>
      </c>
      <c r="B53" s="99" t="s">
        <v>137</v>
      </c>
      <c r="C53" s="95" t="str">
        <f>VLOOKUP($F53,Admin!$D$11:$F$19,2,FALSE)</f>
        <v>Kísérleti fejlesztés</v>
      </c>
      <c r="D53" s="138" t="s">
        <v>123</v>
      </c>
      <c r="E53" s="95" t="str">
        <f>VLOOKUP($F53,Admin!$D$11:$F$19,3,FALSE)</f>
        <v>54. Bérköltség - Kutató-fejlesztő munkatárs</v>
      </c>
      <c r="F53" s="139" t="s">
        <v>213</v>
      </c>
      <c r="G53" s="100" t="s">
        <v>180</v>
      </c>
      <c r="H53" s="100" t="s">
        <v>141</v>
      </c>
      <c r="I53" s="139" t="str">
        <f>VLOOKUP($F53,Admin!$D$11:$G$19,4,FALSE)</f>
        <v>K+F munkatárs</v>
      </c>
      <c r="J53" s="100" t="s">
        <v>46</v>
      </c>
      <c r="K53" s="95" t="str">
        <f t="shared" si="2"/>
        <v>2022.04</v>
      </c>
      <c r="L53" s="101" t="s">
        <v>6</v>
      </c>
      <c r="M53" s="96" t="s">
        <v>70</v>
      </c>
      <c r="N53" s="102">
        <v>724001</v>
      </c>
      <c r="O53" s="97">
        <f t="shared" si="3"/>
        <v>94120</v>
      </c>
      <c r="P53" s="104">
        <v>174</v>
      </c>
      <c r="Q53" s="104">
        <v>87</v>
      </c>
      <c r="R53" s="215">
        <f t="shared" si="0"/>
        <v>0.5</v>
      </c>
      <c r="S53" s="105">
        <f t="shared" si="18"/>
        <v>362001</v>
      </c>
      <c r="T53" s="98">
        <f t="shared" si="4"/>
        <v>47060</v>
      </c>
      <c r="U53" s="70">
        <f t="shared" si="1"/>
        <v>-6.9060678098420425E-7</v>
      </c>
      <c r="V53" s="140">
        <v>0.13</v>
      </c>
      <c r="W53" s="209"/>
      <c r="X53" s="17">
        <v>44594</v>
      </c>
      <c r="Y53" s="12" t="s">
        <v>66</v>
      </c>
      <c r="Z53" s="12"/>
      <c r="AA53" s="12"/>
      <c r="AB53" s="3">
        <v>1</v>
      </c>
    </row>
    <row r="54" spans="1:31" s="3" customFormat="1" ht="14.45" customHeight="1" x14ac:dyDescent="0.25">
      <c r="A54" s="141">
        <v>3</v>
      </c>
      <c r="B54" s="99" t="s">
        <v>137</v>
      </c>
      <c r="C54" s="95" t="str">
        <f>VLOOKUP($F54,Admin!$D$11:$F$19,2,FALSE)</f>
        <v>Kísérleti fejlesztés</v>
      </c>
      <c r="D54" s="138" t="s">
        <v>123</v>
      </c>
      <c r="E54" s="95" t="str">
        <f>VLOOKUP($F54,Admin!$D$11:$F$19,3,FALSE)</f>
        <v>54. Bérköltség - Kutató-fejlesztő munkatárs</v>
      </c>
      <c r="F54" s="139" t="s">
        <v>213</v>
      </c>
      <c r="G54" s="100" t="s">
        <v>180</v>
      </c>
      <c r="H54" s="100" t="s">
        <v>141</v>
      </c>
      <c r="I54" s="139" t="str">
        <f>VLOOKUP($F54,Admin!$D$11:$G$19,4,FALSE)</f>
        <v>K+F munkatárs</v>
      </c>
      <c r="J54" s="100" t="s">
        <v>47</v>
      </c>
      <c r="K54" s="95" t="str">
        <f t="shared" si="2"/>
        <v>2022.05</v>
      </c>
      <c r="L54" s="101" t="s">
        <v>6</v>
      </c>
      <c r="M54" s="96" t="s">
        <v>70</v>
      </c>
      <c r="N54" s="102">
        <v>802000</v>
      </c>
      <c r="O54" s="97">
        <f t="shared" si="3"/>
        <v>104260</v>
      </c>
      <c r="P54" s="104">
        <v>174</v>
      </c>
      <c r="Q54" s="104">
        <v>82</v>
      </c>
      <c r="R54" s="215">
        <f t="shared" si="0"/>
        <v>0.47126436781609193</v>
      </c>
      <c r="S54" s="105">
        <f t="shared" si="18"/>
        <v>377954</v>
      </c>
      <c r="T54" s="98">
        <f t="shared" si="4"/>
        <v>49134</v>
      </c>
      <c r="U54" s="70">
        <f t="shared" si="1"/>
        <v>2.8663972251319336E-8</v>
      </c>
      <c r="V54" s="140">
        <v>0.13</v>
      </c>
      <c r="W54" s="209"/>
      <c r="X54" s="17">
        <v>44665</v>
      </c>
      <c r="Y54" s="12" t="s">
        <v>66</v>
      </c>
      <c r="Z54" s="12"/>
      <c r="AA54" s="12"/>
      <c r="AB54" s="3">
        <v>1</v>
      </c>
    </row>
    <row r="55" spans="1:31" s="3" customFormat="1" ht="14.45" customHeight="1" x14ac:dyDescent="0.25">
      <c r="A55" s="141">
        <v>3</v>
      </c>
      <c r="B55" s="99" t="s">
        <v>137</v>
      </c>
      <c r="C55" s="95" t="str">
        <f>VLOOKUP($F55,Admin!$D$11:$F$19,2,FALSE)</f>
        <v>Kísérleti fejlesztés</v>
      </c>
      <c r="D55" s="138" t="s">
        <v>123</v>
      </c>
      <c r="E55" s="95" t="str">
        <f>VLOOKUP($F55,Admin!$D$11:$F$19,3,FALSE)</f>
        <v>54. Bérköltség - Kutató-fejlesztő munkatárs</v>
      </c>
      <c r="F55" s="139" t="s">
        <v>213</v>
      </c>
      <c r="G55" s="100" t="s">
        <v>180</v>
      </c>
      <c r="H55" s="100" t="s">
        <v>141</v>
      </c>
      <c r="I55" s="139" t="str">
        <f>VLOOKUP($F55,Admin!$D$11:$G$19,4,FALSE)</f>
        <v>K+F munkatárs</v>
      </c>
      <c r="J55" s="100" t="s">
        <v>48</v>
      </c>
      <c r="K55" s="95" t="str">
        <f t="shared" si="2"/>
        <v>2022.06</v>
      </c>
      <c r="L55" s="101" t="s">
        <v>6</v>
      </c>
      <c r="M55" s="96" t="s">
        <v>70</v>
      </c>
      <c r="N55" s="102">
        <v>801999</v>
      </c>
      <c r="O55" s="97">
        <f t="shared" ref="O55:O56" si="19">ROUND(N55*V55,0)</f>
        <v>104260</v>
      </c>
      <c r="P55" s="104">
        <v>174</v>
      </c>
      <c r="Q55" s="104">
        <v>82</v>
      </c>
      <c r="R55" s="215">
        <f t="shared" ref="R55:R56" si="20">Q55/P55</f>
        <v>0.47126436781609193</v>
      </c>
      <c r="S55" s="105">
        <f t="shared" ref="S55:S56" si="21">ROUND(N55*Q55/P55,0)</f>
        <v>377954</v>
      </c>
      <c r="T55" s="98">
        <f t="shared" ref="T55:T56" si="22">ROUND(S55*V55,0)</f>
        <v>49134</v>
      </c>
      <c r="U55" s="70">
        <f t="shared" ref="U55:U56" si="23">Q55/P55-S55/N55</f>
        <v>-5.5894815592649749E-7</v>
      </c>
      <c r="V55" s="140">
        <v>0.13</v>
      </c>
      <c r="W55" s="209"/>
      <c r="X55" s="17">
        <v>44665</v>
      </c>
      <c r="Y55" s="12" t="s">
        <v>66</v>
      </c>
      <c r="Z55" s="12"/>
      <c r="AA55" s="12"/>
      <c r="AB55" s="3">
        <v>1</v>
      </c>
    </row>
    <row r="56" spans="1:31" s="3" customFormat="1" ht="14.45" customHeight="1" x14ac:dyDescent="0.25">
      <c r="A56" s="141">
        <v>3</v>
      </c>
      <c r="B56" s="99" t="s">
        <v>137</v>
      </c>
      <c r="C56" s="95" t="str">
        <f>VLOOKUP($F56,Admin!$D$11:$F$19,2,FALSE)</f>
        <v>Kísérleti fejlesztés</v>
      </c>
      <c r="D56" s="138" t="s">
        <v>123</v>
      </c>
      <c r="E56" s="95" t="str">
        <f>VLOOKUP($F56,Admin!$D$11:$F$19,3,FALSE)</f>
        <v>54. Bérköltség - Kutató-fejlesztő munkatárs</v>
      </c>
      <c r="F56" s="139" t="s">
        <v>213</v>
      </c>
      <c r="G56" s="100" t="s">
        <v>180</v>
      </c>
      <c r="H56" s="100" t="s">
        <v>141</v>
      </c>
      <c r="I56" s="139" t="str">
        <f>VLOOKUP($F56,Admin!$D$11:$G$19,4,FALSE)</f>
        <v>K+F munkatárs</v>
      </c>
      <c r="J56" s="100" t="s">
        <v>49</v>
      </c>
      <c r="K56" s="95" t="str">
        <f t="shared" si="2"/>
        <v>2022.07</v>
      </c>
      <c r="L56" s="101" t="s">
        <v>6</v>
      </c>
      <c r="M56" s="96" t="s">
        <v>70</v>
      </c>
      <c r="N56" s="102">
        <v>801999</v>
      </c>
      <c r="O56" s="97">
        <f t="shared" si="19"/>
        <v>104260</v>
      </c>
      <c r="P56" s="104">
        <v>174</v>
      </c>
      <c r="Q56" s="104">
        <v>82</v>
      </c>
      <c r="R56" s="215">
        <f t="shared" si="20"/>
        <v>0.47126436781609193</v>
      </c>
      <c r="S56" s="105">
        <f t="shared" si="21"/>
        <v>377954</v>
      </c>
      <c r="T56" s="98">
        <f t="shared" si="22"/>
        <v>49134</v>
      </c>
      <c r="U56" s="70">
        <f t="shared" si="23"/>
        <v>-5.5894815592649749E-7</v>
      </c>
      <c r="V56" s="140">
        <v>0.13</v>
      </c>
      <c r="W56" s="209"/>
      <c r="X56" s="17">
        <v>44665</v>
      </c>
      <c r="Y56" s="12" t="s">
        <v>66</v>
      </c>
      <c r="Z56" s="12"/>
      <c r="AA56" s="12"/>
      <c r="AB56" s="3">
        <v>1</v>
      </c>
    </row>
    <row r="57" spans="1:31" s="3" customFormat="1" ht="14.45" customHeight="1" x14ac:dyDescent="0.25">
      <c r="A57" s="141">
        <v>3</v>
      </c>
      <c r="B57" s="99" t="s">
        <v>137</v>
      </c>
      <c r="C57" s="95" t="str">
        <f>VLOOKUP($F57,Admin!$D$11:$F$19,2,FALSE)</f>
        <v>Kísérleti fejlesztés</v>
      </c>
      <c r="D57" s="138" t="s">
        <v>123</v>
      </c>
      <c r="E57" s="95" t="str">
        <f>VLOOKUP($F57,Admin!$D$11:$F$19,3,FALSE)</f>
        <v>54. Bérköltség - Kutató-fejlesztő munkatárs</v>
      </c>
      <c r="F57" s="139" t="s">
        <v>213</v>
      </c>
      <c r="G57" s="100" t="s">
        <v>180</v>
      </c>
      <c r="H57" s="100" t="s">
        <v>141</v>
      </c>
      <c r="I57" s="139" t="str">
        <f>VLOOKUP($F57,Admin!$D$11:$G$19,4,FALSE)</f>
        <v>K+F munkatárs</v>
      </c>
      <c r="J57" s="100" t="s">
        <v>50</v>
      </c>
      <c r="K57" s="95" t="str">
        <f t="shared" ref="K57:K60" si="24">J57</f>
        <v>2022.08</v>
      </c>
      <c r="L57" s="101" t="s">
        <v>6</v>
      </c>
      <c r="M57" s="96" t="s">
        <v>70</v>
      </c>
      <c r="N57" s="102">
        <v>614348</v>
      </c>
      <c r="O57" s="97">
        <f t="shared" ref="O57" si="25">ROUND(N57*V57,0)</f>
        <v>79865</v>
      </c>
      <c r="P57" s="104">
        <v>174</v>
      </c>
      <c r="Q57" s="104">
        <v>90</v>
      </c>
      <c r="R57" s="215">
        <f t="shared" ref="R57" si="26">Q57/P57</f>
        <v>0.51724137931034486</v>
      </c>
      <c r="S57" s="105">
        <f t="shared" ref="S57" si="27">ROUND(N57*Q57/P57,0)</f>
        <v>317766</v>
      </c>
      <c r="T57" s="98">
        <f t="shared" ref="T57" si="28">ROUND(S57*V57,0)</f>
        <v>41310</v>
      </c>
      <c r="U57" s="70">
        <f t="shared" ref="U57" si="29">Q57/P57-S57/N57</f>
        <v>3.3677419275512932E-7</v>
      </c>
      <c r="V57" s="140">
        <v>0.13</v>
      </c>
      <c r="W57" s="209"/>
      <c r="X57" s="17">
        <v>44767</v>
      </c>
      <c r="Y57" s="12" t="s">
        <v>66</v>
      </c>
      <c r="Z57" s="12"/>
      <c r="AA57" s="12"/>
      <c r="AB57" s="3">
        <v>1</v>
      </c>
    </row>
    <row r="58" spans="1:31" s="3" customFormat="1" ht="14.45" customHeight="1" x14ac:dyDescent="0.25">
      <c r="A58" s="141">
        <v>3</v>
      </c>
      <c r="B58" s="99" t="s">
        <v>137</v>
      </c>
      <c r="C58" s="95" t="str">
        <f>VLOOKUP($F58,Admin!$D$11:$F$19,2,FALSE)</f>
        <v>Kísérleti fejlesztés</v>
      </c>
      <c r="D58" s="138" t="s">
        <v>123</v>
      </c>
      <c r="E58" s="95" t="str">
        <f>VLOOKUP($F58,Admin!$D$11:$F$19,3,FALSE)</f>
        <v>54. Bérköltség - Kutató-fejlesztő munkatárs</v>
      </c>
      <c r="F58" s="139" t="s">
        <v>213</v>
      </c>
      <c r="G58" s="100" t="s">
        <v>180</v>
      </c>
      <c r="H58" s="100" t="s">
        <v>141</v>
      </c>
      <c r="I58" s="139" t="str">
        <f>VLOOKUP($F58,Admin!$D$11:$G$19,4,FALSE)</f>
        <v>K+F munkatárs</v>
      </c>
      <c r="J58" s="100" t="s">
        <v>51</v>
      </c>
      <c r="K58" s="95" t="str">
        <f t="shared" si="24"/>
        <v>2022.09</v>
      </c>
      <c r="L58" s="101" t="s">
        <v>6</v>
      </c>
      <c r="M58" s="96" t="s">
        <v>70</v>
      </c>
      <c r="N58" s="102">
        <v>785000</v>
      </c>
      <c r="O58" s="97">
        <f t="shared" ref="O58:O59" si="30">ROUND(N58*V58,0)</f>
        <v>102050</v>
      </c>
      <c r="P58" s="104">
        <v>174</v>
      </c>
      <c r="Q58" s="104">
        <v>90</v>
      </c>
      <c r="R58" s="215">
        <f t="shared" ref="R58:R59" si="31">Q58/P58</f>
        <v>0.51724137931034486</v>
      </c>
      <c r="S58" s="105">
        <f t="shared" ref="S58:S59" si="32">ROUND(N58*Q58/P58,0)</f>
        <v>406034</v>
      </c>
      <c r="T58" s="98">
        <f t="shared" ref="T58:T59" si="33">ROUND(S58*V58,0)</f>
        <v>52784</v>
      </c>
      <c r="U58" s="70">
        <f t="shared" ref="U58:U59" si="34">Q58/P58-S58/N58</f>
        <v>6.1497913461661113E-7</v>
      </c>
      <c r="V58" s="140">
        <v>0.13</v>
      </c>
      <c r="W58" s="209"/>
      <c r="X58" s="17">
        <v>44767</v>
      </c>
      <c r="Y58" s="12" t="s">
        <v>66</v>
      </c>
      <c r="Z58" s="12"/>
      <c r="AA58" s="12"/>
      <c r="AB58" s="3">
        <v>1</v>
      </c>
    </row>
    <row r="59" spans="1:31" s="3" customFormat="1" ht="14.45" customHeight="1" x14ac:dyDescent="0.25">
      <c r="A59" s="141">
        <v>3</v>
      </c>
      <c r="B59" s="99" t="s">
        <v>137</v>
      </c>
      <c r="C59" s="95" t="str">
        <f>VLOOKUP($F59,Admin!$D$11:$F$19,2,FALSE)</f>
        <v>Kísérleti fejlesztés</v>
      </c>
      <c r="D59" s="138" t="s">
        <v>123</v>
      </c>
      <c r="E59" s="95" t="str">
        <f>VLOOKUP($F59,Admin!$D$11:$F$19,3,FALSE)</f>
        <v>54. Bérköltség - Kutató-fejlesztő munkatárs</v>
      </c>
      <c r="F59" s="139" t="s">
        <v>213</v>
      </c>
      <c r="G59" s="100" t="s">
        <v>180</v>
      </c>
      <c r="H59" s="100" t="s">
        <v>141</v>
      </c>
      <c r="I59" s="139" t="str">
        <f>VLOOKUP($F59,Admin!$D$11:$G$19,4,FALSE)</f>
        <v>K+F munkatárs</v>
      </c>
      <c r="J59" s="100" t="s">
        <v>52</v>
      </c>
      <c r="K59" s="95" t="str">
        <f t="shared" si="24"/>
        <v>2022.10</v>
      </c>
      <c r="L59" s="101" t="s">
        <v>6</v>
      </c>
      <c r="M59" s="96" t="s">
        <v>70</v>
      </c>
      <c r="N59" s="102">
        <v>827000</v>
      </c>
      <c r="O59" s="97">
        <f t="shared" si="30"/>
        <v>107510</v>
      </c>
      <c r="P59" s="104">
        <v>174</v>
      </c>
      <c r="Q59" s="104">
        <v>84</v>
      </c>
      <c r="R59" s="215">
        <f t="shared" si="31"/>
        <v>0.48275862068965519</v>
      </c>
      <c r="S59" s="105">
        <f t="shared" si="32"/>
        <v>399241</v>
      </c>
      <c r="T59" s="98">
        <f t="shared" si="33"/>
        <v>51901</v>
      </c>
      <c r="U59" s="70">
        <f t="shared" si="34"/>
        <v>4.5865821624024861E-7</v>
      </c>
      <c r="V59" s="140">
        <v>0.13</v>
      </c>
      <c r="W59" s="209"/>
      <c r="X59" s="17">
        <v>44826</v>
      </c>
      <c r="Y59" s="12" t="s">
        <v>66</v>
      </c>
      <c r="Z59" s="12"/>
      <c r="AA59" s="12"/>
      <c r="AB59" s="3">
        <v>1</v>
      </c>
    </row>
    <row r="60" spans="1:31" s="3" customFormat="1" ht="14.45" customHeight="1" x14ac:dyDescent="0.25">
      <c r="A60" s="141">
        <v>3</v>
      </c>
      <c r="B60" s="99" t="s">
        <v>137</v>
      </c>
      <c r="C60" s="95" t="str">
        <f>VLOOKUP($F60,Admin!$D$11:$F$19,2,FALSE)</f>
        <v>Kísérleti fejlesztés</v>
      </c>
      <c r="D60" s="138" t="s">
        <v>123</v>
      </c>
      <c r="E60" s="95" t="str">
        <f>VLOOKUP($F60,Admin!$D$11:$F$19,3,FALSE)</f>
        <v>54. Bérköltség - Kutató-fejlesztő munkatárs</v>
      </c>
      <c r="F60" s="139" t="s">
        <v>213</v>
      </c>
      <c r="G60" s="100" t="s">
        <v>180</v>
      </c>
      <c r="H60" s="100" t="s">
        <v>141</v>
      </c>
      <c r="I60" s="139" t="str">
        <f>VLOOKUP($F60,Admin!$D$11:$G$19,4,FALSE)</f>
        <v>K+F munkatárs</v>
      </c>
      <c r="J60" s="100" t="s">
        <v>53</v>
      </c>
      <c r="K60" s="95" t="str">
        <f t="shared" si="24"/>
        <v>2022.11</v>
      </c>
      <c r="L60" s="101" t="s">
        <v>6</v>
      </c>
      <c r="M60" s="96" t="s">
        <v>70</v>
      </c>
      <c r="N60" s="102">
        <v>827000</v>
      </c>
      <c r="O60" s="97">
        <f t="shared" ref="O60" si="35">ROUND(N60*V60,0)</f>
        <v>107510</v>
      </c>
      <c r="P60" s="104">
        <v>174</v>
      </c>
      <c r="Q60" s="104">
        <v>84</v>
      </c>
      <c r="R60" s="215">
        <f t="shared" ref="R60" si="36">Q60/P60</f>
        <v>0.48275862068965519</v>
      </c>
      <c r="S60" s="105">
        <f t="shared" ref="S60" si="37">ROUND(N60*Q60/P60,0)</f>
        <v>399241</v>
      </c>
      <c r="T60" s="98">
        <f t="shared" ref="T60" si="38">ROUND(S60*V60,0)</f>
        <v>51901</v>
      </c>
      <c r="U60" s="70">
        <f t="shared" ref="U60" si="39">Q60/P60-S60/N60</f>
        <v>4.5865821624024861E-7</v>
      </c>
      <c r="V60" s="140">
        <v>0.13</v>
      </c>
      <c r="W60" s="209" t="s">
        <v>266</v>
      </c>
      <c r="X60" s="17">
        <v>44826</v>
      </c>
      <c r="Y60" s="12" t="s">
        <v>66</v>
      </c>
      <c r="Z60" s="12"/>
      <c r="AA60" s="12"/>
      <c r="AB60" s="3">
        <v>1</v>
      </c>
    </row>
    <row r="61" spans="1:31" s="3" customFormat="1" ht="14.45" customHeight="1" x14ac:dyDescent="0.25">
      <c r="A61" s="141">
        <v>3</v>
      </c>
      <c r="B61" s="99" t="s">
        <v>137</v>
      </c>
      <c r="C61" s="95" t="str">
        <f>VLOOKUP($F61,Admin!$D$11:$F$19,2,FALSE)</f>
        <v>Kísérleti fejlesztés</v>
      </c>
      <c r="D61" s="138" t="s">
        <v>123</v>
      </c>
      <c r="E61" s="95" t="str">
        <f>VLOOKUP($F61,Admin!$D$11:$F$19,3,FALSE)</f>
        <v>54. Bérköltség - Kutató-fejlesztő munkatárs</v>
      </c>
      <c r="F61" s="139" t="s">
        <v>213</v>
      </c>
      <c r="G61" s="100" t="s">
        <v>180</v>
      </c>
      <c r="H61" s="100" t="s">
        <v>141</v>
      </c>
      <c r="I61" s="139" t="str">
        <f>VLOOKUP($F61,Admin!$D$11:$G$19,4,FALSE)</f>
        <v>K+F munkatárs</v>
      </c>
      <c r="J61" s="100" t="s">
        <v>54</v>
      </c>
      <c r="K61" s="95" t="str">
        <f t="shared" ref="K61:K62" si="40">J61</f>
        <v>2022.12</v>
      </c>
      <c r="L61" s="101" t="s">
        <v>6</v>
      </c>
      <c r="M61" s="96" t="s">
        <v>70</v>
      </c>
      <c r="N61" s="102">
        <v>760000</v>
      </c>
      <c r="O61" s="97">
        <f t="shared" ref="O61" si="41">ROUND(N61*V61,0)</f>
        <v>98800</v>
      </c>
      <c r="P61" s="104">
        <v>174</v>
      </c>
      <c r="Q61" s="104">
        <v>87</v>
      </c>
      <c r="R61" s="215">
        <f t="shared" ref="R61" si="42">Q61/P61</f>
        <v>0.5</v>
      </c>
      <c r="S61" s="105">
        <f t="shared" ref="S61" si="43">ROUND(N61*Q61/P61,0)</f>
        <v>380000</v>
      </c>
      <c r="T61" s="98">
        <f t="shared" ref="T61" si="44">ROUND(S61*V61,0)</f>
        <v>49400</v>
      </c>
      <c r="U61" s="70">
        <f t="shared" ref="U61" si="45">Q61/P61-S61/N61</f>
        <v>0</v>
      </c>
      <c r="V61" s="140">
        <v>0.13</v>
      </c>
      <c r="W61" s="209" t="s">
        <v>266</v>
      </c>
      <c r="X61" s="17">
        <v>44888</v>
      </c>
      <c r="Y61" s="12" t="s">
        <v>66</v>
      </c>
      <c r="Z61" s="12"/>
      <c r="AA61" s="12"/>
      <c r="AB61" s="3">
        <v>1</v>
      </c>
      <c r="AC61" s="204" t="s">
        <v>315</v>
      </c>
      <c r="AD61" s="204" t="s">
        <v>315</v>
      </c>
      <c r="AE61" s="204" t="s">
        <v>315</v>
      </c>
    </row>
    <row r="62" spans="1:31" s="3" customFormat="1" ht="14.45" customHeight="1" x14ac:dyDescent="0.25">
      <c r="A62" s="141">
        <v>3</v>
      </c>
      <c r="B62" s="99" t="s">
        <v>137</v>
      </c>
      <c r="C62" s="95" t="str">
        <f>VLOOKUP($F62,Admin!$D$11:$F$19,2,FALSE)</f>
        <v>Kísérleti fejlesztés</v>
      </c>
      <c r="D62" s="138" t="s">
        <v>123</v>
      </c>
      <c r="E62" s="95" t="str">
        <f>VLOOKUP($F62,Admin!$D$11:$F$19,3,FALSE)</f>
        <v>54. Bérköltség - Kutató-fejlesztő munkatárs</v>
      </c>
      <c r="F62" s="139" t="s">
        <v>213</v>
      </c>
      <c r="G62" s="100" t="s">
        <v>180</v>
      </c>
      <c r="H62" s="100" t="s">
        <v>141</v>
      </c>
      <c r="I62" s="139" t="str">
        <f>VLOOKUP($F62,Admin!$D$11:$G$19,4,FALSE)</f>
        <v>K+F munkatárs</v>
      </c>
      <c r="J62" s="100" t="s">
        <v>257</v>
      </c>
      <c r="K62" s="95" t="str">
        <f t="shared" si="40"/>
        <v>2023.01</v>
      </c>
      <c r="L62" s="101" t="s">
        <v>6</v>
      </c>
      <c r="M62" s="96" t="s">
        <v>70</v>
      </c>
      <c r="N62" s="102">
        <v>807100</v>
      </c>
      <c r="O62" s="97">
        <f t="shared" ref="O62" si="46">ROUND(N62*V62,0)</f>
        <v>104923</v>
      </c>
      <c r="P62" s="104">
        <v>174</v>
      </c>
      <c r="Q62" s="104">
        <v>79</v>
      </c>
      <c r="R62" s="215">
        <f t="shared" ref="R62" si="47">Q62/P62</f>
        <v>0.45402298850574713</v>
      </c>
      <c r="S62" s="105">
        <f t="shared" ref="S62" si="48">ROUND(N62*Q62/P62,0)</f>
        <v>366442</v>
      </c>
      <c r="T62" s="98">
        <f t="shared" ref="T62" si="49">ROUND(S62*V62,0)</f>
        <v>47637</v>
      </c>
      <c r="U62" s="70">
        <f t="shared" ref="U62" si="50">Q62/P62-S62/N62</f>
        <v>-5.6965693828736619E-8</v>
      </c>
      <c r="V62" s="140">
        <v>0.13</v>
      </c>
      <c r="W62" s="209" t="s">
        <v>266</v>
      </c>
      <c r="X62" s="17">
        <v>44936</v>
      </c>
      <c r="Y62" s="12" t="s">
        <v>66</v>
      </c>
      <c r="Z62" s="12"/>
      <c r="AA62" s="12"/>
      <c r="AB62" s="3">
        <v>1</v>
      </c>
      <c r="AC62" s="204" t="s">
        <v>315</v>
      </c>
      <c r="AD62" s="216">
        <v>0</v>
      </c>
      <c r="AE62" s="216">
        <v>0</v>
      </c>
    </row>
    <row r="63" spans="1:31" s="3" customFormat="1" ht="14.45" customHeight="1" x14ac:dyDescent="0.25">
      <c r="A63" s="141"/>
      <c r="B63" s="99" t="s">
        <v>137</v>
      </c>
      <c r="C63" s="95" t="str">
        <f>VLOOKUP($F63,Admin!$D$11:$F$19,2,FALSE)</f>
        <v>Kísérleti fejlesztés</v>
      </c>
      <c r="D63" s="138" t="s">
        <v>123</v>
      </c>
      <c r="E63" s="95" t="str">
        <f>VLOOKUP($F63,Admin!$D$11:$F$19,3,FALSE)</f>
        <v>54. Bérköltség - Kutató-fejlesztő munkatárs</v>
      </c>
      <c r="F63" s="139" t="s">
        <v>213</v>
      </c>
      <c r="G63" s="100" t="s">
        <v>180</v>
      </c>
      <c r="H63" s="100" t="s">
        <v>141</v>
      </c>
      <c r="I63" s="139" t="str">
        <f>VLOOKUP($F63,Admin!$D$11:$G$19,4,FALSE)</f>
        <v>K+F munkatárs</v>
      </c>
      <c r="J63" s="100" t="s">
        <v>295</v>
      </c>
      <c r="K63" s="95" t="str">
        <f t="shared" ref="K63:K65" si="51">J63</f>
        <v>2023.02</v>
      </c>
      <c r="L63" s="101" t="s">
        <v>6</v>
      </c>
      <c r="M63" s="96" t="s">
        <v>70</v>
      </c>
      <c r="N63" s="102">
        <v>807100</v>
      </c>
      <c r="O63" s="97">
        <f t="shared" ref="O63" si="52">ROUND(N63*V63,0)</f>
        <v>104923</v>
      </c>
      <c r="P63" s="104">
        <v>174</v>
      </c>
      <c r="Q63" s="104">
        <v>120</v>
      </c>
      <c r="R63" s="215">
        <f t="shared" ref="R63" si="53">Q63/P63</f>
        <v>0.68965517241379315</v>
      </c>
      <c r="S63" s="105">
        <f t="shared" ref="S63" si="54">ROUND(N63*Q63/P63,0)</f>
        <v>556621</v>
      </c>
      <c r="T63" s="98">
        <f t="shared" ref="T63" si="55">ROUND(S63*V63,0)</f>
        <v>72361</v>
      </c>
      <c r="U63" s="70">
        <f t="shared" ref="U63" si="56">Q63/P63-S63/N63</f>
        <v>-3.845184333162166E-7</v>
      </c>
      <c r="V63" s="140">
        <v>0.13</v>
      </c>
      <c r="W63" s="209" t="s">
        <v>266</v>
      </c>
      <c r="X63" s="17">
        <v>44953</v>
      </c>
      <c r="Y63" s="12" t="s">
        <v>66</v>
      </c>
      <c r="Z63" s="12"/>
      <c r="AA63" s="12"/>
      <c r="AB63" s="3">
        <v>1</v>
      </c>
      <c r="AC63" s="3" t="s">
        <v>315</v>
      </c>
      <c r="AD63" s="3">
        <v>-1</v>
      </c>
      <c r="AE63" s="3">
        <v>0</v>
      </c>
    </row>
    <row r="64" spans="1:31" s="3" customFormat="1" ht="14.45" customHeight="1" x14ac:dyDescent="0.25">
      <c r="A64" s="141"/>
      <c r="B64" s="99" t="s">
        <v>137</v>
      </c>
      <c r="C64" s="95" t="str">
        <f>VLOOKUP($F64,Admin!$D$11:$F$19,2,FALSE)</f>
        <v>Kísérleti fejlesztés</v>
      </c>
      <c r="D64" s="138" t="s">
        <v>123</v>
      </c>
      <c r="E64" s="95" t="str">
        <f>VLOOKUP($F64,Admin!$D$11:$F$19,3,FALSE)</f>
        <v>54. Bérköltség - Kutató-fejlesztő munkatárs</v>
      </c>
      <c r="F64" s="139" t="s">
        <v>213</v>
      </c>
      <c r="G64" s="100" t="s">
        <v>180</v>
      </c>
      <c r="H64" s="100" t="s">
        <v>141</v>
      </c>
      <c r="I64" s="139" t="str">
        <f>VLOOKUP($F64,Admin!$D$11:$G$19,4,FALSE)</f>
        <v>K+F munkatárs</v>
      </c>
      <c r="J64" s="100" t="s">
        <v>296</v>
      </c>
      <c r="K64" s="95" t="str">
        <f t="shared" si="51"/>
        <v>2023.03</v>
      </c>
      <c r="L64" s="101" t="s">
        <v>6</v>
      </c>
      <c r="M64" s="96" t="s">
        <v>70</v>
      </c>
      <c r="N64" s="102">
        <v>807099</v>
      </c>
      <c r="O64" s="97">
        <f t="shared" ref="O64:O65" si="57">ROUND(N64*V64,0)</f>
        <v>104923</v>
      </c>
      <c r="P64" s="104">
        <v>174</v>
      </c>
      <c r="Q64" s="104">
        <v>120</v>
      </c>
      <c r="R64" s="215">
        <f t="shared" ref="R64:R65" si="58">Q64/P64</f>
        <v>0.68965517241379315</v>
      </c>
      <c r="S64" s="105">
        <f t="shared" ref="S64:S65" si="59">ROUND(N64*Q64/P64,0)</f>
        <v>556620</v>
      </c>
      <c r="T64" s="98">
        <f t="shared" ref="T64:T65" si="60">ROUND(S64*V64,0)</f>
        <v>72361</v>
      </c>
      <c r="U64" s="70">
        <f t="shared" ref="U64:U65" si="61">Q64/P64-S64/N64</f>
        <v>0</v>
      </c>
      <c r="V64" s="140">
        <v>0.13</v>
      </c>
      <c r="W64" s="209" t="s">
        <v>266</v>
      </c>
      <c r="X64" s="17">
        <v>44953</v>
      </c>
      <c r="Y64" s="12" t="s">
        <v>66</v>
      </c>
      <c r="Z64" s="12"/>
      <c r="AA64" s="12"/>
      <c r="AB64" s="3">
        <v>1</v>
      </c>
      <c r="AC64" s="3" t="s">
        <v>315</v>
      </c>
      <c r="AD64" s="3">
        <v>0</v>
      </c>
      <c r="AE64" s="3">
        <v>0</v>
      </c>
    </row>
    <row r="65" spans="1:28" s="3" customFormat="1" ht="14.45" customHeight="1" x14ac:dyDescent="0.25">
      <c r="A65" s="141"/>
      <c r="B65" s="99" t="s">
        <v>137</v>
      </c>
      <c r="C65" s="95" t="str">
        <f>VLOOKUP($F65,Admin!$D$11:$F$19,2,FALSE)</f>
        <v>Kísérleti fejlesztés</v>
      </c>
      <c r="D65" s="138" t="s">
        <v>123</v>
      </c>
      <c r="E65" s="95" t="str">
        <f>VLOOKUP($F65,Admin!$D$11:$F$19,3,FALSE)</f>
        <v>54. Bérköltség - Kutató-fejlesztő munkatárs</v>
      </c>
      <c r="F65" s="139" t="s">
        <v>213</v>
      </c>
      <c r="G65" s="100" t="s">
        <v>180</v>
      </c>
      <c r="H65" s="100" t="s">
        <v>141</v>
      </c>
      <c r="I65" s="139" t="str">
        <f>VLOOKUP($F65,Admin!$D$11:$G$19,4,FALSE)</f>
        <v>K+F munkatárs</v>
      </c>
      <c r="J65" s="100" t="s">
        <v>297</v>
      </c>
      <c r="K65" s="95" t="str">
        <f t="shared" si="51"/>
        <v>2023.04</v>
      </c>
      <c r="L65" s="101" t="s">
        <v>7</v>
      </c>
      <c r="M65" s="96" t="s">
        <v>70</v>
      </c>
      <c r="N65" s="102">
        <v>807100</v>
      </c>
      <c r="O65" s="97">
        <f t="shared" si="57"/>
        <v>104923</v>
      </c>
      <c r="P65" s="104">
        <v>174</v>
      </c>
      <c r="Q65" s="104">
        <v>120</v>
      </c>
      <c r="R65" s="215">
        <f t="shared" si="58"/>
        <v>0.68965517241379315</v>
      </c>
      <c r="S65" s="105">
        <f t="shared" si="59"/>
        <v>556621</v>
      </c>
      <c r="T65" s="98">
        <f t="shared" si="60"/>
        <v>72361</v>
      </c>
      <c r="U65" s="70">
        <f t="shared" si="61"/>
        <v>-3.845184333162166E-7</v>
      </c>
      <c r="V65" s="140">
        <v>0.13</v>
      </c>
      <c r="W65" s="209" t="s">
        <v>266</v>
      </c>
      <c r="X65" s="17">
        <v>44953</v>
      </c>
      <c r="Y65" s="12" t="s">
        <v>66</v>
      </c>
      <c r="Z65" s="12"/>
      <c r="AA65" s="12"/>
    </row>
    <row r="66" spans="1:28" s="3" customFormat="1" ht="14.45" customHeight="1" x14ac:dyDescent="0.25">
      <c r="A66" s="141">
        <v>1</v>
      </c>
      <c r="B66" s="99" t="s">
        <v>183</v>
      </c>
      <c r="C66" s="95" t="str">
        <f>VLOOKUP($F66,Admin!$D$11:$F$19,2,FALSE)</f>
        <v>Alkalmazott (ipari) kutatás</v>
      </c>
      <c r="D66" s="138" t="s">
        <v>123</v>
      </c>
      <c r="E66" s="95" t="str">
        <f>VLOOKUP($F66,Admin!$D$11:$F$19,3,FALSE)</f>
        <v>54. Bérköltség - Kutató-fejlesztő munkatárs</v>
      </c>
      <c r="F66" s="139" t="s">
        <v>212</v>
      </c>
      <c r="G66" s="100" t="s">
        <v>180</v>
      </c>
      <c r="H66" s="100" t="s">
        <v>141</v>
      </c>
      <c r="I66" s="139" t="str">
        <f>VLOOKUP($F66,Admin!$D$11:$G$19,4,FALSE)</f>
        <v>K+F munkatárs</v>
      </c>
      <c r="J66" s="100" t="s">
        <v>225</v>
      </c>
      <c r="K66" s="95" t="str">
        <f t="shared" si="2"/>
        <v>2020.10</v>
      </c>
      <c r="L66" s="101" t="s">
        <v>6</v>
      </c>
      <c r="M66" s="96" t="s">
        <v>70</v>
      </c>
      <c r="N66" s="102">
        <v>554700</v>
      </c>
      <c r="O66" s="97">
        <f t="shared" si="3"/>
        <v>85979</v>
      </c>
      <c r="P66" s="104">
        <v>174</v>
      </c>
      <c r="Q66" s="104">
        <v>31</v>
      </c>
      <c r="R66" s="215">
        <f t="shared" si="0"/>
        <v>0.17816091954022989</v>
      </c>
      <c r="S66" s="105">
        <f t="shared" si="18"/>
        <v>98826</v>
      </c>
      <c r="T66" s="98">
        <f t="shared" si="4"/>
        <v>15318</v>
      </c>
      <c r="U66" s="70">
        <f t="shared" si="1"/>
        <v>-2.4865879660884715E-7</v>
      </c>
      <c r="V66" s="140">
        <v>0.155</v>
      </c>
      <c r="W66" s="209"/>
      <c r="X66" s="17">
        <v>44103</v>
      </c>
      <c r="Y66" s="12" t="s">
        <v>66</v>
      </c>
      <c r="Z66" s="12"/>
      <c r="AA66" s="12"/>
      <c r="AB66" s="3">
        <v>1</v>
      </c>
    </row>
    <row r="67" spans="1:28" s="3" customFormat="1" ht="14.45" customHeight="1" x14ac:dyDescent="0.25">
      <c r="A67" s="141">
        <v>1</v>
      </c>
      <c r="B67" s="99" t="s">
        <v>183</v>
      </c>
      <c r="C67" s="95" t="str">
        <f>VLOOKUP($F67,Admin!$D$11:$F$19,2,FALSE)</f>
        <v>Alkalmazott (ipari) kutatás</v>
      </c>
      <c r="D67" s="138" t="s">
        <v>123</v>
      </c>
      <c r="E67" s="95" t="str">
        <f>VLOOKUP($F67,Admin!$D$11:$F$19,3,FALSE)</f>
        <v>54. Bérköltség - Kutató-fejlesztő munkatárs</v>
      </c>
      <c r="F67" s="139" t="s">
        <v>212</v>
      </c>
      <c r="G67" s="100" t="s">
        <v>180</v>
      </c>
      <c r="H67" s="100" t="s">
        <v>141</v>
      </c>
      <c r="I67" s="139" t="str">
        <f>VLOOKUP($F67,Admin!$D$11:$G$19,4,FALSE)</f>
        <v>K+F munkatárs</v>
      </c>
      <c r="J67" s="100" t="s">
        <v>226</v>
      </c>
      <c r="K67" s="95" t="str">
        <f t="shared" si="2"/>
        <v>2020.11</v>
      </c>
      <c r="L67" s="101" t="s">
        <v>6</v>
      </c>
      <c r="M67" s="96" t="s">
        <v>70</v>
      </c>
      <c r="N67" s="102">
        <v>554700</v>
      </c>
      <c r="O67" s="97">
        <f t="shared" si="3"/>
        <v>85979</v>
      </c>
      <c r="P67" s="104">
        <v>174</v>
      </c>
      <c r="Q67" s="104">
        <v>31</v>
      </c>
      <c r="R67" s="215">
        <f t="shared" si="0"/>
        <v>0.17816091954022989</v>
      </c>
      <c r="S67" s="105">
        <f t="shared" si="18"/>
        <v>98826</v>
      </c>
      <c r="T67" s="98">
        <f t="shared" si="4"/>
        <v>15318</v>
      </c>
      <c r="U67" s="70">
        <f t="shared" si="1"/>
        <v>-2.4865879660884715E-7</v>
      </c>
      <c r="V67" s="140">
        <v>0.155</v>
      </c>
      <c r="W67" s="209"/>
      <c r="X67" s="17">
        <v>44103</v>
      </c>
      <c r="Y67" s="12" t="s">
        <v>66</v>
      </c>
      <c r="Z67" s="12"/>
      <c r="AA67" s="12"/>
      <c r="AB67" s="3">
        <v>1</v>
      </c>
    </row>
    <row r="68" spans="1:28" s="3" customFormat="1" ht="14.45" customHeight="1" x14ac:dyDescent="0.25">
      <c r="A68" s="141">
        <v>1</v>
      </c>
      <c r="B68" s="99" t="s">
        <v>183</v>
      </c>
      <c r="C68" s="95" t="str">
        <f>VLOOKUP($F68,Admin!$D$11:$F$19,2,FALSE)</f>
        <v>Alkalmazott (ipari) kutatás</v>
      </c>
      <c r="D68" s="138" t="s">
        <v>123</v>
      </c>
      <c r="E68" s="95" t="str">
        <f>VLOOKUP($F68,Admin!$D$11:$F$19,3,FALSE)</f>
        <v>54. Bérköltség - Kutató-fejlesztő munkatárs</v>
      </c>
      <c r="F68" s="139" t="s">
        <v>212</v>
      </c>
      <c r="G68" s="100" t="s">
        <v>180</v>
      </c>
      <c r="H68" s="100" t="s">
        <v>141</v>
      </c>
      <c r="I68" s="139" t="str">
        <f>VLOOKUP($F68,Admin!$D$11:$G$19,4,FALSE)</f>
        <v>K+F munkatárs</v>
      </c>
      <c r="J68" s="100" t="s">
        <v>30</v>
      </c>
      <c r="K68" s="95" t="str">
        <f t="shared" si="2"/>
        <v>2020.12</v>
      </c>
      <c r="L68" s="101" t="s">
        <v>6</v>
      </c>
      <c r="M68" s="96" t="s">
        <v>70</v>
      </c>
      <c r="N68" s="102">
        <v>609700</v>
      </c>
      <c r="O68" s="97">
        <f t="shared" si="3"/>
        <v>94504</v>
      </c>
      <c r="P68" s="104">
        <v>174</v>
      </c>
      <c r="Q68" s="104">
        <v>28</v>
      </c>
      <c r="R68" s="215">
        <f t="shared" si="0"/>
        <v>0.16091954022988506</v>
      </c>
      <c r="S68" s="105">
        <f t="shared" si="18"/>
        <v>98113</v>
      </c>
      <c r="T68" s="98">
        <f t="shared" si="4"/>
        <v>15208</v>
      </c>
      <c r="U68" s="70">
        <f t="shared" si="1"/>
        <v>-5.8442158287763668E-7</v>
      </c>
      <c r="V68" s="140">
        <v>0.155</v>
      </c>
      <c r="W68" s="209"/>
      <c r="X68" s="17">
        <v>44155</v>
      </c>
      <c r="Y68" s="12" t="s">
        <v>66</v>
      </c>
      <c r="Z68" s="12"/>
      <c r="AA68" s="12"/>
      <c r="AB68" s="3">
        <v>1</v>
      </c>
    </row>
    <row r="69" spans="1:28" s="3" customFormat="1" ht="14.45" customHeight="1" x14ac:dyDescent="0.25">
      <c r="A69" s="141">
        <v>1</v>
      </c>
      <c r="B69" s="99" t="s">
        <v>183</v>
      </c>
      <c r="C69" s="95" t="str">
        <f>VLOOKUP($F69,Admin!$D$11:$F$19,2,FALSE)</f>
        <v>Alkalmazott (ipari) kutatás</v>
      </c>
      <c r="D69" s="138" t="s">
        <v>123</v>
      </c>
      <c r="E69" s="95" t="str">
        <f>VLOOKUP($F69,Admin!$D$11:$F$19,3,FALSE)</f>
        <v>54. Bérköltség - Kutató-fejlesztő munkatárs</v>
      </c>
      <c r="F69" s="139" t="s">
        <v>212</v>
      </c>
      <c r="G69" s="100" t="s">
        <v>180</v>
      </c>
      <c r="H69" s="100" t="s">
        <v>141</v>
      </c>
      <c r="I69" s="139" t="str">
        <f>VLOOKUP($F69,Admin!$D$11:$G$19,4,FALSE)</f>
        <v>K+F munkatárs</v>
      </c>
      <c r="J69" s="100" t="s">
        <v>31</v>
      </c>
      <c r="K69" s="95" t="str">
        <f t="shared" si="2"/>
        <v>2021.01</v>
      </c>
      <c r="L69" s="101" t="s">
        <v>6</v>
      </c>
      <c r="M69" s="96" t="s">
        <v>70</v>
      </c>
      <c r="N69" s="102">
        <v>604700</v>
      </c>
      <c r="O69" s="97">
        <f t="shared" si="3"/>
        <v>93729</v>
      </c>
      <c r="P69" s="104">
        <v>174</v>
      </c>
      <c r="Q69" s="104">
        <v>57</v>
      </c>
      <c r="R69" s="215">
        <f t="shared" si="0"/>
        <v>0.32758620689655171</v>
      </c>
      <c r="S69" s="105">
        <f t="shared" si="18"/>
        <v>198091</v>
      </c>
      <c r="T69" s="98">
        <f t="shared" si="4"/>
        <v>30704</v>
      </c>
      <c r="U69" s="70">
        <f t="shared" si="1"/>
        <v>6.2727029076503626E-7</v>
      </c>
      <c r="V69" s="140">
        <v>0.155</v>
      </c>
      <c r="W69" s="209"/>
      <c r="X69" s="17">
        <v>44187</v>
      </c>
      <c r="Y69" s="12" t="s">
        <v>66</v>
      </c>
      <c r="Z69" s="12"/>
      <c r="AA69" s="12"/>
      <c r="AB69" s="3">
        <v>1</v>
      </c>
    </row>
    <row r="70" spans="1:28" s="3" customFormat="1" ht="14.45" customHeight="1" x14ac:dyDescent="0.25">
      <c r="A70" s="141">
        <v>2</v>
      </c>
      <c r="B70" s="99" t="s">
        <v>183</v>
      </c>
      <c r="C70" s="95" t="str">
        <f>VLOOKUP($F70,Admin!$D$11:$F$19,2,FALSE)</f>
        <v>Kísérleti fejlesztés</v>
      </c>
      <c r="D70" s="138" t="s">
        <v>123</v>
      </c>
      <c r="E70" s="95" t="str">
        <f>VLOOKUP($F70,Admin!$D$11:$F$19,3,FALSE)</f>
        <v>54. Bérköltség - Kutató-fejlesztő munkatárs</v>
      </c>
      <c r="F70" s="139" t="s">
        <v>213</v>
      </c>
      <c r="G70" s="100" t="s">
        <v>180</v>
      </c>
      <c r="H70" s="100" t="s">
        <v>141</v>
      </c>
      <c r="I70" s="139" t="str">
        <f>VLOOKUP($F70,Admin!$D$11:$G$19,4,FALSE)</f>
        <v>K+F munkatárs</v>
      </c>
      <c r="J70" s="100" t="s">
        <v>32</v>
      </c>
      <c r="K70" s="95" t="str">
        <f t="shared" si="2"/>
        <v>2021.02</v>
      </c>
      <c r="L70" s="101" t="s">
        <v>6</v>
      </c>
      <c r="M70" s="96" t="s">
        <v>70</v>
      </c>
      <c r="N70" s="102">
        <v>604700</v>
      </c>
      <c r="O70" s="97">
        <f t="shared" si="3"/>
        <v>93729</v>
      </c>
      <c r="P70" s="104">
        <v>174</v>
      </c>
      <c r="Q70" s="104">
        <v>57</v>
      </c>
      <c r="R70" s="215">
        <f t="shared" si="0"/>
        <v>0.32758620689655171</v>
      </c>
      <c r="S70" s="105">
        <f t="shared" si="18"/>
        <v>198091</v>
      </c>
      <c r="T70" s="98">
        <f t="shared" si="4"/>
        <v>30704</v>
      </c>
      <c r="U70" s="70">
        <f t="shared" si="1"/>
        <v>6.2727029076503626E-7</v>
      </c>
      <c r="V70" s="140">
        <v>0.155</v>
      </c>
      <c r="W70" s="209"/>
      <c r="X70" s="17">
        <v>44217</v>
      </c>
      <c r="Y70" s="12" t="s">
        <v>66</v>
      </c>
      <c r="Z70" s="12"/>
      <c r="AA70" s="12"/>
      <c r="AB70" s="3">
        <v>1</v>
      </c>
    </row>
    <row r="71" spans="1:28" s="3" customFormat="1" ht="14.45" customHeight="1" x14ac:dyDescent="0.25">
      <c r="A71" s="141">
        <v>2</v>
      </c>
      <c r="B71" s="99" t="s">
        <v>183</v>
      </c>
      <c r="C71" s="95" t="str">
        <f>VLOOKUP($F71,Admin!$D$11:$F$19,2,FALSE)</f>
        <v>Kísérleti fejlesztés</v>
      </c>
      <c r="D71" s="138" t="s">
        <v>123</v>
      </c>
      <c r="E71" s="95" t="str">
        <f>VLOOKUP($F71,Admin!$D$11:$F$19,3,FALSE)</f>
        <v>54. Bérköltség - Kutató-fejlesztő munkatárs</v>
      </c>
      <c r="F71" s="139" t="s">
        <v>213</v>
      </c>
      <c r="G71" s="100" t="s">
        <v>180</v>
      </c>
      <c r="H71" s="100" t="s">
        <v>141</v>
      </c>
      <c r="I71" s="139" t="str">
        <f>VLOOKUP($F71,Admin!$D$11:$G$19,4,FALSE)</f>
        <v>K+F munkatárs</v>
      </c>
      <c r="J71" s="100" t="s">
        <v>33</v>
      </c>
      <c r="K71" s="95" t="str">
        <f t="shared" si="2"/>
        <v>2021.03</v>
      </c>
      <c r="L71" s="101" t="s">
        <v>6</v>
      </c>
      <c r="M71" s="96" t="s">
        <v>70</v>
      </c>
      <c r="N71" s="102">
        <v>604700</v>
      </c>
      <c r="O71" s="97">
        <f t="shared" si="3"/>
        <v>93729</v>
      </c>
      <c r="P71" s="104">
        <v>174</v>
      </c>
      <c r="Q71" s="104">
        <v>57</v>
      </c>
      <c r="R71" s="215">
        <f t="shared" si="0"/>
        <v>0.32758620689655171</v>
      </c>
      <c r="S71" s="105">
        <f t="shared" si="18"/>
        <v>198091</v>
      </c>
      <c r="T71" s="98">
        <f t="shared" si="4"/>
        <v>30704</v>
      </c>
      <c r="U71" s="70">
        <f t="shared" si="1"/>
        <v>6.2727029076503626E-7</v>
      </c>
      <c r="V71" s="140">
        <v>0.155</v>
      </c>
      <c r="W71" s="209"/>
      <c r="X71" s="17">
        <v>44217</v>
      </c>
      <c r="Y71" s="12" t="s">
        <v>66</v>
      </c>
      <c r="Z71" s="12"/>
      <c r="AA71" s="12"/>
      <c r="AB71" s="3">
        <v>1</v>
      </c>
    </row>
    <row r="72" spans="1:28" s="3" customFormat="1" ht="14.45" customHeight="1" x14ac:dyDescent="0.25">
      <c r="A72" s="141">
        <v>2</v>
      </c>
      <c r="B72" s="99" t="s">
        <v>183</v>
      </c>
      <c r="C72" s="95" t="str">
        <f>VLOOKUP($F72,Admin!$D$11:$F$19,2,FALSE)</f>
        <v>Kísérleti fejlesztés</v>
      </c>
      <c r="D72" s="138" t="s">
        <v>123</v>
      </c>
      <c r="E72" s="95" t="str">
        <f>VLOOKUP($F72,Admin!$D$11:$F$19,3,FALSE)</f>
        <v>54. Bérköltség - Kutató-fejlesztő munkatárs</v>
      </c>
      <c r="F72" s="139" t="s">
        <v>213</v>
      </c>
      <c r="G72" s="100" t="s">
        <v>180</v>
      </c>
      <c r="H72" s="100" t="s">
        <v>141</v>
      </c>
      <c r="I72" s="139" t="str">
        <f>VLOOKUP($F72,Admin!$D$11:$G$19,4,FALSE)</f>
        <v>K+F munkatárs</v>
      </c>
      <c r="J72" s="100" t="s">
        <v>34</v>
      </c>
      <c r="K72" s="95" t="str">
        <f t="shared" si="2"/>
        <v>2021.04</v>
      </c>
      <c r="L72" s="101" t="s">
        <v>6</v>
      </c>
      <c r="M72" s="96" t="s">
        <v>70</v>
      </c>
      <c r="N72" s="102">
        <v>654700</v>
      </c>
      <c r="O72" s="97">
        <f t="shared" si="3"/>
        <v>101479</v>
      </c>
      <c r="P72" s="104">
        <v>174</v>
      </c>
      <c r="Q72" s="104">
        <v>53</v>
      </c>
      <c r="R72" s="215">
        <f t="shared" si="0"/>
        <v>0.3045977011494253</v>
      </c>
      <c r="S72" s="105">
        <f t="shared" si="18"/>
        <v>199420</v>
      </c>
      <c r="T72" s="98">
        <f t="shared" si="4"/>
        <v>30910</v>
      </c>
      <c r="U72" s="70">
        <f t="shared" si="1"/>
        <v>1.7556518827621659E-7</v>
      </c>
      <c r="V72" s="140">
        <v>0.155</v>
      </c>
      <c r="W72" s="209"/>
      <c r="X72" s="17">
        <v>44278</v>
      </c>
      <c r="Y72" s="12" t="s">
        <v>66</v>
      </c>
      <c r="Z72" s="12"/>
      <c r="AA72" s="12"/>
      <c r="AB72" s="3">
        <v>1</v>
      </c>
    </row>
    <row r="73" spans="1:28" s="3" customFormat="1" ht="14.45" customHeight="1" x14ac:dyDescent="0.25">
      <c r="A73" s="141">
        <v>2</v>
      </c>
      <c r="B73" s="99" t="s">
        <v>183</v>
      </c>
      <c r="C73" s="95" t="str">
        <f>VLOOKUP($F73,Admin!$D$11:$F$19,2,FALSE)</f>
        <v>Kísérleti fejlesztés</v>
      </c>
      <c r="D73" s="138" t="s">
        <v>123</v>
      </c>
      <c r="E73" s="95" t="str">
        <f>VLOOKUP($F73,Admin!$D$11:$F$19,3,FALSE)</f>
        <v>54. Bérköltség - Kutató-fejlesztő munkatárs</v>
      </c>
      <c r="F73" s="139" t="s">
        <v>213</v>
      </c>
      <c r="G73" s="100" t="s">
        <v>180</v>
      </c>
      <c r="H73" s="100" t="s">
        <v>141</v>
      </c>
      <c r="I73" s="139" t="str">
        <f>VLOOKUP($F73,Admin!$D$11:$G$19,4,FALSE)</f>
        <v>K+F munkatárs</v>
      </c>
      <c r="J73" s="100" t="s">
        <v>35</v>
      </c>
      <c r="K73" s="95" t="str">
        <f t="shared" si="2"/>
        <v>2021.05</v>
      </c>
      <c r="L73" s="101" t="s">
        <v>6</v>
      </c>
      <c r="M73" s="96" t="s">
        <v>70</v>
      </c>
      <c r="N73" s="102">
        <v>654700</v>
      </c>
      <c r="O73" s="97">
        <f t="shared" si="3"/>
        <v>101479</v>
      </c>
      <c r="P73" s="104">
        <v>174</v>
      </c>
      <c r="Q73" s="104">
        <v>53</v>
      </c>
      <c r="R73" s="215">
        <f t="shared" si="0"/>
        <v>0.3045977011494253</v>
      </c>
      <c r="S73" s="105">
        <f t="shared" si="18"/>
        <v>199420</v>
      </c>
      <c r="T73" s="98">
        <f t="shared" si="4"/>
        <v>30910</v>
      </c>
      <c r="U73" s="70">
        <f t="shared" si="1"/>
        <v>1.7556518827621659E-7</v>
      </c>
      <c r="V73" s="140">
        <v>0.155</v>
      </c>
      <c r="W73" s="209"/>
      <c r="X73" s="17">
        <v>44278</v>
      </c>
      <c r="Y73" s="12" t="s">
        <v>66</v>
      </c>
      <c r="Z73" s="12"/>
      <c r="AA73" s="12"/>
      <c r="AB73" s="3">
        <v>1</v>
      </c>
    </row>
    <row r="74" spans="1:28" s="3" customFormat="1" ht="14.45" customHeight="1" x14ac:dyDescent="0.25">
      <c r="A74" s="141">
        <v>2</v>
      </c>
      <c r="B74" s="99" t="s">
        <v>183</v>
      </c>
      <c r="C74" s="95" t="str">
        <f>VLOOKUP($F74,Admin!$D$11:$F$19,2,FALSE)</f>
        <v>Kísérleti fejlesztés</v>
      </c>
      <c r="D74" s="138" t="s">
        <v>123</v>
      </c>
      <c r="E74" s="95" t="str">
        <f>VLOOKUP($F74,Admin!$D$11:$F$19,3,FALSE)</f>
        <v>54. Bérköltség - Kutató-fejlesztő munkatárs</v>
      </c>
      <c r="F74" s="139" t="s">
        <v>213</v>
      </c>
      <c r="G74" s="100" t="s">
        <v>180</v>
      </c>
      <c r="H74" s="100" t="s">
        <v>141</v>
      </c>
      <c r="I74" s="139" t="str">
        <f>VLOOKUP($F74,Admin!$D$11:$G$19,4,FALSE)</f>
        <v>K+F munkatárs</v>
      </c>
      <c r="J74" s="100" t="s">
        <v>36</v>
      </c>
      <c r="K74" s="95" t="str">
        <f t="shared" si="2"/>
        <v>2021.06</v>
      </c>
      <c r="L74" s="101" t="s">
        <v>6</v>
      </c>
      <c r="M74" s="96" t="s">
        <v>70</v>
      </c>
      <c r="N74" s="102">
        <v>1059700</v>
      </c>
      <c r="O74" s="97">
        <f t="shared" si="3"/>
        <v>164254</v>
      </c>
      <c r="P74" s="104">
        <v>174</v>
      </c>
      <c r="Q74" s="104">
        <v>48</v>
      </c>
      <c r="R74" s="215">
        <f t="shared" si="0"/>
        <v>0.27586206896551724</v>
      </c>
      <c r="S74" s="105">
        <f t="shared" si="18"/>
        <v>292331</v>
      </c>
      <c r="T74" s="98">
        <f t="shared" si="4"/>
        <v>45311</v>
      </c>
      <c r="U74" s="70">
        <f t="shared" si="1"/>
        <v>3.2540113825696437E-8</v>
      </c>
      <c r="V74" s="140">
        <v>0.155</v>
      </c>
      <c r="W74" s="209"/>
      <c r="X74" s="17">
        <v>44343</v>
      </c>
      <c r="Y74" s="12" t="s">
        <v>66</v>
      </c>
      <c r="Z74" s="12"/>
      <c r="AA74" s="12"/>
      <c r="AB74" s="3">
        <v>1</v>
      </c>
    </row>
    <row r="75" spans="1:28" s="3" customFormat="1" ht="14.45" customHeight="1" x14ac:dyDescent="0.25">
      <c r="A75" s="141">
        <v>2</v>
      </c>
      <c r="B75" s="99" t="s">
        <v>183</v>
      </c>
      <c r="C75" s="95" t="str">
        <f>VLOOKUP($F75,Admin!$D$11:$F$19,2,FALSE)</f>
        <v>Kísérleti fejlesztés</v>
      </c>
      <c r="D75" s="138" t="s">
        <v>123</v>
      </c>
      <c r="E75" s="95" t="str">
        <f>VLOOKUP($F75,Admin!$D$11:$F$19,3,FALSE)</f>
        <v>54. Bérköltség - Kutató-fejlesztő munkatárs</v>
      </c>
      <c r="F75" s="139" t="s">
        <v>213</v>
      </c>
      <c r="G75" s="100" t="s">
        <v>180</v>
      </c>
      <c r="H75" s="100" t="s">
        <v>141</v>
      </c>
      <c r="I75" s="139" t="str">
        <f>VLOOKUP($F75,Admin!$D$11:$G$19,4,FALSE)</f>
        <v>K+F munkatárs</v>
      </c>
      <c r="J75" s="100" t="s">
        <v>37</v>
      </c>
      <c r="K75" s="95" t="str">
        <f t="shared" si="2"/>
        <v>2021.07</v>
      </c>
      <c r="L75" s="101" t="s">
        <v>6</v>
      </c>
      <c r="M75" s="96" t="s">
        <v>70</v>
      </c>
      <c r="N75" s="102">
        <v>1059700</v>
      </c>
      <c r="O75" s="97">
        <f t="shared" si="3"/>
        <v>164254</v>
      </c>
      <c r="P75" s="104">
        <v>174</v>
      </c>
      <c r="Q75" s="104">
        <v>48</v>
      </c>
      <c r="R75" s="215">
        <f t="shared" si="0"/>
        <v>0.27586206896551724</v>
      </c>
      <c r="S75" s="105">
        <f t="shared" si="18"/>
        <v>292331</v>
      </c>
      <c r="T75" s="98">
        <f t="shared" si="4"/>
        <v>45311</v>
      </c>
      <c r="U75" s="70">
        <f t="shared" si="1"/>
        <v>3.2540113825696437E-8</v>
      </c>
      <c r="V75" s="140">
        <v>0.155</v>
      </c>
      <c r="W75" s="209"/>
      <c r="X75" s="17">
        <v>44343</v>
      </c>
      <c r="Y75" s="12" t="s">
        <v>66</v>
      </c>
      <c r="Z75" s="12"/>
      <c r="AA75" s="12"/>
      <c r="AB75" s="3">
        <v>1</v>
      </c>
    </row>
    <row r="76" spans="1:28" s="3" customFormat="1" ht="14.45" customHeight="1" x14ac:dyDescent="0.25">
      <c r="A76" s="141">
        <v>2</v>
      </c>
      <c r="B76" s="99" t="s">
        <v>183</v>
      </c>
      <c r="C76" s="95" t="str">
        <f>VLOOKUP($F76,Admin!$D$11:$F$19,2,FALSE)</f>
        <v>Kísérleti fejlesztés</v>
      </c>
      <c r="D76" s="138" t="s">
        <v>123</v>
      </c>
      <c r="E76" s="95" t="str">
        <f>VLOOKUP($F76,Admin!$D$11:$F$19,3,FALSE)</f>
        <v>54. Bérköltség - Kutató-fejlesztő munkatárs</v>
      </c>
      <c r="F76" s="139" t="s">
        <v>213</v>
      </c>
      <c r="G76" s="100" t="s">
        <v>180</v>
      </c>
      <c r="H76" s="100" t="s">
        <v>141</v>
      </c>
      <c r="I76" s="139" t="str">
        <f>VLOOKUP($F76,Admin!$D$11:$G$19,4,FALSE)</f>
        <v>K+F munkatárs</v>
      </c>
      <c r="J76" s="100" t="s">
        <v>38</v>
      </c>
      <c r="K76" s="95" t="str">
        <f t="shared" si="2"/>
        <v>2021.08</v>
      </c>
      <c r="L76" s="101" t="s">
        <v>6</v>
      </c>
      <c r="M76" s="96" t="s">
        <v>70</v>
      </c>
      <c r="N76" s="102">
        <v>900000</v>
      </c>
      <c r="O76" s="97">
        <f t="shared" si="3"/>
        <v>139500</v>
      </c>
      <c r="P76" s="104">
        <v>174</v>
      </c>
      <c r="Q76" s="104">
        <v>58</v>
      </c>
      <c r="R76" s="215">
        <f t="shared" si="0"/>
        <v>0.33333333333333331</v>
      </c>
      <c r="S76" s="105">
        <f t="shared" si="18"/>
        <v>300000</v>
      </c>
      <c r="T76" s="98">
        <f t="shared" si="4"/>
        <v>46500</v>
      </c>
      <c r="U76" s="70">
        <f t="shared" si="1"/>
        <v>0</v>
      </c>
      <c r="V76" s="140">
        <v>0.155</v>
      </c>
      <c r="W76" s="209"/>
      <c r="X76" s="17">
        <v>44378</v>
      </c>
      <c r="Y76" s="12" t="s">
        <v>66</v>
      </c>
      <c r="Z76" s="12"/>
      <c r="AA76" s="12"/>
      <c r="AB76" s="3">
        <v>1</v>
      </c>
    </row>
    <row r="77" spans="1:28" s="3" customFormat="1" ht="14.45" customHeight="1" x14ac:dyDescent="0.25">
      <c r="A77" s="141">
        <v>2</v>
      </c>
      <c r="B77" s="99" t="s">
        <v>183</v>
      </c>
      <c r="C77" s="95" t="str">
        <f>VLOOKUP($F77,Admin!$D$11:$F$19,2,FALSE)</f>
        <v>Kísérleti fejlesztés</v>
      </c>
      <c r="D77" s="138" t="s">
        <v>123</v>
      </c>
      <c r="E77" s="95" t="str">
        <f>VLOOKUP($F77,Admin!$D$11:$F$19,3,FALSE)</f>
        <v>54. Bérköltség - Kutató-fejlesztő munkatárs</v>
      </c>
      <c r="F77" s="139" t="s">
        <v>213</v>
      </c>
      <c r="G77" s="100" t="s">
        <v>180</v>
      </c>
      <c r="H77" s="100" t="s">
        <v>141</v>
      </c>
      <c r="I77" s="139" t="str">
        <f>VLOOKUP($F77,Admin!$D$11:$G$19,4,FALSE)</f>
        <v>K+F munkatárs</v>
      </c>
      <c r="J77" s="100" t="s">
        <v>39</v>
      </c>
      <c r="K77" s="95" t="str">
        <f t="shared" si="2"/>
        <v>2021.09</v>
      </c>
      <c r="L77" s="101" t="s">
        <v>6</v>
      </c>
      <c r="M77" s="96" t="s">
        <v>70</v>
      </c>
      <c r="N77" s="102">
        <v>900000</v>
      </c>
      <c r="O77" s="97">
        <f t="shared" si="3"/>
        <v>139500</v>
      </c>
      <c r="P77" s="104">
        <v>174</v>
      </c>
      <c r="Q77" s="104">
        <v>58</v>
      </c>
      <c r="R77" s="215">
        <f t="shared" si="0"/>
        <v>0.33333333333333331</v>
      </c>
      <c r="S77" s="105">
        <f t="shared" si="18"/>
        <v>300000</v>
      </c>
      <c r="T77" s="98">
        <f t="shared" si="4"/>
        <v>46500</v>
      </c>
      <c r="U77" s="70">
        <f t="shared" si="1"/>
        <v>0</v>
      </c>
      <c r="V77" s="140">
        <v>0.155</v>
      </c>
      <c r="W77" s="209"/>
      <c r="X77" s="17">
        <v>44378</v>
      </c>
      <c r="Y77" s="12" t="s">
        <v>66</v>
      </c>
      <c r="Z77" s="12"/>
      <c r="AA77" s="12"/>
      <c r="AB77" s="3">
        <v>1</v>
      </c>
    </row>
    <row r="78" spans="1:28" s="3" customFormat="1" ht="14.45" customHeight="1" x14ac:dyDescent="0.25">
      <c r="A78" s="141">
        <v>2</v>
      </c>
      <c r="B78" s="99" t="s">
        <v>183</v>
      </c>
      <c r="C78" s="95" t="str">
        <f>VLOOKUP($F78,Admin!$D$11:$F$19,2,FALSE)</f>
        <v>Kísérleti fejlesztés</v>
      </c>
      <c r="D78" s="138" t="s">
        <v>123</v>
      </c>
      <c r="E78" s="95" t="str">
        <f>VLOOKUP($F78,Admin!$D$11:$F$19,3,FALSE)</f>
        <v>54. Bérköltség - Kutató-fejlesztő munkatárs</v>
      </c>
      <c r="F78" s="139" t="s">
        <v>213</v>
      </c>
      <c r="G78" s="100" t="s">
        <v>180</v>
      </c>
      <c r="H78" s="100" t="s">
        <v>141</v>
      </c>
      <c r="I78" s="139" t="str">
        <f>VLOOKUP($F78,Admin!$D$11:$G$19,4,FALSE)</f>
        <v>K+F munkatárs</v>
      </c>
      <c r="J78" s="100" t="s">
        <v>40</v>
      </c>
      <c r="K78" s="95" t="str">
        <f t="shared" si="2"/>
        <v>2021.10</v>
      </c>
      <c r="L78" s="101" t="s">
        <v>6</v>
      </c>
      <c r="M78" s="96" t="s">
        <v>70</v>
      </c>
      <c r="N78" s="102">
        <v>1035000</v>
      </c>
      <c r="O78" s="97">
        <f t="shared" si="3"/>
        <v>160425</v>
      </c>
      <c r="P78" s="104">
        <v>174</v>
      </c>
      <c r="Q78" s="104">
        <v>58</v>
      </c>
      <c r="R78" s="215">
        <f t="shared" si="0"/>
        <v>0.33333333333333331</v>
      </c>
      <c r="S78" s="105">
        <f t="shared" si="18"/>
        <v>345000</v>
      </c>
      <c r="T78" s="98">
        <f t="shared" si="4"/>
        <v>53475</v>
      </c>
      <c r="U78" s="70">
        <f t="shared" si="1"/>
        <v>0</v>
      </c>
      <c r="V78" s="140">
        <v>0.155</v>
      </c>
      <c r="W78" s="209"/>
      <c r="X78" s="17">
        <v>44378</v>
      </c>
      <c r="Y78" s="12" t="s">
        <v>66</v>
      </c>
      <c r="Z78" s="12"/>
      <c r="AA78" s="12"/>
      <c r="AB78" s="3">
        <v>1</v>
      </c>
    </row>
    <row r="79" spans="1:28" s="3" customFormat="1" ht="14.45" customHeight="1" x14ac:dyDescent="0.25">
      <c r="A79" s="141">
        <v>2</v>
      </c>
      <c r="B79" s="99" t="s">
        <v>183</v>
      </c>
      <c r="C79" s="95" t="str">
        <f>VLOOKUP($F79,Admin!$D$11:$F$19,2,FALSE)</f>
        <v>Kísérleti fejlesztés</v>
      </c>
      <c r="D79" s="138" t="s">
        <v>123</v>
      </c>
      <c r="E79" s="95" t="str">
        <f>VLOOKUP($F79,Admin!$D$11:$F$19,3,FALSE)</f>
        <v>54. Bérköltség - Kutató-fejlesztő munkatárs</v>
      </c>
      <c r="F79" s="139" t="s">
        <v>213</v>
      </c>
      <c r="G79" s="100" t="s">
        <v>180</v>
      </c>
      <c r="H79" s="100" t="s">
        <v>141</v>
      </c>
      <c r="I79" s="139" t="str">
        <f>VLOOKUP($F79,Admin!$D$11:$G$19,4,FALSE)</f>
        <v>K+F munkatárs</v>
      </c>
      <c r="J79" s="100" t="s">
        <v>41</v>
      </c>
      <c r="K79" s="95" t="str">
        <f t="shared" si="2"/>
        <v>2021.11</v>
      </c>
      <c r="L79" s="101" t="s">
        <v>6</v>
      </c>
      <c r="M79" s="96" t="s">
        <v>70</v>
      </c>
      <c r="N79" s="102">
        <v>1064999</v>
      </c>
      <c r="O79" s="97">
        <f t="shared" si="3"/>
        <v>165075</v>
      </c>
      <c r="P79" s="104">
        <v>174</v>
      </c>
      <c r="Q79" s="104">
        <v>58</v>
      </c>
      <c r="R79" s="215">
        <f t="shared" si="0"/>
        <v>0.33333333333333331</v>
      </c>
      <c r="S79" s="105">
        <v>300000</v>
      </c>
      <c r="T79" s="98">
        <f t="shared" si="4"/>
        <v>46500</v>
      </c>
      <c r="U79" s="70">
        <f t="shared" si="1"/>
        <v>5.1642927990229681E-2</v>
      </c>
      <c r="V79" s="140">
        <v>0.155</v>
      </c>
      <c r="W79" s="209"/>
      <c r="X79" s="17">
        <v>44511</v>
      </c>
      <c r="Y79" s="12" t="s">
        <v>66</v>
      </c>
      <c r="Z79" s="12"/>
      <c r="AA79" s="12"/>
      <c r="AB79" s="3">
        <v>1</v>
      </c>
    </row>
    <row r="80" spans="1:28" s="3" customFormat="1" ht="14.45" customHeight="1" x14ac:dyDescent="0.25">
      <c r="A80" s="141">
        <v>2</v>
      </c>
      <c r="B80" s="99" t="s">
        <v>183</v>
      </c>
      <c r="C80" s="95" t="str">
        <f>VLOOKUP($F80,Admin!$D$11:$F$19,2,FALSE)</f>
        <v>Kísérleti fejlesztés</v>
      </c>
      <c r="D80" s="138" t="s">
        <v>123</v>
      </c>
      <c r="E80" s="95" t="str">
        <f>VLOOKUP($F80,Admin!$D$11:$F$19,3,FALSE)</f>
        <v>54. Bérköltség - Kutató-fejlesztő munkatárs</v>
      </c>
      <c r="F80" s="139" t="s">
        <v>213</v>
      </c>
      <c r="G80" s="100" t="s">
        <v>180</v>
      </c>
      <c r="H80" s="100" t="s">
        <v>141</v>
      </c>
      <c r="I80" s="139" t="str">
        <f>VLOOKUP($F80,Admin!$D$11:$G$19,4,FALSE)</f>
        <v>K+F munkatárs</v>
      </c>
      <c r="J80" s="100" t="s">
        <v>42</v>
      </c>
      <c r="K80" s="95" t="str">
        <f t="shared" si="2"/>
        <v>2021.12</v>
      </c>
      <c r="L80" s="101" t="s">
        <v>6</v>
      </c>
      <c r="M80" s="96" t="s">
        <v>70</v>
      </c>
      <c r="N80" s="102">
        <v>1065000</v>
      </c>
      <c r="O80" s="97">
        <f t="shared" si="3"/>
        <v>165075</v>
      </c>
      <c r="P80" s="104">
        <v>174</v>
      </c>
      <c r="Q80" s="104">
        <v>58</v>
      </c>
      <c r="R80" s="215">
        <f t="shared" ref="R80:R196" si="62">Q80/P80</f>
        <v>0.33333333333333331</v>
      </c>
      <c r="S80" s="105">
        <v>300000</v>
      </c>
      <c r="T80" s="98">
        <f t="shared" si="4"/>
        <v>46500</v>
      </c>
      <c r="U80" s="70">
        <f t="shared" si="1"/>
        <v>5.1643192488262879E-2</v>
      </c>
      <c r="V80" s="140">
        <v>0.155</v>
      </c>
      <c r="W80" s="209"/>
      <c r="X80" s="17">
        <v>44511</v>
      </c>
      <c r="Y80" s="12" t="s">
        <v>66</v>
      </c>
      <c r="Z80" s="12"/>
      <c r="AA80" s="12"/>
      <c r="AB80" s="3">
        <v>1</v>
      </c>
    </row>
    <row r="81" spans="1:31" s="3" customFormat="1" ht="14.45" customHeight="1" x14ac:dyDescent="0.25">
      <c r="A81" s="141">
        <v>2</v>
      </c>
      <c r="B81" s="99" t="s">
        <v>183</v>
      </c>
      <c r="C81" s="95" t="str">
        <f>VLOOKUP($F81,Admin!$D$11:$F$19,2,FALSE)</f>
        <v>Kísérleti fejlesztés</v>
      </c>
      <c r="D81" s="138" t="s">
        <v>123</v>
      </c>
      <c r="E81" s="95" t="str">
        <f>VLOOKUP($F81,Admin!$D$11:$F$19,3,FALSE)</f>
        <v>54. Bérköltség - Kutató-fejlesztő munkatárs</v>
      </c>
      <c r="F81" s="139" t="s">
        <v>213</v>
      </c>
      <c r="G81" s="100" t="s">
        <v>180</v>
      </c>
      <c r="H81" s="100" t="s">
        <v>141</v>
      </c>
      <c r="I81" s="139" t="str">
        <f>VLOOKUP($F81,Admin!$D$11:$G$19,4,FALSE)</f>
        <v>K+F munkatárs</v>
      </c>
      <c r="J81" s="100" t="s">
        <v>43</v>
      </c>
      <c r="K81" s="95" t="str">
        <f t="shared" si="2"/>
        <v>2022.01</v>
      </c>
      <c r="L81" s="101" t="s">
        <v>6</v>
      </c>
      <c r="M81" s="96" t="s">
        <v>70</v>
      </c>
      <c r="N81" s="102">
        <v>1111000</v>
      </c>
      <c r="O81" s="97">
        <f t="shared" si="3"/>
        <v>144430</v>
      </c>
      <c r="P81" s="104">
        <v>174</v>
      </c>
      <c r="Q81" s="104">
        <v>55</v>
      </c>
      <c r="R81" s="215">
        <f t="shared" si="62"/>
        <v>0.31609195402298851</v>
      </c>
      <c r="S81" s="105">
        <f t="shared" ref="S81:S133" si="63">ROUND(N81*Q81/P81,0)</f>
        <v>351178</v>
      </c>
      <c r="T81" s="98">
        <f t="shared" si="4"/>
        <v>45653</v>
      </c>
      <c r="U81" s="70">
        <f t="shared" ref="U81:U197" si="64">Q81/P81-S81/N81</f>
        <v>1.4484207039311414E-7</v>
      </c>
      <c r="V81" s="140">
        <v>0.13</v>
      </c>
      <c r="W81" s="209"/>
      <c r="X81" s="17">
        <v>44552</v>
      </c>
      <c r="Y81" s="12" t="s">
        <v>66</v>
      </c>
      <c r="Z81" s="12"/>
      <c r="AA81" s="12"/>
      <c r="AB81" s="3">
        <v>1</v>
      </c>
    </row>
    <row r="82" spans="1:31" s="3" customFormat="1" ht="14.45" customHeight="1" x14ac:dyDescent="0.25">
      <c r="A82" s="141">
        <v>3</v>
      </c>
      <c r="B82" s="99" t="s">
        <v>183</v>
      </c>
      <c r="C82" s="95" t="str">
        <f>VLOOKUP($F82,Admin!$D$11:$F$19,2,FALSE)</f>
        <v>Kísérleti fejlesztés</v>
      </c>
      <c r="D82" s="138" t="s">
        <v>123</v>
      </c>
      <c r="E82" s="95" t="str">
        <f>VLOOKUP($F82,Admin!$D$11:$F$19,3,FALSE)</f>
        <v>54. Bérköltség - Kutató-fejlesztő munkatárs</v>
      </c>
      <c r="F82" s="139" t="s">
        <v>213</v>
      </c>
      <c r="G82" s="100" t="s">
        <v>180</v>
      </c>
      <c r="H82" s="100" t="s">
        <v>141</v>
      </c>
      <c r="I82" s="139" t="str">
        <f>VLOOKUP($F82,Admin!$D$11:$G$19,4,FALSE)</f>
        <v>K+F munkatárs</v>
      </c>
      <c r="J82" s="100" t="s">
        <v>44</v>
      </c>
      <c r="K82" s="95" t="str">
        <f t="shared" ref="K82:K198" si="65">J82</f>
        <v>2022.02</v>
      </c>
      <c r="L82" s="101" t="s">
        <v>6</v>
      </c>
      <c r="M82" s="96" t="s">
        <v>70</v>
      </c>
      <c r="N82" s="102">
        <v>1111000</v>
      </c>
      <c r="O82" s="97">
        <f t="shared" ref="O82:O198" si="66">ROUND(N82*V82,0)</f>
        <v>144430</v>
      </c>
      <c r="P82" s="104">
        <v>174</v>
      </c>
      <c r="Q82" s="104">
        <v>55</v>
      </c>
      <c r="R82" s="215">
        <f t="shared" si="62"/>
        <v>0.31609195402298851</v>
      </c>
      <c r="S82" s="105">
        <f t="shared" si="63"/>
        <v>351178</v>
      </c>
      <c r="T82" s="98">
        <f t="shared" ref="T82:T198" si="67">ROUND(S82*V82,0)</f>
        <v>45653</v>
      </c>
      <c r="U82" s="70">
        <f t="shared" si="64"/>
        <v>1.4484207039311414E-7</v>
      </c>
      <c r="V82" s="140">
        <v>0.13</v>
      </c>
      <c r="W82" s="209"/>
      <c r="X82" s="17">
        <v>44599</v>
      </c>
      <c r="Y82" s="12" t="s">
        <v>66</v>
      </c>
      <c r="Z82" s="12"/>
      <c r="AA82" s="12"/>
      <c r="AB82" s="3">
        <v>1</v>
      </c>
    </row>
    <row r="83" spans="1:31" s="3" customFormat="1" ht="14.45" customHeight="1" x14ac:dyDescent="0.25">
      <c r="A83" s="141">
        <v>3</v>
      </c>
      <c r="B83" s="99" t="s">
        <v>183</v>
      </c>
      <c r="C83" s="95" t="str">
        <f>VLOOKUP($F83,Admin!$D$11:$F$19,2,FALSE)</f>
        <v>Kísérleti fejlesztés</v>
      </c>
      <c r="D83" s="138" t="s">
        <v>123</v>
      </c>
      <c r="E83" s="95" t="str">
        <f>VLOOKUP($F83,Admin!$D$11:$F$19,3,FALSE)</f>
        <v>54. Bérköltség - Kutató-fejlesztő munkatárs</v>
      </c>
      <c r="F83" s="139" t="s">
        <v>213</v>
      </c>
      <c r="G83" s="100" t="s">
        <v>180</v>
      </c>
      <c r="H83" s="100" t="s">
        <v>141</v>
      </c>
      <c r="I83" s="139" t="str">
        <f>VLOOKUP($F83,Admin!$D$11:$G$19,4,FALSE)</f>
        <v>K+F munkatárs</v>
      </c>
      <c r="J83" s="100" t="s">
        <v>45</v>
      </c>
      <c r="K83" s="95" t="str">
        <f t="shared" si="65"/>
        <v>2022.03</v>
      </c>
      <c r="L83" s="101" t="s">
        <v>6</v>
      </c>
      <c r="M83" s="96" t="s">
        <v>70</v>
      </c>
      <c r="N83" s="102">
        <v>1111000</v>
      </c>
      <c r="O83" s="97">
        <f t="shared" si="66"/>
        <v>144430</v>
      </c>
      <c r="P83" s="104">
        <v>174</v>
      </c>
      <c r="Q83" s="104">
        <v>55</v>
      </c>
      <c r="R83" s="215">
        <f t="shared" si="62"/>
        <v>0.31609195402298851</v>
      </c>
      <c r="S83" s="105">
        <f t="shared" si="63"/>
        <v>351178</v>
      </c>
      <c r="T83" s="98">
        <f t="shared" si="67"/>
        <v>45653</v>
      </c>
      <c r="U83" s="70">
        <f t="shared" si="64"/>
        <v>1.4484207039311414E-7</v>
      </c>
      <c r="V83" s="140">
        <v>0.13</v>
      </c>
      <c r="W83" s="209"/>
      <c r="X83" s="17">
        <v>44599</v>
      </c>
      <c r="Y83" s="12" t="s">
        <v>66</v>
      </c>
      <c r="Z83" s="12"/>
      <c r="AA83" s="12"/>
      <c r="AB83" s="3">
        <v>1</v>
      </c>
    </row>
    <row r="84" spans="1:31" s="3" customFormat="1" ht="14.45" customHeight="1" x14ac:dyDescent="0.25">
      <c r="A84" s="141">
        <v>3</v>
      </c>
      <c r="B84" s="99" t="s">
        <v>183</v>
      </c>
      <c r="C84" s="95" t="str">
        <f>VLOOKUP($F84,Admin!$D$11:$F$19,2,FALSE)</f>
        <v>Kísérleti fejlesztés</v>
      </c>
      <c r="D84" s="138" t="s">
        <v>123</v>
      </c>
      <c r="E84" s="95" t="str">
        <f>VLOOKUP($F84,Admin!$D$11:$F$19,3,FALSE)</f>
        <v>54. Bérköltség - Kutató-fejlesztő munkatárs</v>
      </c>
      <c r="F84" s="139" t="s">
        <v>213</v>
      </c>
      <c r="G84" s="100" t="s">
        <v>180</v>
      </c>
      <c r="H84" s="100" t="s">
        <v>141</v>
      </c>
      <c r="I84" s="139" t="str">
        <f>VLOOKUP($F84,Admin!$D$11:$G$19,4,FALSE)</f>
        <v>K+F munkatárs</v>
      </c>
      <c r="J84" s="100" t="s">
        <v>46</v>
      </c>
      <c r="K84" s="95" t="str">
        <f t="shared" ref="K84:K88" si="68">J84</f>
        <v>2022.04</v>
      </c>
      <c r="L84" s="101" t="s">
        <v>6</v>
      </c>
      <c r="M84" s="96" t="s">
        <v>70</v>
      </c>
      <c r="N84" s="102">
        <v>900000</v>
      </c>
      <c r="O84" s="97">
        <f t="shared" ref="O84" si="69">ROUND(N84*V84,0)</f>
        <v>117000</v>
      </c>
      <c r="P84" s="104">
        <v>174</v>
      </c>
      <c r="Q84" s="104">
        <v>47</v>
      </c>
      <c r="R84" s="215">
        <f t="shared" ref="R84" si="70">Q84/P84</f>
        <v>0.27011494252873564</v>
      </c>
      <c r="S84" s="105">
        <f t="shared" ref="S84" si="71">ROUND(N84*Q84/P84,0)</f>
        <v>243103</v>
      </c>
      <c r="T84" s="98">
        <f t="shared" ref="T84" si="72">ROUND(S84*V84,0)</f>
        <v>31603</v>
      </c>
      <c r="U84" s="70">
        <f t="shared" ref="U84" si="73">Q84/P84-S84/N84</f>
        <v>4.980842912005734E-7</v>
      </c>
      <c r="V84" s="140">
        <v>0.13</v>
      </c>
      <c r="W84" s="209"/>
      <c r="X84" s="17">
        <v>44649</v>
      </c>
      <c r="Y84" s="12" t="s">
        <v>66</v>
      </c>
      <c r="Z84" s="12"/>
      <c r="AA84" s="12"/>
      <c r="AB84" s="3">
        <v>1</v>
      </c>
    </row>
    <row r="85" spans="1:31" s="3" customFormat="1" ht="14.45" customHeight="1" x14ac:dyDescent="0.25">
      <c r="A85" s="141">
        <v>3</v>
      </c>
      <c r="B85" s="99" t="s">
        <v>183</v>
      </c>
      <c r="C85" s="95" t="str">
        <f>VLOOKUP($F85,Admin!$D$11:$F$19,2,FALSE)</f>
        <v>Kísérleti fejlesztés</v>
      </c>
      <c r="D85" s="138" t="s">
        <v>123</v>
      </c>
      <c r="E85" s="95" t="str">
        <f>VLOOKUP($F85,Admin!$D$11:$F$19,3,FALSE)</f>
        <v>54. Bérköltség - Kutató-fejlesztő munkatárs</v>
      </c>
      <c r="F85" s="139" t="s">
        <v>213</v>
      </c>
      <c r="G85" s="100" t="s">
        <v>180</v>
      </c>
      <c r="H85" s="100" t="s">
        <v>141</v>
      </c>
      <c r="I85" s="139" t="str">
        <f>VLOOKUP($F85,Admin!$D$11:$G$19,4,FALSE)</f>
        <v>K+F munkatárs</v>
      </c>
      <c r="J85" s="100" t="s">
        <v>47</v>
      </c>
      <c r="K85" s="95" t="str">
        <f t="shared" si="68"/>
        <v>2022.05</v>
      </c>
      <c r="L85" s="101" t="s">
        <v>6</v>
      </c>
      <c r="M85" s="96" t="s">
        <v>70</v>
      </c>
      <c r="N85" s="102">
        <v>900000</v>
      </c>
      <c r="O85" s="97">
        <f t="shared" ref="O85:O87" si="74">ROUND(N85*V85,0)</f>
        <v>117000</v>
      </c>
      <c r="P85" s="104">
        <v>174</v>
      </c>
      <c r="Q85" s="104">
        <v>47</v>
      </c>
      <c r="R85" s="215">
        <f t="shared" ref="R85:R87" si="75">Q85/P85</f>
        <v>0.27011494252873564</v>
      </c>
      <c r="S85" s="105">
        <f t="shared" ref="S85:S87" si="76">ROUND(N85*Q85/P85,0)</f>
        <v>243103</v>
      </c>
      <c r="T85" s="98">
        <f t="shared" ref="T85:T87" si="77">ROUND(S85*V85,0)</f>
        <v>31603</v>
      </c>
      <c r="U85" s="70">
        <f t="shared" ref="U85:U87" si="78">Q85/P85-S85/N85</f>
        <v>4.980842912005734E-7</v>
      </c>
      <c r="V85" s="140">
        <v>0.13</v>
      </c>
      <c r="W85" s="209"/>
      <c r="X85" s="17">
        <v>44649</v>
      </c>
      <c r="Y85" s="12" t="s">
        <v>66</v>
      </c>
      <c r="Z85" s="12"/>
      <c r="AA85" s="12"/>
      <c r="AB85" s="3">
        <v>1</v>
      </c>
    </row>
    <row r="86" spans="1:31" s="3" customFormat="1" ht="14.45" customHeight="1" x14ac:dyDescent="0.25">
      <c r="A86" s="141">
        <v>3</v>
      </c>
      <c r="B86" s="99" t="s">
        <v>183</v>
      </c>
      <c r="C86" s="95" t="str">
        <f>VLOOKUP($F86,Admin!$D$11:$F$19,2,FALSE)</f>
        <v>Kísérleti fejlesztés</v>
      </c>
      <c r="D86" s="138" t="s">
        <v>123</v>
      </c>
      <c r="E86" s="95" t="str">
        <f>VLOOKUP($F86,Admin!$D$11:$F$19,3,FALSE)</f>
        <v>54. Bérköltség - Kutató-fejlesztő munkatárs</v>
      </c>
      <c r="F86" s="139" t="s">
        <v>213</v>
      </c>
      <c r="G86" s="100" t="s">
        <v>180</v>
      </c>
      <c r="H86" s="100" t="s">
        <v>141</v>
      </c>
      <c r="I86" s="139" t="str">
        <f>VLOOKUP($F86,Admin!$D$11:$G$19,4,FALSE)</f>
        <v>K+F munkatárs</v>
      </c>
      <c r="J86" s="100" t="s">
        <v>48</v>
      </c>
      <c r="K86" s="95" t="str">
        <f t="shared" si="68"/>
        <v>2022.06</v>
      </c>
      <c r="L86" s="101" t="s">
        <v>6</v>
      </c>
      <c r="M86" s="96" t="s">
        <v>70</v>
      </c>
      <c r="N86" s="102">
        <v>899999</v>
      </c>
      <c r="O86" s="97">
        <f t="shared" si="74"/>
        <v>117000</v>
      </c>
      <c r="P86" s="104">
        <v>174</v>
      </c>
      <c r="Q86" s="104">
        <v>47</v>
      </c>
      <c r="R86" s="215">
        <f t="shared" si="75"/>
        <v>0.27011494252873564</v>
      </c>
      <c r="S86" s="105">
        <f t="shared" si="76"/>
        <v>243103</v>
      </c>
      <c r="T86" s="98">
        <f t="shared" si="77"/>
        <v>31603</v>
      </c>
      <c r="U86" s="70">
        <f t="shared" si="78"/>
        <v>1.9795679723211279E-7</v>
      </c>
      <c r="V86" s="140">
        <v>0.13</v>
      </c>
      <c r="W86" s="209"/>
      <c r="X86" s="17">
        <v>44649</v>
      </c>
      <c r="Y86" s="12" t="s">
        <v>66</v>
      </c>
      <c r="Z86" s="12"/>
      <c r="AA86" s="12"/>
      <c r="AB86" s="3">
        <v>1</v>
      </c>
    </row>
    <row r="87" spans="1:31" s="3" customFormat="1" ht="14.45" customHeight="1" x14ac:dyDescent="0.25">
      <c r="A87" s="141">
        <v>3</v>
      </c>
      <c r="B87" s="99" t="s">
        <v>183</v>
      </c>
      <c r="C87" s="95" t="str">
        <f>VLOOKUP($F87,Admin!$D$11:$F$19,2,FALSE)</f>
        <v>Kísérleti fejlesztés</v>
      </c>
      <c r="D87" s="138" t="s">
        <v>123</v>
      </c>
      <c r="E87" s="95" t="str">
        <f>VLOOKUP($F87,Admin!$D$11:$F$19,3,FALSE)</f>
        <v>54. Bérköltség - Kutató-fejlesztő munkatárs</v>
      </c>
      <c r="F87" s="139" t="s">
        <v>213</v>
      </c>
      <c r="G87" s="100" t="s">
        <v>180</v>
      </c>
      <c r="H87" s="100" t="s">
        <v>141</v>
      </c>
      <c r="I87" s="139" t="str">
        <f>VLOOKUP($F87,Admin!$D$11:$G$19,4,FALSE)</f>
        <v>K+F munkatárs</v>
      </c>
      <c r="J87" s="100" t="s">
        <v>49</v>
      </c>
      <c r="K87" s="95" t="str">
        <f t="shared" si="68"/>
        <v>2022.07</v>
      </c>
      <c r="L87" s="101" t="s">
        <v>6</v>
      </c>
      <c r="M87" s="96" t="s">
        <v>70</v>
      </c>
      <c r="N87" s="102">
        <v>450000</v>
      </c>
      <c r="O87" s="97">
        <f t="shared" si="74"/>
        <v>58500</v>
      </c>
      <c r="P87" s="104">
        <v>87</v>
      </c>
      <c r="Q87" s="104">
        <v>51</v>
      </c>
      <c r="R87" s="215">
        <f t="shared" si="75"/>
        <v>0.58620689655172409</v>
      </c>
      <c r="S87" s="105">
        <f t="shared" si="76"/>
        <v>263793</v>
      </c>
      <c r="T87" s="98">
        <f t="shared" si="77"/>
        <v>34293</v>
      </c>
      <c r="U87" s="70">
        <f t="shared" si="78"/>
        <v>2.2988505743448684E-7</v>
      </c>
      <c r="V87" s="140">
        <v>0.13</v>
      </c>
      <c r="W87" s="209"/>
      <c r="X87" s="17">
        <v>44742</v>
      </c>
      <c r="Y87" s="12" t="s">
        <v>66</v>
      </c>
      <c r="Z87" s="12"/>
      <c r="AA87" s="12"/>
      <c r="AB87" s="3">
        <v>1</v>
      </c>
    </row>
    <row r="88" spans="1:31" s="3" customFormat="1" ht="14.45" customHeight="1" x14ac:dyDescent="0.25">
      <c r="A88" s="141">
        <v>3</v>
      </c>
      <c r="B88" s="99" t="s">
        <v>183</v>
      </c>
      <c r="C88" s="95" t="str">
        <f>VLOOKUP($F88,Admin!$D$11:$F$19,2,FALSE)</f>
        <v>Kísérleti fejlesztés</v>
      </c>
      <c r="D88" s="138" t="s">
        <v>123</v>
      </c>
      <c r="E88" s="95" t="str">
        <f>VLOOKUP($F88,Admin!$D$11:$F$19,3,FALSE)</f>
        <v>54. Bérköltség - Kutató-fejlesztő munkatárs</v>
      </c>
      <c r="F88" s="139" t="s">
        <v>213</v>
      </c>
      <c r="G88" s="100" t="s">
        <v>180</v>
      </c>
      <c r="H88" s="100" t="s">
        <v>141</v>
      </c>
      <c r="I88" s="139" t="str">
        <f>VLOOKUP($F88,Admin!$D$11:$G$19,4,FALSE)</f>
        <v>K+F munkatárs</v>
      </c>
      <c r="J88" s="100" t="s">
        <v>50</v>
      </c>
      <c r="K88" s="95" t="str">
        <f t="shared" si="68"/>
        <v>2022.08</v>
      </c>
      <c r="L88" s="101" t="s">
        <v>6</v>
      </c>
      <c r="M88" s="96" t="s">
        <v>70</v>
      </c>
      <c r="N88" s="102">
        <v>450000</v>
      </c>
      <c r="O88" s="97">
        <f t="shared" ref="O88" si="79">ROUND(N88*V88,0)</f>
        <v>58500</v>
      </c>
      <c r="P88" s="104">
        <v>87</v>
      </c>
      <c r="Q88" s="104">
        <v>51</v>
      </c>
      <c r="R88" s="215">
        <f t="shared" ref="R88" si="80">Q88/P88</f>
        <v>0.58620689655172409</v>
      </c>
      <c r="S88" s="105">
        <f t="shared" ref="S88" si="81">ROUND(N88*Q88/P88,0)</f>
        <v>263793</v>
      </c>
      <c r="T88" s="98">
        <f t="shared" ref="T88" si="82">ROUND(S88*V88,0)</f>
        <v>34293</v>
      </c>
      <c r="U88" s="70">
        <f t="shared" ref="U88" si="83">Q88/P88-S88/N88</f>
        <v>2.2988505743448684E-7</v>
      </c>
      <c r="V88" s="140">
        <v>0.13</v>
      </c>
      <c r="W88" s="209"/>
      <c r="X88" s="17">
        <v>44742</v>
      </c>
      <c r="Y88" s="12" t="s">
        <v>66</v>
      </c>
      <c r="Z88" s="12"/>
      <c r="AA88" s="12"/>
      <c r="AB88" s="3">
        <v>1</v>
      </c>
    </row>
    <row r="89" spans="1:31" s="3" customFormat="1" ht="14.45" customHeight="1" x14ac:dyDescent="0.25">
      <c r="A89" s="141">
        <v>3</v>
      </c>
      <c r="B89" s="99" t="s">
        <v>183</v>
      </c>
      <c r="C89" s="95" t="str">
        <f>VLOOKUP($F89,Admin!$D$11:$F$19,2,FALSE)</f>
        <v>Kísérleti fejlesztés</v>
      </c>
      <c r="D89" s="138" t="s">
        <v>123</v>
      </c>
      <c r="E89" s="95" t="str">
        <f>VLOOKUP($F89,Admin!$D$11:$F$19,3,FALSE)</f>
        <v>54. Bérköltség - Kutató-fejlesztő munkatárs</v>
      </c>
      <c r="F89" s="139" t="s">
        <v>213</v>
      </c>
      <c r="G89" s="100" t="s">
        <v>180</v>
      </c>
      <c r="H89" s="100" t="s">
        <v>141</v>
      </c>
      <c r="I89" s="139" t="str">
        <f>VLOOKUP($F89,Admin!$D$11:$G$19,4,FALSE)</f>
        <v>K+F munkatárs</v>
      </c>
      <c r="J89" s="100" t="s">
        <v>51</v>
      </c>
      <c r="K89" s="95" t="str">
        <f t="shared" ref="K89:K99" si="84">J89</f>
        <v>2022.09</v>
      </c>
      <c r="L89" s="101" t="s">
        <v>6</v>
      </c>
      <c r="M89" s="96" t="s">
        <v>70</v>
      </c>
      <c r="N89" s="102">
        <v>450000</v>
      </c>
      <c r="O89" s="97">
        <f t="shared" ref="O89" si="85">ROUND(N89*V89,0)</f>
        <v>58500</v>
      </c>
      <c r="P89" s="104">
        <v>87</v>
      </c>
      <c r="Q89" s="104">
        <v>51</v>
      </c>
      <c r="R89" s="215">
        <f t="shared" ref="R89" si="86">Q89/P89</f>
        <v>0.58620689655172409</v>
      </c>
      <c r="S89" s="105">
        <f t="shared" ref="S89" si="87">ROUND(N89*Q89/P89,0)</f>
        <v>263793</v>
      </c>
      <c r="T89" s="98">
        <f t="shared" ref="T89" si="88">ROUND(S89*V89,0)</f>
        <v>34293</v>
      </c>
      <c r="U89" s="70">
        <f t="shared" ref="U89" si="89">Q89/P89-S89/N89</f>
        <v>2.2988505743448684E-7</v>
      </c>
      <c r="V89" s="140">
        <v>0.13</v>
      </c>
      <c r="W89" s="209"/>
      <c r="X89" s="17">
        <v>44789</v>
      </c>
      <c r="Y89" s="12" t="s">
        <v>66</v>
      </c>
      <c r="Z89" s="12"/>
      <c r="AA89" s="12"/>
      <c r="AB89" s="3">
        <v>1</v>
      </c>
    </row>
    <row r="90" spans="1:31" s="3" customFormat="1" ht="14.45" customHeight="1" x14ac:dyDescent="0.25">
      <c r="A90" s="141">
        <v>3</v>
      </c>
      <c r="B90" s="99" t="s">
        <v>183</v>
      </c>
      <c r="C90" s="95" t="str">
        <f>VLOOKUP($F90,Admin!$D$11:$F$19,2,FALSE)</f>
        <v>Kísérleti fejlesztés</v>
      </c>
      <c r="D90" s="138" t="s">
        <v>123</v>
      </c>
      <c r="E90" s="95" t="str">
        <f>VLOOKUP($F90,Admin!$D$11:$F$19,3,FALSE)</f>
        <v>54. Bérköltség - Kutató-fejlesztő munkatárs</v>
      </c>
      <c r="F90" s="139" t="s">
        <v>213</v>
      </c>
      <c r="G90" s="100" t="s">
        <v>180</v>
      </c>
      <c r="H90" s="100" t="s">
        <v>141</v>
      </c>
      <c r="I90" s="139" t="str">
        <f>VLOOKUP($F90,Admin!$D$11:$G$19,4,FALSE)</f>
        <v>K+F munkatárs</v>
      </c>
      <c r="J90" s="100" t="s">
        <v>52</v>
      </c>
      <c r="K90" s="95" t="str">
        <f t="shared" si="84"/>
        <v>2022.10</v>
      </c>
      <c r="L90" s="101" t="s">
        <v>6</v>
      </c>
      <c r="M90" s="96" t="s">
        <v>70</v>
      </c>
      <c r="N90" s="102">
        <v>450000</v>
      </c>
      <c r="O90" s="97">
        <f t="shared" ref="O90:O97" si="90">ROUND(N90*V90,0)</f>
        <v>58500</v>
      </c>
      <c r="P90" s="104">
        <v>87</v>
      </c>
      <c r="Q90" s="104">
        <v>51</v>
      </c>
      <c r="R90" s="215">
        <f t="shared" ref="R90:R97" si="91">Q90/P90</f>
        <v>0.58620689655172409</v>
      </c>
      <c r="S90" s="105">
        <f t="shared" ref="S90:S97" si="92">ROUND(N90*Q90/P90,0)</f>
        <v>263793</v>
      </c>
      <c r="T90" s="98">
        <f t="shared" ref="T90:T97" si="93">ROUND(S90*V90,0)</f>
        <v>34293</v>
      </c>
      <c r="U90" s="70">
        <f t="shared" ref="U90:U97" si="94">Q90/P90-S90/N90</f>
        <v>2.2988505743448684E-7</v>
      </c>
      <c r="V90" s="140">
        <v>0.13</v>
      </c>
      <c r="W90" s="209"/>
      <c r="X90" s="17">
        <v>44789</v>
      </c>
      <c r="Y90" s="12" t="s">
        <v>66</v>
      </c>
      <c r="Z90" s="12"/>
      <c r="AA90" s="12"/>
      <c r="AB90" s="3">
        <v>1</v>
      </c>
    </row>
    <row r="91" spans="1:31" s="3" customFormat="1" ht="14.45" customHeight="1" x14ac:dyDescent="0.25">
      <c r="A91" s="141">
        <v>3</v>
      </c>
      <c r="B91" s="99" t="s">
        <v>183</v>
      </c>
      <c r="C91" s="95" t="str">
        <f>VLOOKUP($F91,Admin!$D$11:$F$19,2,FALSE)</f>
        <v>Kísérleti fejlesztés</v>
      </c>
      <c r="D91" s="138" t="s">
        <v>123</v>
      </c>
      <c r="E91" s="95" t="str">
        <f>VLOOKUP($F91,Admin!$D$11:$F$19,3,FALSE)</f>
        <v>54. Bérköltség - Kutató-fejlesztő munkatárs</v>
      </c>
      <c r="F91" s="139" t="s">
        <v>213</v>
      </c>
      <c r="G91" s="100" t="s">
        <v>180</v>
      </c>
      <c r="H91" s="100" t="s">
        <v>141</v>
      </c>
      <c r="I91" s="139" t="str">
        <f>VLOOKUP($F91,Admin!$D$11:$G$19,4,FALSE)</f>
        <v>K+F munkatárs</v>
      </c>
      <c r="J91" s="100" t="s">
        <v>53</v>
      </c>
      <c r="K91" s="95" t="str">
        <f t="shared" si="84"/>
        <v>2022.11</v>
      </c>
      <c r="L91" s="101" t="s">
        <v>6</v>
      </c>
      <c r="M91" s="96" t="s">
        <v>70</v>
      </c>
      <c r="N91" s="102">
        <v>505999</v>
      </c>
      <c r="O91" s="97">
        <f t="shared" si="90"/>
        <v>65780</v>
      </c>
      <c r="P91" s="104">
        <v>87</v>
      </c>
      <c r="Q91" s="104">
        <v>46</v>
      </c>
      <c r="R91" s="215">
        <f t="shared" si="91"/>
        <v>0.52873563218390807</v>
      </c>
      <c r="S91" s="105">
        <f t="shared" si="92"/>
        <v>267540</v>
      </c>
      <c r="T91" s="98">
        <f t="shared" si="93"/>
        <v>34780</v>
      </c>
      <c r="U91" s="70">
        <f t="shared" si="94"/>
        <v>-5.9061495116807805E-7</v>
      </c>
      <c r="V91" s="140">
        <v>0.13</v>
      </c>
      <c r="W91" s="209" t="s">
        <v>267</v>
      </c>
      <c r="X91" s="17">
        <v>44854</v>
      </c>
      <c r="Y91" s="12" t="s">
        <v>66</v>
      </c>
      <c r="Z91" s="12"/>
      <c r="AA91" s="12"/>
      <c r="AB91" s="3">
        <v>1</v>
      </c>
    </row>
    <row r="92" spans="1:31" s="3" customFormat="1" ht="14.45" customHeight="1" x14ac:dyDescent="0.25">
      <c r="A92" s="141">
        <v>3</v>
      </c>
      <c r="B92" s="99" t="s">
        <v>183</v>
      </c>
      <c r="C92" s="95" t="str">
        <f>VLOOKUP($F92,Admin!$D$11:$F$19,2,FALSE)</f>
        <v>Kísérleti fejlesztés</v>
      </c>
      <c r="D92" s="138" t="s">
        <v>123</v>
      </c>
      <c r="E92" s="95" t="str">
        <f>VLOOKUP($F92,Admin!$D$11:$F$19,3,FALSE)</f>
        <v>54. Bérköltség - Kutató-fejlesztő munkatárs</v>
      </c>
      <c r="F92" s="139" t="s">
        <v>213</v>
      </c>
      <c r="G92" s="100" t="s">
        <v>180</v>
      </c>
      <c r="H92" s="100" t="s">
        <v>141</v>
      </c>
      <c r="I92" s="139" t="str">
        <f>VLOOKUP($F92,Admin!$D$11:$G$19,4,FALSE)</f>
        <v>K+F munkatárs</v>
      </c>
      <c r="J92" s="100" t="s">
        <v>54</v>
      </c>
      <c r="K92" s="95" t="str">
        <f t="shared" ref="K92" si="95">J92</f>
        <v>2022.12</v>
      </c>
      <c r="L92" s="101" t="s">
        <v>6</v>
      </c>
      <c r="M92" s="96" t="s">
        <v>70</v>
      </c>
      <c r="N92" s="102">
        <v>506000</v>
      </c>
      <c r="O92" s="97">
        <f t="shared" ref="O92" si="96">ROUND(N92*V92,0)</f>
        <v>65780</v>
      </c>
      <c r="P92" s="104">
        <v>87</v>
      </c>
      <c r="Q92" s="104">
        <v>46</v>
      </c>
      <c r="R92" s="215">
        <f t="shared" ref="R92" si="97">Q92/P92</f>
        <v>0.52873563218390807</v>
      </c>
      <c r="S92" s="105">
        <f t="shared" ref="S92" si="98">ROUND(N92*Q92/P92,0)</f>
        <v>267540</v>
      </c>
      <c r="T92" s="98">
        <f t="shared" ref="T92" si="99">ROUND(S92*V92,0)</f>
        <v>34780</v>
      </c>
      <c r="U92" s="70">
        <f t="shared" ref="U92" si="100">Q92/P92-S92/N92</f>
        <v>4.5431829542863511E-7</v>
      </c>
      <c r="V92" s="140">
        <v>0.13</v>
      </c>
      <c r="W92" s="209" t="s">
        <v>267</v>
      </c>
      <c r="X92" s="17">
        <v>44886</v>
      </c>
      <c r="Y92" s="12" t="s">
        <v>66</v>
      </c>
      <c r="Z92" s="12"/>
      <c r="AA92" s="12"/>
      <c r="AB92" s="3">
        <v>1</v>
      </c>
      <c r="AC92" s="204" t="s">
        <v>315</v>
      </c>
      <c r="AD92" s="204" t="s">
        <v>315</v>
      </c>
      <c r="AE92" s="204" t="s">
        <v>315</v>
      </c>
    </row>
    <row r="93" spans="1:31" s="3" customFormat="1" ht="14.45" customHeight="1" x14ac:dyDescent="0.25">
      <c r="A93" s="141">
        <v>3</v>
      </c>
      <c r="B93" s="99" t="s">
        <v>183</v>
      </c>
      <c r="C93" s="95" t="str">
        <f>VLOOKUP($F93,Admin!$D$11:$F$19,2,FALSE)</f>
        <v>Kísérleti fejlesztés</v>
      </c>
      <c r="D93" s="138" t="s">
        <v>123</v>
      </c>
      <c r="E93" s="95" t="str">
        <f>VLOOKUP($F93,Admin!$D$11:$F$19,3,FALSE)</f>
        <v>54. Bérköltség - Kutató-fejlesztő munkatárs</v>
      </c>
      <c r="F93" s="139" t="s">
        <v>213</v>
      </c>
      <c r="G93" s="100" t="s">
        <v>180</v>
      </c>
      <c r="H93" s="100" t="s">
        <v>141</v>
      </c>
      <c r="I93" s="139" t="str">
        <f>VLOOKUP($F93,Admin!$D$11:$G$19,4,FALSE)</f>
        <v>K+F munkatárs</v>
      </c>
      <c r="J93" s="100" t="s">
        <v>257</v>
      </c>
      <c r="K93" s="95" t="str">
        <f t="shared" ref="K93" si="101">J93</f>
        <v>2023.01</v>
      </c>
      <c r="L93" s="101" t="s">
        <v>6</v>
      </c>
      <c r="M93" s="96" t="s">
        <v>70</v>
      </c>
      <c r="N93" s="102">
        <v>477000</v>
      </c>
      <c r="O93" s="97">
        <f t="shared" ref="O93" si="102">ROUND(N93*V93,0)</f>
        <v>62010</v>
      </c>
      <c r="P93" s="104">
        <v>87</v>
      </c>
      <c r="Q93" s="104">
        <v>48</v>
      </c>
      <c r="R93" s="215">
        <f t="shared" ref="R93" si="103">Q93/P93</f>
        <v>0.55172413793103448</v>
      </c>
      <c r="S93" s="105">
        <f t="shared" ref="S93" si="104">ROUND(N93*Q93/P93,0)</f>
        <v>263172</v>
      </c>
      <c r="T93" s="98">
        <f t="shared" ref="T93" si="105">ROUND(S93*V93,0)</f>
        <v>34212</v>
      </c>
      <c r="U93" s="70">
        <f t="shared" ref="U93" si="106">Q93/P93-S93/N93</f>
        <v>8.6749078287429171E-7</v>
      </c>
      <c r="V93" s="140">
        <v>0.13</v>
      </c>
      <c r="W93" s="209" t="s">
        <v>267</v>
      </c>
      <c r="X93" s="17">
        <v>44932</v>
      </c>
      <c r="Y93" s="12" t="s">
        <v>66</v>
      </c>
      <c r="Z93" s="12"/>
      <c r="AA93" s="12"/>
      <c r="AB93" s="3">
        <v>1</v>
      </c>
      <c r="AC93" s="204" t="s">
        <v>315</v>
      </c>
      <c r="AD93" s="216">
        <v>0</v>
      </c>
      <c r="AE93" s="216">
        <v>0</v>
      </c>
    </row>
    <row r="94" spans="1:31" s="3" customFormat="1" ht="14.45" customHeight="1" x14ac:dyDescent="0.25">
      <c r="A94" s="141"/>
      <c r="B94" s="99" t="s">
        <v>183</v>
      </c>
      <c r="C94" s="95" t="str">
        <f>VLOOKUP($F94,Admin!$D$11:$F$19,2,FALSE)</f>
        <v>Kísérleti fejlesztés</v>
      </c>
      <c r="D94" s="138" t="s">
        <v>123</v>
      </c>
      <c r="E94" s="95" t="str">
        <f>VLOOKUP($F94,Admin!$D$11:$F$19,3,FALSE)</f>
        <v>54. Bérköltség - Kutató-fejlesztő munkatárs</v>
      </c>
      <c r="F94" s="139" t="s">
        <v>213</v>
      </c>
      <c r="G94" s="100" t="s">
        <v>180</v>
      </c>
      <c r="H94" s="100" t="s">
        <v>141</v>
      </c>
      <c r="I94" s="139" t="str">
        <f>VLOOKUP($F94,Admin!$D$11:$G$19,4,FALSE)</f>
        <v>K+F munkatárs</v>
      </c>
      <c r="J94" s="100" t="s">
        <v>295</v>
      </c>
      <c r="K94" s="95" t="str">
        <f t="shared" ref="K94:K96" si="107">J94</f>
        <v>2023.02</v>
      </c>
      <c r="L94" s="101" t="s">
        <v>6</v>
      </c>
      <c r="M94" s="96" t="s">
        <v>70</v>
      </c>
      <c r="N94" s="102">
        <v>477000</v>
      </c>
      <c r="O94" s="97">
        <f t="shared" ref="O94" si="108">ROUND(N94*V94,0)</f>
        <v>62010</v>
      </c>
      <c r="P94" s="104">
        <v>87</v>
      </c>
      <c r="Q94" s="104">
        <v>48</v>
      </c>
      <c r="R94" s="215">
        <f t="shared" ref="R94" si="109">Q94/P94</f>
        <v>0.55172413793103448</v>
      </c>
      <c r="S94" s="105">
        <f t="shared" ref="S94" si="110">ROUND(N94*Q94/P94,0)</f>
        <v>263172</v>
      </c>
      <c r="T94" s="98">
        <f t="shared" ref="T94" si="111">ROUND(S94*V94,0)</f>
        <v>34212</v>
      </c>
      <c r="U94" s="70">
        <f t="shared" ref="U94" si="112">Q94/P94-S94/N94</f>
        <v>8.6749078287429171E-7</v>
      </c>
      <c r="V94" s="140">
        <v>0.13</v>
      </c>
      <c r="W94" s="209" t="s">
        <v>267</v>
      </c>
      <c r="X94" s="17">
        <v>44953</v>
      </c>
      <c r="Y94" s="12" t="s">
        <v>66</v>
      </c>
      <c r="Z94" s="12"/>
      <c r="AA94" s="12"/>
      <c r="AB94" s="3">
        <v>1</v>
      </c>
      <c r="AC94" s="3" t="s">
        <v>315</v>
      </c>
      <c r="AD94" s="3">
        <v>0</v>
      </c>
      <c r="AE94" s="3">
        <v>0</v>
      </c>
    </row>
    <row r="95" spans="1:31" s="3" customFormat="1" ht="14.45" customHeight="1" x14ac:dyDescent="0.25">
      <c r="A95" s="141"/>
      <c r="B95" s="99" t="s">
        <v>183</v>
      </c>
      <c r="C95" s="95" t="str">
        <f>VLOOKUP($F95,Admin!$D$11:$F$19,2,FALSE)</f>
        <v>Kísérleti fejlesztés</v>
      </c>
      <c r="D95" s="138" t="s">
        <v>123</v>
      </c>
      <c r="E95" s="95" t="str">
        <f>VLOOKUP($F95,Admin!$D$11:$F$19,3,FALSE)</f>
        <v>54. Bérköltség - Kutató-fejlesztő munkatárs</v>
      </c>
      <c r="F95" s="139" t="s">
        <v>213</v>
      </c>
      <c r="G95" s="100" t="s">
        <v>180</v>
      </c>
      <c r="H95" s="100" t="s">
        <v>141</v>
      </c>
      <c r="I95" s="139" t="str">
        <f>VLOOKUP($F95,Admin!$D$11:$G$19,4,FALSE)</f>
        <v>K+F munkatárs</v>
      </c>
      <c r="J95" s="100" t="s">
        <v>296</v>
      </c>
      <c r="K95" s="95" t="str">
        <f t="shared" si="107"/>
        <v>2023.03</v>
      </c>
      <c r="L95" s="101" t="s">
        <v>6</v>
      </c>
      <c r="M95" s="96" t="s">
        <v>70</v>
      </c>
      <c r="N95" s="102">
        <v>477000</v>
      </c>
      <c r="O95" s="97">
        <f t="shared" ref="O95:O96" si="113">ROUND(N95*V95,0)</f>
        <v>62010</v>
      </c>
      <c r="P95" s="104">
        <v>87</v>
      </c>
      <c r="Q95" s="104">
        <v>48</v>
      </c>
      <c r="R95" s="215">
        <f t="shared" ref="R95:R96" si="114">Q95/P95</f>
        <v>0.55172413793103448</v>
      </c>
      <c r="S95" s="105">
        <f t="shared" ref="S95:S96" si="115">ROUND(N95*Q95/P95,0)</f>
        <v>263172</v>
      </c>
      <c r="T95" s="98">
        <f t="shared" ref="T95:T96" si="116">ROUND(S95*V95,0)</f>
        <v>34212</v>
      </c>
      <c r="U95" s="70">
        <f t="shared" ref="U95:U96" si="117">Q95/P95-S95/N95</f>
        <v>8.6749078287429171E-7</v>
      </c>
      <c r="V95" s="140">
        <v>0.13</v>
      </c>
      <c r="W95" s="209" t="s">
        <v>267</v>
      </c>
      <c r="X95" s="17">
        <v>44953</v>
      </c>
      <c r="Y95" s="12" t="s">
        <v>66</v>
      </c>
      <c r="Z95" s="12"/>
      <c r="AA95" s="12"/>
      <c r="AB95" s="3">
        <v>1</v>
      </c>
      <c r="AC95" s="3" t="s">
        <v>315</v>
      </c>
      <c r="AD95" s="3">
        <v>0</v>
      </c>
      <c r="AE95" s="3">
        <v>0</v>
      </c>
    </row>
    <row r="96" spans="1:31" s="3" customFormat="1" ht="14.45" customHeight="1" x14ac:dyDescent="0.25">
      <c r="A96" s="141"/>
      <c r="B96" s="99" t="s">
        <v>183</v>
      </c>
      <c r="C96" s="95" t="str">
        <f>VLOOKUP($F96,Admin!$D$11:$F$19,2,FALSE)</f>
        <v>Kísérleti fejlesztés</v>
      </c>
      <c r="D96" s="138" t="s">
        <v>123</v>
      </c>
      <c r="E96" s="95" t="str">
        <f>VLOOKUP($F96,Admin!$D$11:$F$19,3,FALSE)</f>
        <v>54. Bérköltség - Kutató-fejlesztő munkatárs</v>
      </c>
      <c r="F96" s="139" t="s">
        <v>213</v>
      </c>
      <c r="G96" s="100" t="s">
        <v>180</v>
      </c>
      <c r="H96" s="100" t="s">
        <v>141</v>
      </c>
      <c r="I96" s="139" t="str">
        <f>VLOOKUP($F96,Admin!$D$11:$G$19,4,FALSE)</f>
        <v>K+F munkatárs</v>
      </c>
      <c r="J96" s="100" t="s">
        <v>297</v>
      </c>
      <c r="K96" s="95" t="str">
        <f t="shared" si="107"/>
        <v>2023.04</v>
      </c>
      <c r="L96" s="101" t="s">
        <v>7</v>
      </c>
      <c r="M96" s="96" t="s">
        <v>70</v>
      </c>
      <c r="N96" s="102">
        <v>477000</v>
      </c>
      <c r="O96" s="97">
        <f t="shared" si="113"/>
        <v>62010</v>
      </c>
      <c r="P96" s="104">
        <v>87</v>
      </c>
      <c r="Q96" s="104">
        <v>48</v>
      </c>
      <c r="R96" s="215">
        <f t="shared" si="114"/>
        <v>0.55172413793103448</v>
      </c>
      <c r="S96" s="105">
        <f t="shared" si="115"/>
        <v>263172</v>
      </c>
      <c r="T96" s="98">
        <f t="shared" si="116"/>
        <v>34212</v>
      </c>
      <c r="U96" s="70">
        <f t="shared" si="117"/>
        <v>8.6749078287429171E-7</v>
      </c>
      <c r="V96" s="140">
        <v>0.13</v>
      </c>
      <c r="W96" s="209" t="s">
        <v>267</v>
      </c>
      <c r="X96" s="17">
        <v>44953</v>
      </c>
      <c r="Y96" s="12" t="s">
        <v>66</v>
      </c>
      <c r="Z96" s="12"/>
      <c r="AA96" s="12"/>
    </row>
    <row r="97" spans="1:31" s="3" customFormat="1" ht="14.45" customHeight="1" x14ac:dyDescent="0.25">
      <c r="A97" s="141">
        <v>3</v>
      </c>
      <c r="B97" s="99" t="s">
        <v>251</v>
      </c>
      <c r="C97" s="95" t="str">
        <f>VLOOKUP($F97,Admin!$D$11:$F$19,2,FALSE)</f>
        <v>Kísérleti fejlesztés</v>
      </c>
      <c r="D97" s="138" t="s">
        <v>123</v>
      </c>
      <c r="E97" s="95" t="str">
        <f>VLOOKUP($F97,Admin!$D$11:$F$19,3,FALSE)</f>
        <v>54. Bérköltség - technikus segédszemélyzet</v>
      </c>
      <c r="F97" s="139" t="s">
        <v>215</v>
      </c>
      <c r="G97" s="100" t="s">
        <v>180</v>
      </c>
      <c r="H97" s="100" t="s">
        <v>142</v>
      </c>
      <c r="I97" s="139" t="str">
        <f>VLOOKUP($F97,Admin!$D$11:$G$19,4,FALSE)</f>
        <v>Technikus</v>
      </c>
      <c r="J97" s="100" t="s">
        <v>51</v>
      </c>
      <c r="K97" s="95" t="str">
        <f t="shared" si="84"/>
        <v>2022.09</v>
      </c>
      <c r="L97" s="101" t="s">
        <v>6</v>
      </c>
      <c r="M97" s="96" t="s">
        <v>70</v>
      </c>
      <c r="N97" s="102">
        <v>406000</v>
      </c>
      <c r="O97" s="97">
        <f t="shared" si="90"/>
        <v>52780</v>
      </c>
      <c r="P97" s="104">
        <v>174</v>
      </c>
      <c r="Q97" s="104">
        <v>95</v>
      </c>
      <c r="R97" s="215">
        <f t="shared" si="91"/>
        <v>0.54597701149425293</v>
      </c>
      <c r="S97" s="105">
        <f t="shared" si="92"/>
        <v>221667</v>
      </c>
      <c r="T97" s="98">
        <f t="shared" si="93"/>
        <v>28817</v>
      </c>
      <c r="U97" s="70">
        <f t="shared" si="94"/>
        <v>-8.2101806231360541E-7</v>
      </c>
      <c r="V97" s="140">
        <v>0.13</v>
      </c>
      <c r="W97" s="209"/>
      <c r="X97" s="17">
        <v>44791</v>
      </c>
      <c r="Y97" s="12" t="s">
        <v>66</v>
      </c>
      <c r="Z97" s="12"/>
      <c r="AA97" s="12"/>
      <c r="AB97" s="3">
        <v>1</v>
      </c>
    </row>
    <row r="98" spans="1:31" s="3" customFormat="1" ht="14.45" customHeight="1" x14ac:dyDescent="0.25">
      <c r="A98" s="141">
        <v>3</v>
      </c>
      <c r="B98" s="99" t="s">
        <v>251</v>
      </c>
      <c r="C98" s="95" t="str">
        <f>VLOOKUP($F98,Admin!$D$11:$F$19,2,FALSE)</f>
        <v>Kísérleti fejlesztés</v>
      </c>
      <c r="D98" s="138" t="s">
        <v>123</v>
      </c>
      <c r="E98" s="95" t="str">
        <f>VLOOKUP($F98,Admin!$D$11:$F$19,3,FALSE)</f>
        <v>54. Bérköltség - technikus segédszemélyzet</v>
      </c>
      <c r="F98" s="139" t="s">
        <v>215</v>
      </c>
      <c r="G98" s="100" t="s">
        <v>180</v>
      </c>
      <c r="H98" s="100" t="s">
        <v>142</v>
      </c>
      <c r="I98" s="139" t="str">
        <f>VLOOKUP($F98,Admin!$D$11:$G$19,4,FALSE)</f>
        <v>Technikus</v>
      </c>
      <c r="J98" s="100" t="s">
        <v>52</v>
      </c>
      <c r="K98" s="95" t="str">
        <f t="shared" si="84"/>
        <v>2022.10</v>
      </c>
      <c r="L98" s="101" t="s">
        <v>6</v>
      </c>
      <c r="M98" s="96" t="s">
        <v>70</v>
      </c>
      <c r="N98" s="102">
        <v>405999</v>
      </c>
      <c r="O98" s="97">
        <f t="shared" ref="O98:O99" si="118">ROUND(N98*V98,0)</f>
        <v>52780</v>
      </c>
      <c r="P98" s="104">
        <v>174</v>
      </c>
      <c r="Q98" s="104">
        <v>95</v>
      </c>
      <c r="R98" s="215">
        <f t="shared" ref="R98:R99" si="119">Q98/P98</f>
        <v>0.54597701149425293</v>
      </c>
      <c r="S98" s="105">
        <f t="shared" ref="S98:S99" si="120">ROUND(N98*Q98/P98,0)</f>
        <v>221666</v>
      </c>
      <c r="T98" s="98">
        <f t="shared" ref="T98:T99" si="121">ROUND(S98*V98,0)</f>
        <v>28817</v>
      </c>
      <c r="U98" s="70">
        <f t="shared" ref="U98:U99" si="122">Q98/P98-S98/N98</f>
        <v>2.9726589279022164E-7</v>
      </c>
      <c r="V98" s="140">
        <v>0.13</v>
      </c>
      <c r="W98" s="209"/>
      <c r="X98" s="17">
        <v>44791</v>
      </c>
      <c r="Y98" s="12" t="s">
        <v>66</v>
      </c>
      <c r="Z98" s="12"/>
      <c r="AA98" s="12"/>
      <c r="AB98" s="3">
        <v>1</v>
      </c>
    </row>
    <row r="99" spans="1:31" s="3" customFormat="1" ht="14.45" customHeight="1" x14ac:dyDescent="0.25">
      <c r="A99" s="141">
        <v>3</v>
      </c>
      <c r="B99" s="99" t="s">
        <v>251</v>
      </c>
      <c r="C99" s="95" t="str">
        <f>VLOOKUP($F99,Admin!$D$11:$F$19,2,FALSE)</f>
        <v>Kísérleti fejlesztés</v>
      </c>
      <c r="D99" s="138" t="s">
        <v>123</v>
      </c>
      <c r="E99" s="95" t="str">
        <f>VLOOKUP($F99,Admin!$D$11:$F$19,3,FALSE)</f>
        <v>54. Bérköltség - technikus segédszemélyzet</v>
      </c>
      <c r="F99" s="139" t="s">
        <v>215</v>
      </c>
      <c r="G99" s="100" t="s">
        <v>180</v>
      </c>
      <c r="H99" s="100" t="s">
        <v>142</v>
      </c>
      <c r="I99" s="139" t="str">
        <f>VLOOKUP($F99,Admin!$D$11:$G$19,4,FALSE)</f>
        <v>Technikus</v>
      </c>
      <c r="J99" s="100" t="s">
        <v>53</v>
      </c>
      <c r="K99" s="95" t="str">
        <f t="shared" si="84"/>
        <v>2022.11</v>
      </c>
      <c r="L99" s="101" t="s">
        <v>6</v>
      </c>
      <c r="M99" s="96" t="s">
        <v>70</v>
      </c>
      <c r="N99" s="102">
        <v>406000</v>
      </c>
      <c r="O99" s="97">
        <f t="shared" si="118"/>
        <v>52780</v>
      </c>
      <c r="P99" s="104">
        <v>174</v>
      </c>
      <c r="Q99" s="104">
        <v>95</v>
      </c>
      <c r="R99" s="215">
        <f t="shared" si="119"/>
        <v>0.54597701149425293</v>
      </c>
      <c r="S99" s="105">
        <f t="shared" si="120"/>
        <v>221667</v>
      </c>
      <c r="T99" s="98">
        <f t="shared" si="121"/>
        <v>28817</v>
      </c>
      <c r="U99" s="70">
        <f t="shared" si="122"/>
        <v>-8.2101806231360541E-7</v>
      </c>
      <c r="V99" s="140">
        <v>0.13</v>
      </c>
      <c r="W99" s="209" t="s">
        <v>291</v>
      </c>
      <c r="X99" s="17">
        <v>44791</v>
      </c>
      <c r="Y99" s="12" t="s">
        <v>66</v>
      </c>
      <c r="Z99" s="12"/>
      <c r="AA99" s="12"/>
      <c r="AB99" s="3">
        <v>1</v>
      </c>
    </row>
    <row r="100" spans="1:31" s="3" customFormat="1" ht="14.45" customHeight="1" x14ac:dyDescent="0.25">
      <c r="A100" s="141">
        <v>3</v>
      </c>
      <c r="B100" s="99" t="s">
        <v>251</v>
      </c>
      <c r="C100" s="95" t="str">
        <f>VLOOKUP($F100,Admin!$D$11:$F$19,2,FALSE)</f>
        <v>Kísérleti fejlesztés</v>
      </c>
      <c r="D100" s="138" t="s">
        <v>123</v>
      </c>
      <c r="E100" s="95" t="str">
        <f>VLOOKUP($F100,Admin!$D$11:$F$19,3,FALSE)</f>
        <v>54. Bérköltség - technikus segédszemélyzet</v>
      </c>
      <c r="F100" s="139" t="s">
        <v>215</v>
      </c>
      <c r="G100" s="100" t="s">
        <v>180</v>
      </c>
      <c r="H100" s="100" t="s">
        <v>142</v>
      </c>
      <c r="I100" s="139" t="str">
        <f>VLOOKUP($F100,Admin!$D$11:$G$19,4,FALSE)</f>
        <v>Technikus</v>
      </c>
      <c r="J100" s="100" t="s">
        <v>54</v>
      </c>
      <c r="K100" s="95" t="str">
        <f t="shared" ref="K100:K101" si="123">J100</f>
        <v>2022.12</v>
      </c>
      <c r="L100" s="101" t="s">
        <v>6</v>
      </c>
      <c r="M100" s="96" t="s">
        <v>70</v>
      </c>
      <c r="N100" s="102">
        <v>406000</v>
      </c>
      <c r="O100" s="97">
        <f t="shared" ref="O100" si="124">ROUND(N100*V100,0)</f>
        <v>52780</v>
      </c>
      <c r="P100" s="104">
        <v>174</v>
      </c>
      <c r="Q100" s="104">
        <v>95</v>
      </c>
      <c r="R100" s="215">
        <f t="shared" ref="R100" si="125">Q100/P100</f>
        <v>0.54597701149425293</v>
      </c>
      <c r="S100" s="105">
        <f t="shared" ref="S100" si="126">ROUND(N100*Q100/P100,0)</f>
        <v>221667</v>
      </c>
      <c r="T100" s="98">
        <f t="shared" ref="T100" si="127">ROUND(S100*V100,0)</f>
        <v>28817</v>
      </c>
      <c r="U100" s="70">
        <f t="shared" ref="U100" si="128">Q100/P100-S100/N100</f>
        <v>-8.2101806231360541E-7</v>
      </c>
      <c r="V100" s="140">
        <v>0.13</v>
      </c>
      <c r="W100" s="209" t="s">
        <v>291</v>
      </c>
      <c r="X100" s="17">
        <v>44888</v>
      </c>
      <c r="Y100" s="12" t="s">
        <v>66</v>
      </c>
      <c r="Z100" s="12"/>
      <c r="AA100" s="12"/>
      <c r="AB100" s="3">
        <v>1</v>
      </c>
      <c r="AC100" s="204" t="s">
        <v>315</v>
      </c>
      <c r="AD100" s="204" t="s">
        <v>315</v>
      </c>
      <c r="AE100" s="204" t="s">
        <v>315</v>
      </c>
    </row>
    <row r="101" spans="1:31" s="3" customFormat="1" ht="14.45" customHeight="1" x14ac:dyDescent="0.25">
      <c r="A101" s="141">
        <v>3</v>
      </c>
      <c r="B101" s="99" t="s">
        <v>251</v>
      </c>
      <c r="C101" s="95" t="str">
        <f>VLOOKUP($F101,Admin!$D$11:$F$19,2,FALSE)</f>
        <v>Kísérleti fejlesztés</v>
      </c>
      <c r="D101" s="138" t="s">
        <v>123</v>
      </c>
      <c r="E101" s="95" t="str">
        <f>VLOOKUP($F101,Admin!$D$11:$F$19,3,FALSE)</f>
        <v>54. Bérköltség - technikus segédszemélyzet</v>
      </c>
      <c r="F101" s="139" t="s">
        <v>215</v>
      </c>
      <c r="G101" s="100" t="s">
        <v>180</v>
      </c>
      <c r="H101" s="100" t="s">
        <v>142</v>
      </c>
      <c r="I101" s="139" t="str">
        <f>VLOOKUP($F101,Admin!$D$11:$G$19,4,FALSE)</f>
        <v>Technikus</v>
      </c>
      <c r="J101" s="100" t="s">
        <v>257</v>
      </c>
      <c r="K101" s="95" t="str">
        <f t="shared" si="123"/>
        <v>2023.01</v>
      </c>
      <c r="L101" s="101" t="s">
        <v>6</v>
      </c>
      <c r="M101" s="96" t="s">
        <v>70</v>
      </c>
      <c r="N101" s="102">
        <v>466900</v>
      </c>
      <c r="O101" s="97">
        <f t="shared" ref="O101" si="129">ROUND(N101*V101,0)</f>
        <v>60697</v>
      </c>
      <c r="P101" s="104">
        <v>174</v>
      </c>
      <c r="Q101" s="104">
        <v>83</v>
      </c>
      <c r="R101" s="215">
        <f t="shared" ref="R101" si="130">Q101/P101</f>
        <v>0.47701149425287354</v>
      </c>
      <c r="S101" s="105">
        <f t="shared" ref="S101" si="131">ROUND(N101*Q101/P101,0)</f>
        <v>222717</v>
      </c>
      <c r="T101" s="98">
        <f t="shared" ref="T101" si="132">ROUND(S101*V101,0)</f>
        <v>28953</v>
      </c>
      <c r="U101" s="70">
        <f t="shared" ref="U101" si="133">Q101/P101-S101/N101</f>
        <v>-7.1392874995135358E-7</v>
      </c>
      <c r="V101" s="140">
        <v>0.13</v>
      </c>
      <c r="W101" s="209" t="s">
        <v>291</v>
      </c>
      <c r="X101" s="17">
        <v>44942</v>
      </c>
      <c r="Y101" s="12" t="s">
        <v>66</v>
      </c>
      <c r="Z101" s="12"/>
      <c r="AA101" s="12"/>
      <c r="AB101" s="3">
        <v>1</v>
      </c>
      <c r="AC101" s="204" t="s">
        <v>315</v>
      </c>
      <c r="AD101" s="216">
        <v>0</v>
      </c>
      <c r="AE101" s="216">
        <v>0</v>
      </c>
    </row>
    <row r="102" spans="1:31" s="3" customFormat="1" ht="14.45" customHeight="1" x14ac:dyDescent="0.25">
      <c r="A102" s="141"/>
      <c r="B102" s="99" t="s">
        <v>251</v>
      </c>
      <c r="C102" s="95" t="str">
        <f>VLOOKUP($F102,Admin!$D$11:$F$19,2,FALSE)</f>
        <v>Kísérleti fejlesztés</v>
      </c>
      <c r="D102" s="138" t="s">
        <v>123</v>
      </c>
      <c r="E102" s="95" t="str">
        <f>VLOOKUP($F102,Admin!$D$11:$F$19,3,FALSE)</f>
        <v>54. Bérköltség - technikus segédszemélyzet</v>
      </c>
      <c r="F102" s="139" t="s">
        <v>215</v>
      </c>
      <c r="G102" s="100" t="s">
        <v>180</v>
      </c>
      <c r="H102" s="100" t="s">
        <v>142</v>
      </c>
      <c r="I102" s="139" t="str">
        <f>VLOOKUP($F102,Admin!$D$11:$G$19,4,FALSE)</f>
        <v>Technikus</v>
      </c>
      <c r="J102" s="100" t="s">
        <v>295</v>
      </c>
      <c r="K102" s="95" t="str">
        <f t="shared" ref="K102:K104" si="134">J102</f>
        <v>2023.02</v>
      </c>
      <c r="L102" s="101" t="s">
        <v>6</v>
      </c>
      <c r="M102" s="96" t="s">
        <v>70</v>
      </c>
      <c r="N102" s="102">
        <v>466900</v>
      </c>
      <c r="O102" s="97">
        <f t="shared" ref="O102" si="135">ROUND(N102*V102,0)</f>
        <v>60697</v>
      </c>
      <c r="P102" s="104">
        <v>174</v>
      </c>
      <c r="Q102" s="104">
        <v>101</v>
      </c>
      <c r="R102" s="215">
        <f t="shared" ref="R102" si="136">Q102/P102</f>
        <v>0.58045977011494254</v>
      </c>
      <c r="S102" s="105">
        <f t="shared" ref="S102" si="137">ROUND(N102*Q102/P102,0)</f>
        <v>271017</v>
      </c>
      <c r="T102" s="98">
        <f t="shared" ref="T102" si="138">ROUND(S102*V102,0)</f>
        <v>35232</v>
      </c>
      <c r="U102" s="70">
        <f t="shared" ref="U102" si="139">Q102/P102-S102/N102</f>
        <v>-7.1392874989584243E-7</v>
      </c>
      <c r="V102" s="140">
        <v>0.13</v>
      </c>
      <c r="W102" s="209" t="s">
        <v>291</v>
      </c>
      <c r="X102" s="17">
        <v>44953</v>
      </c>
      <c r="Y102" s="12" t="s">
        <v>66</v>
      </c>
      <c r="Z102" s="12"/>
      <c r="AA102" s="12"/>
      <c r="AB102" s="3">
        <v>1</v>
      </c>
      <c r="AC102" s="3" t="s">
        <v>315</v>
      </c>
      <c r="AD102" s="3">
        <v>0</v>
      </c>
      <c r="AE102" s="3">
        <v>0</v>
      </c>
    </row>
    <row r="103" spans="1:31" s="3" customFormat="1" ht="14.45" customHeight="1" x14ac:dyDescent="0.25">
      <c r="A103" s="141"/>
      <c r="B103" s="99" t="s">
        <v>251</v>
      </c>
      <c r="C103" s="95" t="str">
        <f>VLOOKUP($F103,Admin!$D$11:$F$19,2,FALSE)</f>
        <v>Kísérleti fejlesztés</v>
      </c>
      <c r="D103" s="138" t="s">
        <v>123</v>
      </c>
      <c r="E103" s="95" t="str">
        <f>VLOOKUP($F103,Admin!$D$11:$F$19,3,FALSE)</f>
        <v>54. Bérköltség - technikus segédszemélyzet</v>
      </c>
      <c r="F103" s="139" t="s">
        <v>215</v>
      </c>
      <c r="G103" s="100" t="s">
        <v>180</v>
      </c>
      <c r="H103" s="100" t="s">
        <v>142</v>
      </c>
      <c r="I103" s="139" t="str">
        <f>VLOOKUP($F103,Admin!$D$11:$G$19,4,FALSE)</f>
        <v>Technikus</v>
      </c>
      <c r="J103" s="100" t="s">
        <v>296</v>
      </c>
      <c r="K103" s="95" t="str">
        <f t="shared" si="134"/>
        <v>2023.03</v>
      </c>
      <c r="L103" s="101" t="s">
        <v>6</v>
      </c>
      <c r="M103" s="96" t="s">
        <v>70</v>
      </c>
      <c r="N103" s="102">
        <v>466900</v>
      </c>
      <c r="O103" s="97">
        <f t="shared" ref="O103:O104" si="140">ROUND(N103*V103,0)</f>
        <v>60697</v>
      </c>
      <c r="P103" s="104">
        <v>174</v>
      </c>
      <c r="Q103" s="104">
        <v>101</v>
      </c>
      <c r="R103" s="215">
        <f t="shared" ref="R103:R104" si="141">Q103/P103</f>
        <v>0.58045977011494254</v>
      </c>
      <c r="S103" s="105">
        <f t="shared" ref="S103:S104" si="142">ROUND(N103*Q103/P103,0)</f>
        <v>271017</v>
      </c>
      <c r="T103" s="98">
        <f t="shared" ref="T103:T104" si="143">ROUND(S103*V103,0)</f>
        <v>35232</v>
      </c>
      <c r="U103" s="70">
        <f t="shared" ref="U103:U104" si="144">Q103/P103-S103/N103</f>
        <v>-7.1392874989584243E-7</v>
      </c>
      <c r="V103" s="140">
        <v>0.13</v>
      </c>
      <c r="W103" s="209" t="s">
        <v>291</v>
      </c>
      <c r="X103" s="17">
        <v>44953</v>
      </c>
      <c r="Y103" s="12" t="s">
        <v>66</v>
      </c>
      <c r="Z103" s="12"/>
      <c r="AA103" s="12"/>
      <c r="AB103" s="3">
        <v>1</v>
      </c>
      <c r="AC103" s="3" t="s">
        <v>315</v>
      </c>
      <c r="AD103" s="3">
        <v>0</v>
      </c>
      <c r="AE103" s="3">
        <v>0</v>
      </c>
    </row>
    <row r="104" spans="1:31" s="3" customFormat="1" ht="14.45" customHeight="1" x14ac:dyDescent="0.25">
      <c r="A104" s="141"/>
      <c r="B104" s="99" t="s">
        <v>251</v>
      </c>
      <c r="C104" s="95" t="str">
        <f>VLOOKUP($F104,Admin!$D$11:$F$19,2,FALSE)</f>
        <v>Kísérleti fejlesztés</v>
      </c>
      <c r="D104" s="138" t="s">
        <v>123</v>
      </c>
      <c r="E104" s="95" t="str">
        <f>VLOOKUP($F104,Admin!$D$11:$F$19,3,FALSE)</f>
        <v>54. Bérköltség - technikus segédszemélyzet</v>
      </c>
      <c r="F104" s="139" t="s">
        <v>215</v>
      </c>
      <c r="G104" s="100" t="s">
        <v>180</v>
      </c>
      <c r="H104" s="100" t="s">
        <v>142</v>
      </c>
      <c r="I104" s="139" t="str">
        <f>VLOOKUP($F104,Admin!$D$11:$G$19,4,FALSE)</f>
        <v>Technikus</v>
      </c>
      <c r="J104" s="100" t="s">
        <v>297</v>
      </c>
      <c r="K104" s="95" t="str">
        <f t="shared" si="134"/>
        <v>2023.04</v>
      </c>
      <c r="L104" s="101" t="s">
        <v>7</v>
      </c>
      <c r="M104" s="96" t="s">
        <v>70</v>
      </c>
      <c r="N104" s="102">
        <v>466900</v>
      </c>
      <c r="O104" s="97">
        <f t="shared" si="140"/>
        <v>60697</v>
      </c>
      <c r="P104" s="104">
        <v>174</v>
      </c>
      <c r="Q104" s="104">
        <v>101</v>
      </c>
      <c r="R104" s="215">
        <f t="shared" si="141"/>
        <v>0.58045977011494254</v>
      </c>
      <c r="S104" s="105">
        <f t="shared" si="142"/>
        <v>271017</v>
      </c>
      <c r="T104" s="98">
        <f t="shared" si="143"/>
        <v>35232</v>
      </c>
      <c r="U104" s="70">
        <f t="shared" si="144"/>
        <v>-7.1392874989584243E-7</v>
      </c>
      <c r="V104" s="140">
        <v>0.13</v>
      </c>
      <c r="W104" s="209" t="s">
        <v>291</v>
      </c>
      <c r="X104" s="17">
        <v>44953</v>
      </c>
      <c r="Y104" s="12" t="s">
        <v>66</v>
      </c>
      <c r="Z104" s="12"/>
      <c r="AA104" s="12"/>
    </row>
    <row r="105" spans="1:31" s="3" customFormat="1" ht="14.45" customHeight="1" x14ac:dyDescent="0.25">
      <c r="A105" s="141">
        <v>3</v>
      </c>
      <c r="B105" s="99" t="s">
        <v>238</v>
      </c>
      <c r="C105" s="95" t="str">
        <f>VLOOKUP($F105,Admin!$D$11:$F$19,2,FALSE)</f>
        <v>Kísérleti fejlesztés</v>
      </c>
      <c r="D105" s="138" t="s">
        <v>123</v>
      </c>
      <c r="E105" s="95" t="str">
        <f>VLOOKUP($F105,Admin!$D$11:$F$19,3,FALSE)</f>
        <v>54. Bérköltség - technikus segédszemélyzet</v>
      </c>
      <c r="F105" s="139" t="s">
        <v>215</v>
      </c>
      <c r="G105" s="100" t="s">
        <v>179</v>
      </c>
      <c r="H105" s="100" t="s">
        <v>231</v>
      </c>
      <c r="I105" s="139" t="str">
        <f>VLOOKUP($F105,Admin!$D$11:$G$19,4,FALSE)</f>
        <v>Technikus</v>
      </c>
      <c r="J105" s="190">
        <v>44655</v>
      </c>
      <c r="K105" s="190">
        <v>44681</v>
      </c>
      <c r="L105" s="101" t="s">
        <v>6</v>
      </c>
      <c r="M105" s="96" t="s">
        <v>70</v>
      </c>
      <c r="N105" s="102">
        <v>426316</v>
      </c>
      <c r="O105" s="97">
        <f t="shared" ref="O105" si="145">ROUND(N105*V105,0)</f>
        <v>55421</v>
      </c>
      <c r="P105" s="104">
        <v>174</v>
      </c>
      <c r="Q105" s="104">
        <v>129</v>
      </c>
      <c r="R105" s="215">
        <f t="shared" ref="R105" si="146">Q105/P105</f>
        <v>0.74137931034482762</v>
      </c>
      <c r="S105" s="105">
        <f t="shared" ref="S105" si="147">ROUND(N105*Q105/P105,0)</f>
        <v>316062</v>
      </c>
      <c r="T105" s="98">
        <f t="shared" ref="T105" si="148">ROUND(S105*V105,0)</f>
        <v>41088</v>
      </c>
      <c r="U105" s="70">
        <f t="shared" ref="U105" si="149">Q105/P105-S105/N105</f>
        <v>-3.2354177292859276E-7</v>
      </c>
      <c r="V105" s="140">
        <v>0.13</v>
      </c>
      <c r="W105" s="209"/>
      <c r="X105" s="17">
        <v>44642</v>
      </c>
      <c r="Y105" s="12" t="s">
        <v>66</v>
      </c>
      <c r="Z105" s="12"/>
      <c r="AA105" s="12"/>
      <c r="AB105" s="3">
        <v>1</v>
      </c>
    </row>
    <row r="106" spans="1:31" s="3" customFormat="1" ht="14.45" customHeight="1" x14ac:dyDescent="0.25">
      <c r="A106" s="141">
        <v>3</v>
      </c>
      <c r="B106" s="99" t="s">
        <v>238</v>
      </c>
      <c r="C106" s="95" t="str">
        <f>VLOOKUP($F106,Admin!$D$11:$F$19,2,FALSE)</f>
        <v>Kísérleti fejlesztés</v>
      </c>
      <c r="D106" s="138" t="s">
        <v>123</v>
      </c>
      <c r="E106" s="95" t="str">
        <f>VLOOKUP($F106,Admin!$D$11:$F$19,3,FALSE)</f>
        <v>54. Bérköltség - technikus segédszemélyzet</v>
      </c>
      <c r="F106" s="139" t="s">
        <v>215</v>
      </c>
      <c r="G106" s="100" t="s">
        <v>179</v>
      </c>
      <c r="H106" s="100" t="s">
        <v>231</v>
      </c>
      <c r="I106" s="139" t="str">
        <f>VLOOKUP($F106,Admin!$D$11:$G$19,4,FALSE)</f>
        <v>Technikus</v>
      </c>
      <c r="J106" s="100" t="s">
        <v>47</v>
      </c>
      <c r="K106" s="95" t="str">
        <f t="shared" si="65"/>
        <v>2022.05</v>
      </c>
      <c r="L106" s="101" t="s">
        <v>6</v>
      </c>
      <c r="M106" s="96" t="s">
        <v>70</v>
      </c>
      <c r="N106" s="102">
        <v>450000</v>
      </c>
      <c r="O106" s="97">
        <f t="shared" ref="O106:O109" si="150">ROUND(N106*V106,0)</f>
        <v>58500</v>
      </c>
      <c r="P106" s="104">
        <v>174</v>
      </c>
      <c r="Q106" s="104">
        <v>129</v>
      </c>
      <c r="R106" s="215">
        <f t="shared" ref="R106:R109" si="151">Q106/P106</f>
        <v>0.74137931034482762</v>
      </c>
      <c r="S106" s="105">
        <f t="shared" ref="S106:S109" si="152">ROUND(N106*Q106/P106,0)</f>
        <v>333621</v>
      </c>
      <c r="T106" s="98">
        <f t="shared" ref="T106:T109" si="153">ROUND(S106*V106,0)</f>
        <v>43371</v>
      </c>
      <c r="U106" s="70">
        <f t="shared" ref="U106:U109" si="154">Q106/P106-S106/N106</f>
        <v>-6.8965517241448282E-7</v>
      </c>
      <c r="V106" s="140">
        <v>0.13</v>
      </c>
      <c r="W106" s="209"/>
      <c r="X106" s="17">
        <v>44642</v>
      </c>
      <c r="Y106" s="12" t="s">
        <v>66</v>
      </c>
      <c r="Z106" s="12"/>
      <c r="AA106" s="12"/>
      <c r="AB106" s="3">
        <v>1</v>
      </c>
    </row>
    <row r="107" spans="1:31" s="3" customFormat="1" ht="14.45" customHeight="1" x14ac:dyDescent="0.25">
      <c r="A107" s="141">
        <v>3</v>
      </c>
      <c r="B107" s="99" t="s">
        <v>238</v>
      </c>
      <c r="C107" s="95" t="str">
        <f>VLOOKUP($F107,Admin!$D$11:$F$19,2,FALSE)</f>
        <v>Kísérleti fejlesztés</v>
      </c>
      <c r="D107" s="138" t="s">
        <v>123</v>
      </c>
      <c r="E107" s="95" t="str">
        <f>VLOOKUP($F107,Admin!$D$11:$F$19,3,FALSE)</f>
        <v>54. Bérköltség - technikus segédszemélyzet</v>
      </c>
      <c r="F107" s="139" t="s">
        <v>215</v>
      </c>
      <c r="G107" s="100" t="s">
        <v>179</v>
      </c>
      <c r="H107" s="100" t="s">
        <v>231</v>
      </c>
      <c r="I107" s="139" t="str">
        <f>VLOOKUP($F107,Admin!$D$11:$G$19,4,FALSE)</f>
        <v>Technikus</v>
      </c>
      <c r="J107" s="100" t="s">
        <v>48</v>
      </c>
      <c r="K107" s="95" t="str">
        <f t="shared" si="65"/>
        <v>2022.06</v>
      </c>
      <c r="L107" s="101" t="s">
        <v>6</v>
      </c>
      <c r="M107" s="96" t="s">
        <v>70</v>
      </c>
      <c r="N107" s="102">
        <v>450000</v>
      </c>
      <c r="O107" s="97">
        <f t="shared" si="150"/>
        <v>58500</v>
      </c>
      <c r="P107" s="104">
        <v>174</v>
      </c>
      <c r="Q107" s="104">
        <v>129</v>
      </c>
      <c r="R107" s="215">
        <f t="shared" si="151"/>
        <v>0.74137931034482762</v>
      </c>
      <c r="S107" s="105">
        <f t="shared" si="152"/>
        <v>333621</v>
      </c>
      <c r="T107" s="98">
        <f t="shared" si="153"/>
        <v>43371</v>
      </c>
      <c r="U107" s="70">
        <f t="shared" si="154"/>
        <v>-6.8965517241448282E-7</v>
      </c>
      <c r="V107" s="140">
        <v>0.13</v>
      </c>
      <c r="W107" s="209"/>
      <c r="X107" s="17">
        <v>44642</v>
      </c>
      <c r="Y107" s="12" t="s">
        <v>66</v>
      </c>
      <c r="Z107" s="12"/>
      <c r="AA107" s="12"/>
      <c r="AB107" s="3">
        <v>1</v>
      </c>
    </row>
    <row r="108" spans="1:31" s="3" customFormat="1" ht="14.45" customHeight="1" x14ac:dyDescent="0.25">
      <c r="A108" s="141">
        <v>3</v>
      </c>
      <c r="B108" s="99" t="s">
        <v>238</v>
      </c>
      <c r="C108" s="95" t="str">
        <f>VLOOKUP($F108,Admin!$D$11:$F$19,2,FALSE)</f>
        <v>Kísérleti fejlesztés</v>
      </c>
      <c r="D108" s="138" t="s">
        <v>123</v>
      </c>
      <c r="E108" s="95" t="str">
        <f>VLOOKUP($F108,Admin!$D$11:$F$19,3,FALSE)</f>
        <v>54. Bérköltség - technikus segédszemélyzet</v>
      </c>
      <c r="F108" s="139" t="s">
        <v>215</v>
      </c>
      <c r="G108" s="100" t="s">
        <v>179</v>
      </c>
      <c r="H108" s="100" t="s">
        <v>231</v>
      </c>
      <c r="I108" s="139" t="str">
        <f>VLOOKUP($F108,Admin!$D$11:$G$19,4,FALSE)</f>
        <v>Technikus</v>
      </c>
      <c r="J108" s="100" t="s">
        <v>49</v>
      </c>
      <c r="K108" s="95" t="str">
        <f t="shared" si="65"/>
        <v>2022.07</v>
      </c>
      <c r="L108" s="101" t="s">
        <v>6</v>
      </c>
      <c r="M108" s="96" t="s">
        <v>70</v>
      </c>
      <c r="N108" s="102">
        <v>450000</v>
      </c>
      <c r="O108" s="97">
        <f t="shared" si="150"/>
        <v>58500</v>
      </c>
      <c r="P108" s="104">
        <v>174</v>
      </c>
      <c r="Q108" s="104">
        <v>129</v>
      </c>
      <c r="R108" s="215">
        <f t="shared" si="151"/>
        <v>0.74137931034482762</v>
      </c>
      <c r="S108" s="105">
        <f t="shared" si="152"/>
        <v>333621</v>
      </c>
      <c r="T108" s="98">
        <f t="shared" si="153"/>
        <v>43371</v>
      </c>
      <c r="U108" s="70">
        <f t="shared" si="154"/>
        <v>-6.8965517241448282E-7</v>
      </c>
      <c r="V108" s="140">
        <v>0.13</v>
      </c>
      <c r="W108" s="209"/>
      <c r="X108" s="17">
        <v>44642</v>
      </c>
      <c r="Y108" s="12" t="s">
        <v>66</v>
      </c>
      <c r="Z108" s="12"/>
      <c r="AA108" s="12"/>
      <c r="AB108" s="3">
        <v>1</v>
      </c>
    </row>
    <row r="109" spans="1:31" s="3" customFormat="1" ht="14.45" customHeight="1" x14ac:dyDescent="0.25">
      <c r="A109" s="141">
        <v>3</v>
      </c>
      <c r="B109" s="99" t="s">
        <v>238</v>
      </c>
      <c r="C109" s="95" t="str">
        <f>VLOOKUP($F109,Admin!$D$11:$F$19,2,FALSE)</f>
        <v>Kísérleti fejlesztés</v>
      </c>
      <c r="D109" s="138" t="s">
        <v>123</v>
      </c>
      <c r="E109" s="95" t="str">
        <f>VLOOKUP($F109,Admin!$D$11:$F$19,3,FALSE)</f>
        <v>54. Bérköltség - technikus segédszemélyzet</v>
      </c>
      <c r="F109" s="139" t="s">
        <v>215</v>
      </c>
      <c r="G109" s="100" t="s">
        <v>179</v>
      </c>
      <c r="H109" s="100" t="s">
        <v>231</v>
      </c>
      <c r="I109" s="139" t="str">
        <f>VLOOKUP($F109,Admin!$D$11:$G$19,4,FALSE)</f>
        <v>Technikus</v>
      </c>
      <c r="J109" s="100" t="s">
        <v>50</v>
      </c>
      <c r="K109" s="95" t="str">
        <f t="shared" si="65"/>
        <v>2022.08</v>
      </c>
      <c r="L109" s="101" t="s">
        <v>6</v>
      </c>
      <c r="M109" s="96" t="s">
        <v>70</v>
      </c>
      <c r="N109" s="102">
        <v>488521</v>
      </c>
      <c r="O109" s="97">
        <f t="shared" si="150"/>
        <v>63508</v>
      </c>
      <c r="P109" s="104">
        <v>174</v>
      </c>
      <c r="Q109" s="104">
        <v>109</v>
      </c>
      <c r="R109" s="215">
        <f t="shared" si="151"/>
        <v>0.62643678160919536</v>
      </c>
      <c r="S109" s="105">
        <f t="shared" si="152"/>
        <v>306028</v>
      </c>
      <c r="T109" s="98">
        <f t="shared" si="153"/>
        <v>39784</v>
      </c>
      <c r="U109" s="70">
        <f t="shared" si="154"/>
        <v>-9.7644010033093309E-7</v>
      </c>
      <c r="V109" s="140">
        <v>0.13</v>
      </c>
      <c r="W109" s="209"/>
      <c r="X109" s="17">
        <v>44768</v>
      </c>
      <c r="Y109" s="12" t="s">
        <v>66</v>
      </c>
      <c r="Z109" s="12"/>
      <c r="AA109" s="12"/>
      <c r="AB109" s="3">
        <v>1</v>
      </c>
    </row>
    <row r="110" spans="1:31" s="3" customFormat="1" ht="14.45" customHeight="1" x14ac:dyDescent="0.25">
      <c r="A110" s="141">
        <v>3</v>
      </c>
      <c r="B110" s="99" t="s">
        <v>238</v>
      </c>
      <c r="C110" s="95" t="str">
        <f>VLOOKUP($F110,Admin!$D$11:$F$19,2,FALSE)</f>
        <v>Kísérleti fejlesztés</v>
      </c>
      <c r="D110" s="138" t="s">
        <v>123</v>
      </c>
      <c r="E110" s="95" t="str">
        <f>VLOOKUP($F110,Admin!$D$11:$F$19,3,FALSE)</f>
        <v>54. Bérköltség - technikus segédszemélyzet</v>
      </c>
      <c r="F110" s="139" t="s">
        <v>215</v>
      </c>
      <c r="G110" s="100" t="s">
        <v>179</v>
      </c>
      <c r="H110" s="100" t="s">
        <v>231</v>
      </c>
      <c r="I110" s="139" t="str">
        <f>VLOOKUP($F110,Admin!$D$11:$G$19,4,FALSE)</f>
        <v>Technikus</v>
      </c>
      <c r="J110" s="100" t="s">
        <v>51</v>
      </c>
      <c r="K110" s="95" t="str">
        <f t="shared" si="65"/>
        <v>2022.09</v>
      </c>
      <c r="L110" s="101" t="s">
        <v>6</v>
      </c>
      <c r="M110" s="96" t="s">
        <v>70</v>
      </c>
      <c r="N110" s="102">
        <v>529999</v>
      </c>
      <c r="O110" s="97">
        <f t="shared" ref="O110" si="155">ROUND(N110*V110,0)</f>
        <v>68900</v>
      </c>
      <c r="P110" s="104">
        <v>174</v>
      </c>
      <c r="Q110" s="104">
        <v>109</v>
      </c>
      <c r="R110" s="215">
        <f t="shared" ref="R110" si="156">Q110/P110</f>
        <v>0.62643678160919536</v>
      </c>
      <c r="S110" s="105">
        <f t="shared" ref="S110" si="157">ROUND(N110*Q110/P110,0)</f>
        <v>332011</v>
      </c>
      <c r="T110" s="98">
        <f t="shared" ref="T110" si="158">ROUND(S110*V110,0)</f>
        <v>43161</v>
      </c>
      <c r="U110" s="70">
        <f t="shared" ref="U110" si="159">Q110/P110-S110/N110</f>
        <v>-2.4940407072904236E-7</v>
      </c>
      <c r="V110" s="140">
        <v>0.13</v>
      </c>
      <c r="W110" s="209"/>
      <c r="X110" s="17">
        <v>44768</v>
      </c>
      <c r="Y110" s="12" t="s">
        <v>66</v>
      </c>
      <c r="Z110" s="12"/>
      <c r="AA110" s="12"/>
      <c r="AB110" s="3">
        <v>1</v>
      </c>
    </row>
    <row r="111" spans="1:31" s="3" customFormat="1" ht="14.45" customHeight="1" x14ac:dyDescent="0.25">
      <c r="A111" s="141">
        <v>3</v>
      </c>
      <c r="B111" s="99" t="s">
        <v>238</v>
      </c>
      <c r="C111" s="95" t="str">
        <f>VLOOKUP($F111,Admin!$D$11:$F$19,2,FALSE)</f>
        <v>Kísérleti fejlesztés</v>
      </c>
      <c r="D111" s="138" t="s">
        <v>123</v>
      </c>
      <c r="E111" s="95" t="str">
        <f>VLOOKUP($F111,Admin!$D$11:$F$19,3,FALSE)</f>
        <v>54. Bérköltség - technikus segédszemélyzet</v>
      </c>
      <c r="F111" s="139" t="s">
        <v>215</v>
      </c>
      <c r="G111" s="100" t="s">
        <v>179</v>
      </c>
      <c r="H111" s="100" t="s">
        <v>231</v>
      </c>
      <c r="I111" s="139" t="str">
        <f>VLOOKUP($F111,Admin!$D$11:$G$19,4,FALSE)</f>
        <v>Technikus</v>
      </c>
      <c r="J111" s="100" t="s">
        <v>52</v>
      </c>
      <c r="K111" s="95" t="str">
        <f t="shared" ref="K111:K112" si="160">J111</f>
        <v>2022.10</v>
      </c>
      <c r="L111" s="101" t="s">
        <v>6</v>
      </c>
      <c r="M111" s="96" t="s">
        <v>70</v>
      </c>
      <c r="N111" s="102">
        <v>530000</v>
      </c>
      <c r="O111" s="97">
        <f t="shared" ref="O111" si="161">ROUND(N111*V111,0)</f>
        <v>68900</v>
      </c>
      <c r="P111" s="104">
        <v>174</v>
      </c>
      <c r="Q111" s="104">
        <v>109</v>
      </c>
      <c r="R111" s="215">
        <f t="shared" ref="R111" si="162">Q111/P111</f>
        <v>0.62643678160919536</v>
      </c>
      <c r="S111" s="105">
        <f t="shared" ref="S111" si="163">ROUND(N111*Q111/P111,0)</f>
        <v>332011</v>
      </c>
      <c r="T111" s="98">
        <f t="shared" ref="T111" si="164">ROUND(S111*V111,0)</f>
        <v>43161</v>
      </c>
      <c r="U111" s="70">
        <f t="shared" ref="U111" si="165">Q111/P111-S111/N111</f>
        <v>9.3255259159263915E-7</v>
      </c>
      <c r="V111" s="140">
        <v>0.13</v>
      </c>
      <c r="W111" s="209"/>
      <c r="X111" s="17">
        <v>44823</v>
      </c>
      <c r="Y111" s="12" t="s">
        <v>66</v>
      </c>
      <c r="Z111" s="12"/>
      <c r="AA111" s="12"/>
      <c r="AB111" s="3">
        <v>1</v>
      </c>
    </row>
    <row r="112" spans="1:31" s="3" customFormat="1" ht="14.45" customHeight="1" x14ac:dyDescent="0.25">
      <c r="A112" s="141">
        <v>3</v>
      </c>
      <c r="B112" s="99" t="s">
        <v>238</v>
      </c>
      <c r="C112" s="95" t="str">
        <f>VLOOKUP($F112,Admin!$D$11:$F$19,2,FALSE)</f>
        <v>Kísérleti fejlesztés</v>
      </c>
      <c r="D112" s="138" t="s">
        <v>123</v>
      </c>
      <c r="E112" s="95" t="str">
        <f>VLOOKUP($F112,Admin!$D$11:$F$19,3,FALSE)</f>
        <v>54. Bérköltség - technikus segédszemélyzet</v>
      </c>
      <c r="F112" s="139" t="s">
        <v>215</v>
      </c>
      <c r="G112" s="100" t="s">
        <v>179</v>
      </c>
      <c r="H112" s="100" t="s">
        <v>231</v>
      </c>
      <c r="I112" s="139" t="str">
        <f>VLOOKUP($F112,Admin!$D$11:$G$19,4,FALSE)</f>
        <v>Technikus</v>
      </c>
      <c r="J112" s="100" t="s">
        <v>53</v>
      </c>
      <c r="K112" s="95" t="str">
        <f t="shared" si="160"/>
        <v>2022.11</v>
      </c>
      <c r="L112" s="101" t="s">
        <v>6</v>
      </c>
      <c r="M112" s="96" t="s">
        <v>70</v>
      </c>
      <c r="N112" s="102">
        <v>530000</v>
      </c>
      <c r="O112" s="97">
        <f t="shared" ref="O112" si="166">ROUND(N112*V112,0)</f>
        <v>68900</v>
      </c>
      <c r="P112" s="104">
        <v>174</v>
      </c>
      <c r="Q112" s="104">
        <v>109</v>
      </c>
      <c r="R112" s="215">
        <f t="shared" ref="R112" si="167">Q112/P112</f>
        <v>0.62643678160919536</v>
      </c>
      <c r="S112" s="105">
        <f t="shared" ref="S112" si="168">ROUND(N112*Q112/P112,0)</f>
        <v>332011</v>
      </c>
      <c r="T112" s="98">
        <f t="shared" ref="T112" si="169">ROUND(S112*V112,0)</f>
        <v>43161</v>
      </c>
      <c r="U112" s="70">
        <f t="shared" ref="U112" si="170">Q112/P112-S112/N112</f>
        <v>9.3255259159263915E-7</v>
      </c>
      <c r="V112" s="140">
        <v>0.13</v>
      </c>
      <c r="W112" s="209" t="s">
        <v>268</v>
      </c>
      <c r="X112" s="17">
        <v>44823</v>
      </c>
      <c r="Y112" s="12" t="s">
        <v>66</v>
      </c>
      <c r="Z112" s="12"/>
      <c r="AA112" s="12"/>
      <c r="AB112" s="3">
        <v>1</v>
      </c>
    </row>
    <row r="113" spans="1:31" s="3" customFormat="1" ht="14.45" customHeight="1" x14ac:dyDescent="0.25">
      <c r="A113" s="141">
        <v>3</v>
      </c>
      <c r="B113" s="99" t="s">
        <v>238</v>
      </c>
      <c r="C113" s="95" t="str">
        <f>VLOOKUP($F113,Admin!$D$11:$F$19,2,FALSE)</f>
        <v>Kísérleti fejlesztés</v>
      </c>
      <c r="D113" s="138" t="s">
        <v>123</v>
      </c>
      <c r="E113" s="95" t="str">
        <f>VLOOKUP($F113,Admin!$D$11:$F$19,3,FALSE)</f>
        <v>54. Bérköltség - technikus segédszemélyzet</v>
      </c>
      <c r="F113" s="139" t="s">
        <v>215</v>
      </c>
      <c r="G113" s="100" t="s">
        <v>179</v>
      </c>
      <c r="H113" s="100" t="s">
        <v>231</v>
      </c>
      <c r="I113" s="139" t="str">
        <f>VLOOKUP($F113,Admin!$D$11:$G$19,4,FALSE)</f>
        <v>Technikus</v>
      </c>
      <c r="J113" s="100" t="s">
        <v>54</v>
      </c>
      <c r="K113" s="95" t="str">
        <f t="shared" ref="K113:K114" si="171">J113</f>
        <v>2022.12</v>
      </c>
      <c r="L113" s="101" t="s">
        <v>6</v>
      </c>
      <c r="M113" s="96" t="s">
        <v>70</v>
      </c>
      <c r="N113" s="102">
        <v>500000</v>
      </c>
      <c r="O113" s="97">
        <f t="shared" ref="O113" si="172">ROUND(N113*V113,0)</f>
        <v>65000</v>
      </c>
      <c r="P113" s="104">
        <v>174</v>
      </c>
      <c r="Q113" s="104">
        <v>174</v>
      </c>
      <c r="R113" s="215">
        <f t="shared" ref="R113" si="173">Q113/P113</f>
        <v>1</v>
      </c>
      <c r="S113" s="105">
        <f t="shared" ref="S113" si="174">ROUND(N113*Q113/P113,0)</f>
        <v>500000</v>
      </c>
      <c r="T113" s="98">
        <f t="shared" ref="T113" si="175">ROUND(S113*V113,0)</f>
        <v>65000</v>
      </c>
      <c r="U113" s="70">
        <f t="shared" ref="U113" si="176">Q113/P113-S113/N113</f>
        <v>0</v>
      </c>
      <c r="V113" s="140">
        <v>0.13</v>
      </c>
      <c r="W113" s="209" t="s">
        <v>268</v>
      </c>
      <c r="X113" s="17">
        <v>44883</v>
      </c>
      <c r="Y113" s="12" t="s">
        <v>66</v>
      </c>
      <c r="Z113" s="12"/>
      <c r="AA113" s="12"/>
      <c r="AB113" s="3">
        <v>1</v>
      </c>
      <c r="AC113" s="204" t="s">
        <v>315</v>
      </c>
      <c r="AD113" s="204" t="s">
        <v>315</v>
      </c>
      <c r="AE113" s="204" t="s">
        <v>315</v>
      </c>
    </row>
    <row r="114" spans="1:31" s="3" customFormat="1" ht="14.45" customHeight="1" x14ac:dyDescent="0.25">
      <c r="A114" s="141">
        <v>3</v>
      </c>
      <c r="B114" s="99" t="s">
        <v>238</v>
      </c>
      <c r="C114" s="95" t="str">
        <f>VLOOKUP($F114,Admin!$D$11:$F$19,2,FALSE)</f>
        <v>Kísérleti fejlesztés</v>
      </c>
      <c r="D114" s="138" t="s">
        <v>123</v>
      </c>
      <c r="E114" s="95" t="str">
        <f>VLOOKUP($F114,Admin!$D$11:$F$19,3,FALSE)</f>
        <v>54. Bérköltség - technikus segédszemélyzet</v>
      </c>
      <c r="F114" s="139" t="s">
        <v>215</v>
      </c>
      <c r="G114" s="100" t="s">
        <v>179</v>
      </c>
      <c r="H114" s="100" t="s">
        <v>231</v>
      </c>
      <c r="I114" s="139" t="str">
        <f>VLOOKUP($F114,Admin!$D$11:$G$19,4,FALSE)</f>
        <v>Technikus</v>
      </c>
      <c r="J114" s="100" t="s">
        <v>257</v>
      </c>
      <c r="K114" s="95" t="str">
        <f t="shared" si="171"/>
        <v>2023.01</v>
      </c>
      <c r="L114" s="101" t="s">
        <v>6</v>
      </c>
      <c r="M114" s="96" t="s">
        <v>70</v>
      </c>
      <c r="N114" s="102">
        <v>520000</v>
      </c>
      <c r="O114" s="97">
        <f t="shared" ref="O114" si="177">ROUND(N114*V114,0)</f>
        <v>67600</v>
      </c>
      <c r="P114" s="104">
        <v>174</v>
      </c>
      <c r="Q114" s="104">
        <v>174</v>
      </c>
      <c r="R114" s="215">
        <f t="shared" ref="R114" si="178">Q114/P114</f>
        <v>1</v>
      </c>
      <c r="S114" s="105">
        <f t="shared" ref="S114" si="179">ROUND(N114*Q114/P114,0)</f>
        <v>520000</v>
      </c>
      <c r="T114" s="98">
        <f t="shared" ref="T114" si="180">ROUND(S114*V114,0)</f>
        <v>67600</v>
      </c>
      <c r="U114" s="70">
        <f t="shared" ref="U114" si="181">Q114/P114-S114/N114</f>
        <v>0</v>
      </c>
      <c r="V114" s="140">
        <v>0.13</v>
      </c>
      <c r="W114" s="209" t="s">
        <v>268</v>
      </c>
      <c r="X114" s="17">
        <v>44937</v>
      </c>
      <c r="Y114" s="12" t="s">
        <v>66</v>
      </c>
      <c r="Z114" s="12"/>
      <c r="AA114" s="12"/>
      <c r="AB114" s="3">
        <v>1</v>
      </c>
      <c r="AC114" s="204" t="s">
        <v>315</v>
      </c>
      <c r="AD114" s="216">
        <v>0</v>
      </c>
      <c r="AE114" s="216">
        <v>0</v>
      </c>
    </row>
    <row r="115" spans="1:31" s="3" customFormat="1" ht="14.45" customHeight="1" x14ac:dyDescent="0.25">
      <c r="A115" s="141"/>
      <c r="B115" s="99" t="s">
        <v>238</v>
      </c>
      <c r="C115" s="95" t="str">
        <f>VLOOKUP($F115,Admin!$D$11:$F$19,2,FALSE)</f>
        <v>Kísérleti fejlesztés</v>
      </c>
      <c r="D115" s="138" t="s">
        <v>123</v>
      </c>
      <c r="E115" s="95" t="str">
        <f>VLOOKUP($F115,Admin!$D$11:$F$19,3,FALSE)</f>
        <v>54. Bérköltség - technikus segédszemélyzet</v>
      </c>
      <c r="F115" s="139" t="s">
        <v>215</v>
      </c>
      <c r="G115" s="100" t="s">
        <v>179</v>
      </c>
      <c r="H115" s="100" t="s">
        <v>231</v>
      </c>
      <c r="I115" s="139" t="str">
        <f>VLOOKUP($F115,Admin!$D$11:$G$19,4,FALSE)</f>
        <v>Technikus</v>
      </c>
      <c r="J115" s="100" t="s">
        <v>295</v>
      </c>
      <c r="K115" s="95" t="str">
        <f t="shared" ref="K115:K117" si="182">J115</f>
        <v>2023.02</v>
      </c>
      <c r="L115" s="101" t="s">
        <v>6</v>
      </c>
      <c r="M115" s="96" t="s">
        <v>70</v>
      </c>
      <c r="N115" s="102">
        <v>520000</v>
      </c>
      <c r="O115" s="97">
        <f t="shared" ref="O115:O117" si="183">ROUND(N115*V115,0)</f>
        <v>67600</v>
      </c>
      <c r="P115" s="104">
        <v>174</v>
      </c>
      <c r="Q115" s="104">
        <v>174</v>
      </c>
      <c r="R115" s="215">
        <f t="shared" ref="R115:R117" si="184">Q115/P115</f>
        <v>1</v>
      </c>
      <c r="S115" s="105">
        <f t="shared" ref="S115:S117" si="185">ROUND(N115*Q115/P115,0)</f>
        <v>520000</v>
      </c>
      <c r="T115" s="98">
        <f t="shared" ref="T115:T117" si="186">ROUND(S115*V115,0)</f>
        <v>67600</v>
      </c>
      <c r="U115" s="70">
        <f t="shared" ref="U115:U117" si="187">Q115/P115-S115/N115</f>
        <v>0</v>
      </c>
      <c r="V115" s="140">
        <v>0.13</v>
      </c>
      <c r="W115" s="209" t="s">
        <v>268</v>
      </c>
      <c r="X115" s="17">
        <v>44937</v>
      </c>
      <c r="Y115" s="12" t="s">
        <v>66</v>
      </c>
      <c r="Z115" s="12"/>
      <c r="AA115" s="12"/>
      <c r="AB115" s="3">
        <v>1</v>
      </c>
      <c r="AC115" s="3" t="s">
        <v>315</v>
      </c>
      <c r="AD115" s="3">
        <v>0</v>
      </c>
      <c r="AE115" s="3">
        <v>0</v>
      </c>
    </row>
    <row r="116" spans="1:31" s="3" customFormat="1" ht="14.45" customHeight="1" x14ac:dyDescent="0.25">
      <c r="A116" s="141"/>
      <c r="B116" s="99" t="s">
        <v>238</v>
      </c>
      <c r="C116" s="95" t="str">
        <f>VLOOKUP($F116,Admin!$D$11:$F$19,2,FALSE)</f>
        <v>Kísérleti fejlesztés</v>
      </c>
      <c r="D116" s="138" t="s">
        <v>123</v>
      </c>
      <c r="E116" s="95" t="str">
        <f>VLOOKUP($F116,Admin!$D$11:$F$19,3,FALSE)</f>
        <v>54. Bérköltség - technikus segédszemélyzet</v>
      </c>
      <c r="F116" s="139" t="s">
        <v>215</v>
      </c>
      <c r="G116" s="100" t="s">
        <v>179</v>
      </c>
      <c r="H116" s="100" t="s">
        <v>231</v>
      </c>
      <c r="I116" s="139" t="str">
        <f>VLOOKUP($F116,Admin!$D$11:$G$19,4,FALSE)</f>
        <v>Technikus</v>
      </c>
      <c r="J116" s="100" t="s">
        <v>296</v>
      </c>
      <c r="K116" s="95" t="str">
        <f t="shared" si="182"/>
        <v>2023.03</v>
      </c>
      <c r="L116" s="101" t="s">
        <v>6</v>
      </c>
      <c r="M116" s="96" t="s">
        <v>70</v>
      </c>
      <c r="N116" s="102">
        <v>520000</v>
      </c>
      <c r="O116" s="97">
        <f t="shared" si="183"/>
        <v>67600</v>
      </c>
      <c r="P116" s="104">
        <v>174</v>
      </c>
      <c r="Q116" s="104">
        <v>174</v>
      </c>
      <c r="R116" s="215">
        <f t="shared" si="184"/>
        <v>1</v>
      </c>
      <c r="S116" s="105">
        <f t="shared" si="185"/>
        <v>520000</v>
      </c>
      <c r="T116" s="98">
        <f t="shared" si="186"/>
        <v>67600</v>
      </c>
      <c r="U116" s="70">
        <f t="shared" si="187"/>
        <v>0</v>
      </c>
      <c r="V116" s="140">
        <v>0.13</v>
      </c>
      <c r="W116" s="209" t="s">
        <v>268</v>
      </c>
      <c r="X116" s="17">
        <v>44937</v>
      </c>
      <c r="Y116" s="12" t="s">
        <v>66</v>
      </c>
      <c r="Z116" s="12"/>
      <c r="AA116" s="12"/>
      <c r="AB116" s="3">
        <v>1</v>
      </c>
      <c r="AC116" s="3" t="s">
        <v>315</v>
      </c>
      <c r="AD116" s="3">
        <v>0</v>
      </c>
      <c r="AE116" s="3">
        <v>0</v>
      </c>
    </row>
    <row r="117" spans="1:31" s="3" customFormat="1" ht="14.45" customHeight="1" x14ac:dyDescent="0.25">
      <c r="A117" s="141"/>
      <c r="B117" s="99" t="s">
        <v>238</v>
      </c>
      <c r="C117" s="95" t="str">
        <f>VLOOKUP($F117,Admin!$D$11:$F$19,2,FALSE)</f>
        <v>Kísérleti fejlesztés</v>
      </c>
      <c r="D117" s="138" t="s">
        <v>123</v>
      </c>
      <c r="E117" s="95" t="str">
        <f>VLOOKUP($F117,Admin!$D$11:$F$19,3,FALSE)</f>
        <v>54. Bérköltség - technikus segédszemélyzet</v>
      </c>
      <c r="F117" s="139" t="s">
        <v>215</v>
      </c>
      <c r="G117" s="100" t="s">
        <v>179</v>
      </c>
      <c r="H117" s="100" t="s">
        <v>231</v>
      </c>
      <c r="I117" s="139" t="str">
        <f>VLOOKUP($F117,Admin!$D$11:$G$19,4,FALSE)</f>
        <v>Technikus</v>
      </c>
      <c r="J117" s="100" t="s">
        <v>297</v>
      </c>
      <c r="K117" s="95" t="str">
        <f t="shared" si="182"/>
        <v>2023.04</v>
      </c>
      <c r="L117" s="101" t="s">
        <v>7</v>
      </c>
      <c r="M117" s="96" t="s">
        <v>70</v>
      </c>
      <c r="N117" s="102">
        <v>520000</v>
      </c>
      <c r="O117" s="97">
        <f t="shared" si="183"/>
        <v>67600</v>
      </c>
      <c r="P117" s="104">
        <v>174</v>
      </c>
      <c r="Q117" s="104">
        <v>174</v>
      </c>
      <c r="R117" s="215">
        <f t="shared" si="184"/>
        <v>1</v>
      </c>
      <c r="S117" s="105">
        <f t="shared" si="185"/>
        <v>520000</v>
      </c>
      <c r="T117" s="98">
        <f t="shared" si="186"/>
        <v>67600</v>
      </c>
      <c r="U117" s="70">
        <f t="shared" si="187"/>
        <v>0</v>
      </c>
      <c r="V117" s="140">
        <v>0.13</v>
      </c>
      <c r="W117" s="209" t="s">
        <v>268</v>
      </c>
      <c r="X117" s="17">
        <v>44937</v>
      </c>
      <c r="Y117" s="12" t="s">
        <v>66</v>
      </c>
      <c r="Z117" s="12"/>
      <c r="AA117" s="12"/>
    </row>
    <row r="118" spans="1:31" s="3" customFormat="1" ht="14.45" customHeight="1" x14ac:dyDescent="0.25">
      <c r="A118" s="141">
        <v>1</v>
      </c>
      <c r="B118" s="99" t="s">
        <v>184</v>
      </c>
      <c r="C118" s="95" t="str">
        <f>VLOOKUP($F118,Admin!$D$11:$F$19,2,FALSE)</f>
        <v>Alkalmazott (ipari) kutatás</v>
      </c>
      <c r="D118" s="138" t="s">
        <v>123</v>
      </c>
      <c r="E118" s="95" t="str">
        <f>VLOOKUP($F118,Admin!$D$11:$F$19,3,FALSE)</f>
        <v>54. Bérköltség - Kutató-fejlesztő munkatárs</v>
      </c>
      <c r="F118" s="139" t="s">
        <v>212</v>
      </c>
      <c r="G118" s="100" t="s">
        <v>179</v>
      </c>
      <c r="H118" s="100" t="s">
        <v>229</v>
      </c>
      <c r="I118" s="139" t="str">
        <f>VLOOKUP($F118,Admin!$D$11:$G$19,4,FALSE)</f>
        <v>K+F munkatárs</v>
      </c>
      <c r="J118" s="100" t="s">
        <v>224</v>
      </c>
      <c r="K118" s="95" t="str">
        <f t="shared" si="65"/>
        <v>2020.09</v>
      </c>
      <c r="L118" s="101" t="s">
        <v>6</v>
      </c>
      <c r="M118" s="96" t="s">
        <v>70</v>
      </c>
      <c r="N118" s="102">
        <v>400000</v>
      </c>
      <c r="O118" s="97">
        <f t="shared" si="66"/>
        <v>62000</v>
      </c>
      <c r="P118" s="104">
        <v>174</v>
      </c>
      <c r="Q118" s="104">
        <v>174</v>
      </c>
      <c r="R118" s="215">
        <f t="shared" si="62"/>
        <v>1</v>
      </c>
      <c r="S118" s="105">
        <f t="shared" si="5"/>
        <v>400000</v>
      </c>
      <c r="T118" s="98">
        <f t="shared" si="67"/>
        <v>62000</v>
      </c>
      <c r="U118" s="70">
        <f t="shared" si="64"/>
        <v>0</v>
      </c>
      <c r="V118" s="181">
        <v>0.155</v>
      </c>
      <c r="W118" s="210"/>
      <c r="X118" s="17">
        <v>44034</v>
      </c>
      <c r="Y118" s="12" t="s">
        <v>66</v>
      </c>
      <c r="Z118" s="12"/>
      <c r="AA118" s="12"/>
      <c r="AB118" s="3">
        <v>1</v>
      </c>
    </row>
    <row r="119" spans="1:31" s="3" customFormat="1" ht="14.45" customHeight="1" x14ac:dyDescent="0.25">
      <c r="A119" s="141">
        <v>1</v>
      </c>
      <c r="B119" s="99" t="s">
        <v>184</v>
      </c>
      <c r="C119" s="95" t="str">
        <f>VLOOKUP($F119,Admin!$D$11:$F$19,2,FALSE)</f>
        <v>Alkalmazott (ipari) kutatás</v>
      </c>
      <c r="D119" s="138" t="s">
        <v>123</v>
      </c>
      <c r="E119" s="95" t="str">
        <f>VLOOKUP($F119,Admin!$D$11:$F$19,3,FALSE)</f>
        <v>54. Bérköltség - Kutató-fejlesztő munkatárs</v>
      </c>
      <c r="F119" s="139" t="s">
        <v>212</v>
      </c>
      <c r="G119" s="100" t="s">
        <v>179</v>
      </c>
      <c r="H119" s="100" t="s">
        <v>229</v>
      </c>
      <c r="I119" s="139" t="str">
        <f>VLOOKUP($F119,Admin!$D$11:$G$19,4,FALSE)</f>
        <v>K+F munkatárs</v>
      </c>
      <c r="J119" s="100" t="s">
        <v>225</v>
      </c>
      <c r="K119" s="95" t="str">
        <f t="shared" si="65"/>
        <v>2020.10</v>
      </c>
      <c r="L119" s="101" t="s">
        <v>6</v>
      </c>
      <c r="M119" s="96" t="s">
        <v>70</v>
      </c>
      <c r="N119" s="102">
        <v>400000</v>
      </c>
      <c r="O119" s="97">
        <f t="shared" si="66"/>
        <v>62000</v>
      </c>
      <c r="P119" s="104">
        <v>174</v>
      </c>
      <c r="Q119" s="104">
        <v>174</v>
      </c>
      <c r="R119" s="215">
        <f t="shared" si="62"/>
        <v>1</v>
      </c>
      <c r="S119" s="105">
        <f t="shared" si="63"/>
        <v>400000</v>
      </c>
      <c r="T119" s="98">
        <f t="shared" si="67"/>
        <v>62000</v>
      </c>
      <c r="U119" s="70">
        <f t="shared" si="64"/>
        <v>0</v>
      </c>
      <c r="V119" s="181">
        <v>0.155</v>
      </c>
      <c r="W119" s="210"/>
      <c r="X119" s="17">
        <v>44034</v>
      </c>
      <c r="Y119" s="12" t="s">
        <v>66</v>
      </c>
      <c r="Z119" s="12"/>
      <c r="AA119" s="12"/>
      <c r="AB119" s="3">
        <v>1</v>
      </c>
    </row>
    <row r="120" spans="1:31" s="3" customFormat="1" ht="14.45" customHeight="1" x14ac:dyDescent="0.25">
      <c r="A120" s="141">
        <v>1</v>
      </c>
      <c r="B120" s="99" t="s">
        <v>184</v>
      </c>
      <c r="C120" s="95" t="str">
        <f>VLOOKUP($F120,Admin!$D$11:$F$19,2,FALSE)</f>
        <v>Alkalmazott (ipari) kutatás</v>
      </c>
      <c r="D120" s="138" t="s">
        <v>123</v>
      </c>
      <c r="E120" s="95" t="str">
        <f>VLOOKUP($F120,Admin!$D$11:$F$19,3,FALSE)</f>
        <v>54. Bérköltség - Kutató-fejlesztő munkatárs</v>
      </c>
      <c r="F120" s="139" t="s">
        <v>212</v>
      </c>
      <c r="G120" s="100" t="s">
        <v>179</v>
      </c>
      <c r="H120" s="100" t="s">
        <v>229</v>
      </c>
      <c r="I120" s="139" t="str">
        <f>VLOOKUP($F120,Admin!$D$11:$G$19,4,FALSE)</f>
        <v>K+F munkatárs</v>
      </c>
      <c r="J120" s="100" t="s">
        <v>226</v>
      </c>
      <c r="K120" s="95" t="str">
        <f t="shared" si="65"/>
        <v>2020.11</v>
      </c>
      <c r="L120" s="101" t="s">
        <v>6</v>
      </c>
      <c r="M120" s="96" t="s">
        <v>70</v>
      </c>
      <c r="N120" s="102">
        <v>400000</v>
      </c>
      <c r="O120" s="97">
        <f t="shared" si="66"/>
        <v>62000</v>
      </c>
      <c r="P120" s="104">
        <v>174</v>
      </c>
      <c r="Q120" s="104">
        <v>174</v>
      </c>
      <c r="R120" s="215">
        <f t="shared" si="62"/>
        <v>1</v>
      </c>
      <c r="S120" s="105">
        <f t="shared" si="63"/>
        <v>400000</v>
      </c>
      <c r="T120" s="98">
        <f t="shared" si="67"/>
        <v>62000</v>
      </c>
      <c r="U120" s="70">
        <f t="shared" si="64"/>
        <v>0</v>
      </c>
      <c r="V120" s="181">
        <v>0.155</v>
      </c>
      <c r="W120" s="210"/>
      <c r="X120" s="17">
        <v>44034</v>
      </c>
      <c r="Y120" s="12" t="s">
        <v>66</v>
      </c>
      <c r="Z120" s="12"/>
      <c r="AA120" s="12"/>
      <c r="AB120" s="3">
        <v>1</v>
      </c>
    </row>
    <row r="121" spans="1:31" s="3" customFormat="1" ht="14.45" customHeight="1" x14ac:dyDescent="0.25">
      <c r="A121" s="141">
        <v>1</v>
      </c>
      <c r="B121" s="99" t="s">
        <v>184</v>
      </c>
      <c r="C121" s="95" t="str">
        <f>VLOOKUP($F121,Admin!$D$11:$F$19,2,FALSE)</f>
        <v>Alkalmazott (ipari) kutatás</v>
      </c>
      <c r="D121" s="138" t="s">
        <v>123</v>
      </c>
      <c r="E121" s="95" t="str">
        <f>VLOOKUP($F121,Admin!$D$11:$F$19,3,FALSE)</f>
        <v>54. Bérköltség - Kutató-fejlesztő munkatárs</v>
      </c>
      <c r="F121" s="139" t="s">
        <v>212</v>
      </c>
      <c r="G121" s="100" t="s">
        <v>179</v>
      </c>
      <c r="H121" s="100" t="s">
        <v>229</v>
      </c>
      <c r="I121" s="139" t="str">
        <f>VLOOKUP($F121,Admin!$D$11:$G$19,4,FALSE)</f>
        <v>K+F munkatárs</v>
      </c>
      <c r="J121" s="100" t="s">
        <v>30</v>
      </c>
      <c r="K121" s="95" t="str">
        <f t="shared" si="65"/>
        <v>2020.12</v>
      </c>
      <c r="L121" s="101" t="s">
        <v>6</v>
      </c>
      <c r="M121" s="96" t="s">
        <v>70</v>
      </c>
      <c r="N121" s="102">
        <v>400000</v>
      </c>
      <c r="O121" s="97">
        <f t="shared" si="66"/>
        <v>62000</v>
      </c>
      <c r="P121" s="104">
        <v>174</v>
      </c>
      <c r="Q121" s="104">
        <v>174</v>
      </c>
      <c r="R121" s="215">
        <f t="shared" si="62"/>
        <v>1</v>
      </c>
      <c r="S121" s="105">
        <f t="shared" si="63"/>
        <v>400000</v>
      </c>
      <c r="T121" s="98">
        <f t="shared" si="67"/>
        <v>62000</v>
      </c>
      <c r="U121" s="70">
        <f t="shared" si="64"/>
        <v>0</v>
      </c>
      <c r="V121" s="181">
        <v>0.155</v>
      </c>
      <c r="W121" s="210"/>
      <c r="X121" s="17">
        <v>44034</v>
      </c>
      <c r="Y121" s="12" t="s">
        <v>66</v>
      </c>
      <c r="Z121" s="12"/>
      <c r="AA121" s="12"/>
      <c r="AB121" s="3">
        <v>1</v>
      </c>
    </row>
    <row r="122" spans="1:31" s="3" customFormat="1" ht="14.45" customHeight="1" x14ac:dyDescent="0.25">
      <c r="A122" s="141">
        <v>1</v>
      </c>
      <c r="B122" s="99" t="s">
        <v>184</v>
      </c>
      <c r="C122" s="95" t="str">
        <f>VLOOKUP($F122,Admin!$D$11:$F$19,2,FALSE)</f>
        <v>Alkalmazott (ipari) kutatás</v>
      </c>
      <c r="D122" s="138" t="s">
        <v>123</v>
      </c>
      <c r="E122" s="95" t="str">
        <f>VLOOKUP($F122,Admin!$D$11:$F$19,3,FALSE)</f>
        <v>54. Bérköltség - Kutató-fejlesztő munkatárs</v>
      </c>
      <c r="F122" s="139" t="s">
        <v>212</v>
      </c>
      <c r="G122" s="100" t="s">
        <v>179</v>
      </c>
      <c r="H122" s="100" t="s">
        <v>229</v>
      </c>
      <c r="I122" s="139" t="str">
        <f>VLOOKUP($F122,Admin!$D$11:$G$19,4,FALSE)</f>
        <v>K+F munkatárs</v>
      </c>
      <c r="J122" s="100" t="s">
        <v>31</v>
      </c>
      <c r="K122" s="95" t="str">
        <f t="shared" si="65"/>
        <v>2021.01</v>
      </c>
      <c r="L122" s="101" t="s">
        <v>6</v>
      </c>
      <c r="M122" s="96" t="s">
        <v>70</v>
      </c>
      <c r="N122" s="102">
        <v>400000</v>
      </c>
      <c r="O122" s="97">
        <f t="shared" si="66"/>
        <v>62000</v>
      </c>
      <c r="P122" s="104">
        <v>174</v>
      </c>
      <c r="Q122" s="104">
        <v>65</v>
      </c>
      <c r="R122" s="215">
        <f t="shared" si="62"/>
        <v>0.37356321839080459</v>
      </c>
      <c r="S122" s="105">
        <f t="shared" si="63"/>
        <v>149425</v>
      </c>
      <c r="T122" s="98">
        <f t="shared" si="67"/>
        <v>23161</v>
      </c>
      <c r="U122" s="70">
        <f t="shared" si="64"/>
        <v>7.183908045660381E-7</v>
      </c>
      <c r="V122" s="181">
        <v>0.155</v>
      </c>
      <c r="W122" s="210"/>
      <c r="X122" s="17">
        <v>44176</v>
      </c>
      <c r="Y122" s="12" t="s">
        <v>66</v>
      </c>
      <c r="Z122" s="12"/>
      <c r="AA122" s="12"/>
      <c r="AB122" s="3">
        <v>1</v>
      </c>
    </row>
    <row r="123" spans="1:31" s="3" customFormat="1" ht="14.45" customHeight="1" x14ac:dyDescent="0.25">
      <c r="A123" s="141">
        <v>2</v>
      </c>
      <c r="B123" s="99" t="s">
        <v>184</v>
      </c>
      <c r="C123" s="95" t="str">
        <f>VLOOKUP($F123,Admin!$D$11:$F$19,2,FALSE)</f>
        <v>Kísérleti fejlesztés</v>
      </c>
      <c r="D123" s="138" t="s">
        <v>123</v>
      </c>
      <c r="E123" s="95" t="str">
        <f>VLOOKUP($F123,Admin!$D$11:$F$19,3,FALSE)</f>
        <v>54. Bérköltség - Kutató-fejlesztő munkatárs</v>
      </c>
      <c r="F123" s="139" t="s">
        <v>213</v>
      </c>
      <c r="G123" s="100" t="s">
        <v>179</v>
      </c>
      <c r="H123" s="100" t="s">
        <v>229</v>
      </c>
      <c r="I123" s="139" t="str">
        <f>VLOOKUP($F123,Admin!$D$11:$G$19,4,FALSE)</f>
        <v>K+F munkatárs</v>
      </c>
      <c r="J123" s="100" t="s">
        <v>32</v>
      </c>
      <c r="K123" s="95" t="str">
        <f t="shared" si="65"/>
        <v>2021.02</v>
      </c>
      <c r="L123" s="101" t="s">
        <v>6</v>
      </c>
      <c r="M123" s="96" t="s">
        <v>70</v>
      </c>
      <c r="N123" s="102">
        <v>400000</v>
      </c>
      <c r="O123" s="97">
        <f t="shared" si="66"/>
        <v>62000</v>
      </c>
      <c r="P123" s="104">
        <v>174</v>
      </c>
      <c r="Q123" s="104">
        <v>65</v>
      </c>
      <c r="R123" s="215">
        <f t="shared" si="62"/>
        <v>0.37356321839080459</v>
      </c>
      <c r="S123" s="105">
        <f t="shared" si="63"/>
        <v>149425</v>
      </c>
      <c r="T123" s="98">
        <f t="shared" si="67"/>
        <v>23161</v>
      </c>
      <c r="U123" s="70">
        <f t="shared" si="64"/>
        <v>7.183908045660381E-7</v>
      </c>
      <c r="V123" s="181">
        <v>0.155</v>
      </c>
      <c r="W123" s="210"/>
      <c r="X123" s="17">
        <v>44176</v>
      </c>
      <c r="Y123" s="12" t="s">
        <v>66</v>
      </c>
      <c r="Z123" s="12"/>
      <c r="AA123" s="12"/>
      <c r="AB123" s="3">
        <v>1</v>
      </c>
    </row>
    <row r="124" spans="1:31" s="3" customFormat="1" ht="14.45" customHeight="1" x14ac:dyDescent="0.25">
      <c r="A124" s="141">
        <v>2</v>
      </c>
      <c r="B124" s="99" t="s">
        <v>184</v>
      </c>
      <c r="C124" s="95" t="str">
        <f>VLOOKUP($F124,Admin!$D$11:$F$19,2,FALSE)</f>
        <v>Kísérleti fejlesztés</v>
      </c>
      <c r="D124" s="138" t="s">
        <v>123</v>
      </c>
      <c r="E124" s="95" t="str">
        <f>VLOOKUP($F124,Admin!$D$11:$F$19,3,FALSE)</f>
        <v>54. Bérköltség - Kutató-fejlesztő munkatárs</v>
      </c>
      <c r="F124" s="139" t="s">
        <v>213</v>
      </c>
      <c r="G124" s="100" t="s">
        <v>179</v>
      </c>
      <c r="H124" s="100" t="s">
        <v>229</v>
      </c>
      <c r="I124" s="139" t="str">
        <f>VLOOKUP($F124,Admin!$D$11:$G$19,4,FALSE)</f>
        <v>K+F munkatárs</v>
      </c>
      <c r="J124" s="100" t="s">
        <v>33</v>
      </c>
      <c r="K124" s="95" t="str">
        <f t="shared" si="65"/>
        <v>2021.03</v>
      </c>
      <c r="L124" s="101" t="s">
        <v>6</v>
      </c>
      <c r="M124" s="96" t="s">
        <v>70</v>
      </c>
      <c r="N124" s="102">
        <v>400000</v>
      </c>
      <c r="O124" s="97">
        <f t="shared" si="66"/>
        <v>62000</v>
      </c>
      <c r="P124" s="104">
        <v>174</v>
      </c>
      <c r="Q124" s="104">
        <v>65</v>
      </c>
      <c r="R124" s="215">
        <f t="shared" si="62"/>
        <v>0.37356321839080459</v>
      </c>
      <c r="S124" s="105">
        <f t="shared" si="63"/>
        <v>149425</v>
      </c>
      <c r="T124" s="98">
        <f t="shared" si="67"/>
        <v>23161</v>
      </c>
      <c r="U124" s="70">
        <f t="shared" si="64"/>
        <v>7.183908045660381E-7</v>
      </c>
      <c r="V124" s="181">
        <v>0.155</v>
      </c>
      <c r="W124" s="210"/>
      <c r="X124" s="17">
        <v>44176</v>
      </c>
      <c r="Y124" s="12" t="s">
        <v>66</v>
      </c>
      <c r="Z124" s="12"/>
      <c r="AA124" s="12"/>
      <c r="AB124" s="3">
        <v>1</v>
      </c>
    </row>
    <row r="125" spans="1:31" s="3" customFormat="1" ht="14.45" customHeight="1" x14ac:dyDescent="0.25">
      <c r="A125" s="141">
        <v>2</v>
      </c>
      <c r="B125" s="99" t="s">
        <v>184</v>
      </c>
      <c r="C125" s="95" t="str">
        <f>VLOOKUP($F125,Admin!$D$11:$F$19,2,FALSE)</f>
        <v>Kísérleti fejlesztés</v>
      </c>
      <c r="D125" s="138" t="s">
        <v>123</v>
      </c>
      <c r="E125" s="95" t="str">
        <f>VLOOKUP($F125,Admin!$D$11:$F$19,3,FALSE)</f>
        <v>54. Bérköltség - Kutató-fejlesztő munkatárs</v>
      </c>
      <c r="F125" s="139" t="s">
        <v>213</v>
      </c>
      <c r="G125" s="100" t="s">
        <v>179</v>
      </c>
      <c r="H125" s="100" t="s">
        <v>229</v>
      </c>
      <c r="I125" s="139" t="str">
        <f>VLOOKUP($F125,Admin!$D$11:$G$19,4,FALSE)</f>
        <v>K+F munkatárs</v>
      </c>
      <c r="J125" s="100" t="s">
        <v>34</v>
      </c>
      <c r="K125" s="95" t="str">
        <f t="shared" si="65"/>
        <v>2021.04</v>
      </c>
      <c r="L125" s="101" t="s">
        <v>6</v>
      </c>
      <c r="M125" s="96" t="s">
        <v>70</v>
      </c>
      <c r="N125" s="102">
        <v>400000</v>
      </c>
      <c r="O125" s="97">
        <f t="shared" si="66"/>
        <v>62000</v>
      </c>
      <c r="P125" s="104">
        <v>174</v>
      </c>
      <c r="Q125" s="104">
        <v>65</v>
      </c>
      <c r="R125" s="215">
        <f t="shared" si="62"/>
        <v>0.37356321839080459</v>
      </c>
      <c r="S125" s="105">
        <f t="shared" si="63"/>
        <v>149425</v>
      </c>
      <c r="T125" s="98">
        <f t="shared" si="67"/>
        <v>23161</v>
      </c>
      <c r="U125" s="70">
        <f t="shared" si="64"/>
        <v>7.183908045660381E-7</v>
      </c>
      <c r="V125" s="181">
        <v>0.155</v>
      </c>
      <c r="W125" s="210"/>
      <c r="X125" s="17">
        <v>44176</v>
      </c>
      <c r="Y125" s="12" t="s">
        <v>66</v>
      </c>
      <c r="Z125" s="12"/>
      <c r="AA125" s="12"/>
      <c r="AB125" s="3">
        <v>1</v>
      </c>
    </row>
    <row r="126" spans="1:31" s="3" customFormat="1" ht="14.45" customHeight="1" x14ac:dyDescent="0.25">
      <c r="A126" s="141">
        <v>2</v>
      </c>
      <c r="B126" s="99" t="s">
        <v>184</v>
      </c>
      <c r="C126" s="95" t="str">
        <f>VLOOKUP($F126,Admin!$D$11:$F$19,2,FALSE)</f>
        <v>Kísérleti fejlesztés</v>
      </c>
      <c r="D126" s="138" t="s">
        <v>123</v>
      </c>
      <c r="E126" s="95" t="str">
        <f>VLOOKUP($F126,Admin!$D$11:$F$19,3,FALSE)</f>
        <v>54. Bérköltség - Kutató-fejlesztő munkatárs</v>
      </c>
      <c r="F126" s="139" t="s">
        <v>213</v>
      </c>
      <c r="G126" s="100" t="s">
        <v>179</v>
      </c>
      <c r="H126" s="100" t="s">
        <v>229</v>
      </c>
      <c r="I126" s="139" t="str">
        <f>VLOOKUP($F126,Admin!$D$11:$G$19,4,FALSE)</f>
        <v>K+F munkatárs</v>
      </c>
      <c r="J126" s="100" t="s">
        <v>35</v>
      </c>
      <c r="K126" s="95" t="str">
        <f t="shared" si="65"/>
        <v>2021.05</v>
      </c>
      <c r="L126" s="101" t="s">
        <v>6</v>
      </c>
      <c r="M126" s="96" t="s">
        <v>70</v>
      </c>
      <c r="N126" s="102">
        <v>400000</v>
      </c>
      <c r="O126" s="97">
        <f t="shared" si="66"/>
        <v>62000</v>
      </c>
      <c r="P126" s="104">
        <v>174</v>
      </c>
      <c r="Q126" s="104">
        <v>65</v>
      </c>
      <c r="R126" s="215">
        <f t="shared" si="62"/>
        <v>0.37356321839080459</v>
      </c>
      <c r="S126" s="105">
        <f t="shared" si="63"/>
        <v>149425</v>
      </c>
      <c r="T126" s="98">
        <f t="shared" si="67"/>
        <v>23161</v>
      </c>
      <c r="U126" s="70">
        <f t="shared" si="64"/>
        <v>7.183908045660381E-7</v>
      </c>
      <c r="V126" s="181">
        <v>0.155</v>
      </c>
      <c r="W126" s="210"/>
      <c r="X126" s="17">
        <v>44176</v>
      </c>
      <c r="Y126" s="12" t="s">
        <v>66</v>
      </c>
      <c r="Z126" s="12"/>
      <c r="AA126" s="12"/>
      <c r="AB126" s="3">
        <v>1</v>
      </c>
    </row>
    <row r="127" spans="1:31" s="3" customFormat="1" ht="14.45" customHeight="1" x14ac:dyDescent="0.25">
      <c r="A127" s="141">
        <v>2</v>
      </c>
      <c r="B127" s="99" t="s">
        <v>184</v>
      </c>
      <c r="C127" s="95" t="str">
        <f>VLOOKUP($F127,Admin!$D$11:$F$19,2,FALSE)</f>
        <v>Kísérleti fejlesztés</v>
      </c>
      <c r="D127" s="138" t="s">
        <v>123</v>
      </c>
      <c r="E127" s="95" t="str">
        <f>VLOOKUP($F127,Admin!$D$11:$F$19,3,FALSE)</f>
        <v>54. Bérköltség - Kutató-fejlesztő munkatárs</v>
      </c>
      <c r="F127" s="139" t="s">
        <v>213</v>
      </c>
      <c r="G127" s="100" t="s">
        <v>179</v>
      </c>
      <c r="H127" s="100" t="s">
        <v>229</v>
      </c>
      <c r="I127" s="139" t="str">
        <f>VLOOKUP($F127,Admin!$D$11:$G$19,4,FALSE)</f>
        <v>K+F munkatárs</v>
      </c>
      <c r="J127" s="100" t="s">
        <v>36</v>
      </c>
      <c r="K127" s="95" t="str">
        <f t="shared" si="65"/>
        <v>2021.06</v>
      </c>
      <c r="L127" s="101" t="s">
        <v>6</v>
      </c>
      <c r="M127" s="96" t="s">
        <v>70</v>
      </c>
      <c r="N127" s="102">
        <v>400000</v>
      </c>
      <c r="O127" s="97">
        <f t="shared" si="66"/>
        <v>62000</v>
      </c>
      <c r="P127" s="104">
        <v>174</v>
      </c>
      <c r="Q127" s="104">
        <v>65</v>
      </c>
      <c r="R127" s="215">
        <f t="shared" si="62"/>
        <v>0.37356321839080459</v>
      </c>
      <c r="S127" s="105">
        <f t="shared" si="63"/>
        <v>149425</v>
      </c>
      <c r="T127" s="98">
        <f t="shared" si="67"/>
        <v>23161</v>
      </c>
      <c r="U127" s="70">
        <f t="shared" si="64"/>
        <v>7.183908045660381E-7</v>
      </c>
      <c r="V127" s="181">
        <v>0.155</v>
      </c>
      <c r="W127" s="210"/>
      <c r="X127" s="17">
        <v>44176</v>
      </c>
      <c r="Y127" s="12" t="s">
        <v>66</v>
      </c>
      <c r="Z127" s="12"/>
      <c r="AA127" s="12"/>
      <c r="AB127" s="3">
        <v>1</v>
      </c>
    </row>
    <row r="128" spans="1:31" s="3" customFormat="1" ht="14.45" customHeight="1" x14ac:dyDescent="0.25">
      <c r="A128" s="141">
        <v>2</v>
      </c>
      <c r="B128" s="99" t="s">
        <v>184</v>
      </c>
      <c r="C128" s="95" t="str">
        <f>VLOOKUP($F128,Admin!$D$11:$F$19,2,FALSE)</f>
        <v>Kísérleti fejlesztés</v>
      </c>
      <c r="D128" s="138" t="s">
        <v>123</v>
      </c>
      <c r="E128" s="95" t="str">
        <f>VLOOKUP($F128,Admin!$D$11:$F$19,3,FALSE)</f>
        <v>54. Bérköltség - Kutató-fejlesztő munkatárs</v>
      </c>
      <c r="F128" s="139" t="s">
        <v>213</v>
      </c>
      <c r="G128" s="100" t="s">
        <v>179</v>
      </c>
      <c r="H128" s="100" t="s">
        <v>229</v>
      </c>
      <c r="I128" s="139" t="str">
        <f>VLOOKUP($F128,Admin!$D$11:$G$19,4,FALSE)</f>
        <v>K+F munkatárs</v>
      </c>
      <c r="J128" s="100" t="s">
        <v>37</v>
      </c>
      <c r="K128" s="95" t="str">
        <f t="shared" si="65"/>
        <v>2021.07</v>
      </c>
      <c r="L128" s="101" t="s">
        <v>6</v>
      </c>
      <c r="M128" s="96" t="s">
        <v>70</v>
      </c>
      <c r="N128" s="102">
        <v>400000</v>
      </c>
      <c r="O128" s="97">
        <f t="shared" si="66"/>
        <v>62000</v>
      </c>
      <c r="P128" s="104">
        <v>174</v>
      </c>
      <c r="Q128" s="104">
        <v>65</v>
      </c>
      <c r="R128" s="215">
        <f t="shared" si="62"/>
        <v>0.37356321839080459</v>
      </c>
      <c r="S128" s="105">
        <f t="shared" si="63"/>
        <v>149425</v>
      </c>
      <c r="T128" s="98">
        <f t="shared" si="67"/>
        <v>23161</v>
      </c>
      <c r="U128" s="70">
        <f t="shared" si="64"/>
        <v>7.183908045660381E-7</v>
      </c>
      <c r="V128" s="181">
        <v>0.155</v>
      </c>
      <c r="W128" s="210"/>
      <c r="X128" s="17">
        <v>44356</v>
      </c>
      <c r="Y128" s="12" t="s">
        <v>66</v>
      </c>
      <c r="Z128" s="12"/>
      <c r="AA128" s="12"/>
      <c r="AB128" s="3">
        <v>1</v>
      </c>
    </row>
    <row r="129" spans="1:31" s="3" customFormat="1" ht="14.45" customHeight="1" x14ac:dyDescent="0.25">
      <c r="A129" s="141">
        <v>2</v>
      </c>
      <c r="B129" s="99" t="s">
        <v>184</v>
      </c>
      <c r="C129" s="95" t="str">
        <f>VLOOKUP($F129,Admin!$D$11:$F$19,2,FALSE)</f>
        <v>Kísérleti fejlesztés</v>
      </c>
      <c r="D129" s="138" t="s">
        <v>123</v>
      </c>
      <c r="E129" s="95" t="str">
        <f>VLOOKUP($F129,Admin!$D$11:$F$19,3,FALSE)</f>
        <v>54. Bérköltség - Kutató-fejlesztő munkatárs</v>
      </c>
      <c r="F129" s="139" t="s">
        <v>213</v>
      </c>
      <c r="G129" s="100" t="s">
        <v>179</v>
      </c>
      <c r="H129" s="100" t="s">
        <v>229</v>
      </c>
      <c r="I129" s="139" t="str">
        <f>VLOOKUP($F129,Admin!$D$11:$G$19,4,FALSE)</f>
        <v>K+F munkatárs</v>
      </c>
      <c r="J129" s="100" t="s">
        <v>38</v>
      </c>
      <c r="K129" s="95" t="str">
        <f t="shared" si="65"/>
        <v>2021.08</v>
      </c>
      <c r="L129" s="101" t="s">
        <v>6</v>
      </c>
      <c r="M129" s="96" t="s">
        <v>70</v>
      </c>
      <c r="N129" s="102">
        <v>400000</v>
      </c>
      <c r="O129" s="97">
        <f t="shared" si="66"/>
        <v>62000</v>
      </c>
      <c r="P129" s="104">
        <v>174</v>
      </c>
      <c r="Q129" s="104">
        <v>65</v>
      </c>
      <c r="R129" s="215">
        <f t="shared" si="62"/>
        <v>0.37356321839080459</v>
      </c>
      <c r="S129" s="105">
        <f t="shared" si="63"/>
        <v>149425</v>
      </c>
      <c r="T129" s="98">
        <f t="shared" si="67"/>
        <v>23161</v>
      </c>
      <c r="U129" s="70">
        <f t="shared" si="64"/>
        <v>7.183908045660381E-7</v>
      </c>
      <c r="V129" s="181">
        <v>0.155</v>
      </c>
      <c r="W129" s="210"/>
      <c r="X129" s="17">
        <v>44356</v>
      </c>
      <c r="Y129" s="12" t="s">
        <v>66</v>
      </c>
      <c r="Z129" s="12"/>
      <c r="AA129" s="12"/>
      <c r="AB129" s="3">
        <v>1</v>
      </c>
    </row>
    <row r="130" spans="1:31" s="3" customFormat="1" ht="14.45" customHeight="1" x14ac:dyDescent="0.25">
      <c r="A130" s="141">
        <v>2</v>
      </c>
      <c r="B130" s="99" t="s">
        <v>184</v>
      </c>
      <c r="C130" s="95" t="str">
        <f>VLOOKUP($F130,Admin!$D$11:$F$19,2,FALSE)</f>
        <v>Kísérleti fejlesztés</v>
      </c>
      <c r="D130" s="138" t="s">
        <v>123</v>
      </c>
      <c r="E130" s="95" t="str">
        <f>VLOOKUP($F130,Admin!$D$11:$F$19,3,FALSE)</f>
        <v>54. Bérköltség - Kutató-fejlesztő munkatárs</v>
      </c>
      <c r="F130" s="139" t="s">
        <v>213</v>
      </c>
      <c r="G130" s="100" t="s">
        <v>179</v>
      </c>
      <c r="H130" s="100" t="s">
        <v>229</v>
      </c>
      <c r="I130" s="139" t="str">
        <f>VLOOKUP($F130,Admin!$D$11:$G$19,4,FALSE)</f>
        <v>K+F munkatárs</v>
      </c>
      <c r="J130" s="100" t="s">
        <v>39</v>
      </c>
      <c r="K130" s="95" t="str">
        <f t="shared" si="65"/>
        <v>2021.09</v>
      </c>
      <c r="L130" s="101" t="s">
        <v>6</v>
      </c>
      <c r="M130" s="96" t="s">
        <v>70</v>
      </c>
      <c r="N130" s="102">
        <v>400000</v>
      </c>
      <c r="O130" s="97">
        <f t="shared" si="66"/>
        <v>62000</v>
      </c>
      <c r="P130" s="104">
        <v>174</v>
      </c>
      <c r="Q130" s="104">
        <v>65</v>
      </c>
      <c r="R130" s="215">
        <f t="shared" si="62"/>
        <v>0.37356321839080459</v>
      </c>
      <c r="S130" s="105">
        <f t="shared" si="63"/>
        <v>149425</v>
      </c>
      <c r="T130" s="98">
        <f t="shared" si="67"/>
        <v>23161</v>
      </c>
      <c r="U130" s="70">
        <f t="shared" si="64"/>
        <v>7.183908045660381E-7</v>
      </c>
      <c r="V130" s="181">
        <v>0.155</v>
      </c>
      <c r="W130" s="210"/>
      <c r="X130" s="17">
        <v>44356</v>
      </c>
      <c r="Y130" s="12" t="s">
        <v>66</v>
      </c>
      <c r="Z130" s="12"/>
      <c r="AA130" s="12"/>
      <c r="AB130" s="3">
        <v>1</v>
      </c>
    </row>
    <row r="131" spans="1:31" s="3" customFormat="1" ht="14.45" customHeight="1" x14ac:dyDescent="0.25">
      <c r="A131" s="141">
        <v>2</v>
      </c>
      <c r="B131" s="99" t="s">
        <v>184</v>
      </c>
      <c r="C131" s="95" t="str">
        <f>VLOOKUP($F131,Admin!$D$11:$F$19,2,FALSE)</f>
        <v>Kísérleti fejlesztés</v>
      </c>
      <c r="D131" s="138" t="s">
        <v>123</v>
      </c>
      <c r="E131" s="95" t="str">
        <f>VLOOKUP($F131,Admin!$D$11:$F$19,3,FALSE)</f>
        <v>54. Bérköltség - Kutató-fejlesztő munkatárs</v>
      </c>
      <c r="F131" s="139" t="s">
        <v>213</v>
      </c>
      <c r="G131" s="100" t="s">
        <v>179</v>
      </c>
      <c r="H131" s="100" t="s">
        <v>229</v>
      </c>
      <c r="I131" s="139" t="str">
        <f>VLOOKUP($F131,Admin!$D$11:$G$19,4,FALSE)</f>
        <v>K+F munkatárs</v>
      </c>
      <c r="J131" s="100" t="s">
        <v>40</v>
      </c>
      <c r="K131" s="95" t="str">
        <f t="shared" si="65"/>
        <v>2021.10</v>
      </c>
      <c r="L131" s="101" t="s">
        <v>6</v>
      </c>
      <c r="M131" s="96" t="s">
        <v>70</v>
      </c>
      <c r="N131" s="102">
        <v>460000</v>
      </c>
      <c r="O131" s="97">
        <f t="shared" si="66"/>
        <v>71300</v>
      </c>
      <c r="P131" s="104">
        <v>174</v>
      </c>
      <c r="Q131" s="104">
        <v>65</v>
      </c>
      <c r="R131" s="215">
        <f t="shared" si="62"/>
        <v>0.37356321839080459</v>
      </c>
      <c r="S131" s="105">
        <f t="shared" si="63"/>
        <v>171839</v>
      </c>
      <c r="T131" s="98">
        <f t="shared" si="67"/>
        <v>26635</v>
      </c>
      <c r="U131" s="70">
        <f t="shared" si="64"/>
        <v>1.7491254372670184E-7</v>
      </c>
      <c r="V131" s="181">
        <v>0.155</v>
      </c>
      <c r="W131" s="210"/>
      <c r="X131" s="17">
        <v>44356</v>
      </c>
      <c r="Y131" s="12" t="s">
        <v>66</v>
      </c>
      <c r="Z131" s="12"/>
      <c r="AA131" s="12"/>
      <c r="AB131" s="3">
        <v>1</v>
      </c>
    </row>
    <row r="132" spans="1:31" s="3" customFormat="1" ht="14.45" customHeight="1" x14ac:dyDescent="0.25">
      <c r="A132" s="141">
        <v>2</v>
      </c>
      <c r="B132" s="99" t="s">
        <v>184</v>
      </c>
      <c r="C132" s="95" t="str">
        <f>VLOOKUP($F132,Admin!$D$11:$F$19,2,FALSE)</f>
        <v>Kísérleti fejlesztés</v>
      </c>
      <c r="D132" s="138" t="s">
        <v>123</v>
      </c>
      <c r="E132" s="95" t="str">
        <f>VLOOKUP($F132,Admin!$D$11:$F$19,3,FALSE)</f>
        <v>54. Bérköltség - Kutató-fejlesztő munkatárs</v>
      </c>
      <c r="F132" s="139" t="s">
        <v>213</v>
      </c>
      <c r="G132" s="100" t="s">
        <v>179</v>
      </c>
      <c r="H132" s="100" t="s">
        <v>229</v>
      </c>
      <c r="I132" s="139" t="str">
        <f>VLOOKUP($F132,Admin!$D$11:$G$19,4,FALSE)</f>
        <v>K+F munkatárs</v>
      </c>
      <c r="J132" s="100" t="s">
        <v>41</v>
      </c>
      <c r="K132" s="95" t="str">
        <f t="shared" si="65"/>
        <v>2021.11</v>
      </c>
      <c r="L132" s="101" t="s">
        <v>6</v>
      </c>
      <c r="M132" s="96" t="s">
        <v>70</v>
      </c>
      <c r="N132" s="102">
        <v>460000</v>
      </c>
      <c r="O132" s="97">
        <f t="shared" si="66"/>
        <v>71300</v>
      </c>
      <c r="P132" s="104">
        <v>174</v>
      </c>
      <c r="Q132" s="104">
        <v>65</v>
      </c>
      <c r="R132" s="215">
        <f t="shared" si="62"/>
        <v>0.37356321839080459</v>
      </c>
      <c r="S132" s="105">
        <f t="shared" si="63"/>
        <v>171839</v>
      </c>
      <c r="T132" s="98">
        <f t="shared" si="67"/>
        <v>26635</v>
      </c>
      <c r="U132" s="70">
        <f t="shared" si="64"/>
        <v>1.7491254372670184E-7</v>
      </c>
      <c r="V132" s="181">
        <v>0.155</v>
      </c>
      <c r="W132" s="210"/>
      <c r="X132" s="17">
        <v>44356</v>
      </c>
      <c r="Y132" s="12" t="s">
        <v>66</v>
      </c>
      <c r="Z132" s="12"/>
      <c r="AA132" s="12"/>
      <c r="AB132" s="3">
        <v>1</v>
      </c>
    </row>
    <row r="133" spans="1:31" s="3" customFormat="1" ht="14.45" customHeight="1" x14ac:dyDescent="0.25">
      <c r="A133" s="141">
        <v>2</v>
      </c>
      <c r="B133" s="99" t="s">
        <v>184</v>
      </c>
      <c r="C133" s="95" t="str">
        <f>VLOOKUP($F133,Admin!$D$11:$F$19,2,FALSE)</f>
        <v>Kísérleti fejlesztés</v>
      </c>
      <c r="D133" s="138" t="s">
        <v>123</v>
      </c>
      <c r="E133" s="95" t="str">
        <f>VLOOKUP($F133,Admin!$D$11:$F$19,3,FALSE)</f>
        <v>54. Bérköltség - Kutató-fejlesztő munkatárs</v>
      </c>
      <c r="F133" s="139" t="s">
        <v>213</v>
      </c>
      <c r="G133" s="100" t="s">
        <v>179</v>
      </c>
      <c r="H133" s="100" t="s">
        <v>229</v>
      </c>
      <c r="I133" s="139" t="str">
        <f>VLOOKUP($F133,Admin!$D$11:$G$19,4,FALSE)</f>
        <v>K+F munkatárs</v>
      </c>
      <c r="J133" s="100" t="s">
        <v>42</v>
      </c>
      <c r="K133" s="95" t="str">
        <f t="shared" si="65"/>
        <v>2021.12</v>
      </c>
      <c r="L133" s="101" t="s">
        <v>6</v>
      </c>
      <c r="M133" s="96" t="s">
        <v>70</v>
      </c>
      <c r="N133" s="102">
        <v>460000</v>
      </c>
      <c r="O133" s="97">
        <f t="shared" si="66"/>
        <v>71300</v>
      </c>
      <c r="P133" s="104">
        <v>174</v>
      </c>
      <c r="Q133" s="104">
        <v>65</v>
      </c>
      <c r="R133" s="215">
        <f t="shared" si="62"/>
        <v>0.37356321839080459</v>
      </c>
      <c r="S133" s="105">
        <f t="shared" si="63"/>
        <v>171839</v>
      </c>
      <c r="T133" s="98">
        <f t="shared" si="67"/>
        <v>26635</v>
      </c>
      <c r="U133" s="70">
        <f t="shared" si="64"/>
        <v>1.7491254372670184E-7</v>
      </c>
      <c r="V133" s="181">
        <v>0.155</v>
      </c>
      <c r="W133" s="210"/>
      <c r="X133" s="17">
        <v>44356</v>
      </c>
      <c r="Y133" s="12" t="s">
        <v>66</v>
      </c>
      <c r="Z133" s="12"/>
      <c r="AA133" s="12"/>
      <c r="AB133" s="3">
        <v>1</v>
      </c>
    </row>
    <row r="134" spans="1:31" s="3" customFormat="1" ht="14.45" customHeight="1" x14ac:dyDescent="0.25">
      <c r="A134" s="141">
        <v>3</v>
      </c>
      <c r="B134" s="99" t="s">
        <v>184</v>
      </c>
      <c r="C134" s="95" t="str">
        <f>VLOOKUP($F134,Admin!$D$11:$F$19,2,FALSE)</f>
        <v>Kísérleti fejlesztés</v>
      </c>
      <c r="D134" s="138" t="s">
        <v>123</v>
      </c>
      <c r="E134" s="95" t="str">
        <f>VLOOKUP($F134,Admin!$D$11:$F$19,3,FALSE)</f>
        <v>54. Bérköltség - Kutató-fejlesztő munkatárs</v>
      </c>
      <c r="F134" s="139" t="s">
        <v>213</v>
      </c>
      <c r="G134" s="100" t="s">
        <v>179</v>
      </c>
      <c r="H134" s="100" t="s">
        <v>229</v>
      </c>
      <c r="I134" s="139" t="str">
        <f>VLOOKUP($F134,Admin!$D$11:$G$19,4,FALSE)</f>
        <v>K+F munkatárs</v>
      </c>
      <c r="J134" s="100" t="s">
        <v>53</v>
      </c>
      <c r="K134" s="95" t="str">
        <f t="shared" si="65"/>
        <v>2022.11</v>
      </c>
      <c r="L134" s="101" t="s">
        <v>6</v>
      </c>
      <c r="M134" s="96" t="s">
        <v>70</v>
      </c>
      <c r="N134" s="102">
        <v>339999</v>
      </c>
      <c r="O134" s="97">
        <f t="shared" ref="O134" si="188">ROUND(N134*V134,0)</f>
        <v>44200</v>
      </c>
      <c r="P134" s="104">
        <v>174</v>
      </c>
      <c r="Q134" s="104">
        <v>174</v>
      </c>
      <c r="R134" s="215">
        <f t="shared" ref="R134" si="189">Q134/P134</f>
        <v>1</v>
      </c>
      <c r="S134" s="105">
        <f t="shared" ref="S134" si="190">ROUND(N134*Q134/P134,0)</f>
        <v>339999</v>
      </c>
      <c r="T134" s="98">
        <f t="shared" ref="T134" si="191">ROUND(S134*V134,0)</f>
        <v>44200</v>
      </c>
      <c r="U134" s="70">
        <f t="shared" ref="U134" si="192">Q134/P134-S134/N134</f>
        <v>0</v>
      </c>
      <c r="V134" s="191">
        <v>0.13</v>
      </c>
      <c r="W134" s="209" t="s">
        <v>269</v>
      </c>
      <c r="X134" s="17">
        <v>44853</v>
      </c>
      <c r="Y134" s="12" t="s">
        <v>66</v>
      </c>
      <c r="Z134" s="12"/>
      <c r="AA134" s="12"/>
      <c r="AB134" s="3">
        <v>1</v>
      </c>
    </row>
    <row r="135" spans="1:31" s="3" customFormat="1" ht="14.45" customHeight="1" x14ac:dyDescent="0.25">
      <c r="A135" s="141">
        <v>3</v>
      </c>
      <c r="B135" s="99" t="s">
        <v>184</v>
      </c>
      <c r="C135" s="95" t="str">
        <f>VLOOKUP($F135,Admin!$D$11:$F$19,2,FALSE)</f>
        <v>Kísérleti fejlesztés</v>
      </c>
      <c r="D135" s="138" t="s">
        <v>123</v>
      </c>
      <c r="E135" s="95" t="str">
        <f>VLOOKUP($F135,Admin!$D$11:$F$19,3,FALSE)</f>
        <v>54. Bérköltség - Kutató-fejlesztő munkatárs</v>
      </c>
      <c r="F135" s="139" t="s">
        <v>213</v>
      </c>
      <c r="G135" s="100" t="s">
        <v>179</v>
      </c>
      <c r="H135" s="100" t="s">
        <v>229</v>
      </c>
      <c r="I135" s="139" t="str">
        <f>VLOOKUP($F135,Admin!$D$11:$G$19,4,FALSE)</f>
        <v>K+F munkatárs</v>
      </c>
      <c r="J135" s="100" t="s">
        <v>54</v>
      </c>
      <c r="K135" s="95" t="str">
        <f t="shared" si="65"/>
        <v>2022.12</v>
      </c>
      <c r="L135" s="101" t="s">
        <v>6</v>
      </c>
      <c r="M135" s="96" t="s">
        <v>70</v>
      </c>
      <c r="N135" s="102">
        <v>339999</v>
      </c>
      <c r="O135" s="97">
        <f t="shared" ref="O135:O136" si="193">ROUND(N135*V135,0)</f>
        <v>44200</v>
      </c>
      <c r="P135" s="104">
        <v>174</v>
      </c>
      <c r="Q135" s="104">
        <v>174</v>
      </c>
      <c r="R135" s="215">
        <f t="shared" ref="R135:R136" si="194">Q135/P135</f>
        <v>1</v>
      </c>
      <c r="S135" s="105">
        <f t="shared" ref="S135:S136" si="195">ROUND(N135*Q135/P135,0)</f>
        <v>339999</v>
      </c>
      <c r="T135" s="98">
        <f t="shared" ref="T135:T136" si="196">ROUND(S135*V135,0)</f>
        <v>44200</v>
      </c>
      <c r="U135" s="70">
        <f t="shared" ref="U135:U136" si="197">Q135/P135-S135/N135</f>
        <v>0</v>
      </c>
      <c r="V135" s="191">
        <v>0.13</v>
      </c>
      <c r="W135" s="209" t="s">
        <v>269</v>
      </c>
      <c r="X135" s="17">
        <v>44853</v>
      </c>
      <c r="Y135" s="12" t="s">
        <v>66</v>
      </c>
      <c r="Z135" s="12"/>
      <c r="AA135" s="12"/>
      <c r="AB135" s="3">
        <v>1</v>
      </c>
      <c r="AC135" s="204" t="s">
        <v>315</v>
      </c>
      <c r="AD135" s="204" t="s">
        <v>315</v>
      </c>
      <c r="AE135" s="204" t="s">
        <v>315</v>
      </c>
    </row>
    <row r="136" spans="1:31" s="3" customFormat="1" ht="14.45" customHeight="1" x14ac:dyDescent="0.25">
      <c r="A136" s="141">
        <v>3</v>
      </c>
      <c r="B136" s="99" t="s">
        <v>184</v>
      </c>
      <c r="C136" s="95" t="str">
        <f>VLOOKUP($F136,Admin!$D$11:$F$19,2,FALSE)</f>
        <v>Kísérleti fejlesztés</v>
      </c>
      <c r="D136" s="138" t="s">
        <v>123</v>
      </c>
      <c r="E136" s="95" t="str">
        <f>VLOOKUP($F136,Admin!$D$11:$F$19,3,FALSE)</f>
        <v>54. Bérköltség - Kutató-fejlesztő munkatárs</v>
      </c>
      <c r="F136" s="139" t="s">
        <v>213</v>
      </c>
      <c r="G136" s="100" t="s">
        <v>179</v>
      </c>
      <c r="H136" s="100" t="s">
        <v>229</v>
      </c>
      <c r="I136" s="139" t="str">
        <f>VLOOKUP($F136,Admin!$D$11:$G$19,4,FALSE)</f>
        <v>K+F munkatárs</v>
      </c>
      <c r="J136" s="100" t="s">
        <v>257</v>
      </c>
      <c r="K136" s="95" t="str">
        <f t="shared" si="65"/>
        <v>2023.01</v>
      </c>
      <c r="L136" s="101" t="s">
        <v>6</v>
      </c>
      <c r="M136" s="96" t="s">
        <v>70</v>
      </c>
      <c r="N136" s="102">
        <v>340000</v>
      </c>
      <c r="O136" s="97">
        <f t="shared" si="193"/>
        <v>44200</v>
      </c>
      <c r="P136" s="104">
        <v>174</v>
      </c>
      <c r="Q136" s="104">
        <v>174</v>
      </c>
      <c r="R136" s="215">
        <f t="shared" si="194"/>
        <v>1</v>
      </c>
      <c r="S136" s="105">
        <f t="shared" si="195"/>
        <v>340000</v>
      </c>
      <c r="T136" s="98">
        <f t="shared" si="196"/>
        <v>44200</v>
      </c>
      <c r="U136" s="70">
        <f t="shared" si="197"/>
        <v>0</v>
      </c>
      <c r="V136" s="191">
        <v>0.13</v>
      </c>
      <c r="W136" s="209" t="s">
        <v>269</v>
      </c>
      <c r="X136" s="17">
        <v>44853</v>
      </c>
      <c r="Y136" s="12" t="s">
        <v>66</v>
      </c>
      <c r="Z136" s="12"/>
      <c r="AA136" s="12"/>
      <c r="AB136" s="3">
        <v>1</v>
      </c>
      <c r="AC136" s="204" t="s">
        <v>315</v>
      </c>
      <c r="AD136" s="216">
        <v>0</v>
      </c>
      <c r="AE136" s="216">
        <v>0</v>
      </c>
    </row>
    <row r="137" spans="1:31" s="3" customFormat="1" ht="14.45" customHeight="1" x14ac:dyDescent="0.25">
      <c r="A137" s="141"/>
      <c r="B137" s="99" t="s">
        <v>184</v>
      </c>
      <c r="C137" s="95" t="str">
        <f>VLOOKUP($F137,Admin!$D$11:$F$19,2,FALSE)</f>
        <v>Kísérleti fejlesztés</v>
      </c>
      <c r="D137" s="138" t="s">
        <v>123</v>
      </c>
      <c r="E137" s="95" t="str">
        <f>VLOOKUP($F137,Admin!$D$11:$F$19,3,FALSE)</f>
        <v>54. Bérköltség - Kutató-fejlesztő munkatárs</v>
      </c>
      <c r="F137" s="139" t="s">
        <v>213</v>
      </c>
      <c r="G137" s="100" t="s">
        <v>179</v>
      </c>
      <c r="H137" s="100" t="s">
        <v>229</v>
      </c>
      <c r="I137" s="139" t="str">
        <f>VLOOKUP($F137,Admin!$D$11:$G$19,4,FALSE)</f>
        <v>K+F munkatárs</v>
      </c>
      <c r="J137" s="100" t="s">
        <v>295</v>
      </c>
      <c r="K137" s="95" t="str">
        <f t="shared" ref="K137:K139" si="198">J137</f>
        <v>2023.02</v>
      </c>
      <c r="L137" s="101" t="s">
        <v>6</v>
      </c>
      <c r="M137" s="96" t="s">
        <v>70</v>
      </c>
      <c r="N137" s="102">
        <v>340000</v>
      </c>
      <c r="O137" s="97">
        <f t="shared" ref="O137" si="199">ROUND(N137*V137,0)</f>
        <v>44200</v>
      </c>
      <c r="P137" s="104">
        <v>174</v>
      </c>
      <c r="Q137" s="104">
        <v>174</v>
      </c>
      <c r="R137" s="215">
        <f t="shared" ref="R137" si="200">Q137/P137</f>
        <v>1</v>
      </c>
      <c r="S137" s="105">
        <f t="shared" ref="S137" si="201">ROUND(N137*Q137/P137,0)</f>
        <v>340000</v>
      </c>
      <c r="T137" s="98">
        <f t="shared" ref="T137" si="202">ROUND(S137*V137,0)</f>
        <v>44200</v>
      </c>
      <c r="U137" s="70">
        <f t="shared" ref="U137" si="203">Q137/P137-S137/N137</f>
        <v>0</v>
      </c>
      <c r="V137" s="191">
        <v>0.13</v>
      </c>
      <c r="W137" s="209" t="s">
        <v>269</v>
      </c>
      <c r="X137" s="17">
        <v>44938</v>
      </c>
      <c r="Y137" s="12" t="s">
        <v>66</v>
      </c>
      <c r="Z137" s="12"/>
      <c r="AA137" s="12"/>
      <c r="AB137" s="3">
        <v>1</v>
      </c>
      <c r="AC137" s="3" t="s">
        <v>315</v>
      </c>
      <c r="AD137" s="3">
        <v>0</v>
      </c>
      <c r="AE137" s="3">
        <v>0</v>
      </c>
    </row>
    <row r="138" spans="1:31" s="3" customFormat="1" ht="14.45" customHeight="1" x14ac:dyDescent="0.25">
      <c r="A138" s="141"/>
      <c r="B138" s="99" t="s">
        <v>184</v>
      </c>
      <c r="C138" s="95" t="str">
        <f>VLOOKUP($F138,Admin!$D$11:$F$19,2,FALSE)</f>
        <v>Kísérleti fejlesztés</v>
      </c>
      <c r="D138" s="138" t="s">
        <v>123</v>
      </c>
      <c r="E138" s="95" t="str">
        <f>VLOOKUP($F138,Admin!$D$11:$F$19,3,FALSE)</f>
        <v>54. Bérköltség - Kutató-fejlesztő munkatárs</v>
      </c>
      <c r="F138" s="139" t="s">
        <v>213</v>
      </c>
      <c r="G138" s="100" t="s">
        <v>179</v>
      </c>
      <c r="H138" s="100" t="s">
        <v>229</v>
      </c>
      <c r="I138" s="139" t="str">
        <f>VLOOKUP($F138,Admin!$D$11:$G$19,4,FALSE)</f>
        <v>K+F munkatárs</v>
      </c>
      <c r="J138" s="100" t="s">
        <v>296</v>
      </c>
      <c r="K138" s="95" t="str">
        <f t="shared" si="198"/>
        <v>2023.03</v>
      </c>
      <c r="L138" s="101" t="s">
        <v>6</v>
      </c>
      <c r="M138" s="96" t="s">
        <v>70</v>
      </c>
      <c r="N138" s="102">
        <v>340000</v>
      </c>
      <c r="O138" s="97">
        <f t="shared" ref="O138:O139" si="204">ROUND(N138*V138,0)</f>
        <v>44200</v>
      </c>
      <c r="P138" s="104">
        <v>174</v>
      </c>
      <c r="Q138" s="104">
        <v>174</v>
      </c>
      <c r="R138" s="215">
        <f t="shared" ref="R138:R139" si="205">Q138/P138</f>
        <v>1</v>
      </c>
      <c r="S138" s="105">
        <f t="shared" ref="S138:S139" si="206">ROUND(N138*Q138/P138,0)</f>
        <v>340000</v>
      </c>
      <c r="T138" s="98">
        <f t="shared" ref="T138:T139" si="207">ROUND(S138*V138,0)</f>
        <v>44200</v>
      </c>
      <c r="U138" s="70">
        <f t="shared" ref="U138:U139" si="208">Q138/P138-S138/N138</f>
        <v>0</v>
      </c>
      <c r="V138" s="191">
        <v>0.13</v>
      </c>
      <c r="W138" s="209" t="s">
        <v>269</v>
      </c>
      <c r="X138" s="17">
        <v>44938</v>
      </c>
      <c r="Y138" s="12" t="s">
        <v>66</v>
      </c>
      <c r="Z138" s="12"/>
      <c r="AA138" s="12"/>
      <c r="AB138" s="3">
        <v>1</v>
      </c>
      <c r="AC138" s="3" t="s">
        <v>315</v>
      </c>
      <c r="AD138" s="3">
        <v>0</v>
      </c>
      <c r="AE138" s="3">
        <v>0</v>
      </c>
    </row>
    <row r="139" spans="1:31" s="3" customFormat="1" ht="14.45" customHeight="1" x14ac:dyDescent="0.25">
      <c r="A139" s="141"/>
      <c r="B139" s="99" t="s">
        <v>184</v>
      </c>
      <c r="C139" s="95" t="str">
        <f>VLOOKUP($F139,Admin!$D$11:$F$19,2,FALSE)</f>
        <v>Kísérleti fejlesztés</v>
      </c>
      <c r="D139" s="138" t="s">
        <v>123</v>
      </c>
      <c r="E139" s="95" t="str">
        <f>VLOOKUP($F139,Admin!$D$11:$F$19,3,FALSE)</f>
        <v>54. Bérköltség - Kutató-fejlesztő munkatárs</v>
      </c>
      <c r="F139" s="139" t="s">
        <v>213</v>
      </c>
      <c r="G139" s="100" t="s">
        <v>179</v>
      </c>
      <c r="H139" s="100" t="s">
        <v>229</v>
      </c>
      <c r="I139" s="139" t="str">
        <f>VLOOKUP($F139,Admin!$D$11:$G$19,4,FALSE)</f>
        <v>K+F munkatárs</v>
      </c>
      <c r="J139" s="100" t="s">
        <v>297</v>
      </c>
      <c r="K139" s="95" t="str">
        <f t="shared" si="198"/>
        <v>2023.04</v>
      </c>
      <c r="L139" s="101" t="s">
        <v>7</v>
      </c>
      <c r="M139" s="96" t="s">
        <v>70</v>
      </c>
      <c r="N139" s="102">
        <v>340000</v>
      </c>
      <c r="O139" s="97">
        <f t="shared" si="204"/>
        <v>44200</v>
      </c>
      <c r="P139" s="104">
        <v>174</v>
      </c>
      <c r="Q139" s="104">
        <v>174</v>
      </c>
      <c r="R139" s="215">
        <f t="shared" si="205"/>
        <v>1</v>
      </c>
      <c r="S139" s="105">
        <f t="shared" si="206"/>
        <v>340000</v>
      </c>
      <c r="T139" s="98">
        <f t="shared" si="207"/>
        <v>44200</v>
      </c>
      <c r="U139" s="70">
        <f t="shared" si="208"/>
        <v>0</v>
      </c>
      <c r="V139" s="191">
        <v>0.13</v>
      </c>
      <c r="W139" s="209" t="s">
        <v>269</v>
      </c>
      <c r="X139" s="17">
        <v>44938</v>
      </c>
      <c r="Y139" s="12" t="s">
        <v>66</v>
      </c>
      <c r="Z139" s="12"/>
      <c r="AA139" s="12"/>
    </row>
    <row r="140" spans="1:31" s="3" customFormat="1" ht="14.45" customHeight="1" x14ac:dyDescent="0.25">
      <c r="A140" s="141">
        <v>1</v>
      </c>
      <c r="B140" s="99" t="s">
        <v>185</v>
      </c>
      <c r="C140" s="95" t="str">
        <f>VLOOKUP($F140,Admin!$D$11:$F$19,2,FALSE)</f>
        <v>Alkalmazott (ipari) kutatás</v>
      </c>
      <c r="D140" s="138" t="s">
        <v>123</v>
      </c>
      <c r="E140" s="95" t="str">
        <f>VLOOKUP($F140,Admin!$D$11:$F$19,3,FALSE)</f>
        <v>54. Bérköltség - Kutató-fejlesztő munkatárs</v>
      </c>
      <c r="F140" s="139" t="s">
        <v>212</v>
      </c>
      <c r="G140" s="100" t="s">
        <v>179</v>
      </c>
      <c r="H140" s="100" t="s">
        <v>230</v>
      </c>
      <c r="I140" s="139" t="str">
        <f>VLOOKUP($F140,Admin!$D$11:$G$19,4,FALSE)</f>
        <v>K+F munkatárs</v>
      </c>
      <c r="J140" s="100" t="s">
        <v>221</v>
      </c>
      <c r="K140" s="95" t="str">
        <f t="shared" si="65"/>
        <v>2020.06</v>
      </c>
      <c r="L140" s="101" t="s">
        <v>6</v>
      </c>
      <c r="M140" s="96" t="s">
        <v>70</v>
      </c>
      <c r="N140" s="102">
        <v>250000</v>
      </c>
      <c r="O140" s="97">
        <f t="shared" si="66"/>
        <v>43750</v>
      </c>
      <c r="P140" s="104">
        <v>174</v>
      </c>
      <c r="Q140" s="104">
        <v>174</v>
      </c>
      <c r="R140" s="215">
        <f t="shared" si="62"/>
        <v>1</v>
      </c>
      <c r="S140" s="105">
        <f t="shared" si="5"/>
        <v>250000</v>
      </c>
      <c r="T140" s="98">
        <f t="shared" si="67"/>
        <v>43750</v>
      </c>
      <c r="U140" s="70">
        <f t="shared" si="64"/>
        <v>0</v>
      </c>
      <c r="V140" s="140">
        <v>0.17499999999999999</v>
      </c>
      <c r="W140" s="209"/>
      <c r="X140" s="17">
        <v>43934</v>
      </c>
      <c r="Y140" s="12" t="s">
        <v>66</v>
      </c>
      <c r="Z140" s="12"/>
      <c r="AA140" s="12"/>
      <c r="AB140" s="3">
        <v>1</v>
      </c>
    </row>
    <row r="141" spans="1:31" s="3" customFormat="1" ht="14.45" customHeight="1" x14ac:dyDescent="0.25">
      <c r="A141" s="141">
        <v>1</v>
      </c>
      <c r="B141" s="99" t="s">
        <v>185</v>
      </c>
      <c r="C141" s="95" t="str">
        <f>VLOOKUP($F141,Admin!$D$11:$F$19,2,FALSE)</f>
        <v>Alkalmazott (ipari) kutatás</v>
      </c>
      <c r="D141" s="138" t="s">
        <v>123</v>
      </c>
      <c r="E141" s="95" t="str">
        <f>VLOOKUP($F141,Admin!$D$11:$F$19,3,FALSE)</f>
        <v>54. Bérköltség - Kutató-fejlesztő munkatárs</v>
      </c>
      <c r="F141" s="139" t="s">
        <v>212</v>
      </c>
      <c r="G141" s="100" t="s">
        <v>179</v>
      </c>
      <c r="H141" s="100" t="s">
        <v>230</v>
      </c>
      <c r="I141" s="139" t="str">
        <f>VLOOKUP($F141,Admin!$D$11:$G$19,4,FALSE)</f>
        <v>K+F munkatárs</v>
      </c>
      <c r="J141" s="100" t="s">
        <v>222</v>
      </c>
      <c r="K141" s="95" t="str">
        <f t="shared" si="65"/>
        <v>2020.07</v>
      </c>
      <c r="L141" s="101" t="s">
        <v>6</v>
      </c>
      <c r="M141" s="96" t="s">
        <v>70</v>
      </c>
      <c r="N141" s="102">
        <v>250000</v>
      </c>
      <c r="O141" s="97">
        <f t="shared" si="66"/>
        <v>38750</v>
      </c>
      <c r="P141" s="104">
        <v>174</v>
      </c>
      <c r="Q141" s="104">
        <v>174</v>
      </c>
      <c r="R141" s="215">
        <f t="shared" si="62"/>
        <v>1</v>
      </c>
      <c r="S141" s="105">
        <f t="shared" si="5"/>
        <v>250000</v>
      </c>
      <c r="T141" s="98">
        <f t="shared" si="67"/>
        <v>38750</v>
      </c>
      <c r="U141" s="70">
        <f t="shared" si="64"/>
        <v>0</v>
      </c>
      <c r="V141" s="140">
        <v>0.155</v>
      </c>
      <c r="W141" s="209"/>
      <c r="X141" s="17">
        <v>43934</v>
      </c>
      <c r="Y141" s="12" t="s">
        <v>66</v>
      </c>
      <c r="Z141" s="12"/>
      <c r="AA141" s="12"/>
      <c r="AB141" s="3">
        <v>1</v>
      </c>
    </row>
    <row r="142" spans="1:31" s="3" customFormat="1" ht="14.45" customHeight="1" x14ac:dyDescent="0.25">
      <c r="A142" s="141">
        <v>1</v>
      </c>
      <c r="B142" s="99" t="s">
        <v>185</v>
      </c>
      <c r="C142" s="95" t="str">
        <f>VLOOKUP($F142,Admin!$D$11:$F$19,2,FALSE)</f>
        <v>Alkalmazott (ipari) kutatás</v>
      </c>
      <c r="D142" s="138" t="s">
        <v>123</v>
      </c>
      <c r="E142" s="95" t="str">
        <f>VLOOKUP($F142,Admin!$D$11:$F$19,3,FALSE)</f>
        <v>54. Bérköltség - Kutató-fejlesztő munkatárs</v>
      </c>
      <c r="F142" s="139" t="s">
        <v>212</v>
      </c>
      <c r="G142" s="100" t="s">
        <v>179</v>
      </c>
      <c r="H142" s="100" t="s">
        <v>229</v>
      </c>
      <c r="I142" s="139" t="str">
        <f>VLOOKUP($F142,Admin!$D$11:$G$19,4,FALSE)</f>
        <v>K+F munkatárs</v>
      </c>
      <c r="J142" s="100" t="s">
        <v>223</v>
      </c>
      <c r="K142" s="95" t="str">
        <f t="shared" si="65"/>
        <v>2020.08</v>
      </c>
      <c r="L142" s="101" t="s">
        <v>6</v>
      </c>
      <c r="M142" s="96" t="s">
        <v>70</v>
      </c>
      <c r="N142" s="102">
        <v>250000</v>
      </c>
      <c r="O142" s="97">
        <f t="shared" si="66"/>
        <v>38750</v>
      </c>
      <c r="P142" s="104">
        <v>174</v>
      </c>
      <c r="Q142" s="104">
        <v>174</v>
      </c>
      <c r="R142" s="215">
        <f t="shared" si="62"/>
        <v>1</v>
      </c>
      <c r="S142" s="105">
        <f t="shared" si="5"/>
        <v>250000</v>
      </c>
      <c r="T142" s="98">
        <f t="shared" si="67"/>
        <v>38750</v>
      </c>
      <c r="U142" s="70">
        <f t="shared" si="64"/>
        <v>0</v>
      </c>
      <c r="V142" s="140">
        <v>0.155</v>
      </c>
      <c r="W142" s="209"/>
      <c r="X142" s="17">
        <v>43934</v>
      </c>
      <c r="Y142" s="12" t="s">
        <v>66</v>
      </c>
      <c r="Z142" s="12"/>
      <c r="AA142" s="12"/>
      <c r="AB142" s="3">
        <v>1</v>
      </c>
    </row>
    <row r="143" spans="1:31" s="3" customFormat="1" ht="14.45" customHeight="1" x14ac:dyDescent="0.25">
      <c r="A143" s="141">
        <v>1</v>
      </c>
      <c r="B143" s="99" t="s">
        <v>185</v>
      </c>
      <c r="C143" s="95" t="str">
        <f>VLOOKUP($F143,Admin!$D$11:$F$19,2,FALSE)</f>
        <v>Alkalmazott (ipari) kutatás</v>
      </c>
      <c r="D143" s="138" t="s">
        <v>123</v>
      </c>
      <c r="E143" s="95" t="str">
        <f>VLOOKUP($F143,Admin!$D$11:$F$19,3,FALSE)</f>
        <v>54. Bérköltség - Kutató-fejlesztő munkatárs</v>
      </c>
      <c r="F143" s="139" t="s">
        <v>212</v>
      </c>
      <c r="G143" s="100" t="s">
        <v>179</v>
      </c>
      <c r="H143" s="100" t="s">
        <v>229</v>
      </c>
      <c r="I143" s="139" t="str">
        <f>VLOOKUP($F143,Admin!$D$11:$G$19,4,FALSE)</f>
        <v>K+F munkatárs</v>
      </c>
      <c r="J143" s="100" t="s">
        <v>224</v>
      </c>
      <c r="K143" s="95" t="str">
        <f t="shared" si="65"/>
        <v>2020.09</v>
      </c>
      <c r="L143" s="101" t="s">
        <v>6</v>
      </c>
      <c r="M143" s="96" t="s">
        <v>70</v>
      </c>
      <c r="N143" s="102">
        <v>250000</v>
      </c>
      <c r="O143" s="97">
        <f t="shared" si="66"/>
        <v>38750</v>
      </c>
      <c r="P143" s="104">
        <v>174</v>
      </c>
      <c r="Q143" s="104">
        <v>174</v>
      </c>
      <c r="R143" s="215">
        <f t="shared" si="62"/>
        <v>1</v>
      </c>
      <c r="S143" s="105">
        <f t="shared" si="5"/>
        <v>250000</v>
      </c>
      <c r="T143" s="98">
        <f t="shared" si="67"/>
        <v>38750</v>
      </c>
      <c r="U143" s="70">
        <f t="shared" si="64"/>
        <v>0</v>
      </c>
      <c r="V143" s="140">
        <v>0.155</v>
      </c>
      <c r="W143" s="209"/>
      <c r="X143" s="17">
        <v>43934</v>
      </c>
      <c r="Y143" s="12" t="s">
        <v>66</v>
      </c>
      <c r="Z143" s="12"/>
      <c r="AA143" s="12"/>
      <c r="AB143" s="3">
        <v>1</v>
      </c>
    </row>
    <row r="144" spans="1:31" s="3" customFormat="1" ht="14.45" customHeight="1" x14ac:dyDescent="0.25">
      <c r="A144" s="141">
        <v>1</v>
      </c>
      <c r="B144" s="99" t="s">
        <v>185</v>
      </c>
      <c r="C144" s="95" t="str">
        <f>VLOOKUP($F144,Admin!$D$11:$F$19,2,FALSE)</f>
        <v>Alkalmazott (ipari) kutatás</v>
      </c>
      <c r="D144" s="138" t="s">
        <v>123</v>
      </c>
      <c r="E144" s="95" t="str">
        <f>VLOOKUP($F144,Admin!$D$11:$F$19,3,FALSE)</f>
        <v>54. Bérköltség - Kutató-fejlesztő munkatárs</v>
      </c>
      <c r="F144" s="139" t="s">
        <v>212</v>
      </c>
      <c r="G144" s="100" t="s">
        <v>179</v>
      </c>
      <c r="H144" s="100" t="s">
        <v>229</v>
      </c>
      <c r="I144" s="139" t="str">
        <f>VLOOKUP($F144,Admin!$D$11:$G$19,4,FALSE)</f>
        <v>K+F munkatárs</v>
      </c>
      <c r="J144" s="100" t="s">
        <v>225</v>
      </c>
      <c r="K144" s="95" t="str">
        <f t="shared" si="65"/>
        <v>2020.10</v>
      </c>
      <c r="L144" s="101" t="s">
        <v>6</v>
      </c>
      <c r="M144" s="96" t="s">
        <v>70</v>
      </c>
      <c r="N144" s="102">
        <v>250000</v>
      </c>
      <c r="O144" s="97">
        <f t="shared" si="66"/>
        <v>38750</v>
      </c>
      <c r="P144" s="104">
        <v>174</v>
      </c>
      <c r="Q144" s="104">
        <v>174</v>
      </c>
      <c r="R144" s="215">
        <f t="shared" si="62"/>
        <v>1</v>
      </c>
      <c r="S144" s="105">
        <f t="shared" si="5"/>
        <v>250000</v>
      </c>
      <c r="T144" s="98">
        <f t="shared" si="67"/>
        <v>38750</v>
      </c>
      <c r="U144" s="70">
        <f t="shared" si="64"/>
        <v>0</v>
      </c>
      <c r="V144" s="140">
        <v>0.155</v>
      </c>
      <c r="W144" s="209"/>
      <c r="X144" s="17">
        <v>43934</v>
      </c>
      <c r="Y144" s="12" t="s">
        <v>66</v>
      </c>
      <c r="Z144" s="12"/>
      <c r="AA144" s="12"/>
      <c r="AB144" s="3">
        <v>1</v>
      </c>
    </row>
    <row r="145" spans="1:28" s="3" customFormat="1" ht="14.45" customHeight="1" x14ac:dyDescent="0.25">
      <c r="A145" s="141">
        <v>1</v>
      </c>
      <c r="B145" s="99" t="s">
        <v>185</v>
      </c>
      <c r="C145" s="95" t="str">
        <f>VLOOKUP($F145,Admin!$D$11:$F$19,2,FALSE)</f>
        <v>Alkalmazott (ipari) kutatás</v>
      </c>
      <c r="D145" s="138" t="s">
        <v>123</v>
      </c>
      <c r="E145" s="95" t="str">
        <f>VLOOKUP($F145,Admin!$D$11:$F$19,3,FALSE)</f>
        <v>54. Bérköltség - Kutató-fejlesztő munkatárs</v>
      </c>
      <c r="F145" s="139" t="s">
        <v>212</v>
      </c>
      <c r="G145" s="100" t="s">
        <v>179</v>
      </c>
      <c r="H145" s="100" t="s">
        <v>229</v>
      </c>
      <c r="I145" s="139" t="str">
        <f>VLOOKUP($F145,Admin!$D$11:$G$19,4,FALSE)</f>
        <v>K+F munkatárs</v>
      </c>
      <c r="J145" s="100" t="s">
        <v>226</v>
      </c>
      <c r="K145" s="95" t="str">
        <f t="shared" si="65"/>
        <v>2020.11</v>
      </c>
      <c r="L145" s="101" t="s">
        <v>6</v>
      </c>
      <c r="M145" s="96" t="s">
        <v>70</v>
      </c>
      <c r="N145" s="102">
        <v>250000</v>
      </c>
      <c r="O145" s="97">
        <f t="shared" si="66"/>
        <v>38750</v>
      </c>
      <c r="P145" s="104">
        <v>174</v>
      </c>
      <c r="Q145" s="104">
        <v>174</v>
      </c>
      <c r="R145" s="215">
        <f t="shared" si="62"/>
        <v>1</v>
      </c>
      <c r="S145" s="105">
        <f t="shared" si="5"/>
        <v>250000</v>
      </c>
      <c r="T145" s="98">
        <f t="shared" si="67"/>
        <v>38750</v>
      </c>
      <c r="U145" s="70">
        <f t="shared" si="64"/>
        <v>0</v>
      </c>
      <c r="V145" s="140">
        <v>0.155</v>
      </c>
      <c r="W145" s="209"/>
      <c r="X145" s="17">
        <v>43934</v>
      </c>
      <c r="Y145" s="12" t="s">
        <v>66</v>
      </c>
      <c r="Z145" s="12"/>
      <c r="AA145" s="12"/>
      <c r="AB145" s="3">
        <v>1</v>
      </c>
    </row>
    <row r="146" spans="1:28" s="3" customFormat="1" ht="14.45" customHeight="1" x14ac:dyDescent="0.25">
      <c r="A146" s="141">
        <v>1</v>
      </c>
      <c r="B146" s="99" t="s">
        <v>185</v>
      </c>
      <c r="C146" s="95" t="str">
        <f>VLOOKUP($F146,Admin!$D$11:$F$19,2,FALSE)</f>
        <v>Alkalmazott (ipari) kutatás</v>
      </c>
      <c r="D146" s="138" t="s">
        <v>123</v>
      </c>
      <c r="E146" s="95" t="str">
        <f>VLOOKUP($F146,Admin!$D$11:$F$19,3,FALSE)</f>
        <v>54. Bérköltség - Kutató-fejlesztő munkatárs</v>
      </c>
      <c r="F146" s="139" t="s">
        <v>212</v>
      </c>
      <c r="G146" s="100" t="s">
        <v>179</v>
      </c>
      <c r="H146" s="100" t="s">
        <v>229</v>
      </c>
      <c r="I146" s="139" t="str">
        <f>VLOOKUP($F146,Admin!$D$11:$G$19,4,FALSE)</f>
        <v>K+F munkatárs</v>
      </c>
      <c r="J146" s="100" t="s">
        <v>30</v>
      </c>
      <c r="K146" s="95" t="str">
        <f t="shared" si="65"/>
        <v>2020.12</v>
      </c>
      <c r="L146" s="101" t="s">
        <v>6</v>
      </c>
      <c r="M146" s="96" t="s">
        <v>70</v>
      </c>
      <c r="N146" s="102">
        <v>250000</v>
      </c>
      <c r="O146" s="97">
        <f t="shared" si="66"/>
        <v>38750</v>
      </c>
      <c r="P146" s="104">
        <v>174</v>
      </c>
      <c r="Q146" s="104">
        <v>174</v>
      </c>
      <c r="R146" s="215">
        <f t="shared" si="62"/>
        <v>1</v>
      </c>
      <c r="S146" s="105">
        <f t="shared" si="5"/>
        <v>250000</v>
      </c>
      <c r="T146" s="98">
        <f t="shared" si="67"/>
        <v>38750</v>
      </c>
      <c r="U146" s="70">
        <f t="shared" si="64"/>
        <v>0</v>
      </c>
      <c r="V146" s="140">
        <v>0.155</v>
      </c>
      <c r="W146" s="209"/>
      <c r="X146" s="17">
        <v>44076</v>
      </c>
      <c r="Y146" s="12" t="s">
        <v>66</v>
      </c>
      <c r="Z146" s="12"/>
      <c r="AA146" s="12"/>
      <c r="AB146" s="3">
        <v>1</v>
      </c>
    </row>
    <row r="147" spans="1:28" s="3" customFormat="1" ht="14.45" customHeight="1" x14ac:dyDescent="0.25">
      <c r="A147" s="141">
        <v>1</v>
      </c>
      <c r="B147" s="99" t="s">
        <v>185</v>
      </c>
      <c r="C147" s="95" t="str">
        <f>VLOOKUP($F147,Admin!$D$11:$F$19,2,FALSE)</f>
        <v>Alkalmazott (ipari) kutatás</v>
      </c>
      <c r="D147" s="138" t="s">
        <v>123</v>
      </c>
      <c r="E147" s="95" t="str">
        <f>VLOOKUP($F147,Admin!$D$11:$F$19,3,FALSE)</f>
        <v>54. Bérköltség - Kutató-fejlesztő munkatárs</v>
      </c>
      <c r="F147" s="139" t="s">
        <v>212</v>
      </c>
      <c r="G147" s="100" t="s">
        <v>179</v>
      </c>
      <c r="H147" s="100" t="s">
        <v>229</v>
      </c>
      <c r="I147" s="139" t="str">
        <f>VLOOKUP($F147,Admin!$D$11:$G$19,4,FALSE)</f>
        <v>K+F munkatárs</v>
      </c>
      <c r="J147" s="100" t="s">
        <v>31</v>
      </c>
      <c r="K147" s="95" t="str">
        <f t="shared" si="65"/>
        <v>2021.01</v>
      </c>
      <c r="L147" s="101" t="s">
        <v>6</v>
      </c>
      <c r="M147" s="96" t="s">
        <v>70</v>
      </c>
      <c r="N147" s="102">
        <v>350000</v>
      </c>
      <c r="O147" s="97">
        <f t="shared" si="66"/>
        <v>54250</v>
      </c>
      <c r="P147" s="104">
        <v>174</v>
      </c>
      <c r="Q147" s="104">
        <v>124</v>
      </c>
      <c r="R147" s="215">
        <f t="shared" si="62"/>
        <v>0.71264367816091956</v>
      </c>
      <c r="S147" s="105">
        <f t="shared" si="5"/>
        <v>249425</v>
      </c>
      <c r="T147" s="98">
        <f t="shared" si="67"/>
        <v>38661</v>
      </c>
      <c r="U147" s="70">
        <f t="shared" si="64"/>
        <v>8.2101806242462771E-7</v>
      </c>
      <c r="V147" s="140">
        <v>0.155</v>
      </c>
      <c r="W147" s="209"/>
      <c r="X147" s="17">
        <v>44168</v>
      </c>
      <c r="Y147" s="12" t="s">
        <v>66</v>
      </c>
      <c r="Z147" s="12"/>
      <c r="AA147" s="12"/>
      <c r="AB147" s="3">
        <v>1</v>
      </c>
    </row>
    <row r="148" spans="1:28" s="3" customFormat="1" ht="14.45" customHeight="1" x14ac:dyDescent="0.25">
      <c r="A148" s="141">
        <v>2</v>
      </c>
      <c r="B148" s="99" t="s">
        <v>185</v>
      </c>
      <c r="C148" s="95" t="str">
        <f>VLOOKUP($F148,Admin!$D$11:$F$19,2,FALSE)</f>
        <v>Kísérleti fejlesztés</v>
      </c>
      <c r="D148" s="138" t="s">
        <v>123</v>
      </c>
      <c r="E148" s="95" t="str">
        <f>VLOOKUP($F148,Admin!$D$11:$F$19,3,FALSE)</f>
        <v>54. Bérköltség - Kutató-fejlesztő munkatárs</v>
      </c>
      <c r="F148" s="139" t="s">
        <v>213</v>
      </c>
      <c r="G148" s="100" t="s">
        <v>179</v>
      </c>
      <c r="H148" s="100" t="s">
        <v>229</v>
      </c>
      <c r="I148" s="139" t="str">
        <f>VLOOKUP($F148,Admin!$D$11:$G$19,4,FALSE)</f>
        <v>K+F munkatárs</v>
      </c>
      <c r="J148" s="100" t="s">
        <v>32</v>
      </c>
      <c r="K148" s="95" t="str">
        <f t="shared" si="65"/>
        <v>2021.02</v>
      </c>
      <c r="L148" s="101" t="s">
        <v>6</v>
      </c>
      <c r="M148" s="96" t="s">
        <v>70</v>
      </c>
      <c r="N148" s="102">
        <v>350000</v>
      </c>
      <c r="O148" s="97">
        <f t="shared" si="66"/>
        <v>54250</v>
      </c>
      <c r="P148" s="104">
        <v>174</v>
      </c>
      <c r="Q148" s="104">
        <v>124</v>
      </c>
      <c r="R148" s="215">
        <f t="shared" si="62"/>
        <v>0.71264367816091956</v>
      </c>
      <c r="S148" s="105">
        <f t="shared" si="5"/>
        <v>249425</v>
      </c>
      <c r="T148" s="98">
        <f t="shared" si="67"/>
        <v>38661</v>
      </c>
      <c r="U148" s="70">
        <f t="shared" si="64"/>
        <v>8.2101806242462771E-7</v>
      </c>
      <c r="V148" s="140">
        <v>0.155</v>
      </c>
      <c r="W148" s="209"/>
      <c r="X148" s="17">
        <v>44168</v>
      </c>
      <c r="Y148" s="12" t="s">
        <v>66</v>
      </c>
      <c r="Z148" s="12"/>
      <c r="AA148" s="12"/>
      <c r="AB148" s="3">
        <v>1</v>
      </c>
    </row>
    <row r="149" spans="1:28" s="3" customFormat="1" ht="14.45" customHeight="1" x14ac:dyDescent="0.25">
      <c r="A149" s="141">
        <v>2</v>
      </c>
      <c r="B149" s="99" t="s">
        <v>185</v>
      </c>
      <c r="C149" s="95" t="str">
        <f>VLOOKUP($F149,Admin!$D$11:$F$19,2,FALSE)</f>
        <v>Kísérleti fejlesztés</v>
      </c>
      <c r="D149" s="138" t="s">
        <v>123</v>
      </c>
      <c r="E149" s="95" t="str">
        <f>VLOOKUP($F149,Admin!$D$11:$F$19,3,FALSE)</f>
        <v>54. Bérköltség - Kutató-fejlesztő munkatárs</v>
      </c>
      <c r="F149" s="139" t="s">
        <v>213</v>
      </c>
      <c r="G149" s="100" t="s">
        <v>179</v>
      </c>
      <c r="H149" s="100" t="s">
        <v>229</v>
      </c>
      <c r="I149" s="139" t="str">
        <f>VLOOKUP($F149,Admin!$D$11:$G$19,4,FALSE)</f>
        <v>K+F munkatárs</v>
      </c>
      <c r="J149" s="100" t="s">
        <v>33</v>
      </c>
      <c r="K149" s="95" t="str">
        <f t="shared" si="65"/>
        <v>2021.03</v>
      </c>
      <c r="L149" s="101" t="s">
        <v>6</v>
      </c>
      <c r="M149" s="96" t="s">
        <v>70</v>
      </c>
      <c r="N149" s="102">
        <v>350000</v>
      </c>
      <c r="O149" s="97">
        <f t="shared" si="66"/>
        <v>54250</v>
      </c>
      <c r="P149" s="104">
        <v>174</v>
      </c>
      <c r="Q149" s="104">
        <v>124</v>
      </c>
      <c r="R149" s="215">
        <f t="shared" si="62"/>
        <v>0.71264367816091956</v>
      </c>
      <c r="S149" s="105">
        <f t="shared" si="5"/>
        <v>249425</v>
      </c>
      <c r="T149" s="98">
        <f t="shared" si="67"/>
        <v>38661</v>
      </c>
      <c r="U149" s="70">
        <f t="shared" si="64"/>
        <v>8.2101806242462771E-7</v>
      </c>
      <c r="V149" s="140">
        <v>0.155</v>
      </c>
      <c r="W149" s="209"/>
      <c r="X149" s="17">
        <v>44168</v>
      </c>
      <c r="Y149" s="12" t="s">
        <v>66</v>
      </c>
      <c r="Z149" s="12"/>
      <c r="AA149" s="12"/>
      <c r="AB149" s="3">
        <v>1</v>
      </c>
    </row>
    <row r="150" spans="1:28" s="3" customFormat="1" ht="14.45" customHeight="1" x14ac:dyDescent="0.25">
      <c r="A150" s="141">
        <v>2</v>
      </c>
      <c r="B150" s="99" t="s">
        <v>185</v>
      </c>
      <c r="C150" s="95" t="str">
        <f>VLOOKUP($F150,Admin!$D$11:$F$19,2,FALSE)</f>
        <v>Kísérleti fejlesztés</v>
      </c>
      <c r="D150" s="138" t="s">
        <v>123</v>
      </c>
      <c r="E150" s="95" t="str">
        <f>VLOOKUP($F150,Admin!$D$11:$F$19,3,FALSE)</f>
        <v>54. Bérköltség - Kutató-fejlesztő munkatárs</v>
      </c>
      <c r="F150" s="139" t="s">
        <v>213</v>
      </c>
      <c r="G150" s="100" t="s">
        <v>179</v>
      </c>
      <c r="H150" s="100" t="s">
        <v>229</v>
      </c>
      <c r="I150" s="139" t="str">
        <f>VLOOKUP($F150,Admin!$D$11:$G$19,4,FALSE)</f>
        <v>K+F munkatárs</v>
      </c>
      <c r="J150" s="100" t="s">
        <v>34</v>
      </c>
      <c r="K150" s="95" t="str">
        <f t="shared" si="65"/>
        <v>2021.04</v>
      </c>
      <c r="L150" s="101" t="s">
        <v>6</v>
      </c>
      <c r="M150" s="96" t="s">
        <v>70</v>
      </c>
      <c r="N150" s="102">
        <v>350000</v>
      </c>
      <c r="O150" s="97">
        <f t="shared" si="66"/>
        <v>54250</v>
      </c>
      <c r="P150" s="104">
        <v>174</v>
      </c>
      <c r="Q150" s="104">
        <v>124</v>
      </c>
      <c r="R150" s="215">
        <f t="shared" si="62"/>
        <v>0.71264367816091956</v>
      </c>
      <c r="S150" s="105">
        <f t="shared" si="5"/>
        <v>249425</v>
      </c>
      <c r="T150" s="98">
        <f t="shared" si="67"/>
        <v>38661</v>
      </c>
      <c r="U150" s="70">
        <f t="shared" si="64"/>
        <v>8.2101806242462771E-7</v>
      </c>
      <c r="V150" s="140">
        <v>0.155</v>
      </c>
      <c r="W150" s="209"/>
      <c r="X150" s="17">
        <v>44168</v>
      </c>
      <c r="Y150" s="12" t="s">
        <v>66</v>
      </c>
      <c r="Z150" s="12"/>
      <c r="AA150" s="12"/>
      <c r="AB150" s="3">
        <v>1</v>
      </c>
    </row>
    <row r="151" spans="1:28" s="3" customFormat="1" ht="14.45" customHeight="1" x14ac:dyDescent="0.25">
      <c r="A151" s="141">
        <v>2</v>
      </c>
      <c r="B151" s="99" t="s">
        <v>185</v>
      </c>
      <c r="C151" s="95" t="str">
        <f>VLOOKUP($F151,Admin!$D$11:$F$19,2,FALSE)</f>
        <v>Kísérleti fejlesztés</v>
      </c>
      <c r="D151" s="138" t="s">
        <v>123</v>
      </c>
      <c r="E151" s="95" t="str">
        <f>VLOOKUP($F151,Admin!$D$11:$F$19,3,FALSE)</f>
        <v>54. Bérköltség - Kutató-fejlesztő munkatárs</v>
      </c>
      <c r="F151" s="139" t="s">
        <v>213</v>
      </c>
      <c r="G151" s="100" t="s">
        <v>179</v>
      </c>
      <c r="H151" s="100" t="s">
        <v>229</v>
      </c>
      <c r="I151" s="139" t="str">
        <f>VLOOKUP($F151,Admin!$D$11:$G$19,4,FALSE)</f>
        <v>K+F munkatárs</v>
      </c>
      <c r="J151" s="100" t="s">
        <v>35</v>
      </c>
      <c r="K151" s="95" t="str">
        <f t="shared" si="65"/>
        <v>2021.05</v>
      </c>
      <c r="L151" s="101" t="s">
        <v>6</v>
      </c>
      <c r="M151" s="96" t="s">
        <v>70</v>
      </c>
      <c r="N151" s="102">
        <v>350000</v>
      </c>
      <c r="O151" s="97">
        <f t="shared" si="66"/>
        <v>54250</v>
      </c>
      <c r="P151" s="104">
        <v>174</v>
      </c>
      <c r="Q151" s="104">
        <v>124</v>
      </c>
      <c r="R151" s="215">
        <f t="shared" si="62"/>
        <v>0.71264367816091956</v>
      </c>
      <c r="S151" s="105">
        <f t="shared" si="5"/>
        <v>249425</v>
      </c>
      <c r="T151" s="98">
        <f t="shared" si="67"/>
        <v>38661</v>
      </c>
      <c r="U151" s="70">
        <f t="shared" si="64"/>
        <v>8.2101806242462771E-7</v>
      </c>
      <c r="V151" s="140">
        <v>0.155</v>
      </c>
      <c r="W151" s="209"/>
      <c r="X151" s="17">
        <v>44168</v>
      </c>
      <c r="Y151" s="12" t="s">
        <v>66</v>
      </c>
      <c r="Z151" s="12"/>
      <c r="AA151" s="12"/>
      <c r="AB151" s="3">
        <v>1</v>
      </c>
    </row>
    <row r="152" spans="1:28" s="3" customFormat="1" ht="14.45" customHeight="1" x14ac:dyDescent="0.25">
      <c r="A152" s="141">
        <v>2</v>
      </c>
      <c r="B152" s="99" t="s">
        <v>185</v>
      </c>
      <c r="C152" s="95" t="str">
        <f>VLOOKUP($F152,Admin!$D$11:$F$19,2,FALSE)</f>
        <v>Kísérleti fejlesztés</v>
      </c>
      <c r="D152" s="138" t="s">
        <v>123</v>
      </c>
      <c r="E152" s="95" t="str">
        <f>VLOOKUP($F152,Admin!$D$11:$F$19,3,FALSE)</f>
        <v>54. Bérköltség - Kutató-fejlesztő munkatárs</v>
      </c>
      <c r="F152" s="139" t="s">
        <v>213</v>
      </c>
      <c r="G152" s="100" t="s">
        <v>179</v>
      </c>
      <c r="H152" s="100" t="s">
        <v>229</v>
      </c>
      <c r="I152" s="139" t="str">
        <f>VLOOKUP($F152,Admin!$D$11:$G$19,4,FALSE)</f>
        <v>K+F munkatárs</v>
      </c>
      <c r="J152" s="100" t="s">
        <v>36</v>
      </c>
      <c r="K152" s="95" t="str">
        <f t="shared" si="65"/>
        <v>2021.06</v>
      </c>
      <c r="L152" s="101" t="s">
        <v>6</v>
      </c>
      <c r="M152" s="96" t="s">
        <v>70</v>
      </c>
      <c r="N152" s="102">
        <v>350000</v>
      </c>
      <c r="O152" s="97">
        <f t="shared" si="66"/>
        <v>54250</v>
      </c>
      <c r="P152" s="104">
        <v>174</v>
      </c>
      <c r="Q152" s="104">
        <v>124</v>
      </c>
      <c r="R152" s="215">
        <f t="shared" si="62"/>
        <v>0.71264367816091956</v>
      </c>
      <c r="S152" s="105">
        <f t="shared" si="5"/>
        <v>249425</v>
      </c>
      <c r="T152" s="98">
        <f t="shared" si="67"/>
        <v>38661</v>
      </c>
      <c r="U152" s="70">
        <f t="shared" si="64"/>
        <v>8.2101806242462771E-7</v>
      </c>
      <c r="V152" s="140">
        <v>0.155</v>
      </c>
      <c r="W152" s="209"/>
      <c r="X152" s="17">
        <v>44168</v>
      </c>
      <c r="Y152" s="12" t="s">
        <v>66</v>
      </c>
      <c r="Z152" s="12"/>
      <c r="AA152" s="12"/>
      <c r="AB152" s="3">
        <v>1</v>
      </c>
    </row>
    <row r="153" spans="1:28" s="3" customFormat="1" ht="14.45" customHeight="1" x14ac:dyDescent="0.25">
      <c r="A153" s="141">
        <v>2</v>
      </c>
      <c r="B153" s="99" t="s">
        <v>185</v>
      </c>
      <c r="C153" s="95" t="str">
        <f>VLOOKUP($F153,Admin!$D$11:$F$19,2,FALSE)</f>
        <v>Kísérleti fejlesztés</v>
      </c>
      <c r="D153" s="138" t="s">
        <v>123</v>
      </c>
      <c r="E153" s="95" t="str">
        <f>VLOOKUP($F153,Admin!$D$11:$F$19,3,FALSE)</f>
        <v>54. Bérköltség - Kutató-fejlesztő munkatárs</v>
      </c>
      <c r="F153" s="139" t="s">
        <v>213</v>
      </c>
      <c r="G153" s="100" t="s">
        <v>179</v>
      </c>
      <c r="H153" s="100" t="s">
        <v>229</v>
      </c>
      <c r="I153" s="139" t="str">
        <f>VLOOKUP($F153,Admin!$D$11:$G$19,4,FALSE)</f>
        <v>K+F munkatárs</v>
      </c>
      <c r="J153" s="100" t="s">
        <v>37</v>
      </c>
      <c r="K153" s="95" t="str">
        <f t="shared" si="65"/>
        <v>2021.07</v>
      </c>
      <c r="L153" s="101" t="s">
        <v>6</v>
      </c>
      <c r="M153" s="96" t="s">
        <v>70</v>
      </c>
      <c r="N153" s="102">
        <v>350000</v>
      </c>
      <c r="O153" s="97">
        <f t="shared" si="66"/>
        <v>54250</v>
      </c>
      <c r="P153" s="104">
        <v>174</v>
      </c>
      <c r="Q153" s="104">
        <v>124</v>
      </c>
      <c r="R153" s="215">
        <f t="shared" si="62"/>
        <v>0.71264367816091956</v>
      </c>
      <c r="S153" s="105">
        <f t="shared" si="5"/>
        <v>249425</v>
      </c>
      <c r="T153" s="98">
        <f t="shared" si="67"/>
        <v>38661</v>
      </c>
      <c r="U153" s="70">
        <f t="shared" si="64"/>
        <v>8.2101806242462771E-7</v>
      </c>
      <c r="V153" s="140">
        <v>0.155</v>
      </c>
      <c r="W153" s="209"/>
      <c r="X153" s="17">
        <v>44349</v>
      </c>
      <c r="Y153" s="12" t="s">
        <v>66</v>
      </c>
      <c r="Z153" s="12"/>
      <c r="AA153" s="12"/>
      <c r="AB153" s="3">
        <v>1</v>
      </c>
    </row>
    <row r="154" spans="1:28" s="3" customFormat="1" ht="14.45" customHeight="1" x14ac:dyDescent="0.25">
      <c r="A154" s="141">
        <v>2</v>
      </c>
      <c r="B154" s="99" t="s">
        <v>185</v>
      </c>
      <c r="C154" s="95" t="str">
        <f>VLOOKUP($F154,Admin!$D$11:$F$19,2,FALSE)</f>
        <v>Kísérleti fejlesztés</v>
      </c>
      <c r="D154" s="138" t="s">
        <v>123</v>
      </c>
      <c r="E154" s="95" t="str">
        <f>VLOOKUP($F154,Admin!$D$11:$F$19,3,FALSE)</f>
        <v>54. Bérköltség - Kutató-fejlesztő munkatárs</v>
      </c>
      <c r="F154" s="139" t="s">
        <v>213</v>
      </c>
      <c r="G154" s="100" t="s">
        <v>179</v>
      </c>
      <c r="H154" s="100" t="s">
        <v>229</v>
      </c>
      <c r="I154" s="139" t="str">
        <f>VLOOKUP($F154,Admin!$D$11:$G$19,4,FALSE)</f>
        <v>K+F munkatárs</v>
      </c>
      <c r="J154" s="100" t="s">
        <v>38</v>
      </c>
      <c r="K154" s="95" t="str">
        <f t="shared" si="65"/>
        <v>2021.08</v>
      </c>
      <c r="L154" s="101" t="s">
        <v>6</v>
      </c>
      <c r="M154" s="96" t="s">
        <v>70</v>
      </c>
      <c r="N154" s="102">
        <v>350000</v>
      </c>
      <c r="O154" s="97">
        <f t="shared" si="66"/>
        <v>54250</v>
      </c>
      <c r="P154" s="104">
        <v>174</v>
      </c>
      <c r="Q154" s="104">
        <v>124</v>
      </c>
      <c r="R154" s="215">
        <f t="shared" si="62"/>
        <v>0.71264367816091956</v>
      </c>
      <c r="S154" s="105">
        <f t="shared" si="5"/>
        <v>249425</v>
      </c>
      <c r="T154" s="98">
        <f t="shared" si="67"/>
        <v>38661</v>
      </c>
      <c r="U154" s="70">
        <f t="shared" si="64"/>
        <v>8.2101806242462771E-7</v>
      </c>
      <c r="V154" s="140">
        <v>0.155</v>
      </c>
      <c r="W154" s="209"/>
      <c r="X154" s="17">
        <v>44349</v>
      </c>
      <c r="Y154" s="12" t="s">
        <v>66</v>
      </c>
      <c r="Z154" s="12"/>
      <c r="AA154" s="12"/>
      <c r="AB154" s="3">
        <v>1</v>
      </c>
    </row>
    <row r="155" spans="1:28" s="3" customFormat="1" ht="14.45" customHeight="1" x14ac:dyDescent="0.25">
      <c r="A155" s="141">
        <v>2</v>
      </c>
      <c r="B155" s="99" t="s">
        <v>185</v>
      </c>
      <c r="C155" s="95" t="str">
        <f>VLOOKUP($F155,Admin!$D$11:$F$19,2,FALSE)</f>
        <v>Kísérleti fejlesztés</v>
      </c>
      <c r="D155" s="138" t="s">
        <v>123</v>
      </c>
      <c r="E155" s="95" t="str">
        <f>VLOOKUP($F155,Admin!$D$11:$F$19,3,FALSE)</f>
        <v>54. Bérköltség - Kutató-fejlesztő munkatárs</v>
      </c>
      <c r="F155" s="139" t="s">
        <v>213</v>
      </c>
      <c r="G155" s="100" t="s">
        <v>179</v>
      </c>
      <c r="H155" s="100" t="s">
        <v>229</v>
      </c>
      <c r="I155" s="139" t="str">
        <f>VLOOKUP($F155,Admin!$D$11:$G$19,4,FALSE)</f>
        <v>K+F munkatárs</v>
      </c>
      <c r="J155" s="100" t="s">
        <v>39</v>
      </c>
      <c r="K155" s="95" t="str">
        <f t="shared" si="65"/>
        <v>2021.09</v>
      </c>
      <c r="L155" s="101" t="s">
        <v>6</v>
      </c>
      <c r="M155" s="96" t="s">
        <v>70</v>
      </c>
      <c r="N155" s="102">
        <v>350000</v>
      </c>
      <c r="O155" s="97">
        <f t="shared" si="66"/>
        <v>54250</v>
      </c>
      <c r="P155" s="104">
        <v>174</v>
      </c>
      <c r="Q155" s="104">
        <v>124</v>
      </c>
      <c r="R155" s="215">
        <f t="shared" si="62"/>
        <v>0.71264367816091956</v>
      </c>
      <c r="S155" s="105">
        <f t="shared" si="5"/>
        <v>249425</v>
      </c>
      <c r="T155" s="98">
        <f t="shared" si="67"/>
        <v>38661</v>
      </c>
      <c r="U155" s="70">
        <f t="shared" si="64"/>
        <v>8.2101806242462771E-7</v>
      </c>
      <c r="V155" s="140">
        <v>0.155</v>
      </c>
      <c r="W155" s="209"/>
      <c r="X155" s="17">
        <v>44349</v>
      </c>
      <c r="Y155" s="12" t="s">
        <v>66</v>
      </c>
      <c r="Z155" s="12"/>
      <c r="AA155" s="12"/>
      <c r="AB155" s="3">
        <v>1</v>
      </c>
    </row>
    <row r="156" spans="1:28" s="3" customFormat="1" ht="14.45" customHeight="1" x14ac:dyDescent="0.25">
      <c r="A156" s="141">
        <v>2</v>
      </c>
      <c r="B156" s="99" t="s">
        <v>185</v>
      </c>
      <c r="C156" s="95" t="str">
        <f>VLOOKUP($F156,Admin!$D$11:$F$19,2,FALSE)</f>
        <v>Kísérleti fejlesztés</v>
      </c>
      <c r="D156" s="138" t="s">
        <v>123</v>
      </c>
      <c r="E156" s="95" t="str">
        <f>VLOOKUP($F156,Admin!$D$11:$F$19,3,FALSE)</f>
        <v>54. Bérköltség - Kutató-fejlesztő munkatárs</v>
      </c>
      <c r="F156" s="139" t="s">
        <v>213</v>
      </c>
      <c r="G156" s="100" t="s">
        <v>179</v>
      </c>
      <c r="H156" s="100" t="s">
        <v>229</v>
      </c>
      <c r="I156" s="139" t="str">
        <f>VLOOKUP($F156,Admin!$D$11:$G$19,4,FALSE)</f>
        <v>K+F munkatárs</v>
      </c>
      <c r="J156" s="100" t="s">
        <v>40</v>
      </c>
      <c r="K156" s="95" t="str">
        <f t="shared" si="65"/>
        <v>2021.10</v>
      </c>
      <c r="L156" s="101" t="s">
        <v>6</v>
      </c>
      <c r="M156" s="96" t="s">
        <v>70</v>
      </c>
      <c r="N156" s="102">
        <v>402500</v>
      </c>
      <c r="O156" s="97">
        <f t="shared" si="66"/>
        <v>62388</v>
      </c>
      <c r="P156" s="104">
        <v>174</v>
      </c>
      <c r="Q156" s="104">
        <v>124</v>
      </c>
      <c r="R156" s="215">
        <f t="shared" si="62"/>
        <v>0.71264367816091956</v>
      </c>
      <c r="S156" s="105">
        <f t="shared" si="5"/>
        <v>286839</v>
      </c>
      <c r="T156" s="98">
        <f t="shared" si="67"/>
        <v>44460</v>
      </c>
      <c r="U156" s="70">
        <f t="shared" si="64"/>
        <v>1.999000499575132E-7</v>
      </c>
      <c r="V156" s="140">
        <v>0.155</v>
      </c>
      <c r="W156" s="209"/>
      <c r="X156" s="17">
        <v>44349</v>
      </c>
      <c r="Y156" s="12" t="s">
        <v>66</v>
      </c>
      <c r="Z156" s="12"/>
      <c r="AA156" s="12"/>
      <c r="AB156" s="3">
        <v>1</v>
      </c>
    </row>
    <row r="157" spans="1:28" s="3" customFormat="1" ht="14.45" customHeight="1" x14ac:dyDescent="0.25">
      <c r="A157" s="141">
        <v>2</v>
      </c>
      <c r="B157" s="99" t="s">
        <v>185</v>
      </c>
      <c r="C157" s="95" t="str">
        <f>VLOOKUP($F157,Admin!$D$11:$F$19,2,FALSE)</f>
        <v>Kísérleti fejlesztés</v>
      </c>
      <c r="D157" s="138" t="s">
        <v>123</v>
      </c>
      <c r="E157" s="95" t="str">
        <f>VLOOKUP($F157,Admin!$D$11:$F$19,3,FALSE)</f>
        <v>54. Bérköltség - Kutató-fejlesztő munkatárs</v>
      </c>
      <c r="F157" s="139" t="s">
        <v>213</v>
      </c>
      <c r="G157" s="100" t="s">
        <v>179</v>
      </c>
      <c r="H157" s="100" t="s">
        <v>229</v>
      </c>
      <c r="I157" s="139" t="str">
        <f>VLOOKUP($F157,Admin!$D$11:$G$19,4,FALSE)</f>
        <v>K+F munkatárs</v>
      </c>
      <c r="J157" s="100" t="s">
        <v>41</v>
      </c>
      <c r="K157" s="95" t="str">
        <f t="shared" si="65"/>
        <v>2021.11</v>
      </c>
      <c r="L157" s="101" t="s">
        <v>6</v>
      </c>
      <c r="M157" s="96" t="s">
        <v>70</v>
      </c>
      <c r="N157" s="102">
        <v>402500</v>
      </c>
      <c r="O157" s="97">
        <f t="shared" si="66"/>
        <v>62388</v>
      </c>
      <c r="P157" s="104">
        <v>174</v>
      </c>
      <c r="Q157" s="104">
        <v>124</v>
      </c>
      <c r="R157" s="215">
        <f t="shared" si="62"/>
        <v>0.71264367816091956</v>
      </c>
      <c r="S157" s="105">
        <f t="shared" si="5"/>
        <v>286839</v>
      </c>
      <c r="T157" s="98">
        <f t="shared" si="67"/>
        <v>44460</v>
      </c>
      <c r="U157" s="70">
        <f t="shared" si="64"/>
        <v>1.999000499575132E-7</v>
      </c>
      <c r="V157" s="140">
        <v>0.155</v>
      </c>
      <c r="W157" s="209"/>
      <c r="X157" s="17">
        <v>44349</v>
      </c>
      <c r="Y157" s="12" t="s">
        <v>66</v>
      </c>
      <c r="Z157" s="12"/>
      <c r="AA157" s="12"/>
      <c r="AB157" s="3">
        <v>1</v>
      </c>
    </row>
    <row r="158" spans="1:28" s="3" customFormat="1" ht="14.45" customHeight="1" x14ac:dyDescent="0.25">
      <c r="A158" s="141">
        <v>2</v>
      </c>
      <c r="B158" s="99" t="s">
        <v>185</v>
      </c>
      <c r="C158" s="95" t="str">
        <f>VLOOKUP($F158,Admin!$D$11:$F$19,2,FALSE)</f>
        <v>Kísérleti fejlesztés</v>
      </c>
      <c r="D158" s="138" t="s">
        <v>123</v>
      </c>
      <c r="E158" s="95" t="str">
        <f>VLOOKUP($F158,Admin!$D$11:$F$19,3,FALSE)</f>
        <v>54. Bérköltség - Kutató-fejlesztő munkatárs</v>
      </c>
      <c r="F158" s="139" t="s">
        <v>213</v>
      </c>
      <c r="G158" s="100" t="s">
        <v>179</v>
      </c>
      <c r="H158" s="100" t="s">
        <v>229</v>
      </c>
      <c r="I158" s="139" t="str">
        <f>VLOOKUP($F158,Admin!$D$11:$G$19,4,FALSE)</f>
        <v>K+F munkatárs</v>
      </c>
      <c r="J158" s="100" t="s">
        <v>42</v>
      </c>
      <c r="K158" s="95" t="str">
        <f t="shared" si="65"/>
        <v>2021.12</v>
      </c>
      <c r="L158" s="101" t="s">
        <v>6</v>
      </c>
      <c r="M158" s="96" t="s">
        <v>70</v>
      </c>
      <c r="N158" s="102">
        <v>402500</v>
      </c>
      <c r="O158" s="97">
        <f t="shared" si="66"/>
        <v>62388</v>
      </c>
      <c r="P158" s="104">
        <v>174</v>
      </c>
      <c r="Q158" s="104">
        <v>124</v>
      </c>
      <c r="R158" s="215">
        <f t="shared" si="62"/>
        <v>0.71264367816091956</v>
      </c>
      <c r="S158" s="105">
        <f t="shared" si="5"/>
        <v>286839</v>
      </c>
      <c r="T158" s="98">
        <f t="shared" si="67"/>
        <v>44460</v>
      </c>
      <c r="U158" s="70">
        <f t="shared" si="64"/>
        <v>1.999000499575132E-7</v>
      </c>
      <c r="V158" s="140">
        <v>0.155</v>
      </c>
      <c r="W158" s="209"/>
      <c r="X158" s="17">
        <v>44349</v>
      </c>
      <c r="Y158" s="12" t="s">
        <v>66</v>
      </c>
      <c r="Z158" s="12"/>
      <c r="AA158" s="12"/>
      <c r="AB158" s="3">
        <v>1</v>
      </c>
    </row>
    <row r="159" spans="1:28" s="3" customFormat="1" ht="14.45" customHeight="1" x14ac:dyDescent="0.25">
      <c r="A159" s="141">
        <v>3</v>
      </c>
      <c r="B159" s="99" t="s">
        <v>239</v>
      </c>
      <c r="C159" s="95" t="str">
        <f>VLOOKUP($F159,Admin!$D$11:$F$19,2,FALSE)</f>
        <v>Kísérleti fejlesztés</v>
      </c>
      <c r="D159" s="138" t="s">
        <v>123</v>
      </c>
      <c r="E159" s="95" t="str">
        <f>VLOOKUP($F159,Admin!$D$11:$F$19,3,FALSE)</f>
        <v>54. Bérköltség - Kutató-fejlesztő munkatárs</v>
      </c>
      <c r="F159" s="139" t="s">
        <v>213</v>
      </c>
      <c r="G159" s="100" t="s">
        <v>180</v>
      </c>
      <c r="H159" s="100" t="s">
        <v>142</v>
      </c>
      <c r="I159" s="139" t="str">
        <f>VLOOKUP($F159,Admin!$D$11:$G$19,4,FALSE)</f>
        <v>K+F munkatárs</v>
      </c>
      <c r="J159" s="100" t="s">
        <v>46</v>
      </c>
      <c r="K159" s="95" t="str">
        <f t="shared" ref="K159" si="209">J159</f>
        <v>2022.04</v>
      </c>
      <c r="L159" s="101" t="s">
        <v>6</v>
      </c>
      <c r="M159" s="96" t="s">
        <v>70</v>
      </c>
      <c r="N159" s="102">
        <v>631000</v>
      </c>
      <c r="O159" s="97">
        <f t="shared" ref="O159" si="210">ROUND(N159*V159,0)</f>
        <v>82030</v>
      </c>
      <c r="P159" s="104">
        <v>174</v>
      </c>
      <c r="Q159" s="104">
        <v>55</v>
      </c>
      <c r="R159" s="215">
        <f t="shared" ref="R159" si="211">Q159/P159</f>
        <v>0.31609195402298851</v>
      </c>
      <c r="S159" s="105">
        <f t="shared" ref="S159" si="212">ROUND(N159*Q159/P159,0)</f>
        <v>199454</v>
      </c>
      <c r="T159" s="98">
        <f t="shared" ref="T159" si="213">ROUND(S159*V159,0)</f>
        <v>25929</v>
      </c>
      <c r="U159" s="70">
        <f t="shared" ref="U159" si="214">Q159/P159-S159/N159</f>
        <v>3.6431863303931777E-8</v>
      </c>
      <c r="V159" s="140">
        <v>0.13</v>
      </c>
      <c r="W159" s="209"/>
      <c r="X159" s="17">
        <v>44644</v>
      </c>
      <c r="Y159" s="12" t="s">
        <v>66</v>
      </c>
      <c r="Z159" s="12"/>
      <c r="AA159" s="12"/>
      <c r="AB159" s="3">
        <v>1</v>
      </c>
    </row>
    <row r="160" spans="1:28" s="3" customFormat="1" ht="14.45" customHeight="1" x14ac:dyDescent="0.25">
      <c r="A160" s="141">
        <v>3</v>
      </c>
      <c r="B160" s="99" t="s">
        <v>239</v>
      </c>
      <c r="C160" s="95" t="str">
        <f>VLOOKUP($F160,Admin!$D$11:$F$19,2,FALSE)</f>
        <v>Kísérleti fejlesztés</v>
      </c>
      <c r="D160" s="138" t="s">
        <v>123</v>
      </c>
      <c r="E160" s="95" t="str">
        <f>VLOOKUP($F160,Admin!$D$11:$F$19,3,FALSE)</f>
        <v>54. Bérköltség - Kutató-fejlesztő munkatárs</v>
      </c>
      <c r="F160" s="139" t="s">
        <v>213</v>
      </c>
      <c r="G160" s="100" t="s">
        <v>180</v>
      </c>
      <c r="H160" s="100" t="s">
        <v>142</v>
      </c>
      <c r="I160" s="139" t="str">
        <f>VLOOKUP($F160,Admin!$D$11:$G$19,4,FALSE)</f>
        <v>K+F munkatárs</v>
      </c>
      <c r="J160" s="100" t="s">
        <v>47</v>
      </c>
      <c r="K160" s="95" t="str">
        <f t="shared" ref="K160:K163" si="215">J160</f>
        <v>2022.05</v>
      </c>
      <c r="L160" s="101" t="s">
        <v>6</v>
      </c>
      <c r="M160" s="96" t="s">
        <v>70</v>
      </c>
      <c r="N160" s="102">
        <v>631000</v>
      </c>
      <c r="O160" s="97">
        <f t="shared" ref="O160:O161" si="216">ROUND(N160*V160,0)</f>
        <v>82030</v>
      </c>
      <c r="P160" s="104">
        <v>174</v>
      </c>
      <c r="Q160" s="104">
        <v>55</v>
      </c>
      <c r="R160" s="215">
        <f t="shared" ref="R160:R161" si="217">Q160/P160</f>
        <v>0.31609195402298851</v>
      </c>
      <c r="S160" s="105">
        <f t="shared" ref="S160:S161" si="218">ROUND(N160*Q160/P160,0)</f>
        <v>199454</v>
      </c>
      <c r="T160" s="98">
        <f t="shared" ref="T160:T161" si="219">ROUND(S160*V160,0)</f>
        <v>25929</v>
      </c>
      <c r="U160" s="70">
        <f t="shared" ref="U160:U161" si="220">Q160/P160-S160/N160</f>
        <v>3.6431863303931777E-8</v>
      </c>
      <c r="V160" s="140">
        <v>0.13</v>
      </c>
      <c r="W160" s="209"/>
      <c r="X160" s="17">
        <v>44644</v>
      </c>
      <c r="Y160" s="12" t="s">
        <v>66</v>
      </c>
      <c r="Z160" s="12"/>
      <c r="AA160" s="12"/>
      <c r="AB160" s="3">
        <v>1</v>
      </c>
    </row>
    <row r="161" spans="1:31" s="3" customFormat="1" ht="14.45" customHeight="1" x14ac:dyDescent="0.25">
      <c r="A161" s="141">
        <v>3</v>
      </c>
      <c r="B161" s="99" t="s">
        <v>239</v>
      </c>
      <c r="C161" s="95" t="str">
        <f>VLOOKUP($F161,Admin!$D$11:$F$19,2,FALSE)</f>
        <v>Kísérleti fejlesztés</v>
      </c>
      <c r="D161" s="138" t="s">
        <v>123</v>
      </c>
      <c r="E161" s="95" t="str">
        <f>VLOOKUP($F161,Admin!$D$11:$F$19,3,FALSE)</f>
        <v>54. Bérköltség - Kutató-fejlesztő munkatárs</v>
      </c>
      <c r="F161" s="139" t="s">
        <v>213</v>
      </c>
      <c r="G161" s="100" t="s">
        <v>180</v>
      </c>
      <c r="H161" s="100" t="s">
        <v>142</v>
      </c>
      <c r="I161" s="139" t="str">
        <f>VLOOKUP($F161,Admin!$D$11:$G$19,4,FALSE)</f>
        <v>K+F munkatárs</v>
      </c>
      <c r="J161" s="100" t="s">
        <v>48</v>
      </c>
      <c r="K161" s="95" t="str">
        <f t="shared" si="215"/>
        <v>2022.06</v>
      </c>
      <c r="L161" s="101" t="s">
        <v>6</v>
      </c>
      <c r="M161" s="96" t="s">
        <v>70</v>
      </c>
      <c r="N161" s="102">
        <v>631000</v>
      </c>
      <c r="O161" s="97">
        <f t="shared" si="216"/>
        <v>82030</v>
      </c>
      <c r="P161" s="104">
        <v>174</v>
      </c>
      <c r="Q161" s="104">
        <v>142</v>
      </c>
      <c r="R161" s="215">
        <f t="shared" si="217"/>
        <v>0.81609195402298851</v>
      </c>
      <c r="S161" s="105">
        <f t="shared" si="218"/>
        <v>514954</v>
      </c>
      <c r="T161" s="98">
        <f t="shared" si="219"/>
        <v>66944</v>
      </c>
      <c r="U161" s="70">
        <f t="shared" si="220"/>
        <v>3.6431863303931777E-8</v>
      </c>
      <c r="V161" s="140">
        <v>0.13</v>
      </c>
      <c r="W161" s="209"/>
      <c r="X161" s="17">
        <v>44713</v>
      </c>
      <c r="Y161" s="12" t="s">
        <v>66</v>
      </c>
      <c r="Z161" s="12"/>
      <c r="AA161" s="12"/>
      <c r="AB161" s="3">
        <v>1</v>
      </c>
    </row>
    <row r="162" spans="1:31" s="3" customFormat="1" ht="14.45" customHeight="1" x14ac:dyDescent="0.25">
      <c r="A162" s="141">
        <v>3</v>
      </c>
      <c r="B162" s="99" t="s">
        <v>239</v>
      </c>
      <c r="C162" s="95" t="str">
        <f>VLOOKUP($F162,Admin!$D$11:$F$19,2,FALSE)</f>
        <v>Kísérleti fejlesztés</v>
      </c>
      <c r="D162" s="138" t="s">
        <v>123</v>
      </c>
      <c r="E162" s="95" t="str">
        <f>VLOOKUP($F162,Admin!$D$11:$F$19,3,FALSE)</f>
        <v>54. Bérköltség - Kutató-fejlesztő munkatárs</v>
      </c>
      <c r="F162" s="139" t="s">
        <v>213</v>
      </c>
      <c r="G162" s="100" t="s">
        <v>180</v>
      </c>
      <c r="H162" s="100" t="s">
        <v>142</v>
      </c>
      <c r="I162" s="139" t="str">
        <f>VLOOKUP($F162,Admin!$D$11:$G$19,4,FALSE)</f>
        <v>K+F munkatárs</v>
      </c>
      <c r="J162" s="100" t="s">
        <v>49</v>
      </c>
      <c r="K162" s="95" t="str">
        <f t="shared" si="215"/>
        <v>2022.07</v>
      </c>
      <c r="L162" s="101" t="s">
        <v>6</v>
      </c>
      <c r="M162" s="96" t="s">
        <v>70</v>
      </c>
      <c r="N162" s="102">
        <v>631000</v>
      </c>
      <c r="O162" s="97">
        <f t="shared" ref="O162:O165" si="221">ROUND(N162*V162,0)</f>
        <v>82030</v>
      </c>
      <c r="P162" s="104">
        <v>174</v>
      </c>
      <c r="Q162" s="104">
        <v>142</v>
      </c>
      <c r="R162" s="215">
        <f t="shared" ref="R162:R165" si="222">Q162/P162</f>
        <v>0.81609195402298851</v>
      </c>
      <c r="S162" s="105">
        <f t="shared" ref="S162:S165" si="223">ROUND(N162*Q162/P162,0)</f>
        <v>514954</v>
      </c>
      <c r="T162" s="98">
        <f t="shared" ref="T162:T165" si="224">ROUND(S162*V162,0)</f>
        <v>66944</v>
      </c>
      <c r="U162" s="70">
        <f t="shared" ref="U162:U165" si="225">Q162/P162-S162/N162</f>
        <v>3.6431863303931777E-8</v>
      </c>
      <c r="V162" s="140">
        <v>0.13</v>
      </c>
      <c r="W162" s="209"/>
      <c r="X162" s="17">
        <v>44713</v>
      </c>
      <c r="Y162" s="12" t="s">
        <v>66</v>
      </c>
      <c r="Z162" s="12"/>
      <c r="AA162" s="12"/>
      <c r="AB162" s="3">
        <v>1</v>
      </c>
    </row>
    <row r="163" spans="1:31" s="3" customFormat="1" ht="14.45" customHeight="1" x14ac:dyDescent="0.25">
      <c r="A163" s="141">
        <v>3</v>
      </c>
      <c r="B163" s="99" t="s">
        <v>239</v>
      </c>
      <c r="C163" s="95" t="str">
        <f>VLOOKUP($F163,Admin!$D$11:$F$19,2,FALSE)</f>
        <v>Kísérleti fejlesztés</v>
      </c>
      <c r="D163" s="138" t="s">
        <v>123</v>
      </c>
      <c r="E163" s="95" t="str">
        <f>VLOOKUP($F163,Admin!$D$11:$F$19,3,FALSE)</f>
        <v>54. Bérköltség - Kutató-fejlesztő munkatárs</v>
      </c>
      <c r="F163" s="139" t="s">
        <v>213</v>
      </c>
      <c r="G163" s="100" t="s">
        <v>180</v>
      </c>
      <c r="H163" s="100" t="s">
        <v>142</v>
      </c>
      <c r="I163" s="139" t="str">
        <f>VLOOKUP($F163,Admin!$D$11:$G$19,4,FALSE)</f>
        <v>K+F munkatárs</v>
      </c>
      <c r="J163" s="100" t="s">
        <v>50</v>
      </c>
      <c r="K163" s="95" t="str">
        <f t="shared" si="215"/>
        <v>2022.08</v>
      </c>
      <c r="L163" s="101" t="s">
        <v>6</v>
      </c>
      <c r="M163" s="96" t="s">
        <v>70</v>
      </c>
      <c r="N163" s="102">
        <v>493826</v>
      </c>
      <c r="O163" s="97">
        <f t="shared" si="221"/>
        <v>64197</v>
      </c>
      <c r="P163" s="104">
        <v>174</v>
      </c>
      <c r="Q163" s="104">
        <v>142</v>
      </c>
      <c r="R163" s="215">
        <f t="shared" si="222"/>
        <v>0.81609195402298851</v>
      </c>
      <c r="S163" s="105">
        <f t="shared" si="223"/>
        <v>403007</v>
      </c>
      <c r="T163" s="98">
        <f t="shared" si="224"/>
        <v>52391</v>
      </c>
      <c r="U163" s="70">
        <f t="shared" si="225"/>
        <v>8.6120892039964758E-7</v>
      </c>
      <c r="V163" s="140">
        <v>0.13</v>
      </c>
      <c r="W163" s="209"/>
      <c r="X163" s="17">
        <v>44713</v>
      </c>
      <c r="Y163" s="12" t="s">
        <v>66</v>
      </c>
      <c r="Z163" s="12"/>
      <c r="AA163" s="12"/>
      <c r="AB163" s="3">
        <v>1</v>
      </c>
    </row>
    <row r="164" spans="1:31" s="3" customFormat="1" ht="14.45" customHeight="1" x14ac:dyDescent="0.25">
      <c r="A164" s="141">
        <v>3</v>
      </c>
      <c r="B164" s="99" t="s">
        <v>239</v>
      </c>
      <c r="C164" s="95" t="str">
        <f>VLOOKUP($F164,Admin!$D$11:$F$19,2,FALSE)</f>
        <v>Kísérleti fejlesztés</v>
      </c>
      <c r="D164" s="138" t="s">
        <v>123</v>
      </c>
      <c r="E164" s="95" t="str">
        <f>VLOOKUP($F164,Admin!$D$11:$F$19,3,FALSE)</f>
        <v>54. Bérköltség - Kutató-fejlesztő munkatárs</v>
      </c>
      <c r="F164" s="139" t="s">
        <v>213</v>
      </c>
      <c r="G164" s="100" t="s">
        <v>180</v>
      </c>
      <c r="H164" s="100" t="s">
        <v>142</v>
      </c>
      <c r="I164" s="139" t="str">
        <f>VLOOKUP($F164,Admin!$D$11:$G$19,4,FALSE)</f>
        <v>K+F munkatárs</v>
      </c>
      <c r="J164" s="100" t="s">
        <v>51</v>
      </c>
      <c r="K164" s="95" t="str">
        <f t="shared" ref="K164:K166" si="226">J164</f>
        <v>2022.09</v>
      </c>
      <c r="L164" s="101" t="s">
        <v>6</v>
      </c>
      <c r="M164" s="96" t="s">
        <v>70</v>
      </c>
      <c r="N164" s="102">
        <v>631000</v>
      </c>
      <c r="O164" s="97">
        <f t="shared" si="221"/>
        <v>82030</v>
      </c>
      <c r="P164" s="104">
        <v>174</v>
      </c>
      <c r="Q164" s="104">
        <v>142</v>
      </c>
      <c r="R164" s="215">
        <f t="shared" si="222"/>
        <v>0.81609195402298851</v>
      </c>
      <c r="S164" s="105">
        <f t="shared" si="223"/>
        <v>514954</v>
      </c>
      <c r="T164" s="98">
        <f t="shared" si="224"/>
        <v>66944</v>
      </c>
      <c r="U164" s="70">
        <f t="shared" si="225"/>
        <v>3.6431863303931777E-8</v>
      </c>
      <c r="V164" s="140">
        <v>0.13</v>
      </c>
      <c r="W164" s="209"/>
      <c r="X164" s="17">
        <v>44713</v>
      </c>
      <c r="Y164" s="12" t="s">
        <v>66</v>
      </c>
      <c r="Z164" s="12"/>
      <c r="AA164" s="12"/>
      <c r="AB164" s="3">
        <v>1</v>
      </c>
    </row>
    <row r="165" spans="1:31" s="3" customFormat="1" ht="14.45" customHeight="1" x14ac:dyDescent="0.25">
      <c r="A165" s="141">
        <v>3</v>
      </c>
      <c r="B165" s="99" t="s">
        <v>239</v>
      </c>
      <c r="C165" s="95" t="str">
        <f>VLOOKUP($F165,Admin!$D$11:$F$19,2,FALSE)</f>
        <v>Kísérleti fejlesztés</v>
      </c>
      <c r="D165" s="138" t="s">
        <v>123</v>
      </c>
      <c r="E165" s="95" t="str">
        <f>VLOOKUP($F165,Admin!$D$11:$F$19,3,FALSE)</f>
        <v>54. Bérköltség - Kutató-fejlesztő munkatárs</v>
      </c>
      <c r="F165" s="139" t="s">
        <v>213</v>
      </c>
      <c r="G165" s="100" t="s">
        <v>180</v>
      </c>
      <c r="H165" s="100" t="s">
        <v>142</v>
      </c>
      <c r="I165" s="139" t="str">
        <f>VLOOKUP($F165,Admin!$D$11:$G$19,4,FALSE)</f>
        <v>K+F munkatárs</v>
      </c>
      <c r="J165" s="100" t="s">
        <v>52</v>
      </c>
      <c r="K165" s="95" t="str">
        <f t="shared" si="226"/>
        <v>2022.10</v>
      </c>
      <c r="L165" s="101" t="s">
        <v>6</v>
      </c>
      <c r="M165" s="96" t="s">
        <v>70</v>
      </c>
      <c r="N165" s="102">
        <v>631000</v>
      </c>
      <c r="O165" s="97">
        <f t="shared" si="221"/>
        <v>82030</v>
      </c>
      <c r="P165" s="104">
        <v>174</v>
      </c>
      <c r="Q165" s="104">
        <v>142</v>
      </c>
      <c r="R165" s="215">
        <f t="shared" si="222"/>
        <v>0.81609195402298851</v>
      </c>
      <c r="S165" s="105">
        <f t="shared" si="223"/>
        <v>514954</v>
      </c>
      <c r="T165" s="98">
        <f t="shared" si="224"/>
        <v>66944</v>
      </c>
      <c r="U165" s="70">
        <f t="shared" si="225"/>
        <v>3.6431863303931777E-8</v>
      </c>
      <c r="V165" s="140">
        <v>0.13</v>
      </c>
      <c r="W165" s="209"/>
      <c r="X165" s="17">
        <v>44826</v>
      </c>
      <c r="Y165" s="12" t="s">
        <v>66</v>
      </c>
      <c r="Z165" s="12"/>
      <c r="AA165" s="12"/>
      <c r="AB165" s="3">
        <v>1</v>
      </c>
    </row>
    <row r="166" spans="1:31" s="3" customFormat="1" ht="14.45" customHeight="1" x14ac:dyDescent="0.25">
      <c r="A166" s="141">
        <v>3</v>
      </c>
      <c r="B166" s="99" t="s">
        <v>239</v>
      </c>
      <c r="C166" s="95" t="str">
        <f>VLOOKUP($F166,Admin!$D$11:$F$19,2,FALSE)</f>
        <v>Kísérleti fejlesztés</v>
      </c>
      <c r="D166" s="138" t="s">
        <v>123</v>
      </c>
      <c r="E166" s="95" t="str">
        <f>VLOOKUP($F166,Admin!$D$11:$F$19,3,FALSE)</f>
        <v>54. Bérköltség - Kutató-fejlesztő munkatárs</v>
      </c>
      <c r="F166" s="139" t="s">
        <v>213</v>
      </c>
      <c r="G166" s="100" t="s">
        <v>180</v>
      </c>
      <c r="H166" s="100" t="s">
        <v>142</v>
      </c>
      <c r="I166" s="139" t="str">
        <f>VLOOKUP($F166,Admin!$D$11:$G$19,4,FALSE)</f>
        <v>K+F munkatárs</v>
      </c>
      <c r="J166" s="100" t="s">
        <v>53</v>
      </c>
      <c r="K166" s="95" t="str">
        <f t="shared" si="226"/>
        <v>2022.11</v>
      </c>
      <c r="L166" s="101" t="s">
        <v>6</v>
      </c>
      <c r="M166" s="96" t="s">
        <v>70</v>
      </c>
      <c r="N166" s="102">
        <v>631000</v>
      </c>
      <c r="O166" s="97">
        <f t="shared" ref="O166:O167" si="227">ROUND(N166*V166,0)</f>
        <v>82030</v>
      </c>
      <c r="P166" s="104">
        <v>174</v>
      </c>
      <c r="Q166" s="104">
        <v>142</v>
      </c>
      <c r="R166" s="215">
        <f t="shared" ref="R166:R167" si="228">Q166/P166</f>
        <v>0.81609195402298851</v>
      </c>
      <c r="S166" s="105">
        <f t="shared" ref="S166:S167" si="229">ROUND(N166*Q166/P166,0)</f>
        <v>514954</v>
      </c>
      <c r="T166" s="98">
        <f t="shared" ref="T166:T167" si="230">ROUND(S166*V166,0)</f>
        <v>66944</v>
      </c>
      <c r="U166" s="70">
        <f t="shared" ref="U166:U167" si="231">Q166/P166-S166/N166</f>
        <v>3.6431863303931777E-8</v>
      </c>
      <c r="V166" s="140">
        <v>0.13</v>
      </c>
      <c r="W166" s="209" t="s">
        <v>270</v>
      </c>
      <c r="X166" s="17">
        <v>44826</v>
      </c>
      <c r="Y166" s="12" t="s">
        <v>66</v>
      </c>
      <c r="Z166" s="12"/>
      <c r="AA166" s="12"/>
      <c r="AB166" s="3">
        <v>1</v>
      </c>
    </row>
    <row r="167" spans="1:31" s="3" customFormat="1" ht="14.45" customHeight="1" x14ac:dyDescent="0.25">
      <c r="A167" s="141">
        <v>3</v>
      </c>
      <c r="B167" s="99" t="s">
        <v>239</v>
      </c>
      <c r="C167" s="95" t="str">
        <f>VLOOKUP($F167,Admin!$D$11:$F$19,2,FALSE)</f>
        <v>Kísérleti fejlesztés</v>
      </c>
      <c r="D167" s="138" t="s">
        <v>123</v>
      </c>
      <c r="E167" s="95" t="str">
        <f>VLOOKUP($F167,Admin!$D$11:$F$19,3,FALSE)</f>
        <v>54. Bérköltség - Kutató-fejlesztő munkatárs</v>
      </c>
      <c r="F167" s="139" t="s">
        <v>213</v>
      </c>
      <c r="G167" s="100" t="s">
        <v>180</v>
      </c>
      <c r="H167" s="100" t="s">
        <v>141</v>
      </c>
      <c r="I167" s="139" t="str">
        <f>VLOOKUP($F167,Admin!$D$11:$G$19,4,FALSE)</f>
        <v>K+F munkatárs</v>
      </c>
      <c r="J167" s="100" t="s">
        <v>54</v>
      </c>
      <c r="K167" s="95" t="str">
        <f t="shared" ref="K167" si="232">J167</f>
        <v>2022.12</v>
      </c>
      <c r="L167" s="101" t="s">
        <v>6</v>
      </c>
      <c r="M167" s="96" t="s">
        <v>70</v>
      </c>
      <c r="N167" s="102">
        <v>631000</v>
      </c>
      <c r="O167" s="97">
        <f t="shared" si="227"/>
        <v>82030</v>
      </c>
      <c r="P167" s="104">
        <v>174</v>
      </c>
      <c r="Q167" s="104">
        <v>142</v>
      </c>
      <c r="R167" s="215">
        <f t="shared" si="228"/>
        <v>0.81609195402298851</v>
      </c>
      <c r="S167" s="105">
        <f t="shared" si="229"/>
        <v>514954</v>
      </c>
      <c r="T167" s="98">
        <f t="shared" si="230"/>
        <v>66944</v>
      </c>
      <c r="U167" s="70">
        <f t="shared" si="231"/>
        <v>3.6431863303931777E-8</v>
      </c>
      <c r="V167" s="140">
        <v>0.13</v>
      </c>
      <c r="W167" s="209" t="s">
        <v>270</v>
      </c>
      <c r="X167" s="17">
        <v>44826</v>
      </c>
      <c r="Y167" s="12" t="s">
        <v>66</v>
      </c>
      <c r="Z167" s="12"/>
      <c r="AA167" s="12"/>
      <c r="AB167" s="3">
        <v>1</v>
      </c>
      <c r="AC167" s="204" t="s">
        <v>315</v>
      </c>
      <c r="AD167" s="204" t="s">
        <v>315</v>
      </c>
      <c r="AE167" s="204" t="s">
        <v>315</v>
      </c>
    </row>
    <row r="168" spans="1:31" s="3" customFormat="1" ht="14.45" customHeight="1" x14ac:dyDescent="0.25">
      <c r="A168" s="141">
        <v>3</v>
      </c>
      <c r="B168" s="99" t="s">
        <v>239</v>
      </c>
      <c r="C168" s="95" t="str">
        <f>VLOOKUP($F168,Admin!$D$11:$F$19,2,FALSE)</f>
        <v>Kísérleti fejlesztés</v>
      </c>
      <c r="D168" s="138" t="s">
        <v>123</v>
      </c>
      <c r="E168" s="95" t="str">
        <f>VLOOKUP($F168,Admin!$D$11:$F$19,3,FALSE)</f>
        <v>54. Bérköltség - Kutató-fejlesztő munkatárs</v>
      </c>
      <c r="F168" s="139" t="s">
        <v>213</v>
      </c>
      <c r="G168" s="100" t="s">
        <v>180</v>
      </c>
      <c r="H168" s="100" t="s">
        <v>141</v>
      </c>
      <c r="I168" s="139" t="str">
        <f>VLOOKUP($F168,Admin!$D$11:$G$19,4,FALSE)</f>
        <v>K+F munkatárs</v>
      </c>
      <c r="J168" s="100" t="s">
        <v>257</v>
      </c>
      <c r="K168" s="95" t="str">
        <f t="shared" ref="K168" si="233">J168</f>
        <v>2023.01</v>
      </c>
      <c r="L168" s="101" t="s">
        <v>6</v>
      </c>
      <c r="M168" s="96" t="s">
        <v>70</v>
      </c>
      <c r="N168" s="102">
        <v>533800</v>
      </c>
      <c r="O168" s="97">
        <f t="shared" ref="O168" si="234">ROUND(N168*V168,0)</f>
        <v>69394</v>
      </c>
      <c r="P168" s="104">
        <v>174</v>
      </c>
      <c r="Q168" s="104">
        <v>135</v>
      </c>
      <c r="R168" s="215">
        <f t="shared" ref="R168" si="235">Q168/P168</f>
        <v>0.77586206896551724</v>
      </c>
      <c r="S168" s="105">
        <f t="shared" ref="S168" si="236">ROUND(N168*Q168/P168,0)</f>
        <v>414155</v>
      </c>
      <c r="T168" s="98">
        <f t="shared" ref="T168" si="237">ROUND(S168*V168,0)</f>
        <v>53840</v>
      </c>
      <c r="U168" s="70">
        <f t="shared" ref="U168" si="238">Q168/P168-S168/N168</f>
        <v>3.2299324292939247E-7</v>
      </c>
      <c r="V168" s="140">
        <v>0.13</v>
      </c>
      <c r="W168" s="209" t="s">
        <v>270</v>
      </c>
      <c r="X168" s="17">
        <v>44937</v>
      </c>
      <c r="Y168" s="12" t="s">
        <v>66</v>
      </c>
      <c r="Z168" s="12"/>
      <c r="AA168" s="12"/>
      <c r="AB168" s="3">
        <v>1</v>
      </c>
      <c r="AC168" s="204" t="s">
        <v>315</v>
      </c>
      <c r="AD168" s="217">
        <v>153299</v>
      </c>
      <c r="AE168" s="217">
        <v>19929</v>
      </c>
    </row>
    <row r="169" spans="1:31" s="3" customFormat="1" ht="14.45" customHeight="1" x14ac:dyDescent="0.25">
      <c r="A169" s="141"/>
      <c r="B169" s="99" t="s">
        <v>239</v>
      </c>
      <c r="C169" s="95" t="str">
        <f>VLOOKUP($F169,Admin!$D$11:$F$19,2,FALSE)</f>
        <v>Kísérleti fejlesztés</v>
      </c>
      <c r="D169" s="138" t="s">
        <v>123</v>
      </c>
      <c r="E169" s="95" t="str">
        <f>VLOOKUP($F169,Admin!$D$11:$F$19,3,FALSE)</f>
        <v>54. Bérköltség - Kutató-fejlesztő munkatárs</v>
      </c>
      <c r="F169" s="139" t="s">
        <v>213</v>
      </c>
      <c r="G169" s="100" t="s">
        <v>180</v>
      </c>
      <c r="H169" s="100" t="s">
        <v>141</v>
      </c>
      <c r="I169" s="139" t="str">
        <f>VLOOKUP($F169,Admin!$D$11:$G$19,4,FALSE)</f>
        <v>K+F munkatárs</v>
      </c>
      <c r="J169" s="100" t="s">
        <v>295</v>
      </c>
      <c r="K169" s="95" t="str">
        <f t="shared" ref="K169:K171" si="239">J169</f>
        <v>2023.02</v>
      </c>
      <c r="L169" s="101" t="s">
        <v>6</v>
      </c>
      <c r="M169" s="96" t="s">
        <v>70</v>
      </c>
      <c r="N169" s="102">
        <v>533800</v>
      </c>
      <c r="O169" s="97">
        <f t="shared" ref="O169" si="240">ROUND(N169*V169,0)</f>
        <v>69394</v>
      </c>
      <c r="P169" s="104">
        <v>174</v>
      </c>
      <c r="Q169" s="104">
        <v>135</v>
      </c>
      <c r="R169" s="215">
        <f t="shared" ref="R169" si="241">Q169/P169</f>
        <v>0.77586206896551724</v>
      </c>
      <c r="S169" s="105">
        <v>414155</v>
      </c>
      <c r="T169" s="98">
        <f t="shared" ref="T169" si="242">ROUND(S169*V169,0)</f>
        <v>53840</v>
      </c>
      <c r="U169" s="70">
        <f t="shared" ref="U169" si="243">Q169/P169-S169/N169</f>
        <v>3.2299324292939247E-7</v>
      </c>
      <c r="V169" s="140">
        <v>0.13</v>
      </c>
      <c r="W169" s="209" t="s">
        <v>270</v>
      </c>
      <c r="X169" s="17">
        <v>44953</v>
      </c>
      <c r="Y169" s="12" t="s">
        <v>66</v>
      </c>
      <c r="Z169" s="12"/>
      <c r="AA169" s="12"/>
      <c r="AB169" s="3">
        <v>1</v>
      </c>
      <c r="AC169" s="3" t="s">
        <v>315</v>
      </c>
      <c r="AD169" s="219">
        <v>6968</v>
      </c>
      <c r="AE169" s="219">
        <v>19929</v>
      </c>
    </row>
    <row r="170" spans="1:31" s="3" customFormat="1" ht="14.45" customHeight="1" x14ac:dyDescent="0.25">
      <c r="A170" s="141"/>
      <c r="B170" s="99" t="s">
        <v>239</v>
      </c>
      <c r="C170" s="95" t="str">
        <f>VLOOKUP($F170,Admin!$D$11:$F$19,2,FALSE)</f>
        <v>Kísérleti fejlesztés</v>
      </c>
      <c r="D170" s="138" t="s">
        <v>123</v>
      </c>
      <c r="E170" s="95" t="str">
        <f>VLOOKUP($F170,Admin!$D$11:$F$19,3,FALSE)</f>
        <v>54. Bérköltség - Kutató-fejlesztő munkatárs</v>
      </c>
      <c r="F170" s="139" t="s">
        <v>213</v>
      </c>
      <c r="G170" s="100" t="s">
        <v>180</v>
      </c>
      <c r="H170" s="100" t="s">
        <v>141</v>
      </c>
      <c r="I170" s="139" t="str">
        <f>VLOOKUP($F170,Admin!$D$11:$G$19,4,FALSE)</f>
        <v>K+F munkatárs</v>
      </c>
      <c r="J170" s="100" t="s">
        <v>296</v>
      </c>
      <c r="K170" s="95" t="str">
        <f t="shared" si="239"/>
        <v>2023.03</v>
      </c>
      <c r="L170" s="101" t="s">
        <v>6</v>
      </c>
      <c r="M170" s="96" t="s">
        <v>70</v>
      </c>
      <c r="N170" s="102">
        <v>533800</v>
      </c>
      <c r="O170" s="97">
        <f t="shared" ref="O170:O171" si="244">ROUND(N170*V170,0)</f>
        <v>69394</v>
      </c>
      <c r="P170" s="104">
        <v>174</v>
      </c>
      <c r="Q170" s="104">
        <v>135</v>
      </c>
      <c r="R170" s="215">
        <f t="shared" ref="R170:R171" si="245">Q170/P170</f>
        <v>0.77586206896551724</v>
      </c>
      <c r="S170" s="105">
        <v>414155</v>
      </c>
      <c r="T170" s="98">
        <f t="shared" ref="T170:T171" si="246">ROUND(S170*V170,0)</f>
        <v>53840</v>
      </c>
      <c r="U170" s="70">
        <f t="shared" ref="U170:U171" si="247">Q170/P170-S170/N170</f>
        <v>3.2299324292939247E-7</v>
      </c>
      <c r="V170" s="140">
        <v>0.13</v>
      </c>
      <c r="W170" s="209" t="s">
        <v>270</v>
      </c>
      <c r="X170" s="17">
        <v>44953</v>
      </c>
      <c r="Y170" s="12" t="s">
        <v>66</v>
      </c>
      <c r="Z170" s="12"/>
      <c r="AA170" s="12"/>
      <c r="AB170" s="3">
        <v>1</v>
      </c>
      <c r="AC170" s="3" t="s">
        <v>315</v>
      </c>
      <c r="AD170" s="219">
        <v>6968</v>
      </c>
      <c r="AE170" s="219">
        <v>19929</v>
      </c>
    </row>
    <row r="171" spans="1:31" s="3" customFormat="1" ht="14.45" customHeight="1" x14ac:dyDescent="0.25">
      <c r="A171" s="141"/>
      <c r="B171" s="99" t="s">
        <v>239</v>
      </c>
      <c r="C171" s="95" t="str">
        <f>VLOOKUP($F171,Admin!$D$11:$F$19,2,FALSE)</f>
        <v>Kísérleti fejlesztés</v>
      </c>
      <c r="D171" s="138" t="s">
        <v>123</v>
      </c>
      <c r="E171" s="95" t="str">
        <f>VLOOKUP($F171,Admin!$D$11:$F$19,3,FALSE)</f>
        <v>54. Bérköltség - Kutató-fejlesztő munkatárs</v>
      </c>
      <c r="F171" s="139" t="s">
        <v>213</v>
      </c>
      <c r="G171" s="100" t="s">
        <v>180</v>
      </c>
      <c r="H171" s="100" t="s">
        <v>141</v>
      </c>
      <c r="I171" s="139" t="str">
        <f>VLOOKUP($F171,Admin!$D$11:$G$19,4,FALSE)</f>
        <v>K+F munkatárs</v>
      </c>
      <c r="J171" s="100" t="s">
        <v>297</v>
      </c>
      <c r="K171" s="95" t="str">
        <f t="shared" si="239"/>
        <v>2023.04</v>
      </c>
      <c r="L171" s="101" t="s">
        <v>7</v>
      </c>
      <c r="M171" s="96" t="s">
        <v>70</v>
      </c>
      <c r="N171" s="102">
        <v>533800</v>
      </c>
      <c r="O171" s="97">
        <f t="shared" si="244"/>
        <v>69394</v>
      </c>
      <c r="P171" s="104">
        <v>174</v>
      </c>
      <c r="Q171" s="104">
        <v>135</v>
      </c>
      <c r="R171" s="215">
        <f t="shared" si="245"/>
        <v>0.77586206896551724</v>
      </c>
      <c r="S171" s="105">
        <v>414155</v>
      </c>
      <c r="T171" s="98">
        <f t="shared" si="246"/>
        <v>53840</v>
      </c>
      <c r="U171" s="70">
        <f t="shared" si="247"/>
        <v>3.2299324292939247E-7</v>
      </c>
      <c r="V171" s="140">
        <v>0.13</v>
      </c>
      <c r="W171" s="209" t="s">
        <v>270</v>
      </c>
      <c r="X171" s="17">
        <v>44953</v>
      </c>
      <c r="Y171" s="12" t="s">
        <v>66</v>
      </c>
      <c r="Z171" s="12"/>
      <c r="AA171" s="12"/>
    </row>
    <row r="172" spans="1:31" s="3" customFormat="1" ht="14.45" customHeight="1" x14ac:dyDescent="0.25">
      <c r="A172" s="141">
        <v>1</v>
      </c>
      <c r="B172" s="99" t="s">
        <v>186</v>
      </c>
      <c r="C172" s="95" t="str">
        <f>VLOOKUP($F172,Admin!$D$11:$F$19,2,FALSE)</f>
        <v>Alkalmazott (ipari) kutatás</v>
      </c>
      <c r="D172" s="138" t="s">
        <v>123</v>
      </c>
      <c r="E172" s="95" t="str">
        <f>VLOOKUP($F172,Admin!$D$11:$F$19,3,FALSE)</f>
        <v>54. Bérköltség - technikus segédszemélyzet</v>
      </c>
      <c r="F172" s="139" t="s">
        <v>214</v>
      </c>
      <c r="G172" s="100" t="s">
        <v>179</v>
      </c>
      <c r="H172" s="100" t="s">
        <v>231</v>
      </c>
      <c r="I172" s="139" t="str">
        <f>VLOOKUP($F172,Admin!$D$11:$G$19,4,FALSE)</f>
        <v>Technikus</v>
      </c>
      <c r="J172" s="100" t="s">
        <v>224</v>
      </c>
      <c r="K172" s="95" t="str">
        <f t="shared" si="65"/>
        <v>2020.09</v>
      </c>
      <c r="L172" s="101" t="s">
        <v>6</v>
      </c>
      <c r="M172" s="96" t="s">
        <v>70</v>
      </c>
      <c r="N172" s="102">
        <v>323600</v>
      </c>
      <c r="O172" s="97">
        <f t="shared" si="66"/>
        <v>50158</v>
      </c>
      <c r="P172" s="104">
        <v>174</v>
      </c>
      <c r="Q172" s="104">
        <v>174</v>
      </c>
      <c r="R172" s="215">
        <f t="shared" si="62"/>
        <v>1</v>
      </c>
      <c r="S172" s="105">
        <f t="shared" si="5"/>
        <v>323600</v>
      </c>
      <c r="T172" s="98">
        <f t="shared" si="67"/>
        <v>50158</v>
      </c>
      <c r="U172" s="70">
        <f t="shared" si="64"/>
        <v>0</v>
      </c>
      <c r="V172" s="181">
        <v>0.155</v>
      </c>
      <c r="W172" s="210"/>
      <c r="X172" s="17">
        <v>44034</v>
      </c>
      <c r="Y172" s="12" t="s">
        <v>66</v>
      </c>
      <c r="Z172" s="12"/>
      <c r="AA172" s="12"/>
      <c r="AB172" s="3">
        <v>1</v>
      </c>
    </row>
    <row r="173" spans="1:31" s="3" customFormat="1" ht="14.45" customHeight="1" x14ac:dyDescent="0.25">
      <c r="A173" s="141">
        <v>1</v>
      </c>
      <c r="B173" s="99" t="s">
        <v>186</v>
      </c>
      <c r="C173" s="95" t="str">
        <f>VLOOKUP($F173,Admin!$D$11:$F$19,2,FALSE)</f>
        <v>Alkalmazott (ipari) kutatás</v>
      </c>
      <c r="D173" s="138" t="s">
        <v>123</v>
      </c>
      <c r="E173" s="95" t="str">
        <f>VLOOKUP($F173,Admin!$D$11:$F$19,3,FALSE)</f>
        <v>54. Bérköltség - technikus segédszemélyzet</v>
      </c>
      <c r="F173" s="139" t="s">
        <v>214</v>
      </c>
      <c r="G173" s="100" t="s">
        <v>179</v>
      </c>
      <c r="H173" s="100" t="s">
        <v>231</v>
      </c>
      <c r="I173" s="139" t="str">
        <f>VLOOKUP($F173,Admin!$D$11:$G$19,4,FALSE)</f>
        <v>Technikus</v>
      </c>
      <c r="J173" s="100" t="s">
        <v>225</v>
      </c>
      <c r="K173" s="95" t="str">
        <f t="shared" si="65"/>
        <v>2020.10</v>
      </c>
      <c r="L173" s="101" t="s">
        <v>6</v>
      </c>
      <c r="M173" s="96" t="s">
        <v>70</v>
      </c>
      <c r="N173" s="102">
        <v>323600</v>
      </c>
      <c r="O173" s="97">
        <f t="shared" si="66"/>
        <v>50158</v>
      </c>
      <c r="P173" s="104">
        <v>174</v>
      </c>
      <c r="Q173" s="104">
        <v>174</v>
      </c>
      <c r="R173" s="215">
        <f t="shared" si="62"/>
        <v>1</v>
      </c>
      <c r="S173" s="105">
        <f t="shared" si="5"/>
        <v>323600</v>
      </c>
      <c r="T173" s="98">
        <f t="shared" si="67"/>
        <v>50158</v>
      </c>
      <c r="U173" s="70">
        <f t="shared" si="64"/>
        <v>0</v>
      </c>
      <c r="V173" s="181">
        <v>0.155</v>
      </c>
      <c r="W173" s="210"/>
      <c r="X173" s="17">
        <v>44034</v>
      </c>
      <c r="Y173" s="12" t="s">
        <v>66</v>
      </c>
      <c r="Z173" s="12"/>
      <c r="AA173" s="12"/>
      <c r="AB173" s="3">
        <v>1</v>
      </c>
    </row>
    <row r="174" spans="1:31" s="3" customFormat="1" ht="14.45" customHeight="1" x14ac:dyDescent="0.25">
      <c r="A174" s="141">
        <v>1</v>
      </c>
      <c r="B174" s="99" t="s">
        <v>186</v>
      </c>
      <c r="C174" s="95" t="str">
        <f>VLOOKUP($F174,Admin!$D$11:$F$19,2,FALSE)</f>
        <v>Alkalmazott (ipari) kutatás</v>
      </c>
      <c r="D174" s="138" t="s">
        <v>123</v>
      </c>
      <c r="E174" s="95" t="str">
        <f>VLOOKUP($F174,Admin!$D$11:$F$19,3,FALSE)</f>
        <v>54. Bérköltség - technikus segédszemélyzet</v>
      </c>
      <c r="F174" s="139" t="s">
        <v>214</v>
      </c>
      <c r="G174" s="100" t="s">
        <v>179</v>
      </c>
      <c r="H174" s="100" t="s">
        <v>231</v>
      </c>
      <c r="I174" s="139" t="str">
        <f>VLOOKUP($F174,Admin!$D$11:$G$19,4,FALSE)</f>
        <v>Technikus</v>
      </c>
      <c r="J174" s="100" t="s">
        <v>226</v>
      </c>
      <c r="K174" s="95" t="str">
        <f t="shared" si="65"/>
        <v>2020.11</v>
      </c>
      <c r="L174" s="101" t="s">
        <v>6</v>
      </c>
      <c r="M174" s="96" t="s">
        <v>70</v>
      </c>
      <c r="N174" s="102">
        <v>323600</v>
      </c>
      <c r="O174" s="97">
        <f t="shared" si="66"/>
        <v>50158</v>
      </c>
      <c r="P174" s="104">
        <v>174</v>
      </c>
      <c r="Q174" s="104">
        <v>174</v>
      </c>
      <c r="R174" s="215">
        <f t="shared" si="62"/>
        <v>1</v>
      </c>
      <c r="S174" s="105">
        <f t="shared" si="5"/>
        <v>323600</v>
      </c>
      <c r="T174" s="98">
        <f t="shared" si="67"/>
        <v>50158</v>
      </c>
      <c r="U174" s="70">
        <f t="shared" si="64"/>
        <v>0</v>
      </c>
      <c r="V174" s="181">
        <v>0.155</v>
      </c>
      <c r="W174" s="210"/>
      <c r="X174" s="17">
        <v>44034</v>
      </c>
      <c r="Y174" s="12" t="s">
        <v>66</v>
      </c>
      <c r="Z174" s="12"/>
      <c r="AA174" s="12"/>
      <c r="AB174" s="3">
        <v>1</v>
      </c>
    </row>
    <row r="175" spans="1:31" s="3" customFormat="1" ht="14.45" customHeight="1" x14ac:dyDescent="0.25">
      <c r="A175" s="141">
        <v>1</v>
      </c>
      <c r="B175" s="99" t="s">
        <v>186</v>
      </c>
      <c r="C175" s="95" t="str">
        <f>VLOOKUP($F175,Admin!$D$11:$F$19,2,FALSE)</f>
        <v>Alkalmazott (ipari) kutatás</v>
      </c>
      <c r="D175" s="138" t="s">
        <v>123</v>
      </c>
      <c r="E175" s="95" t="str">
        <f>VLOOKUP($F175,Admin!$D$11:$F$19,3,FALSE)</f>
        <v>54. Bérköltség - technikus segédszemélyzet</v>
      </c>
      <c r="F175" s="139" t="s">
        <v>214</v>
      </c>
      <c r="G175" s="100" t="s">
        <v>179</v>
      </c>
      <c r="H175" s="100" t="s">
        <v>231</v>
      </c>
      <c r="I175" s="139" t="str">
        <f>VLOOKUP($F175,Admin!$D$11:$G$19,4,FALSE)</f>
        <v>Technikus</v>
      </c>
      <c r="J175" s="100" t="s">
        <v>30</v>
      </c>
      <c r="K175" s="95" t="str">
        <f t="shared" si="65"/>
        <v>2020.12</v>
      </c>
      <c r="L175" s="101" t="s">
        <v>6</v>
      </c>
      <c r="M175" s="96" t="s">
        <v>70</v>
      </c>
      <c r="N175" s="102">
        <v>323600</v>
      </c>
      <c r="O175" s="97">
        <f t="shared" si="66"/>
        <v>50158</v>
      </c>
      <c r="P175" s="104">
        <v>174</v>
      </c>
      <c r="Q175" s="104">
        <v>174</v>
      </c>
      <c r="R175" s="215">
        <f t="shared" si="62"/>
        <v>1</v>
      </c>
      <c r="S175" s="105">
        <f t="shared" si="5"/>
        <v>323600</v>
      </c>
      <c r="T175" s="98">
        <f t="shared" si="67"/>
        <v>50158</v>
      </c>
      <c r="U175" s="70">
        <f t="shared" si="64"/>
        <v>0</v>
      </c>
      <c r="V175" s="181">
        <v>0.155</v>
      </c>
      <c r="W175" s="210"/>
      <c r="X175" s="17">
        <v>44034</v>
      </c>
      <c r="Y175" s="12" t="s">
        <v>66</v>
      </c>
      <c r="Z175" s="12"/>
      <c r="AA175" s="12"/>
      <c r="AB175" s="3">
        <v>1</v>
      </c>
    </row>
    <row r="176" spans="1:31" s="3" customFormat="1" ht="14.45" customHeight="1" x14ac:dyDescent="0.25">
      <c r="A176" s="141">
        <v>1</v>
      </c>
      <c r="B176" s="99" t="s">
        <v>186</v>
      </c>
      <c r="C176" s="95" t="str">
        <f>VLOOKUP($F176,Admin!$D$11:$F$19,2,FALSE)</f>
        <v>Alkalmazott (ipari) kutatás</v>
      </c>
      <c r="D176" s="138" t="s">
        <v>123</v>
      </c>
      <c r="E176" s="95" t="str">
        <f>VLOOKUP($F176,Admin!$D$11:$F$19,3,FALSE)</f>
        <v>54. Bérköltség - technikus segédszemélyzet</v>
      </c>
      <c r="F176" s="139" t="s">
        <v>214</v>
      </c>
      <c r="G176" s="100" t="s">
        <v>179</v>
      </c>
      <c r="H176" s="100" t="s">
        <v>231</v>
      </c>
      <c r="I176" s="139" t="str">
        <f>VLOOKUP($F176,Admin!$D$11:$G$19,4,FALSE)</f>
        <v>Technikus</v>
      </c>
      <c r="J176" s="100" t="s">
        <v>31</v>
      </c>
      <c r="K176" s="95" t="str">
        <f t="shared" si="65"/>
        <v>2021.01</v>
      </c>
      <c r="L176" s="101" t="s">
        <v>6</v>
      </c>
      <c r="M176" s="96" t="s">
        <v>70</v>
      </c>
      <c r="N176" s="102">
        <v>323600</v>
      </c>
      <c r="O176" s="97">
        <f t="shared" si="66"/>
        <v>50158</v>
      </c>
      <c r="P176" s="104">
        <v>174</v>
      </c>
      <c r="Q176" s="104">
        <v>174</v>
      </c>
      <c r="R176" s="215">
        <f t="shared" si="62"/>
        <v>1</v>
      </c>
      <c r="S176" s="105">
        <f t="shared" si="5"/>
        <v>323600</v>
      </c>
      <c r="T176" s="98">
        <f t="shared" si="67"/>
        <v>50158</v>
      </c>
      <c r="U176" s="70">
        <f t="shared" si="64"/>
        <v>0</v>
      </c>
      <c r="V176" s="181">
        <v>0.155</v>
      </c>
      <c r="W176" s="210"/>
      <c r="X176" s="17">
        <v>44034</v>
      </c>
      <c r="Y176" s="12" t="s">
        <v>66</v>
      </c>
      <c r="Z176" s="12"/>
      <c r="AA176" s="12"/>
      <c r="AB176" s="3">
        <v>1</v>
      </c>
    </row>
    <row r="177" spans="1:28" s="3" customFormat="1" ht="14.45" customHeight="1" x14ac:dyDescent="0.25">
      <c r="A177" s="141">
        <v>2</v>
      </c>
      <c r="B177" s="99" t="s">
        <v>186</v>
      </c>
      <c r="C177" s="95" t="str">
        <f>VLOOKUP($F177,Admin!$D$11:$F$19,2,FALSE)</f>
        <v>Kísérleti fejlesztés</v>
      </c>
      <c r="D177" s="138" t="s">
        <v>123</v>
      </c>
      <c r="E177" s="95" t="str">
        <f>VLOOKUP($F177,Admin!$D$11:$F$19,3,FALSE)</f>
        <v>54. Bérköltség - technikus segédszemélyzet</v>
      </c>
      <c r="F177" s="139" t="s">
        <v>215</v>
      </c>
      <c r="G177" s="100" t="s">
        <v>179</v>
      </c>
      <c r="H177" s="100" t="s">
        <v>231</v>
      </c>
      <c r="I177" s="139" t="str">
        <f>VLOOKUP($F177,Admin!$D$11:$G$19,4,FALSE)</f>
        <v>Technikus</v>
      </c>
      <c r="J177" s="100" t="s">
        <v>32</v>
      </c>
      <c r="K177" s="95" t="str">
        <f t="shared" si="65"/>
        <v>2021.02</v>
      </c>
      <c r="L177" s="101" t="s">
        <v>6</v>
      </c>
      <c r="M177" s="96" t="s">
        <v>70</v>
      </c>
      <c r="N177" s="102">
        <v>323600</v>
      </c>
      <c r="O177" s="97">
        <f t="shared" si="66"/>
        <v>50158</v>
      </c>
      <c r="P177" s="104">
        <v>174</v>
      </c>
      <c r="Q177" s="104">
        <v>174</v>
      </c>
      <c r="R177" s="215">
        <f t="shared" si="62"/>
        <v>1</v>
      </c>
      <c r="S177" s="105">
        <f t="shared" si="5"/>
        <v>323600</v>
      </c>
      <c r="T177" s="98">
        <f t="shared" si="67"/>
        <v>50158</v>
      </c>
      <c r="U177" s="70">
        <f t="shared" si="64"/>
        <v>0</v>
      </c>
      <c r="V177" s="181">
        <v>0.155</v>
      </c>
      <c r="W177" s="210"/>
      <c r="X177" s="17">
        <v>44235</v>
      </c>
      <c r="Y177" s="12" t="s">
        <v>66</v>
      </c>
      <c r="Z177" s="12"/>
      <c r="AA177" s="12"/>
      <c r="AB177" s="3">
        <v>1</v>
      </c>
    </row>
    <row r="178" spans="1:28" s="3" customFormat="1" ht="14.45" customHeight="1" x14ac:dyDescent="0.25">
      <c r="A178" s="141">
        <v>2</v>
      </c>
      <c r="B178" s="99" t="s">
        <v>186</v>
      </c>
      <c r="C178" s="95" t="str">
        <f>VLOOKUP($F178,Admin!$D$11:$F$19,2,FALSE)</f>
        <v>Kísérleti fejlesztés</v>
      </c>
      <c r="D178" s="138" t="s">
        <v>123</v>
      </c>
      <c r="E178" s="95" t="str">
        <f>VLOOKUP($F178,Admin!$D$11:$F$19,3,FALSE)</f>
        <v>54. Bérköltség - technikus segédszemélyzet</v>
      </c>
      <c r="F178" s="139" t="s">
        <v>215</v>
      </c>
      <c r="G178" s="100" t="s">
        <v>179</v>
      </c>
      <c r="H178" s="100" t="s">
        <v>231</v>
      </c>
      <c r="I178" s="139" t="str">
        <f>VLOOKUP($F178,Admin!$D$11:$G$19,4,FALSE)</f>
        <v>Technikus</v>
      </c>
      <c r="J178" s="100" t="s">
        <v>33</v>
      </c>
      <c r="K178" s="95" t="str">
        <f t="shared" si="65"/>
        <v>2021.03</v>
      </c>
      <c r="L178" s="101" t="s">
        <v>6</v>
      </c>
      <c r="M178" s="96" t="s">
        <v>70</v>
      </c>
      <c r="N178" s="102">
        <v>323600</v>
      </c>
      <c r="O178" s="97">
        <f t="shared" si="66"/>
        <v>50158</v>
      </c>
      <c r="P178" s="104">
        <v>174</v>
      </c>
      <c r="Q178" s="104">
        <v>174</v>
      </c>
      <c r="R178" s="215">
        <f t="shared" si="62"/>
        <v>1</v>
      </c>
      <c r="S178" s="105">
        <f t="shared" si="5"/>
        <v>323600</v>
      </c>
      <c r="T178" s="98">
        <f t="shared" si="67"/>
        <v>50158</v>
      </c>
      <c r="U178" s="70">
        <f t="shared" si="64"/>
        <v>0</v>
      </c>
      <c r="V178" s="181">
        <v>0.155</v>
      </c>
      <c r="W178" s="210"/>
      <c r="X178" s="17">
        <v>44235</v>
      </c>
      <c r="Y178" s="12" t="s">
        <v>66</v>
      </c>
      <c r="Z178" s="12"/>
      <c r="AA178" s="12"/>
      <c r="AB178" s="3">
        <v>1</v>
      </c>
    </row>
    <row r="179" spans="1:28" s="3" customFormat="1" ht="14.45" customHeight="1" x14ac:dyDescent="0.25">
      <c r="A179" s="141">
        <v>2</v>
      </c>
      <c r="B179" s="99" t="s">
        <v>186</v>
      </c>
      <c r="C179" s="95" t="str">
        <f>VLOOKUP($F179,Admin!$D$11:$F$19,2,FALSE)</f>
        <v>Kísérleti fejlesztés</v>
      </c>
      <c r="D179" s="138" t="s">
        <v>123</v>
      </c>
      <c r="E179" s="95" t="str">
        <f>VLOOKUP($F179,Admin!$D$11:$F$19,3,FALSE)</f>
        <v>54. Bérköltség - technikus segédszemélyzet</v>
      </c>
      <c r="F179" s="139" t="s">
        <v>215</v>
      </c>
      <c r="G179" s="100" t="s">
        <v>179</v>
      </c>
      <c r="H179" s="100" t="s">
        <v>231</v>
      </c>
      <c r="I179" s="139" t="str">
        <f>VLOOKUP($F179,Admin!$D$11:$G$19,4,FALSE)</f>
        <v>Technikus</v>
      </c>
      <c r="J179" s="100" t="s">
        <v>34</v>
      </c>
      <c r="K179" s="95" t="str">
        <f t="shared" si="65"/>
        <v>2021.04</v>
      </c>
      <c r="L179" s="101" t="s">
        <v>6</v>
      </c>
      <c r="M179" s="96" t="s">
        <v>70</v>
      </c>
      <c r="N179" s="102">
        <v>323600</v>
      </c>
      <c r="O179" s="97">
        <f t="shared" si="66"/>
        <v>50158</v>
      </c>
      <c r="P179" s="104">
        <v>174</v>
      </c>
      <c r="Q179" s="104">
        <v>174</v>
      </c>
      <c r="R179" s="215">
        <f t="shared" si="62"/>
        <v>1</v>
      </c>
      <c r="S179" s="105">
        <f t="shared" si="5"/>
        <v>323600</v>
      </c>
      <c r="T179" s="98">
        <f t="shared" si="67"/>
        <v>50158</v>
      </c>
      <c r="U179" s="70">
        <f t="shared" si="64"/>
        <v>0</v>
      </c>
      <c r="V179" s="181">
        <v>0.155</v>
      </c>
      <c r="W179" s="210"/>
      <c r="X179" s="17">
        <v>44235</v>
      </c>
      <c r="Y179" s="12" t="s">
        <v>66</v>
      </c>
      <c r="Z179" s="12"/>
      <c r="AA179" s="12"/>
      <c r="AB179" s="3">
        <v>1</v>
      </c>
    </row>
    <row r="180" spans="1:28" s="3" customFormat="1" ht="14.45" customHeight="1" x14ac:dyDescent="0.25">
      <c r="A180" s="141">
        <v>2</v>
      </c>
      <c r="B180" s="99" t="s">
        <v>186</v>
      </c>
      <c r="C180" s="95" t="str">
        <f>VLOOKUP($F180,Admin!$D$11:$F$19,2,FALSE)</f>
        <v>Kísérleti fejlesztés</v>
      </c>
      <c r="D180" s="138" t="s">
        <v>123</v>
      </c>
      <c r="E180" s="95" t="str">
        <f>VLOOKUP($F180,Admin!$D$11:$F$19,3,FALSE)</f>
        <v>54. Bérköltség - technikus segédszemélyzet</v>
      </c>
      <c r="F180" s="139" t="s">
        <v>215</v>
      </c>
      <c r="G180" s="100" t="s">
        <v>179</v>
      </c>
      <c r="H180" s="100" t="s">
        <v>231</v>
      </c>
      <c r="I180" s="139" t="str">
        <f>VLOOKUP($F180,Admin!$D$11:$G$19,4,FALSE)</f>
        <v>Technikus</v>
      </c>
      <c r="J180" s="100" t="s">
        <v>35</v>
      </c>
      <c r="K180" s="95" t="str">
        <f t="shared" si="65"/>
        <v>2021.05</v>
      </c>
      <c r="L180" s="101" t="s">
        <v>6</v>
      </c>
      <c r="M180" s="96" t="s">
        <v>70</v>
      </c>
      <c r="N180" s="102">
        <v>323600</v>
      </c>
      <c r="O180" s="97">
        <f t="shared" si="66"/>
        <v>50158</v>
      </c>
      <c r="P180" s="104">
        <v>174</v>
      </c>
      <c r="Q180" s="104">
        <v>174</v>
      </c>
      <c r="R180" s="215">
        <f t="shared" si="62"/>
        <v>1</v>
      </c>
      <c r="S180" s="105">
        <f t="shared" si="5"/>
        <v>323600</v>
      </c>
      <c r="T180" s="98">
        <f t="shared" si="67"/>
        <v>50158</v>
      </c>
      <c r="U180" s="70">
        <f t="shared" si="64"/>
        <v>0</v>
      </c>
      <c r="V180" s="181">
        <v>0.155</v>
      </c>
      <c r="W180" s="210"/>
      <c r="X180" s="17">
        <v>44235</v>
      </c>
      <c r="Y180" s="12" t="s">
        <v>66</v>
      </c>
      <c r="Z180" s="12"/>
      <c r="AA180" s="12"/>
      <c r="AB180" s="3">
        <v>1</v>
      </c>
    </row>
    <row r="181" spans="1:28" s="3" customFormat="1" ht="14.45" customHeight="1" x14ac:dyDescent="0.25">
      <c r="A181" s="141">
        <v>2</v>
      </c>
      <c r="B181" s="99" t="s">
        <v>186</v>
      </c>
      <c r="C181" s="95" t="str">
        <f>VLOOKUP($F181,Admin!$D$11:$F$19,2,FALSE)</f>
        <v>Kísérleti fejlesztés</v>
      </c>
      <c r="D181" s="138" t="s">
        <v>123</v>
      </c>
      <c r="E181" s="95" t="str">
        <f>VLOOKUP($F181,Admin!$D$11:$F$19,3,FALSE)</f>
        <v>54. Bérköltség - technikus segédszemélyzet</v>
      </c>
      <c r="F181" s="139" t="s">
        <v>215</v>
      </c>
      <c r="G181" s="100" t="s">
        <v>179</v>
      </c>
      <c r="H181" s="100" t="s">
        <v>231</v>
      </c>
      <c r="I181" s="139" t="str">
        <f>VLOOKUP($F181,Admin!$D$11:$G$19,4,FALSE)</f>
        <v>Technikus</v>
      </c>
      <c r="J181" s="100" t="s">
        <v>36</v>
      </c>
      <c r="K181" s="95" t="str">
        <f t="shared" si="65"/>
        <v>2021.06</v>
      </c>
      <c r="L181" s="101" t="s">
        <v>6</v>
      </c>
      <c r="M181" s="96" t="s">
        <v>70</v>
      </c>
      <c r="N181" s="102">
        <v>323600</v>
      </c>
      <c r="O181" s="97">
        <f t="shared" si="66"/>
        <v>50158</v>
      </c>
      <c r="P181" s="104">
        <v>174</v>
      </c>
      <c r="Q181" s="104">
        <v>174</v>
      </c>
      <c r="R181" s="215">
        <f t="shared" si="62"/>
        <v>1</v>
      </c>
      <c r="S181" s="105">
        <f t="shared" si="5"/>
        <v>323600</v>
      </c>
      <c r="T181" s="98">
        <f t="shared" si="67"/>
        <v>50158</v>
      </c>
      <c r="U181" s="70">
        <f t="shared" si="64"/>
        <v>0</v>
      </c>
      <c r="V181" s="181">
        <v>0.155</v>
      </c>
      <c r="W181" s="210"/>
      <c r="X181" s="17">
        <v>44235</v>
      </c>
      <c r="Y181" s="12" t="s">
        <v>66</v>
      </c>
      <c r="Z181" s="12"/>
      <c r="AA181" s="12"/>
      <c r="AB181" s="3">
        <v>1</v>
      </c>
    </row>
    <row r="182" spans="1:28" s="3" customFormat="1" ht="14.45" customHeight="1" x14ac:dyDescent="0.25">
      <c r="A182" s="141">
        <v>2</v>
      </c>
      <c r="B182" s="99" t="s">
        <v>186</v>
      </c>
      <c r="C182" s="95" t="str">
        <f>VLOOKUP($F182,Admin!$D$11:$F$19,2,FALSE)</f>
        <v>Kísérleti fejlesztés</v>
      </c>
      <c r="D182" s="138" t="s">
        <v>123</v>
      </c>
      <c r="E182" s="95" t="str">
        <f>VLOOKUP($F182,Admin!$D$11:$F$19,3,FALSE)</f>
        <v>54. Bérköltség - technikus segédszemélyzet</v>
      </c>
      <c r="F182" s="139" t="s">
        <v>215</v>
      </c>
      <c r="G182" s="100" t="s">
        <v>179</v>
      </c>
      <c r="H182" s="100" t="s">
        <v>231</v>
      </c>
      <c r="I182" s="139" t="str">
        <f>VLOOKUP($F182,Admin!$D$11:$G$19,4,FALSE)</f>
        <v>Technikus</v>
      </c>
      <c r="J182" s="100" t="s">
        <v>37</v>
      </c>
      <c r="K182" s="95" t="str">
        <f t="shared" si="65"/>
        <v>2021.07</v>
      </c>
      <c r="L182" s="101" t="s">
        <v>6</v>
      </c>
      <c r="M182" s="96" t="s">
        <v>70</v>
      </c>
      <c r="N182" s="102">
        <v>323600</v>
      </c>
      <c r="O182" s="97">
        <f t="shared" si="66"/>
        <v>50158</v>
      </c>
      <c r="P182" s="104">
        <v>174</v>
      </c>
      <c r="Q182" s="104">
        <v>174</v>
      </c>
      <c r="R182" s="215">
        <f t="shared" si="62"/>
        <v>1</v>
      </c>
      <c r="S182" s="105">
        <f t="shared" si="5"/>
        <v>323600</v>
      </c>
      <c r="T182" s="98">
        <f t="shared" si="67"/>
        <v>50158</v>
      </c>
      <c r="U182" s="70">
        <f t="shared" si="64"/>
        <v>0</v>
      </c>
      <c r="V182" s="181">
        <v>0.155</v>
      </c>
      <c r="W182" s="210"/>
      <c r="X182" s="17">
        <v>44235</v>
      </c>
      <c r="Y182" s="12" t="s">
        <v>66</v>
      </c>
      <c r="Z182" s="12"/>
      <c r="AA182" s="12"/>
      <c r="AB182" s="3">
        <v>1</v>
      </c>
    </row>
    <row r="183" spans="1:28" s="3" customFormat="1" ht="14.45" customHeight="1" x14ac:dyDescent="0.25">
      <c r="A183" s="141">
        <v>2</v>
      </c>
      <c r="B183" s="99" t="s">
        <v>186</v>
      </c>
      <c r="C183" s="95" t="str">
        <f>VLOOKUP($F183,Admin!$D$11:$F$19,2,FALSE)</f>
        <v>Kísérleti fejlesztés</v>
      </c>
      <c r="D183" s="138" t="s">
        <v>123</v>
      </c>
      <c r="E183" s="95" t="str">
        <f>VLOOKUP($F183,Admin!$D$11:$F$19,3,FALSE)</f>
        <v>54. Bérköltség - technikus segédszemélyzet</v>
      </c>
      <c r="F183" s="139" t="s">
        <v>215</v>
      </c>
      <c r="G183" s="100" t="s">
        <v>179</v>
      </c>
      <c r="H183" s="100" t="s">
        <v>231</v>
      </c>
      <c r="I183" s="139" t="str">
        <f>VLOOKUP($F183,Admin!$D$11:$G$19,4,FALSE)</f>
        <v>Technikus</v>
      </c>
      <c r="J183" s="100" t="s">
        <v>38</v>
      </c>
      <c r="K183" s="95" t="str">
        <f t="shared" si="65"/>
        <v>2021.08</v>
      </c>
      <c r="L183" s="101" t="s">
        <v>6</v>
      </c>
      <c r="M183" s="96" t="s">
        <v>70</v>
      </c>
      <c r="N183" s="102">
        <v>323600</v>
      </c>
      <c r="O183" s="97">
        <f t="shared" si="66"/>
        <v>50158</v>
      </c>
      <c r="P183" s="104">
        <v>174</v>
      </c>
      <c r="Q183" s="104">
        <v>174</v>
      </c>
      <c r="R183" s="215">
        <f t="shared" si="62"/>
        <v>1</v>
      </c>
      <c r="S183" s="105">
        <f t="shared" si="5"/>
        <v>323600</v>
      </c>
      <c r="T183" s="98">
        <f t="shared" si="67"/>
        <v>50158</v>
      </c>
      <c r="U183" s="70">
        <f t="shared" si="64"/>
        <v>0</v>
      </c>
      <c r="V183" s="181">
        <v>0.155</v>
      </c>
      <c r="W183" s="210"/>
      <c r="X183" s="17">
        <v>44378</v>
      </c>
      <c r="Y183" s="12" t="s">
        <v>66</v>
      </c>
      <c r="Z183" s="12"/>
      <c r="AA183" s="12"/>
      <c r="AB183" s="3">
        <v>1</v>
      </c>
    </row>
    <row r="184" spans="1:28" s="3" customFormat="1" ht="14.45" customHeight="1" x14ac:dyDescent="0.25">
      <c r="A184" s="141">
        <v>2</v>
      </c>
      <c r="B184" s="99" t="s">
        <v>186</v>
      </c>
      <c r="C184" s="95" t="str">
        <f>VLOOKUP($F184,Admin!$D$11:$F$19,2,FALSE)</f>
        <v>Kísérleti fejlesztés</v>
      </c>
      <c r="D184" s="138" t="s">
        <v>123</v>
      </c>
      <c r="E184" s="95" t="str">
        <f>VLOOKUP($F184,Admin!$D$11:$F$19,3,FALSE)</f>
        <v>54. Bérköltség - technikus segédszemélyzet</v>
      </c>
      <c r="F184" s="139" t="s">
        <v>215</v>
      </c>
      <c r="G184" s="100" t="s">
        <v>179</v>
      </c>
      <c r="H184" s="100" t="s">
        <v>231</v>
      </c>
      <c r="I184" s="139" t="str">
        <f>VLOOKUP($F184,Admin!$D$11:$G$19,4,FALSE)</f>
        <v>Technikus</v>
      </c>
      <c r="J184" s="100" t="s">
        <v>39</v>
      </c>
      <c r="K184" s="95" t="str">
        <f t="shared" si="65"/>
        <v>2021.09</v>
      </c>
      <c r="L184" s="101" t="s">
        <v>6</v>
      </c>
      <c r="M184" s="96" t="s">
        <v>70</v>
      </c>
      <c r="N184" s="102">
        <v>333600</v>
      </c>
      <c r="O184" s="97">
        <f t="shared" si="66"/>
        <v>51708</v>
      </c>
      <c r="P184" s="104">
        <v>174</v>
      </c>
      <c r="Q184" s="104">
        <v>174</v>
      </c>
      <c r="R184" s="215">
        <f t="shared" si="62"/>
        <v>1</v>
      </c>
      <c r="S184" s="105">
        <f t="shared" si="5"/>
        <v>333600</v>
      </c>
      <c r="T184" s="98">
        <f t="shared" si="67"/>
        <v>51708</v>
      </c>
      <c r="U184" s="70">
        <f t="shared" si="64"/>
        <v>0</v>
      </c>
      <c r="V184" s="181">
        <v>0.155</v>
      </c>
      <c r="W184" s="210"/>
      <c r="X184" s="17">
        <v>44378</v>
      </c>
      <c r="Y184" s="12" t="s">
        <v>66</v>
      </c>
      <c r="Z184" s="12"/>
      <c r="AA184" s="12"/>
      <c r="AB184" s="3">
        <v>1</v>
      </c>
    </row>
    <row r="185" spans="1:28" s="3" customFormat="1" ht="14.45" customHeight="1" x14ac:dyDescent="0.25">
      <c r="A185" s="141">
        <v>2</v>
      </c>
      <c r="B185" s="99" t="s">
        <v>186</v>
      </c>
      <c r="C185" s="95" t="str">
        <f>VLOOKUP($F185,Admin!$D$11:$F$19,2,FALSE)</f>
        <v>Kísérleti fejlesztés</v>
      </c>
      <c r="D185" s="138" t="s">
        <v>123</v>
      </c>
      <c r="E185" s="95" t="str">
        <f>VLOOKUP($F185,Admin!$D$11:$F$19,3,FALSE)</f>
        <v>54. Bérköltség - technikus segédszemélyzet</v>
      </c>
      <c r="F185" s="139" t="s">
        <v>215</v>
      </c>
      <c r="G185" s="100" t="s">
        <v>179</v>
      </c>
      <c r="H185" s="100" t="s">
        <v>231</v>
      </c>
      <c r="I185" s="139" t="str">
        <f>VLOOKUP($F185,Admin!$D$11:$G$19,4,FALSE)</f>
        <v>Technikus</v>
      </c>
      <c r="J185" s="100" t="s">
        <v>40</v>
      </c>
      <c r="K185" s="95" t="str">
        <f t="shared" si="65"/>
        <v>2021.10</v>
      </c>
      <c r="L185" s="101" t="s">
        <v>6</v>
      </c>
      <c r="M185" s="96" t="s">
        <v>70</v>
      </c>
      <c r="N185" s="102">
        <v>383600</v>
      </c>
      <c r="O185" s="97">
        <f t="shared" si="66"/>
        <v>59458</v>
      </c>
      <c r="P185" s="104">
        <v>174</v>
      </c>
      <c r="Q185" s="104">
        <v>174</v>
      </c>
      <c r="R185" s="215">
        <f t="shared" si="62"/>
        <v>1</v>
      </c>
      <c r="S185" s="105">
        <f t="shared" si="5"/>
        <v>383600</v>
      </c>
      <c r="T185" s="98">
        <f t="shared" si="67"/>
        <v>59458</v>
      </c>
      <c r="U185" s="70">
        <f t="shared" si="64"/>
        <v>0</v>
      </c>
      <c r="V185" s="181">
        <v>0.155</v>
      </c>
      <c r="W185" s="210"/>
      <c r="X185" s="17">
        <v>44378</v>
      </c>
      <c r="Y185" s="12" t="s">
        <v>66</v>
      </c>
      <c r="Z185" s="12"/>
      <c r="AA185" s="12"/>
      <c r="AB185" s="3">
        <v>1</v>
      </c>
    </row>
    <row r="186" spans="1:28" s="3" customFormat="1" ht="14.45" customHeight="1" x14ac:dyDescent="0.25">
      <c r="A186" s="141">
        <v>2</v>
      </c>
      <c r="B186" s="99" t="s">
        <v>186</v>
      </c>
      <c r="C186" s="95" t="str">
        <f>VLOOKUP($F186,Admin!$D$11:$F$19,2,FALSE)</f>
        <v>Kísérleti fejlesztés</v>
      </c>
      <c r="D186" s="138" t="s">
        <v>123</v>
      </c>
      <c r="E186" s="95" t="str">
        <f>VLOOKUP($F186,Admin!$D$11:$F$19,3,FALSE)</f>
        <v>54. Bérköltség - technikus segédszemélyzet</v>
      </c>
      <c r="F186" s="139" t="s">
        <v>215</v>
      </c>
      <c r="G186" s="100" t="s">
        <v>179</v>
      </c>
      <c r="H186" s="100" t="s">
        <v>231</v>
      </c>
      <c r="I186" s="139" t="str">
        <f>VLOOKUP($F186,Admin!$D$11:$G$19,4,FALSE)</f>
        <v>Technikus</v>
      </c>
      <c r="J186" s="100" t="s">
        <v>41</v>
      </c>
      <c r="K186" s="95" t="str">
        <f t="shared" si="65"/>
        <v>2021.11</v>
      </c>
      <c r="L186" s="101" t="s">
        <v>6</v>
      </c>
      <c r="M186" s="96" t="s">
        <v>70</v>
      </c>
      <c r="N186" s="102">
        <v>383600</v>
      </c>
      <c r="O186" s="97">
        <f t="shared" si="66"/>
        <v>59458</v>
      </c>
      <c r="P186" s="104">
        <v>174</v>
      </c>
      <c r="Q186" s="104">
        <v>174</v>
      </c>
      <c r="R186" s="215">
        <f t="shared" si="62"/>
        <v>1</v>
      </c>
      <c r="S186" s="105">
        <f t="shared" si="5"/>
        <v>383600</v>
      </c>
      <c r="T186" s="98">
        <f t="shared" si="67"/>
        <v>59458</v>
      </c>
      <c r="U186" s="70">
        <f t="shared" si="64"/>
        <v>0</v>
      </c>
      <c r="V186" s="181">
        <v>0.155</v>
      </c>
      <c r="W186" s="210"/>
      <c r="X186" s="17">
        <v>44378</v>
      </c>
      <c r="Y186" s="12" t="s">
        <v>66</v>
      </c>
      <c r="Z186" s="12"/>
      <c r="AA186" s="12"/>
      <c r="AB186" s="3">
        <v>1</v>
      </c>
    </row>
    <row r="187" spans="1:28" s="3" customFormat="1" ht="14.45" customHeight="1" x14ac:dyDescent="0.25">
      <c r="A187" s="141">
        <v>2</v>
      </c>
      <c r="B187" s="99" t="s">
        <v>186</v>
      </c>
      <c r="C187" s="95" t="str">
        <f>VLOOKUP($F187,Admin!$D$11:$F$19,2,FALSE)</f>
        <v>Kísérleti fejlesztés</v>
      </c>
      <c r="D187" s="138" t="s">
        <v>123</v>
      </c>
      <c r="E187" s="95" t="str">
        <f>VLOOKUP($F187,Admin!$D$11:$F$19,3,FALSE)</f>
        <v>54. Bérköltség - technikus segédszemélyzet</v>
      </c>
      <c r="F187" s="139" t="s">
        <v>215</v>
      </c>
      <c r="G187" s="100" t="s">
        <v>179</v>
      </c>
      <c r="H187" s="100" t="s">
        <v>231</v>
      </c>
      <c r="I187" s="139" t="str">
        <f>VLOOKUP($F187,Admin!$D$11:$G$19,4,FALSE)</f>
        <v>Technikus</v>
      </c>
      <c r="J187" s="100" t="s">
        <v>42</v>
      </c>
      <c r="K187" s="95" t="str">
        <f t="shared" si="65"/>
        <v>2021.12</v>
      </c>
      <c r="L187" s="101" t="s">
        <v>6</v>
      </c>
      <c r="M187" s="96" t="s">
        <v>70</v>
      </c>
      <c r="N187" s="102">
        <v>383599</v>
      </c>
      <c r="O187" s="97">
        <f t="shared" si="66"/>
        <v>59458</v>
      </c>
      <c r="P187" s="104">
        <v>174</v>
      </c>
      <c r="Q187" s="104">
        <v>174</v>
      </c>
      <c r="R187" s="215">
        <f t="shared" si="62"/>
        <v>1</v>
      </c>
      <c r="S187" s="105">
        <f t="shared" si="5"/>
        <v>383599</v>
      </c>
      <c r="T187" s="98">
        <f t="shared" si="67"/>
        <v>59458</v>
      </c>
      <c r="U187" s="70">
        <f t="shared" si="64"/>
        <v>0</v>
      </c>
      <c r="V187" s="181">
        <v>0.155</v>
      </c>
      <c r="W187" s="210"/>
      <c r="X187" s="17">
        <v>44378</v>
      </c>
      <c r="Y187" s="12" t="s">
        <v>66</v>
      </c>
      <c r="Z187" s="12"/>
      <c r="AA187" s="12"/>
      <c r="AB187" s="3">
        <v>1</v>
      </c>
    </row>
    <row r="188" spans="1:28" s="3" customFormat="1" ht="14.45" customHeight="1" x14ac:dyDescent="0.25">
      <c r="A188" s="141">
        <v>2</v>
      </c>
      <c r="B188" s="99" t="s">
        <v>186</v>
      </c>
      <c r="C188" s="95" t="str">
        <f>VLOOKUP($F188,Admin!$D$11:$F$19,2,FALSE)</f>
        <v>Kísérleti fejlesztés</v>
      </c>
      <c r="D188" s="138" t="s">
        <v>123</v>
      </c>
      <c r="E188" s="95" t="str">
        <f>VLOOKUP($F188,Admin!$D$11:$F$19,3,FALSE)</f>
        <v>54. Bérköltség - technikus segédszemélyzet</v>
      </c>
      <c r="F188" s="139" t="s">
        <v>215</v>
      </c>
      <c r="G188" s="100" t="s">
        <v>179</v>
      </c>
      <c r="H188" s="100" t="s">
        <v>231</v>
      </c>
      <c r="I188" s="139" t="str">
        <f>VLOOKUP($F188,Admin!$D$11:$G$19,4,FALSE)</f>
        <v>Technikus</v>
      </c>
      <c r="J188" s="100" t="s">
        <v>43</v>
      </c>
      <c r="K188" s="95" t="str">
        <f t="shared" si="65"/>
        <v>2022.01</v>
      </c>
      <c r="L188" s="101" t="s">
        <v>6</v>
      </c>
      <c r="M188" s="96" t="s">
        <v>70</v>
      </c>
      <c r="N188" s="102">
        <v>413599</v>
      </c>
      <c r="O188" s="97">
        <f t="shared" si="66"/>
        <v>53768</v>
      </c>
      <c r="P188" s="104">
        <v>174</v>
      </c>
      <c r="Q188" s="104">
        <v>174</v>
      </c>
      <c r="R188" s="215">
        <f t="shared" si="62"/>
        <v>1</v>
      </c>
      <c r="S188" s="105">
        <f t="shared" si="5"/>
        <v>413599</v>
      </c>
      <c r="T188" s="98">
        <f t="shared" si="67"/>
        <v>53768</v>
      </c>
      <c r="U188" s="70">
        <f t="shared" si="64"/>
        <v>0</v>
      </c>
      <c r="V188" s="140">
        <v>0.13</v>
      </c>
      <c r="W188" s="209"/>
      <c r="X188" s="17">
        <v>44378</v>
      </c>
      <c r="Y188" s="12" t="s">
        <v>66</v>
      </c>
      <c r="Z188" s="12"/>
      <c r="AA188" s="12"/>
      <c r="AB188" s="3">
        <v>1</v>
      </c>
    </row>
    <row r="189" spans="1:28" s="3" customFormat="1" ht="14.45" customHeight="1" x14ac:dyDescent="0.25">
      <c r="A189" s="141">
        <v>3</v>
      </c>
      <c r="B189" s="99" t="s">
        <v>186</v>
      </c>
      <c r="C189" s="95" t="str">
        <f>VLOOKUP($F189,Admin!$D$11:$F$19,2,FALSE)</f>
        <v>Kísérleti fejlesztés</v>
      </c>
      <c r="D189" s="138" t="s">
        <v>123</v>
      </c>
      <c r="E189" s="95" t="str">
        <f>VLOOKUP($F189,Admin!$D$11:$F$19,3,FALSE)</f>
        <v>54. Bérköltség - technikus segédszemélyzet</v>
      </c>
      <c r="F189" s="139" t="s">
        <v>215</v>
      </c>
      <c r="G189" s="100" t="s">
        <v>179</v>
      </c>
      <c r="H189" s="100" t="s">
        <v>231</v>
      </c>
      <c r="I189" s="139" t="str">
        <f>VLOOKUP($F189,Admin!$D$11:$G$19,4,FALSE)</f>
        <v>Technikus</v>
      </c>
      <c r="J189" s="100" t="s">
        <v>44</v>
      </c>
      <c r="K189" s="95" t="str">
        <f t="shared" si="65"/>
        <v>2022.02</v>
      </c>
      <c r="L189" s="101" t="s">
        <v>6</v>
      </c>
      <c r="M189" s="96" t="s">
        <v>70</v>
      </c>
      <c r="N189" s="102">
        <v>333600</v>
      </c>
      <c r="O189" s="97">
        <f t="shared" si="66"/>
        <v>43368</v>
      </c>
      <c r="P189" s="104">
        <v>174</v>
      </c>
      <c r="Q189" s="104">
        <v>174</v>
      </c>
      <c r="R189" s="215">
        <f t="shared" si="62"/>
        <v>1</v>
      </c>
      <c r="S189" s="105">
        <f t="shared" si="5"/>
        <v>333600</v>
      </c>
      <c r="T189" s="98">
        <f t="shared" si="67"/>
        <v>43368</v>
      </c>
      <c r="U189" s="70">
        <f t="shared" si="64"/>
        <v>0</v>
      </c>
      <c r="V189" s="140">
        <v>0.13</v>
      </c>
      <c r="W189" s="209"/>
      <c r="X189" s="17">
        <v>44585</v>
      </c>
      <c r="Y189" s="12" t="s">
        <v>66</v>
      </c>
      <c r="Z189" s="12"/>
      <c r="AA189" s="12"/>
      <c r="AB189" s="3">
        <v>1</v>
      </c>
    </row>
    <row r="190" spans="1:28" s="3" customFormat="1" ht="14.45" customHeight="1" x14ac:dyDescent="0.25">
      <c r="A190" s="141">
        <v>2</v>
      </c>
      <c r="B190" s="99" t="s">
        <v>187</v>
      </c>
      <c r="C190" s="95" t="str">
        <f>VLOOKUP($F190,Admin!$D$11:$F$19,2,FALSE)</f>
        <v>Kísérleti fejlesztés</v>
      </c>
      <c r="D190" s="138" t="s">
        <v>123</v>
      </c>
      <c r="E190" s="95" t="str">
        <f>VLOOKUP($F190,Admin!$D$11:$F$19,3,FALSE)</f>
        <v>54. Bérköltség - Kutató-fejlesztő munkatárs</v>
      </c>
      <c r="F190" s="139" t="s">
        <v>213</v>
      </c>
      <c r="G190" s="100" t="s">
        <v>179</v>
      </c>
      <c r="H190" s="100" t="s">
        <v>229</v>
      </c>
      <c r="I190" s="139" t="str">
        <f>VLOOKUP($F190,Admin!$D$11:$G$19,4,FALSE)</f>
        <v>K+F munkatárs</v>
      </c>
      <c r="J190" s="100" t="s">
        <v>32</v>
      </c>
      <c r="K190" s="95" t="str">
        <f t="shared" si="65"/>
        <v>2021.02</v>
      </c>
      <c r="L190" s="101" t="s">
        <v>6</v>
      </c>
      <c r="M190" s="96" t="s">
        <v>70</v>
      </c>
      <c r="N190" s="102">
        <v>350000</v>
      </c>
      <c r="O190" s="97">
        <f t="shared" si="66"/>
        <v>54250</v>
      </c>
      <c r="P190" s="104">
        <v>174</v>
      </c>
      <c r="Q190" s="104">
        <v>174</v>
      </c>
      <c r="R190" s="215">
        <f t="shared" si="62"/>
        <v>1</v>
      </c>
      <c r="S190" s="105">
        <f t="shared" si="5"/>
        <v>350000</v>
      </c>
      <c r="T190" s="98">
        <f t="shared" si="67"/>
        <v>54250</v>
      </c>
      <c r="U190" s="70">
        <f t="shared" si="64"/>
        <v>0</v>
      </c>
      <c r="V190" s="181">
        <v>0.155</v>
      </c>
      <c r="W190" s="210"/>
      <c r="X190" s="17">
        <v>44214</v>
      </c>
      <c r="Y190" s="12" t="s">
        <v>66</v>
      </c>
      <c r="Z190" s="12"/>
      <c r="AA190" s="12"/>
      <c r="AB190" s="3">
        <v>1</v>
      </c>
    </row>
    <row r="191" spans="1:28" s="3" customFormat="1" ht="14.45" customHeight="1" x14ac:dyDescent="0.25">
      <c r="A191" s="141">
        <v>2</v>
      </c>
      <c r="B191" s="99" t="s">
        <v>187</v>
      </c>
      <c r="C191" s="95" t="str">
        <f>VLOOKUP($F191,Admin!$D$11:$F$19,2,FALSE)</f>
        <v>Kísérleti fejlesztés</v>
      </c>
      <c r="D191" s="138" t="s">
        <v>123</v>
      </c>
      <c r="E191" s="95" t="str">
        <f>VLOOKUP($F191,Admin!$D$11:$F$19,3,FALSE)</f>
        <v>54. Bérköltség - Kutató-fejlesztő munkatárs</v>
      </c>
      <c r="F191" s="139" t="s">
        <v>213</v>
      </c>
      <c r="G191" s="100" t="s">
        <v>179</v>
      </c>
      <c r="H191" s="100" t="s">
        <v>229</v>
      </c>
      <c r="I191" s="139" t="str">
        <f>VLOOKUP($F191,Admin!$D$11:$G$19,4,FALSE)</f>
        <v>K+F munkatárs</v>
      </c>
      <c r="J191" s="100" t="s">
        <v>33</v>
      </c>
      <c r="K191" s="95" t="str">
        <f t="shared" si="65"/>
        <v>2021.03</v>
      </c>
      <c r="L191" s="101" t="s">
        <v>6</v>
      </c>
      <c r="M191" s="96" t="s">
        <v>70</v>
      </c>
      <c r="N191" s="102">
        <v>350000</v>
      </c>
      <c r="O191" s="97">
        <f t="shared" si="66"/>
        <v>54250</v>
      </c>
      <c r="P191" s="104">
        <v>174</v>
      </c>
      <c r="Q191" s="104">
        <v>174</v>
      </c>
      <c r="R191" s="215">
        <f t="shared" si="62"/>
        <v>1</v>
      </c>
      <c r="S191" s="105">
        <f t="shared" si="5"/>
        <v>350000</v>
      </c>
      <c r="T191" s="98">
        <f t="shared" si="67"/>
        <v>54250</v>
      </c>
      <c r="U191" s="70">
        <f t="shared" si="64"/>
        <v>0</v>
      </c>
      <c r="V191" s="181">
        <v>0.155</v>
      </c>
      <c r="W191" s="210"/>
      <c r="X191" s="17">
        <v>44214</v>
      </c>
      <c r="Y191" s="12" t="s">
        <v>66</v>
      </c>
      <c r="Z191" s="12"/>
      <c r="AA191" s="12"/>
      <c r="AB191" s="3">
        <v>1</v>
      </c>
    </row>
    <row r="192" spans="1:28" s="3" customFormat="1" ht="14.45" customHeight="1" x14ac:dyDescent="0.25">
      <c r="A192" s="141">
        <v>2</v>
      </c>
      <c r="B192" s="99" t="s">
        <v>187</v>
      </c>
      <c r="C192" s="95" t="str">
        <f>VLOOKUP($F192,Admin!$D$11:$F$19,2,FALSE)</f>
        <v>Kísérleti fejlesztés</v>
      </c>
      <c r="D192" s="138" t="s">
        <v>123</v>
      </c>
      <c r="E192" s="95" t="str">
        <f>VLOOKUP($F192,Admin!$D$11:$F$19,3,FALSE)</f>
        <v>54. Bérköltség - Kutató-fejlesztő munkatárs</v>
      </c>
      <c r="F192" s="139" t="s">
        <v>213</v>
      </c>
      <c r="G192" s="100" t="s">
        <v>179</v>
      </c>
      <c r="H192" s="100" t="s">
        <v>229</v>
      </c>
      <c r="I192" s="139" t="str">
        <f>VLOOKUP($F192,Admin!$D$11:$G$19,4,FALSE)</f>
        <v>K+F munkatárs</v>
      </c>
      <c r="J192" s="100" t="s">
        <v>34</v>
      </c>
      <c r="K192" s="95" t="str">
        <f t="shared" si="65"/>
        <v>2021.04</v>
      </c>
      <c r="L192" s="101" t="s">
        <v>6</v>
      </c>
      <c r="M192" s="96" t="s">
        <v>70</v>
      </c>
      <c r="N192" s="102">
        <v>350000</v>
      </c>
      <c r="O192" s="97">
        <f t="shared" si="66"/>
        <v>54250</v>
      </c>
      <c r="P192" s="104">
        <v>174</v>
      </c>
      <c r="Q192" s="104">
        <v>174</v>
      </c>
      <c r="R192" s="215">
        <f t="shared" si="62"/>
        <v>1</v>
      </c>
      <c r="S192" s="105">
        <f t="shared" si="5"/>
        <v>350000</v>
      </c>
      <c r="T192" s="98">
        <f t="shared" si="67"/>
        <v>54250</v>
      </c>
      <c r="U192" s="70">
        <f t="shared" si="64"/>
        <v>0</v>
      </c>
      <c r="V192" s="181">
        <v>0.155</v>
      </c>
      <c r="W192" s="210"/>
      <c r="X192" s="17">
        <v>44214</v>
      </c>
      <c r="Y192" s="12" t="s">
        <v>66</v>
      </c>
      <c r="Z192" s="12"/>
      <c r="AA192" s="12"/>
      <c r="AB192" s="3">
        <v>1</v>
      </c>
    </row>
    <row r="193" spans="1:31" s="3" customFormat="1" ht="14.45" customHeight="1" x14ac:dyDescent="0.25">
      <c r="A193" s="141">
        <v>2</v>
      </c>
      <c r="B193" s="99" t="s">
        <v>187</v>
      </c>
      <c r="C193" s="95" t="str">
        <f>VLOOKUP($F193,Admin!$D$11:$F$19,2,FALSE)</f>
        <v>Kísérleti fejlesztés</v>
      </c>
      <c r="D193" s="138" t="s">
        <v>123</v>
      </c>
      <c r="E193" s="95" t="str">
        <f>VLOOKUP($F193,Admin!$D$11:$F$19,3,FALSE)</f>
        <v>54. Bérköltség - Kutató-fejlesztő munkatárs</v>
      </c>
      <c r="F193" s="139" t="s">
        <v>213</v>
      </c>
      <c r="G193" s="100" t="s">
        <v>179</v>
      </c>
      <c r="H193" s="100" t="s">
        <v>229</v>
      </c>
      <c r="I193" s="139" t="str">
        <f>VLOOKUP($F193,Admin!$D$11:$G$19,4,FALSE)</f>
        <v>K+F munkatárs</v>
      </c>
      <c r="J193" s="100" t="s">
        <v>35</v>
      </c>
      <c r="K193" s="95" t="str">
        <f t="shared" si="65"/>
        <v>2021.05</v>
      </c>
      <c r="L193" s="101" t="s">
        <v>6</v>
      </c>
      <c r="M193" s="96" t="s">
        <v>70</v>
      </c>
      <c r="N193" s="102">
        <v>350000</v>
      </c>
      <c r="O193" s="97">
        <f t="shared" si="66"/>
        <v>54250</v>
      </c>
      <c r="P193" s="104">
        <v>174</v>
      </c>
      <c r="Q193" s="104">
        <v>174</v>
      </c>
      <c r="R193" s="215">
        <f t="shared" si="62"/>
        <v>1</v>
      </c>
      <c r="S193" s="105">
        <f t="shared" si="5"/>
        <v>350000</v>
      </c>
      <c r="T193" s="98">
        <f t="shared" si="67"/>
        <v>54250</v>
      </c>
      <c r="U193" s="70">
        <f t="shared" si="64"/>
        <v>0</v>
      </c>
      <c r="V193" s="181">
        <v>0.155</v>
      </c>
      <c r="W193" s="210"/>
      <c r="X193" s="17">
        <v>44214</v>
      </c>
      <c r="Y193" s="12" t="s">
        <v>66</v>
      </c>
      <c r="Z193" s="12"/>
      <c r="AA193" s="12"/>
      <c r="AB193" s="3">
        <v>1</v>
      </c>
    </row>
    <row r="194" spans="1:31" s="3" customFormat="1" ht="14.45" customHeight="1" x14ac:dyDescent="0.25">
      <c r="A194" s="141">
        <v>2</v>
      </c>
      <c r="B194" s="99" t="s">
        <v>187</v>
      </c>
      <c r="C194" s="95" t="str">
        <f>VLOOKUP($F194,Admin!$D$11:$F$19,2,FALSE)</f>
        <v>Kísérleti fejlesztés</v>
      </c>
      <c r="D194" s="138" t="s">
        <v>123</v>
      </c>
      <c r="E194" s="95" t="str">
        <f>VLOOKUP($F194,Admin!$D$11:$F$19,3,FALSE)</f>
        <v>54. Bérköltség - Kutató-fejlesztő munkatárs</v>
      </c>
      <c r="F194" s="139" t="s">
        <v>213</v>
      </c>
      <c r="G194" s="100" t="s">
        <v>179</v>
      </c>
      <c r="H194" s="100" t="s">
        <v>229</v>
      </c>
      <c r="I194" s="139" t="str">
        <f>VLOOKUP($F194,Admin!$D$11:$G$19,4,FALSE)</f>
        <v>K+F munkatárs</v>
      </c>
      <c r="J194" s="100" t="s">
        <v>36</v>
      </c>
      <c r="K194" s="95" t="str">
        <f t="shared" si="65"/>
        <v>2021.06</v>
      </c>
      <c r="L194" s="101" t="s">
        <v>6</v>
      </c>
      <c r="M194" s="96" t="s">
        <v>70</v>
      </c>
      <c r="N194" s="102">
        <v>350000</v>
      </c>
      <c r="O194" s="97">
        <f t="shared" si="66"/>
        <v>54250</v>
      </c>
      <c r="P194" s="104">
        <v>174</v>
      </c>
      <c r="Q194" s="104">
        <v>174</v>
      </c>
      <c r="R194" s="215">
        <f t="shared" si="62"/>
        <v>1</v>
      </c>
      <c r="S194" s="105">
        <f t="shared" si="5"/>
        <v>350000</v>
      </c>
      <c r="T194" s="98">
        <f t="shared" si="67"/>
        <v>54250</v>
      </c>
      <c r="U194" s="70">
        <f t="shared" si="64"/>
        <v>0</v>
      </c>
      <c r="V194" s="181">
        <v>0.155</v>
      </c>
      <c r="W194" s="210"/>
      <c r="X194" s="17">
        <v>44214</v>
      </c>
      <c r="Y194" s="12" t="s">
        <v>66</v>
      </c>
      <c r="Z194" s="12"/>
      <c r="AA194" s="12"/>
      <c r="AB194" s="3">
        <v>1</v>
      </c>
    </row>
    <row r="195" spans="1:31" s="3" customFormat="1" ht="14.45" customHeight="1" x14ac:dyDescent="0.25">
      <c r="A195" s="141">
        <v>2</v>
      </c>
      <c r="B195" s="99" t="s">
        <v>187</v>
      </c>
      <c r="C195" s="95" t="str">
        <f>VLOOKUP($F195,Admin!$D$11:$F$19,2,FALSE)</f>
        <v>Kísérleti fejlesztés</v>
      </c>
      <c r="D195" s="138" t="s">
        <v>123</v>
      </c>
      <c r="E195" s="95" t="str">
        <f>VLOOKUP($F195,Admin!$D$11:$F$19,3,FALSE)</f>
        <v>54. Bérköltség - Kutató-fejlesztő munkatárs</v>
      </c>
      <c r="F195" s="139" t="s">
        <v>213</v>
      </c>
      <c r="G195" s="100" t="s">
        <v>179</v>
      </c>
      <c r="H195" s="100" t="s">
        <v>229</v>
      </c>
      <c r="I195" s="139" t="str">
        <f>VLOOKUP($F195,Admin!$D$11:$G$19,4,FALSE)</f>
        <v>K+F munkatárs</v>
      </c>
      <c r="J195" s="100" t="s">
        <v>37</v>
      </c>
      <c r="K195" s="95" t="str">
        <f t="shared" si="65"/>
        <v>2021.07</v>
      </c>
      <c r="L195" s="101" t="s">
        <v>6</v>
      </c>
      <c r="M195" s="96" t="s">
        <v>70</v>
      </c>
      <c r="N195" s="102">
        <v>350000</v>
      </c>
      <c r="O195" s="97">
        <f t="shared" si="66"/>
        <v>54250</v>
      </c>
      <c r="P195" s="104">
        <v>174</v>
      </c>
      <c r="Q195" s="104">
        <v>174</v>
      </c>
      <c r="R195" s="215">
        <f t="shared" si="62"/>
        <v>1</v>
      </c>
      <c r="S195" s="105">
        <f t="shared" si="5"/>
        <v>350000</v>
      </c>
      <c r="T195" s="98">
        <f t="shared" si="67"/>
        <v>54250</v>
      </c>
      <c r="U195" s="70">
        <f t="shared" si="64"/>
        <v>0</v>
      </c>
      <c r="V195" s="181">
        <v>0.155</v>
      </c>
      <c r="W195" s="210"/>
      <c r="X195" s="17">
        <v>44214</v>
      </c>
      <c r="Y195" s="12" t="s">
        <v>66</v>
      </c>
      <c r="Z195" s="12"/>
      <c r="AA195" s="12"/>
      <c r="AB195" s="3">
        <v>1</v>
      </c>
    </row>
    <row r="196" spans="1:31" s="3" customFormat="1" ht="14.45" customHeight="1" x14ac:dyDescent="0.25">
      <c r="A196" s="141">
        <v>2</v>
      </c>
      <c r="B196" s="99" t="s">
        <v>187</v>
      </c>
      <c r="C196" s="95" t="str">
        <f>VLOOKUP($F196,Admin!$D$11:$F$19,2,FALSE)</f>
        <v>Kísérleti fejlesztés</v>
      </c>
      <c r="D196" s="138" t="s">
        <v>123</v>
      </c>
      <c r="E196" s="95" t="str">
        <f>VLOOKUP($F196,Admin!$D$11:$F$19,3,FALSE)</f>
        <v>54. Bérköltség - Kutató-fejlesztő munkatárs</v>
      </c>
      <c r="F196" s="139" t="s">
        <v>213</v>
      </c>
      <c r="G196" s="100" t="s">
        <v>179</v>
      </c>
      <c r="H196" s="100" t="s">
        <v>229</v>
      </c>
      <c r="I196" s="139" t="str">
        <f>VLOOKUP($F196,Admin!$D$11:$G$19,4,FALSE)</f>
        <v>K+F munkatárs</v>
      </c>
      <c r="J196" s="100" t="s">
        <v>38</v>
      </c>
      <c r="K196" s="95" t="str">
        <f t="shared" si="65"/>
        <v>2021.08</v>
      </c>
      <c r="L196" s="101" t="s">
        <v>6</v>
      </c>
      <c r="M196" s="96" t="s">
        <v>70</v>
      </c>
      <c r="N196" s="102">
        <v>350000</v>
      </c>
      <c r="O196" s="97">
        <f t="shared" si="66"/>
        <v>54250</v>
      </c>
      <c r="P196" s="104">
        <v>174</v>
      </c>
      <c r="Q196" s="104">
        <v>174</v>
      </c>
      <c r="R196" s="215">
        <f t="shared" si="62"/>
        <v>1</v>
      </c>
      <c r="S196" s="105">
        <f t="shared" si="5"/>
        <v>350000</v>
      </c>
      <c r="T196" s="98">
        <f t="shared" si="67"/>
        <v>54250</v>
      </c>
      <c r="U196" s="70">
        <f t="shared" si="64"/>
        <v>0</v>
      </c>
      <c r="V196" s="181">
        <v>0.155</v>
      </c>
      <c r="W196" s="210"/>
      <c r="X196" s="17">
        <v>44363</v>
      </c>
      <c r="Y196" s="12" t="s">
        <v>66</v>
      </c>
      <c r="Z196" s="12"/>
      <c r="AA196" s="12"/>
      <c r="AB196" s="3">
        <v>1</v>
      </c>
    </row>
    <row r="197" spans="1:31" s="3" customFormat="1" ht="14.45" customHeight="1" x14ac:dyDescent="0.25">
      <c r="A197" s="141">
        <v>2</v>
      </c>
      <c r="B197" s="99" t="s">
        <v>187</v>
      </c>
      <c r="C197" s="95" t="str">
        <f>VLOOKUP($F197,Admin!$D$11:$F$19,2,FALSE)</f>
        <v>Kísérleti fejlesztés</v>
      </c>
      <c r="D197" s="138" t="s">
        <v>123</v>
      </c>
      <c r="E197" s="95" t="str">
        <f>VLOOKUP($F197,Admin!$D$11:$F$19,3,FALSE)</f>
        <v>54. Bérköltség - Kutató-fejlesztő munkatárs</v>
      </c>
      <c r="F197" s="139" t="s">
        <v>213</v>
      </c>
      <c r="G197" s="100" t="s">
        <v>179</v>
      </c>
      <c r="H197" s="100" t="s">
        <v>229</v>
      </c>
      <c r="I197" s="139" t="str">
        <f>VLOOKUP($F197,Admin!$D$11:$G$19,4,FALSE)</f>
        <v>K+F munkatárs</v>
      </c>
      <c r="J197" s="100" t="s">
        <v>39</v>
      </c>
      <c r="K197" s="95" t="str">
        <f t="shared" si="65"/>
        <v>2021.09</v>
      </c>
      <c r="L197" s="101" t="s">
        <v>6</v>
      </c>
      <c r="M197" s="96" t="s">
        <v>70</v>
      </c>
      <c r="N197" s="102">
        <v>350000</v>
      </c>
      <c r="O197" s="97">
        <f t="shared" si="66"/>
        <v>54250</v>
      </c>
      <c r="P197" s="104">
        <v>174</v>
      </c>
      <c r="Q197" s="104">
        <v>174</v>
      </c>
      <c r="R197" s="215">
        <f t="shared" ref="R197:R354" si="248">Q197/P197</f>
        <v>1</v>
      </c>
      <c r="S197" s="105">
        <f t="shared" si="5"/>
        <v>350000</v>
      </c>
      <c r="T197" s="98">
        <f t="shared" si="67"/>
        <v>54250</v>
      </c>
      <c r="U197" s="70">
        <f t="shared" si="64"/>
        <v>0</v>
      </c>
      <c r="V197" s="181">
        <v>0.155</v>
      </c>
      <c r="W197" s="210"/>
      <c r="X197" s="17">
        <v>44363</v>
      </c>
      <c r="Y197" s="12" t="s">
        <v>66</v>
      </c>
      <c r="Z197" s="12"/>
      <c r="AA197" s="12"/>
      <c r="AB197" s="3">
        <v>1</v>
      </c>
    </row>
    <row r="198" spans="1:31" s="3" customFormat="1" ht="14.45" customHeight="1" x14ac:dyDescent="0.25">
      <c r="A198" s="141">
        <v>2</v>
      </c>
      <c r="B198" s="99" t="s">
        <v>187</v>
      </c>
      <c r="C198" s="95" t="str">
        <f>VLOOKUP($F198,Admin!$D$11:$F$19,2,FALSE)</f>
        <v>Kísérleti fejlesztés</v>
      </c>
      <c r="D198" s="138" t="s">
        <v>123</v>
      </c>
      <c r="E198" s="95" t="str">
        <f>VLOOKUP($F198,Admin!$D$11:$F$19,3,FALSE)</f>
        <v>54. Bérköltség - Kutató-fejlesztő munkatárs</v>
      </c>
      <c r="F198" s="139" t="s">
        <v>213</v>
      </c>
      <c r="G198" s="100" t="s">
        <v>179</v>
      </c>
      <c r="H198" s="100" t="s">
        <v>229</v>
      </c>
      <c r="I198" s="139" t="str">
        <f>VLOOKUP($F198,Admin!$D$11:$G$19,4,FALSE)</f>
        <v>K+F munkatárs</v>
      </c>
      <c r="J198" s="100" t="s">
        <v>40</v>
      </c>
      <c r="K198" s="95" t="str">
        <f t="shared" si="65"/>
        <v>2021.10</v>
      </c>
      <c r="L198" s="101" t="s">
        <v>6</v>
      </c>
      <c r="M198" s="96" t="s">
        <v>70</v>
      </c>
      <c r="N198" s="102">
        <v>402500</v>
      </c>
      <c r="O198" s="97">
        <f t="shared" si="66"/>
        <v>62388</v>
      </c>
      <c r="P198" s="104">
        <v>174</v>
      </c>
      <c r="Q198" s="104">
        <v>174</v>
      </c>
      <c r="R198" s="215">
        <f t="shared" si="248"/>
        <v>1</v>
      </c>
      <c r="S198" s="105">
        <f t="shared" si="5"/>
        <v>402500</v>
      </c>
      <c r="T198" s="98">
        <f t="shared" si="67"/>
        <v>62388</v>
      </c>
      <c r="U198" s="70">
        <f t="shared" ref="U198:U355" si="249">Q198/P198-S198/N198</f>
        <v>0</v>
      </c>
      <c r="V198" s="181">
        <v>0.155</v>
      </c>
      <c r="W198" s="210"/>
      <c r="X198" s="17">
        <v>44363</v>
      </c>
      <c r="Y198" s="12" t="s">
        <v>66</v>
      </c>
      <c r="Z198" s="12"/>
      <c r="AA198" s="12"/>
      <c r="AB198" s="3">
        <v>1</v>
      </c>
    </row>
    <row r="199" spans="1:31" s="3" customFormat="1" ht="14.45" customHeight="1" x14ac:dyDescent="0.25">
      <c r="A199" s="141">
        <v>2</v>
      </c>
      <c r="B199" s="99" t="s">
        <v>187</v>
      </c>
      <c r="C199" s="95" t="str">
        <f>VLOOKUP($F199,Admin!$D$11:$F$19,2,FALSE)</f>
        <v>Kísérleti fejlesztés</v>
      </c>
      <c r="D199" s="138" t="s">
        <v>123</v>
      </c>
      <c r="E199" s="95" t="str">
        <f>VLOOKUP($F199,Admin!$D$11:$F$19,3,FALSE)</f>
        <v>54. Bérköltség - Kutató-fejlesztő munkatárs</v>
      </c>
      <c r="F199" s="139" t="s">
        <v>213</v>
      </c>
      <c r="G199" s="100" t="s">
        <v>179</v>
      </c>
      <c r="H199" s="100" t="s">
        <v>229</v>
      </c>
      <c r="I199" s="139" t="str">
        <f>VLOOKUP($F199,Admin!$D$11:$G$19,4,FALSE)</f>
        <v>K+F munkatárs</v>
      </c>
      <c r="J199" s="100" t="s">
        <v>41</v>
      </c>
      <c r="K199" s="95" t="str">
        <f t="shared" ref="K199:K356" si="250">J199</f>
        <v>2021.11</v>
      </c>
      <c r="L199" s="101" t="s">
        <v>6</v>
      </c>
      <c r="M199" s="96" t="s">
        <v>70</v>
      </c>
      <c r="N199" s="102">
        <v>402500</v>
      </c>
      <c r="O199" s="97">
        <f t="shared" ref="O199:O356" si="251">ROUND(N199*V199,0)</f>
        <v>62388</v>
      </c>
      <c r="P199" s="104">
        <v>174</v>
      </c>
      <c r="Q199" s="104">
        <v>174</v>
      </c>
      <c r="R199" s="215">
        <f t="shared" si="248"/>
        <v>1</v>
      </c>
      <c r="S199" s="105">
        <f t="shared" si="5"/>
        <v>402500</v>
      </c>
      <c r="T199" s="98">
        <f t="shared" ref="T199:T356" si="252">ROUND(S199*V199,0)</f>
        <v>62388</v>
      </c>
      <c r="U199" s="70">
        <f t="shared" si="249"/>
        <v>0</v>
      </c>
      <c r="V199" s="181">
        <v>0.155</v>
      </c>
      <c r="W199" s="210"/>
      <c r="X199" s="17">
        <v>44363</v>
      </c>
      <c r="Y199" s="12" t="s">
        <v>66</v>
      </c>
      <c r="Z199" s="12"/>
      <c r="AA199" s="12"/>
      <c r="AB199" s="3">
        <v>1</v>
      </c>
    </row>
    <row r="200" spans="1:31" s="3" customFormat="1" ht="14.45" customHeight="1" x14ac:dyDescent="0.25">
      <c r="A200" s="141">
        <v>2</v>
      </c>
      <c r="B200" s="99" t="s">
        <v>187</v>
      </c>
      <c r="C200" s="95" t="str">
        <f>VLOOKUP($F200,Admin!$D$11:$F$19,2,FALSE)</f>
        <v>Kísérleti fejlesztés</v>
      </c>
      <c r="D200" s="138" t="s">
        <v>123</v>
      </c>
      <c r="E200" s="95" t="str">
        <f>VLOOKUP($F200,Admin!$D$11:$F$19,3,FALSE)</f>
        <v>54. Bérköltség - Kutató-fejlesztő munkatárs</v>
      </c>
      <c r="F200" s="139" t="s">
        <v>213</v>
      </c>
      <c r="G200" s="100" t="s">
        <v>179</v>
      </c>
      <c r="H200" s="100" t="s">
        <v>229</v>
      </c>
      <c r="I200" s="139" t="str">
        <f>VLOOKUP($F200,Admin!$D$11:$G$19,4,FALSE)</f>
        <v>K+F munkatárs</v>
      </c>
      <c r="J200" s="100" t="s">
        <v>42</v>
      </c>
      <c r="K200" s="95" t="str">
        <f t="shared" si="250"/>
        <v>2021.12</v>
      </c>
      <c r="L200" s="101" t="s">
        <v>6</v>
      </c>
      <c r="M200" s="96" t="s">
        <v>70</v>
      </c>
      <c r="N200" s="102">
        <v>402500</v>
      </c>
      <c r="O200" s="97">
        <f t="shared" si="251"/>
        <v>62388</v>
      </c>
      <c r="P200" s="104">
        <v>174</v>
      </c>
      <c r="Q200" s="104">
        <v>174</v>
      </c>
      <c r="R200" s="215">
        <f t="shared" si="248"/>
        <v>1</v>
      </c>
      <c r="S200" s="105">
        <f t="shared" si="5"/>
        <v>402500</v>
      </c>
      <c r="T200" s="98">
        <f t="shared" si="252"/>
        <v>62388</v>
      </c>
      <c r="U200" s="70">
        <f t="shared" si="249"/>
        <v>0</v>
      </c>
      <c r="V200" s="181">
        <v>0.155</v>
      </c>
      <c r="W200" s="210"/>
      <c r="X200" s="17">
        <v>44363</v>
      </c>
      <c r="Y200" s="12" t="s">
        <v>66</v>
      </c>
      <c r="Z200" s="12"/>
      <c r="AA200" s="12"/>
      <c r="AB200" s="3">
        <v>1</v>
      </c>
    </row>
    <row r="201" spans="1:31" s="3" customFormat="1" ht="14.45" customHeight="1" x14ac:dyDescent="0.25">
      <c r="A201" s="141">
        <v>2</v>
      </c>
      <c r="B201" s="99" t="s">
        <v>187</v>
      </c>
      <c r="C201" s="95" t="str">
        <f>VLOOKUP($F201,Admin!$D$11:$F$19,2,FALSE)</f>
        <v>Kísérleti fejlesztés</v>
      </c>
      <c r="D201" s="138" t="s">
        <v>123</v>
      </c>
      <c r="E201" s="95" t="str">
        <f>VLOOKUP($F201,Admin!$D$11:$F$19,3,FALSE)</f>
        <v>54. Bérköltség - Kutató-fejlesztő munkatárs</v>
      </c>
      <c r="F201" s="139" t="s">
        <v>213</v>
      </c>
      <c r="G201" s="100" t="s">
        <v>179</v>
      </c>
      <c r="H201" s="100" t="s">
        <v>229</v>
      </c>
      <c r="I201" s="139" t="str">
        <f>VLOOKUP($F201,Admin!$D$11:$G$19,4,FALSE)</f>
        <v>K+F munkatárs</v>
      </c>
      <c r="J201" s="100" t="s">
        <v>43</v>
      </c>
      <c r="K201" s="95" t="str">
        <f t="shared" si="250"/>
        <v>2022.01</v>
      </c>
      <c r="L201" s="101" t="s">
        <v>6</v>
      </c>
      <c r="M201" s="96" t="s">
        <v>70</v>
      </c>
      <c r="N201" s="102">
        <v>432500</v>
      </c>
      <c r="O201" s="97">
        <f t="shared" si="251"/>
        <v>56225</v>
      </c>
      <c r="P201" s="104">
        <v>174</v>
      </c>
      <c r="Q201" s="104">
        <v>174</v>
      </c>
      <c r="R201" s="215">
        <f t="shared" si="248"/>
        <v>1</v>
      </c>
      <c r="S201" s="105">
        <f t="shared" si="5"/>
        <v>432500</v>
      </c>
      <c r="T201" s="98">
        <f t="shared" si="252"/>
        <v>56225</v>
      </c>
      <c r="U201" s="70">
        <f t="shared" si="249"/>
        <v>0</v>
      </c>
      <c r="V201" s="140">
        <v>0.13</v>
      </c>
      <c r="W201" s="209"/>
      <c r="X201" s="17">
        <v>44363</v>
      </c>
      <c r="Y201" s="12" t="s">
        <v>66</v>
      </c>
      <c r="Z201" s="12"/>
      <c r="AA201" s="12"/>
      <c r="AB201" s="3">
        <v>1</v>
      </c>
    </row>
    <row r="202" spans="1:31" s="3" customFormat="1" ht="14.45" customHeight="1" x14ac:dyDescent="0.25">
      <c r="A202" s="141">
        <v>3</v>
      </c>
      <c r="B202" s="99" t="s">
        <v>249</v>
      </c>
      <c r="C202" s="95" t="str">
        <f>VLOOKUP($F202,Admin!$D$11:$F$19,2,FALSE)</f>
        <v>Kísérleti fejlesztés</v>
      </c>
      <c r="D202" s="138" t="s">
        <v>123</v>
      </c>
      <c r="E202" s="95" t="str">
        <f>VLOOKUP($F202,Admin!$D$11:$F$19,3,FALSE)</f>
        <v>54. Bérköltség - Kutató-fejlesztő munkatárs</v>
      </c>
      <c r="F202" s="139" t="s">
        <v>213</v>
      </c>
      <c r="G202" s="100" t="s">
        <v>180</v>
      </c>
      <c r="H202" s="100" t="s">
        <v>250</v>
      </c>
      <c r="I202" s="139" t="str">
        <f>VLOOKUP($F202,Admin!$D$11:$G$19,4,FALSE)</f>
        <v>K+F munkatárs</v>
      </c>
      <c r="J202" s="100" t="s">
        <v>51</v>
      </c>
      <c r="K202" s="95" t="str">
        <f t="shared" si="250"/>
        <v>2022.09</v>
      </c>
      <c r="L202" s="101" t="s">
        <v>6</v>
      </c>
      <c r="M202" s="96" t="s">
        <v>70</v>
      </c>
      <c r="N202" s="102">
        <v>719999</v>
      </c>
      <c r="O202" s="97">
        <f t="shared" si="251"/>
        <v>93600</v>
      </c>
      <c r="P202" s="104">
        <v>174</v>
      </c>
      <c r="Q202" s="104">
        <v>60</v>
      </c>
      <c r="R202" s="215">
        <f t="shared" si="248"/>
        <v>0.34482758620689657</v>
      </c>
      <c r="S202" s="105">
        <f t="shared" si="5"/>
        <v>248276</v>
      </c>
      <c r="T202" s="98">
        <f t="shared" si="252"/>
        <v>32276</v>
      </c>
      <c r="U202" s="70">
        <f t="shared" si="249"/>
        <v>-6.7049901553151159E-7</v>
      </c>
      <c r="V202" s="140">
        <v>0.13</v>
      </c>
      <c r="W202" s="209"/>
      <c r="X202" s="17">
        <v>44789</v>
      </c>
      <c r="Y202" s="12" t="s">
        <v>66</v>
      </c>
      <c r="Z202" s="12"/>
      <c r="AA202" s="12"/>
      <c r="AB202" s="3">
        <v>1</v>
      </c>
    </row>
    <row r="203" spans="1:31" s="3" customFormat="1" ht="14.45" customHeight="1" x14ac:dyDescent="0.25">
      <c r="A203" s="141">
        <v>3</v>
      </c>
      <c r="B203" s="99" t="s">
        <v>249</v>
      </c>
      <c r="C203" s="95" t="str">
        <f>VLOOKUP($F203,Admin!$D$11:$F$19,2,FALSE)</f>
        <v>Kísérleti fejlesztés</v>
      </c>
      <c r="D203" s="138" t="s">
        <v>123</v>
      </c>
      <c r="E203" s="95" t="str">
        <f>VLOOKUP($F203,Admin!$D$11:$F$19,3,FALSE)</f>
        <v>54. Bérköltség - Kutató-fejlesztő munkatárs</v>
      </c>
      <c r="F203" s="139" t="s">
        <v>213</v>
      </c>
      <c r="G203" s="100" t="s">
        <v>180</v>
      </c>
      <c r="H203" s="100" t="s">
        <v>262</v>
      </c>
      <c r="I203" s="139" t="str">
        <f>VLOOKUP($F203,Admin!$D$11:$G$19,4,FALSE)</f>
        <v>K+F munkatárs</v>
      </c>
      <c r="J203" s="100" t="s">
        <v>52</v>
      </c>
      <c r="K203" s="95" t="str">
        <f t="shared" si="250"/>
        <v>2022.10</v>
      </c>
      <c r="L203" s="101" t="s">
        <v>6</v>
      </c>
      <c r="M203" s="96" t="s">
        <v>70</v>
      </c>
      <c r="N203" s="102">
        <v>775999</v>
      </c>
      <c r="O203" s="97">
        <f t="shared" ref="O203" si="253">ROUND(N203*V203,0)</f>
        <v>100880</v>
      </c>
      <c r="P203" s="104">
        <v>174</v>
      </c>
      <c r="Q203" s="104">
        <v>56</v>
      </c>
      <c r="R203" s="215">
        <f t="shared" ref="R203" si="254">Q203/P203</f>
        <v>0.32183908045977011</v>
      </c>
      <c r="S203" s="105">
        <f t="shared" ref="S203" si="255">ROUND(N203*Q203/P203,0)</f>
        <v>249747</v>
      </c>
      <c r="T203" s="98">
        <f t="shared" ref="T203" si="256">ROUND(S203*V203,0)</f>
        <v>32467</v>
      </c>
      <c r="U203" s="70">
        <f t="shared" ref="U203" si="257">Q203/P203-S203/N203</f>
        <v>-2.5180741064501078E-7</v>
      </c>
      <c r="V203" s="140">
        <v>0.13</v>
      </c>
      <c r="W203" s="209"/>
      <c r="X203" s="17">
        <v>44825</v>
      </c>
      <c r="Y203" s="12" t="s">
        <v>66</v>
      </c>
      <c r="Z203" s="12"/>
      <c r="AA203" s="12"/>
      <c r="AB203" s="3">
        <v>1</v>
      </c>
    </row>
    <row r="204" spans="1:31" s="3" customFormat="1" ht="14.45" customHeight="1" x14ac:dyDescent="0.25">
      <c r="A204" s="141">
        <v>3</v>
      </c>
      <c r="B204" s="99" t="s">
        <v>249</v>
      </c>
      <c r="C204" s="95" t="str">
        <f>VLOOKUP($F204,Admin!$D$11:$F$19,2,FALSE)</f>
        <v>Kísérleti fejlesztés</v>
      </c>
      <c r="D204" s="138" t="s">
        <v>123</v>
      </c>
      <c r="E204" s="95" t="str">
        <f>VLOOKUP($F204,Admin!$D$11:$F$19,3,FALSE)</f>
        <v>54. Bérköltség - Kutató-fejlesztő munkatárs</v>
      </c>
      <c r="F204" s="139" t="s">
        <v>213</v>
      </c>
      <c r="G204" s="100" t="s">
        <v>180</v>
      </c>
      <c r="H204" s="100" t="s">
        <v>262</v>
      </c>
      <c r="I204" s="139" t="str">
        <f>VLOOKUP($F204,Admin!$D$11:$G$19,4,FALSE)</f>
        <v>K+F munkatárs</v>
      </c>
      <c r="J204" s="100" t="s">
        <v>53</v>
      </c>
      <c r="K204" s="95" t="str">
        <f t="shared" si="250"/>
        <v>2022.11</v>
      </c>
      <c r="L204" s="101" t="s">
        <v>6</v>
      </c>
      <c r="M204" s="96" t="s">
        <v>70</v>
      </c>
      <c r="N204" s="102">
        <v>776000</v>
      </c>
      <c r="O204" s="97">
        <f t="shared" ref="O204:O205" si="258">ROUND(N204*V204,0)</f>
        <v>100880</v>
      </c>
      <c r="P204" s="104">
        <v>174</v>
      </c>
      <c r="Q204" s="104">
        <v>56</v>
      </c>
      <c r="R204" s="215">
        <f t="shared" ref="R204:R205" si="259">Q204/P204</f>
        <v>0.32183908045977011</v>
      </c>
      <c r="S204" s="105">
        <f t="shared" ref="S204:S205" si="260">ROUND(N204*Q204/P204,0)</f>
        <v>249747</v>
      </c>
      <c r="T204" s="98">
        <f t="shared" ref="T204:T205" si="261">ROUND(S204*V204,0)</f>
        <v>32467</v>
      </c>
      <c r="U204" s="70">
        <f t="shared" ref="U204:U205" si="262">Q204/P204-S204/N204</f>
        <v>1.6293399690558985E-7</v>
      </c>
      <c r="V204" s="140">
        <v>0.13</v>
      </c>
      <c r="W204" s="209" t="s">
        <v>271</v>
      </c>
      <c r="X204" s="17">
        <v>44825</v>
      </c>
      <c r="Y204" s="12" t="s">
        <v>66</v>
      </c>
      <c r="Z204" s="12"/>
      <c r="AA204" s="12"/>
      <c r="AB204" s="3">
        <v>1</v>
      </c>
    </row>
    <row r="205" spans="1:31" s="3" customFormat="1" ht="14.45" customHeight="1" x14ac:dyDescent="0.25">
      <c r="A205" s="141">
        <v>3</v>
      </c>
      <c r="B205" s="99" t="s">
        <v>249</v>
      </c>
      <c r="C205" s="95" t="str">
        <f>VLOOKUP($F205,Admin!$D$11:$F$19,2,FALSE)</f>
        <v>Kísérleti fejlesztés</v>
      </c>
      <c r="D205" s="138" t="s">
        <v>123</v>
      </c>
      <c r="E205" s="95" t="str">
        <f>VLOOKUP($F205,Admin!$D$11:$F$19,3,FALSE)</f>
        <v>54. Bérköltség - Kutató-fejlesztő munkatárs</v>
      </c>
      <c r="F205" s="139" t="s">
        <v>213</v>
      </c>
      <c r="G205" s="100" t="s">
        <v>180</v>
      </c>
      <c r="H205" s="100" t="s">
        <v>262</v>
      </c>
      <c r="I205" s="139" t="str">
        <f>VLOOKUP($F205,Admin!$D$11:$G$19,4,FALSE)</f>
        <v>K+F munkatárs</v>
      </c>
      <c r="J205" s="100" t="s">
        <v>54</v>
      </c>
      <c r="K205" s="95" t="str">
        <f t="shared" si="250"/>
        <v>2022.12</v>
      </c>
      <c r="L205" s="101" t="s">
        <v>6</v>
      </c>
      <c r="M205" s="96" t="s">
        <v>70</v>
      </c>
      <c r="N205" s="102">
        <v>901299</v>
      </c>
      <c r="O205" s="97">
        <f t="shared" si="258"/>
        <v>117169</v>
      </c>
      <c r="P205" s="104">
        <v>174</v>
      </c>
      <c r="Q205" s="104">
        <v>48</v>
      </c>
      <c r="R205" s="215">
        <f t="shared" si="259"/>
        <v>0.27586206896551724</v>
      </c>
      <c r="S205" s="105">
        <f t="shared" si="260"/>
        <v>248634</v>
      </c>
      <c r="T205" s="98">
        <f t="shared" si="261"/>
        <v>32322</v>
      </c>
      <c r="U205" s="70">
        <f t="shared" si="262"/>
        <v>2.2955373490951558E-7</v>
      </c>
      <c r="V205" s="140">
        <v>0.13</v>
      </c>
      <c r="W205" s="209" t="s">
        <v>271</v>
      </c>
      <c r="X205" s="17">
        <v>44893</v>
      </c>
      <c r="Y205" s="12" t="s">
        <v>66</v>
      </c>
      <c r="Z205" s="12"/>
      <c r="AA205" s="12"/>
      <c r="AB205" s="3">
        <v>1</v>
      </c>
      <c r="AC205" s="204" t="s">
        <v>315</v>
      </c>
      <c r="AD205" s="204" t="s">
        <v>315</v>
      </c>
      <c r="AE205" s="205" t="s">
        <v>316</v>
      </c>
    </row>
    <row r="206" spans="1:31" s="3" customFormat="1" ht="14.45" customHeight="1" x14ac:dyDescent="0.25">
      <c r="A206" s="141">
        <v>3</v>
      </c>
      <c r="B206" s="99" t="s">
        <v>249</v>
      </c>
      <c r="C206" s="95" t="str">
        <f>VLOOKUP($F206,Admin!$D$11:$F$19,2,FALSE)</f>
        <v>Kísérleti fejlesztés</v>
      </c>
      <c r="D206" s="138" t="s">
        <v>123</v>
      </c>
      <c r="E206" s="95" t="str">
        <f>VLOOKUP($F206,Admin!$D$11:$F$19,3,FALSE)</f>
        <v>54. Bérköltség - Kutató-fejlesztő munkatárs</v>
      </c>
      <c r="F206" s="139" t="s">
        <v>213</v>
      </c>
      <c r="G206" s="100" t="s">
        <v>180</v>
      </c>
      <c r="H206" s="100" t="s">
        <v>262</v>
      </c>
      <c r="I206" s="139" t="str">
        <f>VLOOKUP($F206,Admin!$D$11:$G$19,4,FALSE)</f>
        <v>K+F munkatárs</v>
      </c>
      <c r="J206" s="100" t="s">
        <v>257</v>
      </c>
      <c r="K206" s="95" t="str">
        <f t="shared" ref="K206" si="263">J206</f>
        <v>2023.01</v>
      </c>
      <c r="L206" s="101" t="s">
        <v>6</v>
      </c>
      <c r="M206" s="96" t="s">
        <v>70</v>
      </c>
      <c r="N206" s="102">
        <v>888500</v>
      </c>
      <c r="O206" s="97">
        <f t="shared" ref="O206" si="264">ROUND(N206*V206,0)</f>
        <v>115505</v>
      </c>
      <c r="P206" s="104">
        <v>174</v>
      </c>
      <c r="Q206" s="104">
        <v>49</v>
      </c>
      <c r="R206" s="215">
        <f t="shared" ref="R206" si="265">Q206/P206</f>
        <v>0.28160919540229884</v>
      </c>
      <c r="S206" s="105">
        <f t="shared" ref="S206" si="266">ROUND(N206*Q206/P206,0)</f>
        <v>250210</v>
      </c>
      <c r="T206" s="98">
        <f t="shared" ref="T206" si="267">ROUND(S206*V206,0)</f>
        <v>32527</v>
      </c>
      <c r="U206" s="70">
        <f t="shared" ref="U206" si="268">Q206/P206-S206/N206</f>
        <v>-2.58733885760698E-7</v>
      </c>
      <c r="V206" s="140">
        <v>0.13</v>
      </c>
      <c r="W206" s="209" t="s">
        <v>271</v>
      </c>
      <c r="X206" s="17">
        <v>44936</v>
      </c>
      <c r="Y206" s="12" t="s">
        <v>66</v>
      </c>
      <c r="Z206" s="12"/>
      <c r="AA206" s="12"/>
      <c r="AB206" s="3">
        <v>1</v>
      </c>
      <c r="AC206" s="204" t="s">
        <v>315</v>
      </c>
      <c r="AD206" s="216">
        <v>0</v>
      </c>
      <c r="AE206" s="216">
        <v>0</v>
      </c>
    </row>
    <row r="207" spans="1:31" s="3" customFormat="1" ht="14.45" customHeight="1" x14ac:dyDescent="0.25">
      <c r="A207" s="141"/>
      <c r="B207" s="99" t="s">
        <v>249</v>
      </c>
      <c r="C207" s="95" t="str">
        <f>VLOOKUP($F207,Admin!$D$11:$F$19,2,FALSE)</f>
        <v>Kísérleti fejlesztés</v>
      </c>
      <c r="D207" s="138" t="s">
        <v>123</v>
      </c>
      <c r="E207" s="95" t="str">
        <f>VLOOKUP($F207,Admin!$D$11:$F$19,3,FALSE)</f>
        <v>54. Bérköltség - Kutató-fejlesztő munkatárs</v>
      </c>
      <c r="F207" s="139" t="s">
        <v>213</v>
      </c>
      <c r="G207" s="100" t="s">
        <v>180</v>
      </c>
      <c r="H207" s="100" t="s">
        <v>262</v>
      </c>
      <c r="I207" s="139" t="str">
        <f>VLOOKUP($F207,Admin!$D$11:$G$19,4,FALSE)</f>
        <v>K+F munkatárs</v>
      </c>
      <c r="J207" s="100" t="s">
        <v>295</v>
      </c>
      <c r="K207" s="95" t="str">
        <f t="shared" ref="K207" si="269">J207</f>
        <v>2023.02</v>
      </c>
      <c r="L207" s="101" t="s">
        <v>6</v>
      </c>
      <c r="M207" s="96" t="s">
        <v>70</v>
      </c>
      <c r="N207" s="102">
        <v>888500</v>
      </c>
      <c r="O207" s="97">
        <f t="shared" ref="O207" si="270">ROUND(N207*V207,0)</f>
        <v>115505</v>
      </c>
      <c r="P207" s="104">
        <v>174</v>
      </c>
      <c r="Q207" s="104">
        <v>49</v>
      </c>
      <c r="R207" s="215">
        <f t="shared" ref="R207" si="271">Q207/P207</f>
        <v>0.28160919540229884</v>
      </c>
      <c r="S207" s="105">
        <f t="shared" ref="S207" si="272">ROUND(N207*Q207/P207,0)</f>
        <v>250210</v>
      </c>
      <c r="T207" s="98">
        <f t="shared" ref="T207" si="273">ROUND(S207*V207,0)</f>
        <v>32527</v>
      </c>
      <c r="U207" s="70">
        <f t="shared" ref="U207" si="274">Q207/P207-S207/N207</f>
        <v>-2.58733885760698E-7</v>
      </c>
      <c r="V207" s="140">
        <v>0.13</v>
      </c>
      <c r="W207" s="209" t="s">
        <v>271</v>
      </c>
      <c r="X207" s="17">
        <v>44953</v>
      </c>
      <c r="Y207" s="12" t="s">
        <v>66</v>
      </c>
      <c r="Z207" s="12"/>
      <c r="AA207" s="12"/>
      <c r="AB207" s="3">
        <v>1</v>
      </c>
      <c r="AC207" s="3" t="s">
        <v>315</v>
      </c>
      <c r="AD207" s="3">
        <v>-125300</v>
      </c>
      <c r="AE207" s="3">
        <v>-16289</v>
      </c>
    </row>
    <row r="208" spans="1:31" s="3" customFormat="1" ht="14.45" customHeight="1" x14ac:dyDescent="0.25">
      <c r="A208" s="141"/>
      <c r="B208" s="99" t="s">
        <v>249</v>
      </c>
      <c r="C208" s="95" t="str">
        <f>VLOOKUP($F208,Admin!$D$11:$F$19,2,FALSE)</f>
        <v>Kísérleti fejlesztés</v>
      </c>
      <c r="D208" s="138" t="s">
        <v>123</v>
      </c>
      <c r="E208" s="95" t="str">
        <f>VLOOKUP($F208,Admin!$D$11:$F$19,3,FALSE)</f>
        <v>54. Bérköltség - Kutató-fejlesztő munkatárs</v>
      </c>
      <c r="F208" s="139" t="s">
        <v>213</v>
      </c>
      <c r="G208" s="100" t="s">
        <v>180</v>
      </c>
      <c r="H208" s="100" t="s">
        <v>262</v>
      </c>
      <c r="I208" s="139" t="str">
        <f>VLOOKUP($F208,Admin!$D$11:$G$19,4,FALSE)</f>
        <v>K+F munkatárs</v>
      </c>
      <c r="J208" s="100" t="s">
        <v>296</v>
      </c>
      <c r="K208" s="95" t="str">
        <f t="shared" ref="K208:K209" si="275">J208</f>
        <v>2023.03</v>
      </c>
      <c r="L208" s="101" t="s">
        <v>6</v>
      </c>
      <c r="M208" s="96" t="s">
        <v>70</v>
      </c>
      <c r="N208" s="102">
        <v>763200</v>
      </c>
      <c r="O208" s="97">
        <f t="shared" ref="O208" si="276">ROUND(N208*V208,0)</f>
        <v>99216</v>
      </c>
      <c r="P208" s="104">
        <v>174</v>
      </c>
      <c r="Q208" s="104">
        <v>57</v>
      </c>
      <c r="R208" s="215">
        <f t="shared" ref="R208" si="277">Q208/P208</f>
        <v>0.32758620689655171</v>
      </c>
      <c r="S208" s="105">
        <f t="shared" ref="S208" si="278">ROUND(N208*Q208/P208,0)</f>
        <v>250014</v>
      </c>
      <c r="T208" s="98">
        <f t="shared" ref="T208" si="279">ROUND(S208*V208,0)</f>
        <v>32502</v>
      </c>
      <c r="U208" s="70">
        <f t="shared" ref="U208" si="280">Q208/P208-S208/N208</f>
        <v>-2.7109086969678842E-7</v>
      </c>
      <c r="V208" s="140">
        <v>0.13</v>
      </c>
      <c r="W208" s="209" t="s">
        <v>271</v>
      </c>
      <c r="X208" s="17">
        <v>44978</v>
      </c>
      <c r="Y208" s="12" t="s">
        <v>66</v>
      </c>
      <c r="Z208" s="12"/>
      <c r="AA208" s="12"/>
      <c r="AB208" s="3">
        <v>1</v>
      </c>
      <c r="AC208" s="3" t="s">
        <v>315</v>
      </c>
      <c r="AD208" s="3">
        <v>0</v>
      </c>
      <c r="AE208" s="3">
        <v>0</v>
      </c>
    </row>
    <row r="209" spans="1:31" s="3" customFormat="1" ht="14.45" customHeight="1" x14ac:dyDescent="0.25">
      <c r="A209" s="141"/>
      <c r="B209" s="99" t="s">
        <v>249</v>
      </c>
      <c r="C209" s="95" t="str">
        <f>VLOOKUP($F209,Admin!$D$11:$F$19,2,FALSE)</f>
        <v>Kísérleti fejlesztés</v>
      </c>
      <c r="D209" s="138" t="s">
        <v>123</v>
      </c>
      <c r="E209" s="95" t="str">
        <f>VLOOKUP($F209,Admin!$D$11:$F$19,3,FALSE)</f>
        <v>54. Bérköltség - Kutató-fejlesztő munkatárs</v>
      </c>
      <c r="F209" s="139" t="s">
        <v>213</v>
      </c>
      <c r="G209" s="100" t="s">
        <v>180</v>
      </c>
      <c r="H209" s="100" t="s">
        <v>262</v>
      </c>
      <c r="I209" s="139" t="str">
        <f>VLOOKUP($F209,Admin!$D$11:$G$19,4,FALSE)</f>
        <v>K+F munkatárs</v>
      </c>
      <c r="J209" s="100" t="s">
        <v>297</v>
      </c>
      <c r="K209" s="95" t="str">
        <f t="shared" si="275"/>
        <v>2023.04</v>
      </c>
      <c r="L209" s="101" t="s">
        <v>7</v>
      </c>
      <c r="M209" s="96" t="s">
        <v>70</v>
      </c>
      <c r="N209" s="102">
        <v>763200</v>
      </c>
      <c r="O209" s="97">
        <f t="shared" ref="O209" si="281">ROUND(N209*V209,0)</f>
        <v>99216</v>
      </c>
      <c r="P209" s="104">
        <v>174</v>
      </c>
      <c r="Q209" s="104">
        <v>57</v>
      </c>
      <c r="R209" s="215">
        <f t="shared" ref="R209" si="282">Q209/P209</f>
        <v>0.32758620689655171</v>
      </c>
      <c r="S209" s="105">
        <f t="shared" ref="S209" si="283">ROUND(N209*Q209/P209,0)</f>
        <v>250014</v>
      </c>
      <c r="T209" s="98">
        <f t="shared" ref="T209" si="284">ROUND(S209*V209,0)</f>
        <v>32502</v>
      </c>
      <c r="U209" s="70">
        <f t="shared" ref="U209" si="285">Q209/P209-S209/N209</f>
        <v>-2.7109086969678842E-7</v>
      </c>
      <c r="V209" s="140">
        <v>0.13</v>
      </c>
      <c r="W209" s="209" t="s">
        <v>271</v>
      </c>
      <c r="X209" s="17">
        <v>44978</v>
      </c>
      <c r="Y209" s="12" t="s">
        <v>66</v>
      </c>
      <c r="Z209" s="12"/>
      <c r="AA209" s="12"/>
    </row>
    <row r="210" spans="1:31" s="3" customFormat="1" ht="14.45" customHeight="1" x14ac:dyDescent="0.25">
      <c r="A210" s="141">
        <v>3</v>
      </c>
      <c r="B210" s="99" t="s">
        <v>246</v>
      </c>
      <c r="C210" s="95" t="str">
        <f>VLOOKUP($F210,Admin!$D$11:$F$19,2,FALSE)</f>
        <v>Kísérleti fejlesztés</v>
      </c>
      <c r="D210" s="138" t="s">
        <v>123</v>
      </c>
      <c r="E210" s="95" t="str">
        <f>VLOOKUP($F210,Admin!$D$11:$F$19,3,FALSE)</f>
        <v>54. Bérköltség - Kutató-fejlesztő munkatárs</v>
      </c>
      <c r="F210" s="139" t="s">
        <v>213</v>
      </c>
      <c r="G210" s="100" t="s">
        <v>180</v>
      </c>
      <c r="H210" s="100" t="s">
        <v>142</v>
      </c>
      <c r="I210" s="139" t="str">
        <f>VLOOKUP($F210,Admin!$D$11:$G$19,4,FALSE)</f>
        <v>K+F munkatárs</v>
      </c>
      <c r="J210" s="100" t="s">
        <v>48</v>
      </c>
      <c r="K210" s="95" t="str">
        <f t="shared" si="250"/>
        <v>2022.06</v>
      </c>
      <c r="L210" s="101" t="s">
        <v>6</v>
      </c>
      <c r="M210" s="96" t="s">
        <v>70</v>
      </c>
      <c r="N210" s="102">
        <v>610000</v>
      </c>
      <c r="O210" s="97">
        <f t="shared" si="251"/>
        <v>79300</v>
      </c>
      <c r="P210" s="104">
        <v>174</v>
      </c>
      <c r="Q210" s="104">
        <v>17</v>
      </c>
      <c r="R210" s="215">
        <f t="shared" si="248"/>
        <v>9.7701149425287362E-2</v>
      </c>
      <c r="S210" s="105">
        <f t="shared" si="5"/>
        <v>59598</v>
      </c>
      <c r="T210" s="98">
        <f t="shared" si="252"/>
        <v>7748</v>
      </c>
      <c r="U210" s="70">
        <f t="shared" si="249"/>
        <v>-4.8991897493022574E-7</v>
      </c>
      <c r="V210" s="181">
        <v>0.13</v>
      </c>
      <c r="W210" s="210"/>
      <c r="X210" s="17">
        <v>44712</v>
      </c>
      <c r="Y210" s="12" t="s">
        <v>66</v>
      </c>
      <c r="Z210" s="12"/>
      <c r="AA210" s="12"/>
      <c r="AB210" s="3">
        <v>1</v>
      </c>
    </row>
    <row r="211" spans="1:31" s="3" customFormat="1" ht="14.45" customHeight="1" x14ac:dyDescent="0.25">
      <c r="A211" s="141">
        <v>3</v>
      </c>
      <c r="B211" s="99" t="s">
        <v>246</v>
      </c>
      <c r="C211" s="95" t="str">
        <f>VLOOKUP($F211,Admin!$D$11:$F$19,2,FALSE)</f>
        <v>Kísérleti fejlesztés</v>
      </c>
      <c r="D211" s="138" t="s">
        <v>123</v>
      </c>
      <c r="E211" s="95" t="str">
        <f>VLOOKUP($F211,Admin!$D$11:$F$19,3,FALSE)</f>
        <v>54. Bérköltség - Kutató-fejlesztő munkatárs</v>
      </c>
      <c r="F211" s="139" t="s">
        <v>213</v>
      </c>
      <c r="G211" s="100" t="s">
        <v>180</v>
      </c>
      <c r="H211" s="100" t="s">
        <v>142</v>
      </c>
      <c r="I211" s="139" t="str">
        <f>VLOOKUP($F211,Admin!$D$11:$G$19,4,FALSE)</f>
        <v>K+F munkatárs</v>
      </c>
      <c r="J211" s="100" t="s">
        <v>49</v>
      </c>
      <c r="K211" s="95" t="str">
        <f t="shared" ref="K211:K213" si="286">J211</f>
        <v>2022.07</v>
      </c>
      <c r="L211" s="101" t="s">
        <v>6</v>
      </c>
      <c r="M211" s="96" t="s">
        <v>70</v>
      </c>
      <c r="N211" s="102">
        <v>610000</v>
      </c>
      <c r="O211" s="97">
        <f t="shared" ref="O211" si="287">ROUND(N211*V211,0)</f>
        <v>79300</v>
      </c>
      <c r="P211" s="104">
        <v>174</v>
      </c>
      <c r="Q211" s="104">
        <v>68</v>
      </c>
      <c r="R211" s="215">
        <f t="shared" ref="R211" si="288">Q211/P211</f>
        <v>0.39080459770114945</v>
      </c>
      <c r="S211" s="105">
        <f t="shared" ref="S211" si="289">ROUND(N211*Q211/P211,0)</f>
        <v>238391</v>
      </c>
      <c r="T211" s="98">
        <f t="shared" ref="T211" si="290">ROUND(S211*V211,0)</f>
        <v>30991</v>
      </c>
      <c r="U211" s="70">
        <f t="shared" ref="U211" si="291">Q211/P211-S211/N211</f>
        <v>-3.2033163743783177E-7</v>
      </c>
      <c r="V211" s="181">
        <v>0.13</v>
      </c>
      <c r="W211" s="210"/>
      <c r="X211" s="17">
        <v>44734</v>
      </c>
      <c r="Y211" s="12" t="s">
        <v>66</v>
      </c>
      <c r="Z211" s="12"/>
      <c r="AA211" s="12"/>
      <c r="AB211" s="3">
        <v>1</v>
      </c>
    </row>
    <row r="212" spans="1:31" s="3" customFormat="1" ht="14.45" customHeight="1" x14ac:dyDescent="0.25">
      <c r="A212" s="141">
        <v>3</v>
      </c>
      <c r="B212" s="99" t="s">
        <v>246</v>
      </c>
      <c r="C212" s="95" t="str">
        <f>VLOOKUP($F212,Admin!$D$11:$F$19,2,FALSE)</f>
        <v>Kísérleti fejlesztés</v>
      </c>
      <c r="D212" s="138" t="s">
        <v>123</v>
      </c>
      <c r="E212" s="95" t="str">
        <f>VLOOKUP($F212,Admin!$D$11:$F$19,3,FALSE)</f>
        <v>54. Bérköltség - Kutató-fejlesztő munkatárs</v>
      </c>
      <c r="F212" s="139" t="s">
        <v>213</v>
      </c>
      <c r="G212" s="100" t="s">
        <v>180</v>
      </c>
      <c r="H212" s="100" t="s">
        <v>142</v>
      </c>
      <c r="I212" s="139" t="str">
        <f>VLOOKUP($F212,Admin!$D$11:$G$19,4,FALSE)</f>
        <v>K+F munkatárs</v>
      </c>
      <c r="J212" s="100" t="s">
        <v>50</v>
      </c>
      <c r="K212" s="95" t="str">
        <f t="shared" si="286"/>
        <v>2022.08</v>
      </c>
      <c r="L212" s="101" t="s">
        <v>6</v>
      </c>
      <c r="M212" s="96" t="s">
        <v>70</v>
      </c>
      <c r="N212" s="102">
        <v>477391</v>
      </c>
      <c r="O212" s="97">
        <f t="shared" ref="O212:O213" si="292">ROUND(N212*V212,0)</f>
        <v>62061</v>
      </c>
      <c r="P212" s="104">
        <v>174</v>
      </c>
      <c r="Q212" s="104">
        <v>68</v>
      </c>
      <c r="R212" s="215">
        <f t="shared" ref="R212:R213" si="293">Q212/P212</f>
        <v>0.39080459770114945</v>
      </c>
      <c r="S212" s="105">
        <f t="shared" ref="S212:S213" si="294">ROUND(N212*Q212/P212,0)</f>
        <v>186567</v>
      </c>
      <c r="T212" s="98">
        <f t="shared" ref="T212:T213" si="295">ROUND(S212*V212,0)</f>
        <v>24254</v>
      </c>
      <c r="U212" s="70">
        <f t="shared" ref="U212:U213" si="296">Q212/P212-S212/N212</f>
        <v>-8.4270304750999614E-7</v>
      </c>
      <c r="V212" s="181">
        <v>0.13</v>
      </c>
      <c r="W212" s="210"/>
      <c r="X212" s="17">
        <v>44734</v>
      </c>
      <c r="Y212" s="12" t="s">
        <v>66</v>
      </c>
      <c r="Z212" s="12"/>
      <c r="AA212" s="12"/>
      <c r="AB212" s="3">
        <v>1</v>
      </c>
    </row>
    <row r="213" spans="1:31" s="3" customFormat="1" ht="14.45" customHeight="1" x14ac:dyDescent="0.25">
      <c r="A213" s="141">
        <v>3</v>
      </c>
      <c r="B213" s="99" t="s">
        <v>246</v>
      </c>
      <c r="C213" s="95" t="str">
        <f>VLOOKUP($F213,Admin!$D$11:$F$19,2,FALSE)</f>
        <v>Kísérleti fejlesztés</v>
      </c>
      <c r="D213" s="138" t="s">
        <v>123</v>
      </c>
      <c r="E213" s="95" t="str">
        <f>VLOOKUP($F213,Admin!$D$11:$F$19,3,FALSE)</f>
        <v>54. Bérköltség - Kutató-fejlesztő munkatárs</v>
      </c>
      <c r="F213" s="139" t="s">
        <v>213</v>
      </c>
      <c r="G213" s="100" t="s">
        <v>180</v>
      </c>
      <c r="H213" s="100" t="s">
        <v>142</v>
      </c>
      <c r="I213" s="139" t="str">
        <f>VLOOKUP($F213,Admin!$D$11:$G$19,4,FALSE)</f>
        <v>K+F munkatárs</v>
      </c>
      <c r="J213" s="100" t="s">
        <v>51</v>
      </c>
      <c r="K213" s="95" t="str">
        <f t="shared" si="286"/>
        <v>2022.09</v>
      </c>
      <c r="L213" s="101" t="s">
        <v>6</v>
      </c>
      <c r="M213" s="96" t="s">
        <v>70</v>
      </c>
      <c r="N213" s="102">
        <v>610000</v>
      </c>
      <c r="O213" s="97">
        <f t="shared" si="292"/>
        <v>79300</v>
      </c>
      <c r="P213" s="104">
        <v>174</v>
      </c>
      <c r="Q213" s="104">
        <v>68</v>
      </c>
      <c r="R213" s="215">
        <f t="shared" si="293"/>
        <v>0.39080459770114945</v>
      </c>
      <c r="S213" s="105">
        <f t="shared" si="294"/>
        <v>238391</v>
      </c>
      <c r="T213" s="98">
        <f t="shared" si="295"/>
        <v>30991</v>
      </c>
      <c r="U213" s="70">
        <f t="shared" si="296"/>
        <v>-3.2033163743783177E-7</v>
      </c>
      <c r="V213" s="181">
        <v>0.13</v>
      </c>
      <c r="W213" s="210"/>
      <c r="X213" s="17">
        <v>44734</v>
      </c>
      <c r="Y213" s="12" t="s">
        <v>66</v>
      </c>
      <c r="Z213" s="12"/>
      <c r="AA213" s="12"/>
      <c r="AB213" s="3">
        <v>1</v>
      </c>
    </row>
    <row r="214" spans="1:31" s="3" customFormat="1" ht="14.45" customHeight="1" x14ac:dyDescent="0.25">
      <c r="A214" s="141">
        <v>3</v>
      </c>
      <c r="B214" s="99" t="s">
        <v>246</v>
      </c>
      <c r="C214" s="95" t="str">
        <f>VLOOKUP($F214,Admin!$D$11:$F$19,2,FALSE)</f>
        <v>Kísérleti fejlesztés</v>
      </c>
      <c r="D214" s="138" t="s">
        <v>123</v>
      </c>
      <c r="E214" s="95" t="str">
        <f>VLOOKUP($F214,Admin!$D$11:$F$19,3,FALSE)</f>
        <v>54. Bérköltség - Kutató-fejlesztő munkatárs</v>
      </c>
      <c r="F214" s="139" t="s">
        <v>213</v>
      </c>
      <c r="G214" s="100" t="s">
        <v>180</v>
      </c>
      <c r="H214" s="100" t="s">
        <v>142</v>
      </c>
      <c r="I214" s="139" t="str">
        <f>VLOOKUP($F214,Admin!$D$11:$G$19,4,FALSE)</f>
        <v>K+F munkatárs</v>
      </c>
      <c r="J214" s="100" t="s">
        <v>53</v>
      </c>
      <c r="K214" s="95" t="str">
        <f t="shared" ref="K214:K215" si="297">J214</f>
        <v>2022.11</v>
      </c>
      <c r="L214" s="101" t="s">
        <v>6</v>
      </c>
      <c r="M214" s="96" t="s">
        <v>70</v>
      </c>
      <c r="N214" s="102">
        <v>660000</v>
      </c>
      <c r="O214" s="97">
        <f t="shared" ref="O214" si="298">ROUND(N214*V214,0)</f>
        <v>85800</v>
      </c>
      <c r="P214" s="104">
        <v>174</v>
      </c>
      <c r="Q214" s="104">
        <v>66</v>
      </c>
      <c r="R214" s="215">
        <f t="shared" ref="R214" si="299">Q214/P214</f>
        <v>0.37931034482758619</v>
      </c>
      <c r="S214" s="105">
        <f t="shared" ref="S214" si="300">ROUND(N214*Q214/P214,0)</f>
        <v>250345</v>
      </c>
      <c r="T214" s="98">
        <f t="shared" ref="T214" si="301">ROUND(S214*V214,0)</f>
        <v>32545</v>
      </c>
      <c r="U214" s="70">
        <f t="shared" ref="U214" si="302">Q214/P214-S214/N214</f>
        <v>-2.6123301988256742E-7</v>
      </c>
      <c r="V214" s="181">
        <v>0.13</v>
      </c>
      <c r="W214" s="209" t="s">
        <v>272</v>
      </c>
      <c r="X214" s="17">
        <v>44875</v>
      </c>
      <c r="Y214" s="12" t="s">
        <v>66</v>
      </c>
      <c r="Z214" s="12"/>
      <c r="AA214" s="12"/>
      <c r="AB214" s="3">
        <v>1</v>
      </c>
    </row>
    <row r="215" spans="1:31" s="3" customFormat="1" ht="14.45" customHeight="1" x14ac:dyDescent="0.25">
      <c r="A215" s="141">
        <v>3</v>
      </c>
      <c r="B215" s="99" t="s">
        <v>246</v>
      </c>
      <c r="C215" s="95" t="str">
        <f>VLOOKUP($F215,Admin!$D$11:$F$19,2,FALSE)</f>
        <v>Kísérleti fejlesztés</v>
      </c>
      <c r="D215" s="138" t="s">
        <v>123</v>
      </c>
      <c r="E215" s="95" t="str">
        <f>VLOOKUP($F215,Admin!$D$11:$F$19,3,FALSE)</f>
        <v>54. Bérköltség - Kutató-fejlesztő munkatárs</v>
      </c>
      <c r="F215" s="139" t="s">
        <v>213</v>
      </c>
      <c r="G215" s="100" t="s">
        <v>180</v>
      </c>
      <c r="H215" s="100" t="s">
        <v>142</v>
      </c>
      <c r="I215" s="139" t="str">
        <f>VLOOKUP($F215,Admin!$D$11:$G$19,4,FALSE)</f>
        <v>K+F munkatárs</v>
      </c>
      <c r="J215" s="100" t="s">
        <v>54</v>
      </c>
      <c r="K215" s="95" t="str">
        <f t="shared" si="297"/>
        <v>2022.12</v>
      </c>
      <c r="L215" s="101" t="s">
        <v>6</v>
      </c>
      <c r="M215" s="96" t="s">
        <v>70</v>
      </c>
      <c r="N215" s="102">
        <v>660000</v>
      </c>
      <c r="O215" s="97">
        <f t="shared" ref="O215" si="303">ROUND(N215*V215,0)</f>
        <v>85800</v>
      </c>
      <c r="P215" s="104">
        <v>174</v>
      </c>
      <c r="Q215" s="104">
        <v>66</v>
      </c>
      <c r="R215" s="215">
        <f t="shared" ref="R215" si="304">Q215/P215</f>
        <v>0.37931034482758619</v>
      </c>
      <c r="S215" s="105">
        <f t="shared" ref="S215" si="305">ROUND(N215*Q215/P215,0)</f>
        <v>250345</v>
      </c>
      <c r="T215" s="98">
        <f t="shared" ref="T215" si="306">ROUND(S215*V215,0)</f>
        <v>32545</v>
      </c>
      <c r="U215" s="70">
        <f t="shared" ref="U215" si="307">Q215/P215-S215/N215</f>
        <v>-2.6123301988256742E-7</v>
      </c>
      <c r="V215" s="181">
        <v>0.13</v>
      </c>
      <c r="W215" s="209" t="s">
        <v>272</v>
      </c>
      <c r="X215" s="17">
        <v>44875</v>
      </c>
      <c r="Y215" s="12" t="s">
        <v>66</v>
      </c>
      <c r="Z215" s="12"/>
      <c r="AA215" s="12"/>
      <c r="AB215" s="3">
        <v>1</v>
      </c>
      <c r="AC215" s="204" t="s">
        <v>315</v>
      </c>
      <c r="AD215" s="204" t="s">
        <v>315</v>
      </c>
      <c r="AE215" s="204" t="s">
        <v>315</v>
      </c>
    </row>
    <row r="216" spans="1:31" s="3" customFormat="1" ht="14.45" customHeight="1" x14ac:dyDescent="0.25">
      <c r="A216" s="141">
        <v>1</v>
      </c>
      <c r="B216" s="99" t="s">
        <v>188</v>
      </c>
      <c r="C216" s="95" t="str">
        <f>VLOOKUP($F216,Admin!$D$11:$F$19,2,FALSE)</f>
        <v>Alkalmazott (ipari) kutatás</v>
      </c>
      <c r="D216" s="138" t="s">
        <v>123</v>
      </c>
      <c r="E216" s="95" t="str">
        <f>VLOOKUP($F216,Admin!$D$11:$F$19,3,FALSE)</f>
        <v>54. Bérköltség - Kutató-fejlesztő munkatárs</v>
      </c>
      <c r="F216" s="139" t="s">
        <v>212</v>
      </c>
      <c r="G216" s="100" t="s">
        <v>180</v>
      </c>
      <c r="H216" s="100" t="s">
        <v>142</v>
      </c>
      <c r="I216" s="139" t="str">
        <f>VLOOKUP($F216,Admin!$D$11:$G$19,4,FALSE)</f>
        <v>K+F munkatárs</v>
      </c>
      <c r="J216" s="100" t="s">
        <v>225</v>
      </c>
      <c r="K216" s="95" t="str">
        <f t="shared" si="250"/>
        <v>2020.10</v>
      </c>
      <c r="L216" s="101" t="s">
        <v>6</v>
      </c>
      <c r="M216" s="96" t="s">
        <v>70</v>
      </c>
      <c r="N216" s="102">
        <v>650000</v>
      </c>
      <c r="O216" s="97">
        <f t="shared" si="251"/>
        <v>100750</v>
      </c>
      <c r="P216" s="104">
        <v>174</v>
      </c>
      <c r="Q216" s="104">
        <v>20</v>
      </c>
      <c r="R216" s="215">
        <f t="shared" si="248"/>
        <v>0.11494252873563218</v>
      </c>
      <c r="S216" s="105">
        <f t="shared" si="5"/>
        <v>74713</v>
      </c>
      <c r="T216" s="98">
        <f t="shared" si="252"/>
        <v>11581</v>
      </c>
      <c r="U216" s="70">
        <f t="shared" si="249"/>
        <v>-5.4818744474327552E-7</v>
      </c>
      <c r="V216" s="181">
        <v>0.155</v>
      </c>
      <c r="W216" s="210"/>
      <c r="X216" s="17">
        <v>44098</v>
      </c>
      <c r="Y216" s="12" t="s">
        <v>66</v>
      </c>
      <c r="Z216" s="12"/>
      <c r="AA216" s="12"/>
      <c r="AB216" s="3">
        <v>1</v>
      </c>
    </row>
    <row r="217" spans="1:31" s="3" customFormat="1" ht="14.45" customHeight="1" x14ac:dyDescent="0.25">
      <c r="A217" s="141">
        <v>1</v>
      </c>
      <c r="B217" s="99" t="s">
        <v>188</v>
      </c>
      <c r="C217" s="95" t="str">
        <f>VLOOKUP($F217,Admin!$D$11:$F$19,2,FALSE)</f>
        <v>Alkalmazott (ipari) kutatás</v>
      </c>
      <c r="D217" s="138" t="s">
        <v>123</v>
      </c>
      <c r="E217" s="95" t="str">
        <f>VLOOKUP($F217,Admin!$D$11:$F$19,3,FALSE)</f>
        <v>54. Bérköltség - Kutató-fejlesztő munkatárs</v>
      </c>
      <c r="F217" s="139" t="s">
        <v>212</v>
      </c>
      <c r="G217" s="100" t="s">
        <v>180</v>
      </c>
      <c r="H217" s="100" t="s">
        <v>142</v>
      </c>
      <c r="I217" s="139" t="str">
        <f>VLOOKUP($F217,Admin!$D$11:$G$19,4,FALSE)</f>
        <v>K+F munkatárs</v>
      </c>
      <c r="J217" s="100" t="s">
        <v>226</v>
      </c>
      <c r="K217" s="95" t="str">
        <f t="shared" si="250"/>
        <v>2020.11</v>
      </c>
      <c r="L217" s="101" t="s">
        <v>6</v>
      </c>
      <c r="M217" s="96" t="s">
        <v>70</v>
      </c>
      <c r="N217" s="102">
        <v>650000</v>
      </c>
      <c r="O217" s="97">
        <f t="shared" si="251"/>
        <v>100750</v>
      </c>
      <c r="P217" s="104">
        <v>174</v>
      </c>
      <c r="Q217" s="104">
        <v>20</v>
      </c>
      <c r="R217" s="215">
        <f t="shared" si="248"/>
        <v>0.11494252873563218</v>
      </c>
      <c r="S217" s="105">
        <f t="shared" si="5"/>
        <v>74713</v>
      </c>
      <c r="T217" s="98">
        <f t="shared" si="252"/>
        <v>11581</v>
      </c>
      <c r="U217" s="70">
        <f t="shared" si="249"/>
        <v>-5.4818744474327552E-7</v>
      </c>
      <c r="V217" s="181">
        <v>0.155</v>
      </c>
      <c r="W217" s="210"/>
      <c r="X217" s="17">
        <v>44098</v>
      </c>
      <c r="Y217" s="12" t="s">
        <v>66</v>
      </c>
      <c r="Z217" s="12"/>
      <c r="AA217" s="12"/>
      <c r="AB217" s="3">
        <v>1</v>
      </c>
    </row>
    <row r="218" spans="1:31" s="3" customFormat="1" ht="14.45" customHeight="1" x14ac:dyDescent="0.25">
      <c r="A218" s="141">
        <v>1</v>
      </c>
      <c r="B218" s="99" t="s">
        <v>188</v>
      </c>
      <c r="C218" s="95" t="str">
        <f>VLOOKUP($F218,Admin!$D$11:$F$19,2,FALSE)</f>
        <v>Alkalmazott (ipari) kutatás</v>
      </c>
      <c r="D218" s="138" t="s">
        <v>123</v>
      </c>
      <c r="E218" s="95" t="str">
        <f>VLOOKUP($F218,Admin!$D$11:$F$19,3,FALSE)</f>
        <v>54. Bérköltség - Kutató-fejlesztő munkatárs</v>
      </c>
      <c r="F218" s="139" t="s">
        <v>212</v>
      </c>
      <c r="G218" s="100" t="s">
        <v>180</v>
      </c>
      <c r="H218" s="100" t="s">
        <v>142</v>
      </c>
      <c r="I218" s="139" t="str">
        <f>VLOOKUP($F218,Admin!$D$11:$G$19,4,FALSE)</f>
        <v>K+F munkatárs</v>
      </c>
      <c r="J218" s="100" t="s">
        <v>30</v>
      </c>
      <c r="K218" s="95" t="str">
        <f t="shared" si="250"/>
        <v>2020.12</v>
      </c>
      <c r="L218" s="101" t="s">
        <v>6</v>
      </c>
      <c r="M218" s="96" t="s">
        <v>70</v>
      </c>
      <c r="N218" s="102">
        <v>650000</v>
      </c>
      <c r="O218" s="97">
        <f t="shared" si="251"/>
        <v>100750</v>
      </c>
      <c r="P218" s="104">
        <v>174</v>
      </c>
      <c r="Q218" s="104">
        <v>54</v>
      </c>
      <c r="R218" s="215">
        <f t="shared" si="248"/>
        <v>0.31034482758620691</v>
      </c>
      <c r="S218" s="105">
        <f t="shared" si="5"/>
        <v>201724</v>
      </c>
      <c r="T218" s="98">
        <f t="shared" si="252"/>
        <v>31267</v>
      </c>
      <c r="U218" s="70">
        <f t="shared" si="249"/>
        <v>2.1220159152068874E-7</v>
      </c>
      <c r="V218" s="181">
        <v>0.155</v>
      </c>
      <c r="W218" s="210"/>
      <c r="X218" s="17">
        <v>44155</v>
      </c>
      <c r="Y218" s="12" t="s">
        <v>66</v>
      </c>
      <c r="Z218" s="12"/>
      <c r="AA218" s="12"/>
      <c r="AB218" s="3">
        <v>1</v>
      </c>
    </row>
    <row r="219" spans="1:31" s="3" customFormat="1" ht="14.45" customHeight="1" x14ac:dyDescent="0.25">
      <c r="A219" s="141">
        <v>1</v>
      </c>
      <c r="B219" s="99" t="s">
        <v>188</v>
      </c>
      <c r="C219" s="95" t="str">
        <f>VLOOKUP($F219,Admin!$D$11:$F$19,2,FALSE)</f>
        <v>Alkalmazott (ipari) kutatás</v>
      </c>
      <c r="D219" s="138" t="s">
        <v>123</v>
      </c>
      <c r="E219" s="95" t="str">
        <f>VLOOKUP($F219,Admin!$D$11:$F$19,3,FALSE)</f>
        <v>54. Bérköltség - Kutató-fejlesztő munkatárs</v>
      </c>
      <c r="F219" s="139" t="s">
        <v>212</v>
      </c>
      <c r="G219" s="100" t="s">
        <v>180</v>
      </c>
      <c r="H219" s="100" t="s">
        <v>142</v>
      </c>
      <c r="I219" s="139" t="str">
        <f>VLOOKUP($F219,Admin!$D$11:$G$19,4,FALSE)</f>
        <v>K+F munkatárs</v>
      </c>
      <c r="J219" s="100" t="s">
        <v>31</v>
      </c>
      <c r="K219" s="95" t="str">
        <f t="shared" si="250"/>
        <v>2021.01</v>
      </c>
      <c r="L219" s="101" t="s">
        <v>6</v>
      </c>
      <c r="M219" s="96" t="s">
        <v>70</v>
      </c>
      <c r="N219" s="102">
        <v>602000</v>
      </c>
      <c r="O219" s="97">
        <f t="shared" si="251"/>
        <v>93310</v>
      </c>
      <c r="P219" s="104">
        <v>174</v>
      </c>
      <c r="Q219" s="104">
        <v>87</v>
      </c>
      <c r="R219" s="215">
        <f t="shared" si="248"/>
        <v>0.5</v>
      </c>
      <c r="S219" s="105">
        <f t="shared" si="5"/>
        <v>301000</v>
      </c>
      <c r="T219" s="98">
        <f t="shared" si="252"/>
        <v>46655</v>
      </c>
      <c r="U219" s="70">
        <f t="shared" si="249"/>
        <v>0</v>
      </c>
      <c r="V219" s="181">
        <v>0.155</v>
      </c>
      <c r="W219" s="210"/>
      <c r="X219" s="17">
        <v>44187</v>
      </c>
      <c r="Y219" s="12" t="s">
        <v>66</v>
      </c>
      <c r="Z219" s="12"/>
      <c r="AA219" s="12"/>
      <c r="AB219" s="3">
        <v>1</v>
      </c>
    </row>
    <row r="220" spans="1:31" s="3" customFormat="1" ht="14.45" customHeight="1" x14ac:dyDescent="0.25">
      <c r="A220" s="141">
        <v>2</v>
      </c>
      <c r="B220" s="99" t="s">
        <v>188</v>
      </c>
      <c r="C220" s="95" t="str">
        <f>VLOOKUP($F220,Admin!$D$11:$F$19,2,FALSE)</f>
        <v>Kísérleti fejlesztés</v>
      </c>
      <c r="D220" s="138" t="s">
        <v>123</v>
      </c>
      <c r="E220" s="95" t="str">
        <f>VLOOKUP($F220,Admin!$D$11:$F$19,3,FALSE)</f>
        <v>54. Bérköltség - Kutató-fejlesztő munkatárs</v>
      </c>
      <c r="F220" s="139" t="s">
        <v>213</v>
      </c>
      <c r="G220" s="100" t="s">
        <v>180</v>
      </c>
      <c r="H220" s="100" t="s">
        <v>142</v>
      </c>
      <c r="I220" s="139" t="str">
        <f>VLOOKUP($F220,Admin!$D$11:$G$19,4,FALSE)</f>
        <v>K+F munkatárs</v>
      </c>
      <c r="J220" s="100" t="s">
        <v>32</v>
      </c>
      <c r="K220" s="95" t="str">
        <f t="shared" si="250"/>
        <v>2021.02</v>
      </c>
      <c r="L220" s="101" t="s">
        <v>6</v>
      </c>
      <c r="M220" s="96" t="s">
        <v>70</v>
      </c>
      <c r="N220" s="102">
        <v>602000</v>
      </c>
      <c r="O220" s="97">
        <f t="shared" si="251"/>
        <v>93310</v>
      </c>
      <c r="P220" s="104">
        <v>174</v>
      </c>
      <c r="Q220" s="104">
        <v>58</v>
      </c>
      <c r="R220" s="215">
        <f t="shared" si="248"/>
        <v>0.33333333333333331</v>
      </c>
      <c r="S220" s="105">
        <f t="shared" si="5"/>
        <v>200667</v>
      </c>
      <c r="T220" s="98">
        <f t="shared" si="252"/>
        <v>31103</v>
      </c>
      <c r="U220" s="70">
        <f t="shared" si="249"/>
        <v>-5.5370985607705592E-7</v>
      </c>
      <c r="V220" s="181">
        <v>0.155</v>
      </c>
      <c r="W220" s="210"/>
      <c r="X220" s="17">
        <v>44231</v>
      </c>
      <c r="Y220" s="12" t="s">
        <v>66</v>
      </c>
      <c r="Z220" s="12"/>
      <c r="AA220" s="12"/>
      <c r="AB220" s="3">
        <v>1</v>
      </c>
    </row>
    <row r="221" spans="1:31" s="3" customFormat="1" ht="14.45" customHeight="1" x14ac:dyDescent="0.25">
      <c r="A221" s="141">
        <v>2</v>
      </c>
      <c r="B221" s="99" t="s">
        <v>188</v>
      </c>
      <c r="C221" s="95" t="str">
        <f>VLOOKUP($F221,Admin!$D$11:$F$19,2,FALSE)</f>
        <v>Kísérleti fejlesztés</v>
      </c>
      <c r="D221" s="138" t="s">
        <v>123</v>
      </c>
      <c r="E221" s="95" t="str">
        <f>VLOOKUP($F221,Admin!$D$11:$F$19,3,FALSE)</f>
        <v>54. Bérköltség - Kutató-fejlesztő munkatárs</v>
      </c>
      <c r="F221" s="139" t="s">
        <v>213</v>
      </c>
      <c r="G221" s="100" t="s">
        <v>180</v>
      </c>
      <c r="H221" s="100" t="s">
        <v>142</v>
      </c>
      <c r="I221" s="139" t="str">
        <f>VLOOKUP($F221,Admin!$D$11:$G$19,4,FALSE)</f>
        <v>K+F munkatárs</v>
      </c>
      <c r="J221" s="100" t="s">
        <v>33</v>
      </c>
      <c r="K221" s="95" t="str">
        <f t="shared" si="250"/>
        <v>2021.03</v>
      </c>
      <c r="L221" s="101" t="s">
        <v>6</v>
      </c>
      <c r="M221" s="96" t="s">
        <v>70</v>
      </c>
      <c r="N221" s="102">
        <v>602000</v>
      </c>
      <c r="O221" s="97">
        <f t="shared" si="251"/>
        <v>93310</v>
      </c>
      <c r="P221" s="104">
        <v>174</v>
      </c>
      <c r="Q221" s="104">
        <v>58</v>
      </c>
      <c r="R221" s="215">
        <f t="shared" si="248"/>
        <v>0.33333333333333331</v>
      </c>
      <c r="S221" s="105">
        <f t="shared" si="5"/>
        <v>200667</v>
      </c>
      <c r="T221" s="98">
        <f t="shared" si="252"/>
        <v>31103</v>
      </c>
      <c r="U221" s="70">
        <f t="shared" si="249"/>
        <v>-5.5370985607705592E-7</v>
      </c>
      <c r="V221" s="181">
        <v>0.155</v>
      </c>
      <c r="W221" s="210"/>
      <c r="X221" s="17">
        <v>44231</v>
      </c>
      <c r="Y221" s="12" t="s">
        <v>66</v>
      </c>
      <c r="Z221" s="12"/>
      <c r="AA221" s="12"/>
      <c r="AB221" s="3">
        <v>1</v>
      </c>
    </row>
    <row r="222" spans="1:31" s="3" customFormat="1" ht="14.45" customHeight="1" x14ac:dyDescent="0.25">
      <c r="A222" s="141">
        <v>2</v>
      </c>
      <c r="B222" s="99" t="s">
        <v>188</v>
      </c>
      <c r="C222" s="95" t="str">
        <f>VLOOKUP($F222,Admin!$D$11:$F$19,2,FALSE)</f>
        <v>Kísérleti fejlesztés</v>
      </c>
      <c r="D222" s="138" t="s">
        <v>123</v>
      </c>
      <c r="E222" s="95" t="str">
        <f>VLOOKUP($F222,Admin!$D$11:$F$19,3,FALSE)</f>
        <v>54. Bérköltség - Kutató-fejlesztő munkatárs</v>
      </c>
      <c r="F222" s="139" t="s">
        <v>213</v>
      </c>
      <c r="G222" s="100" t="s">
        <v>180</v>
      </c>
      <c r="H222" s="100" t="s">
        <v>142</v>
      </c>
      <c r="I222" s="139" t="str">
        <f>VLOOKUP($F222,Admin!$D$11:$G$19,4,FALSE)</f>
        <v>K+F munkatárs</v>
      </c>
      <c r="J222" s="100" t="s">
        <v>34</v>
      </c>
      <c r="K222" s="95" t="str">
        <f t="shared" si="250"/>
        <v>2021.04</v>
      </c>
      <c r="L222" s="101" t="s">
        <v>6</v>
      </c>
      <c r="M222" s="96" t="s">
        <v>70</v>
      </c>
      <c r="N222" s="102">
        <v>600000</v>
      </c>
      <c r="O222" s="97">
        <f t="shared" si="251"/>
        <v>93000</v>
      </c>
      <c r="P222" s="104">
        <v>174</v>
      </c>
      <c r="Q222" s="104">
        <v>87</v>
      </c>
      <c r="R222" s="215">
        <f t="shared" si="248"/>
        <v>0.5</v>
      </c>
      <c r="S222" s="105">
        <f t="shared" si="5"/>
        <v>300000</v>
      </c>
      <c r="T222" s="98">
        <f t="shared" si="252"/>
        <v>46500</v>
      </c>
      <c r="U222" s="70">
        <f t="shared" si="249"/>
        <v>0</v>
      </c>
      <c r="V222" s="181">
        <v>0.155</v>
      </c>
      <c r="W222" s="210"/>
      <c r="X222" s="17">
        <v>44278</v>
      </c>
      <c r="Y222" s="12" t="s">
        <v>66</v>
      </c>
      <c r="Z222" s="12"/>
      <c r="AA222" s="12"/>
      <c r="AB222" s="3">
        <v>1</v>
      </c>
    </row>
    <row r="223" spans="1:31" s="3" customFormat="1" ht="14.45" customHeight="1" x14ac:dyDescent="0.25">
      <c r="A223" s="141">
        <v>2</v>
      </c>
      <c r="B223" s="99" t="s">
        <v>188</v>
      </c>
      <c r="C223" s="95" t="str">
        <f>VLOOKUP($F223,Admin!$D$11:$F$19,2,FALSE)</f>
        <v>Kísérleti fejlesztés</v>
      </c>
      <c r="D223" s="138" t="s">
        <v>123</v>
      </c>
      <c r="E223" s="95" t="str">
        <f>VLOOKUP($F223,Admin!$D$11:$F$19,3,FALSE)</f>
        <v>54. Bérköltség - Kutató-fejlesztő munkatárs</v>
      </c>
      <c r="F223" s="139" t="s">
        <v>213</v>
      </c>
      <c r="G223" s="100" t="s">
        <v>180</v>
      </c>
      <c r="H223" s="100" t="s">
        <v>142</v>
      </c>
      <c r="I223" s="139" t="str">
        <f>VLOOKUP($F223,Admin!$D$11:$G$19,4,FALSE)</f>
        <v>K+F munkatárs</v>
      </c>
      <c r="J223" s="100" t="s">
        <v>35</v>
      </c>
      <c r="K223" s="95" t="str">
        <f t="shared" si="250"/>
        <v>2021.05</v>
      </c>
      <c r="L223" s="101" t="s">
        <v>6</v>
      </c>
      <c r="M223" s="96" t="s">
        <v>70</v>
      </c>
      <c r="N223" s="102">
        <v>360000</v>
      </c>
      <c r="O223" s="97">
        <f t="shared" si="251"/>
        <v>55800</v>
      </c>
      <c r="P223" s="104">
        <v>174</v>
      </c>
      <c r="Q223" s="104">
        <v>87</v>
      </c>
      <c r="R223" s="215">
        <f t="shared" si="248"/>
        <v>0.5</v>
      </c>
      <c r="S223" s="105">
        <f t="shared" si="5"/>
        <v>180000</v>
      </c>
      <c r="T223" s="98">
        <f t="shared" si="252"/>
        <v>27900</v>
      </c>
      <c r="U223" s="70">
        <f t="shared" si="249"/>
        <v>0</v>
      </c>
      <c r="V223" s="181">
        <v>0.155</v>
      </c>
      <c r="W223" s="210"/>
      <c r="X223" s="17">
        <v>44278</v>
      </c>
      <c r="Y223" s="12" t="s">
        <v>66</v>
      </c>
      <c r="Z223" s="12"/>
      <c r="AA223" s="12"/>
      <c r="AB223" s="3">
        <v>1</v>
      </c>
    </row>
    <row r="224" spans="1:31" s="3" customFormat="1" ht="14.45" customHeight="1" x14ac:dyDescent="0.25">
      <c r="A224" s="141">
        <v>2</v>
      </c>
      <c r="B224" s="99" t="s">
        <v>188</v>
      </c>
      <c r="C224" s="95" t="str">
        <f>VLOOKUP($F224,Admin!$D$11:$F$19,2,FALSE)</f>
        <v>Kísérleti fejlesztés</v>
      </c>
      <c r="D224" s="138" t="s">
        <v>123</v>
      </c>
      <c r="E224" s="95" t="str">
        <f>VLOOKUP($F224,Admin!$D$11:$F$19,3,FALSE)</f>
        <v>54. Bérköltség - Kutató-fejlesztő munkatárs</v>
      </c>
      <c r="F224" s="139" t="s">
        <v>213</v>
      </c>
      <c r="G224" s="100" t="s">
        <v>180</v>
      </c>
      <c r="H224" s="100" t="s">
        <v>142</v>
      </c>
      <c r="I224" s="139" t="str">
        <f>VLOOKUP($F224,Admin!$D$11:$G$19,4,FALSE)</f>
        <v>K+F munkatárs</v>
      </c>
      <c r="J224" s="100" t="s">
        <v>36</v>
      </c>
      <c r="K224" s="95" t="str">
        <f t="shared" si="250"/>
        <v>2021.06</v>
      </c>
      <c r="L224" s="101" t="s">
        <v>6</v>
      </c>
      <c r="M224" s="96" t="s">
        <v>70</v>
      </c>
      <c r="N224" s="102">
        <v>600000</v>
      </c>
      <c r="O224" s="97">
        <f t="shared" si="251"/>
        <v>93000</v>
      </c>
      <c r="P224" s="104">
        <v>174</v>
      </c>
      <c r="Q224" s="104">
        <v>87</v>
      </c>
      <c r="R224" s="215">
        <f t="shared" si="248"/>
        <v>0.5</v>
      </c>
      <c r="S224" s="105">
        <f t="shared" si="5"/>
        <v>300000</v>
      </c>
      <c r="T224" s="98">
        <f t="shared" si="252"/>
        <v>46500</v>
      </c>
      <c r="U224" s="70">
        <f t="shared" si="249"/>
        <v>0</v>
      </c>
      <c r="V224" s="181">
        <v>0.155</v>
      </c>
      <c r="W224" s="210"/>
      <c r="X224" s="17">
        <v>44278</v>
      </c>
      <c r="Y224" s="12" t="s">
        <v>66</v>
      </c>
      <c r="Z224" s="12"/>
      <c r="AA224" s="12"/>
      <c r="AB224" s="3">
        <v>1</v>
      </c>
    </row>
    <row r="225" spans="1:28" s="3" customFormat="1" ht="14.45" customHeight="1" x14ac:dyDescent="0.25">
      <c r="A225" s="141">
        <v>2</v>
      </c>
      <c r="B225" s="99" t="s">
        <v>188</v>
      </c>
      <c r="C225" s="95" t="str">
        <f>VLOOKUP($F225,Admin!$D$11:$F$19,2,FALSE)</f>
        <v>Kísérleti fejlesztés</v>
      </c>
      <c r="D225" s="138" t="s">
        <v>123</v>
      </c>
      <c r="E225" s="95" t="str">
        <f>VLOOKUP($F225,Admin!$D$11:$F$19,3,FALSE)</f>
        <v>54. Bérköltség - Kutató-fejlesztő munkatárs</v>
      </c>
      <c r="F225" s="139" t="s">
        <v>213</v>
      </c>
      <c r="G225" s="100" t="s">
        <v>180</v>
      </c>
      <c r="H225" s="100" t="s">
        <v>142</v>
      </c>
      <c r="I225" s="139" t="str">
        <f>VLOOKUP($F225,Admin!$D$11:$G$19,4,FALSE)</f>
        <v>K+F munkatárs</v>
      </c>
      <c r="J225" s="100" t="s">
        <v>37</v>
      </c>
      <c r="K225" s="95" t="str">
        <f t="shared" si="250"/>
        <v>2021.07</v>
      </c>
      <c r="L225" s="101" t="s">
        <v>6</v>
      </c>
      <c r="M225" s="96" t="s">
        <v>70</v>
      </c>
      <c r="N225" s="102">
        <v>700000</v>
      </c>
      <c r="O225" s="97">
        <f t="shared" si="251"/>
        <v>108500</v>
      </c>
      <c r="P225" s="104">
        <v>174</v>
      </c>
      <c r="Q225" s="104">
        <v>87</v>
      </c>
      <c r="R225" s="215">
        <f t="shared" si="248"/>
        <v>0.5</v>
      </c>
      <c r="S225" s="105">
        <f t="shared" si="5"/>
        <v>350000</v>
      </c>
      <c r="T225" s="98">
        <f t="shared" si="252"/>
        <v>54250</v>
      </c>
      <c r="U225" s="70">
        <f t="shared" si="249"/>
        <v>0</v>
      </c>
      <c r="V225" s="181">
        <v>0.155</v>
      </c>
      <c r="W225" s="210"/>
      <c r="X225" s="17">
        <v>44362</v>
      </c>
      <c r="Y225" s="12" t="s">
        <v>66</v>
      </c>
      <c r="Z225" s="12"/>
      <c r="AA225" s="12"/>
      <c r="AB225" s="3">
        <v>1</v>
      </c>
    </row>
    <row r="226" spans="1:28" s="3" customFormat="1" ht="14.45" customHeight="1" x14ac:dyDescent="0.25">
      <c r="A226" s="141">
        <v>2</v>
      </c>
      <c r="B226" s="99" t="s">
        <v>188</v>
      </c>
      <c r="C226" s="95" t="str">
        <f>VLOOKUP($F226,Admin!$D$11:$F$19,2,FALSE)</f>
        <v>Kísérleti fejlesztés</v>
      </c>
      <c r="D226" s="138" t="s">
        <v>123</v>
      </c>
      <c r="E226" s="95" t="str">
        <f>VLOOKUP($F226,Admin!$D$11:$F$19,3,FALSE)</f>
        <v>54. Bérköltség - Kutató-fejlesztő munkatárs</v>
      </c>
      <c r="F226" s="139" t="s">
        <v>213</v>
      </c>
      <c r="G226" s="100" t="s">
        <v>180</v>
      </c>
      <c r="H226" s="100" t="s">
        <v>142</v>
      </c>
      <c r="I226" s="139" t="str">
        <f>VLOOKUP($F226,Admin!$D$11:$G$19,4,FALSE)</f>
        <v>K+F munkatárs</v>
      </c>
      <c r="J226" s="100" t="s">
        <v>38</v>
      </c>
      <c r="K226" s="95" t="str">
        <f t="shared" si="250"/>
        <v>2021.08</v>
      </c>
      <c r="L226" s="101" t="s">
        <v>6</v>
      </c>
      <c r="M226" s="96" t="s">
        <v>70</v>
      </c>
      <c r="N226" s="102">
        <v>700000</v>
      </c>
      <c r="O226" s="97">
        <f t="shared" si="251"/>
        <v>108500</v>
      </c>
      <c r="P226" s="104">
        <v>174</v>
      </c>
      <c r="Q226" s="104">
        <v>87</v>
      </c>
      <c r="R226" s="215">
        <f t="shared" si="248"/>
        <v>0.5</v>
      </c>
      <c r="S226" s="105">
        <f t="shared" si="5"/>
        <v>350000</v>
      </c>
      <c r="T226" s="98">
        <f t="shared" si="252"/>
        <v>54250</v>
      </c>
      <c r="U226" s="70">
        <f t="shared" si="249"/>
        <v>0</v>
      </c>
      <c r="V226" s="181">
        <v>0.155</v>
      </c>
      <c r="W226" s="210"/>
      <c r="X226" s="17">
        <v>44362</v>
      </c>
      <c r="Y226" s="12" t="s">
        <v>66</v>
      </c>
      <c r="Z226" s="12"/>
      <c r="AA226" s="12"/>
      <c r="AB226" s="3">
        <v>1</v>
      </c>
    </row>
    <row r="227" spans="1:28" s="3" customFormat="1" ht="14.45" customHeight="1" x14ac:dyDescent="0.25">
      <c r="A227" s="141">
        <v>2</v>
      </c>
      <c r="B227" s="99" t="s">
        <v>188</v>
      </c>
      <c r="C227" s="95" t="str">
        <f>VLOOKUP($F227,Admin!$D$11:$F$19,2,FALSE)</f>
        <v>Kísérleti fejlesztés</v>
      </c>
      <c r="D227" s="138" t="s">
        <v>123</v>
      </c>
      <c r="E227" s="95" t="str">
        <f>VLOOKUP($F227,Admin!$D$11:$F$19,3,FALSE)</f>
        <v>54. Bérköltség - Kutató-fejlesztő munkatárs</v>
      </c>
      <c r="F227" s="139" t="s">
        <v>213</v>
      </c>
      <c r="G227" s="100" t="s">
        <v>180</v>
      </c>
      <c r="H227" s="100" t="s">
        <v>142</v>
      </c>
      <c r="I227" s="139" t="str">
        <f>VLOOKUP($F227,Admin!$D$11:$G$19,4,FALSE)</f>
        <v>K+F munkatárs</v>
      </c>
      <c r="J227" s="100" t="s">
        <v>39</v>
      </c>
      <c r="K227" s="95" t="str">
        <f t="shared" si="250"/>
        <v>2021.09</v>
      </c>
      <c r="L227" s="101" t="s">
        <v>6</v>
      </c>
      <c r="M227" s="96" t="s">
        <v>70</v>
      </c>
      <c r="N227" s="102">
        <v>700000</v>
      </c>
      <c r="O227" s="97">
        <f t="shared" si="251"/>
        <v>108500</v>
      </c>
      <c r="P227" s="104">
        <v>174</v>
      </c>
      <c r="Q227" s="104">
        <v>87</v>
      </c>
      <c r="R227" s="215">
        <f t="shared" si="248"/>
        <v>0.5</v>
      </c>
      <c r="S227" s="105">
        <f t="shared" si="5"/>
        <v>350000</v>
      </c>
      <c r="T227" s="98">
        <f t="shared" si="252"/>
        <v>54250</v>
      </c>
      <c r="U227" s="70">
        <f t="shared" si="249"/>
        <v>0</v>
      </c>
      <c r="V227" s="181">
        <v>0.155</v>
      </c>
      <c r="W227" s="210"/>
      <c r="X227" s="17">
        <v>44362</v>
      </c>
      <c r="Y227" s="12" t="s">
        <v>66</v>
      </c>
      <c r="Z227" s="12"/>
      <c r="AA227" s="12"/>
      <c r="AB227" s="3">
        <v>1</v>
      </c>
    </row>
    <row r="228" spans="1:28" s="3" customFormat="1" ht="14.45" customHeight="1" x14ac:dyDescent="0.25">
      <c r="A228" s="141">
        <v>2</v>
      </c>
      <c r="B228" s="99" t="s">
        <v>188</v>
      </c>
      <c r="C228" s="95" t="str">
        <f>VLOOKUP($F228,Admin!$D$11:$F$19,2,FALSE)</f>
        <v>Kísérleti fejlesztés</v>
      </c>
      <c r="D228" s="138" t="s">
        <v>123</v>
      </c>
      <c r="E228" s="95" t="str">
        <f>VLOOKUP($F228,Admin!$D$11:$F$19,3,FALSE)</f>
        <v>54. Bérköltség - Kutató-fejlesztő munkatárs</v>
      </c>
      <c r="F228" s="139" t="s">
        <v>213</v>
      </c>
      <c r="G228" s="100" t="s">
        <v>180</v>
      </c>
      <c r="H228" s="100" t="s">
        <v>142</v>
      </c>
      <c r="I228" s="139" t="str">
        <f>VLOOKUP($F228,Admin!$D$11:$G$19,4,FALSE)</f>
        <v>K+F munkatárs</v>
      </c>
      <c r="J228" s="100" t="s">
        <v>40</v>
      </c>
      <c r="K228" s="95" t="str">
        <f t="shared" si="250"/>
        <v>2021.10</v>
      </c>
      <c r="L228" s="101" t="s">
        <v>6</v>
      </c>
      <c r="M228" s="96" t="s">
        <v>70</v>
      </c>
      <c r="N228" s="102">
        <v>1005000</v>
      </c>
      <c r="O228" s="97">
        <f t="shared" si="251"/>
        <v>155775</v>
      </c>
      <c r="P228" s="104">
        <v>174</v>
      </c>
      <c r="Q228" s="104">
        <v>67</v>
      </c>
      <c r="R228" s="215">
        <f t="shared" si="248"/>
        <v>0.38505747126436779</v>
      </c>
      <c r="S228" s="105">
        <f t="shared" si="5"/>
        <v>386983</v>
      </c>
      <c r="T228" s="98">
        <f t="shared" si="252"/>
        <v>59982</v>
      </c>
      <c r="U228" s="70">
        <f t="shared" si="249"/>
        <v>-2.4017841826484698E-7</v>
      </c>
      <c r="V228" s="181">
        <v>0.155</v>
      </c>
      <c r="W228" s="210"/>
      <c r="X228" s="17">
        <v>44466</v>
      </c>
      <c r="Y228" s="12" t="s">
        <v>66</v>
      </c>
      <c r="Z228" s="12"/>
      <c r="AA228" s="12"/>
      <c r="AB228" s="3">
        <v>1</v>
      </c>
    </row>
    <row r="229" spans="1:28" s="3" customFormat="1" ht="14.45" customHeight="1" x14ac:dyDescent="0.25">
      <c r="A229" s="141">
        <v>2</v>
      </c>
      <c r="B229" s="99" t="s">
        <v>188</v>
      </c>
      <c r="C229" s="95" t="str">
        <f>VLOOKUP($F229,Admin!$D$11:$F$19,2,FALSE)</f>
        <v>Kísérleti fejlesztés</v>
      </c>
      <c r="D229" s="138" t="s">
        <v>123</v>
      </c>
      <c r="E229" s="95" t="str">
        <f>VLOOKUP($F229,Admin!$D$11:$F$19,3,FALSE)</f>
        <v>54. Bérköltség - Kutató-fejlesztő munkatárs</v>
      </c>
      <c r="F229" s="139" t="s">
        <v>213</v>
      </c>
      <c r="G229" s="100" t="s">
        <v>180</v>
      </c>
      <c r="H229" s="100" t="s">
        <v>142</v>
      </c>
      <c r="I229" s="139" t="str">
        <f>VLOOKUP($F229,Admin!$D$11:$G$19,4,FALSE)</f>
        <v>K+F munkatárs</v>
      </c>
      <c r="J229" s="100" t="s">
        <v>41</v>
      </c>
      <c r="K229" s="95" t="str">
        <f t="shared" si="250"/>
        <v>2021.11</v>
      </c>
      <c r="L229" s="101" t="s">
        <v>6</v>
      </c>
      <c r="M229" s="96" t="s">
        <v>70</v>
      </c>
      <c r="N229" s="102">
        <v>933800</v>
      </c>
      <c r="O229" s="97">
        <f t="shared" si="251"/>
        <v>144739</v>
      </c>
      <c r="P229" s="104">
        <v>174</v>
      </c>
      <c r="Q229" s="104">
        <v>67</v>
      </c>
      <c r="R229" s="215">
        <f t="shared" si="248"/>
        <v>0.38505747126436779</v>
      </c>
      <c r="S229" s="105">
        <v>346552</v>
      </c>
      <c r="T229" s="98">
        <f t="shared" si="252"/>
        <v>53716</v>
      </c>
      <c r="U229" s="70">
        <f t="shared" si="249"/>
        <v>1.3937317055757792E-2</v>
      </c>
      <c r="V229" s="181">
        <v>0.155</v>
      </c>
      <c r="W229" s="210"/>
      <c r="X229" s="17">
        <v>44515</v>
      </c>
      <c r="Y229" s="12" t="s">
        <v>66</v>
      </c>
      <c r="Z229" s="12"/>
      <c r="AA229" s="12"/>
      <c r="AB229" s="3">
        <v>1</v>
      </c>
    </row>
    <row r="230" spans="1:28" s="3" customFormat="1" ht="14.45" customHeight="1" x14ac:dyDescent="0.25">
      <c r="A230" s="141">
        <v>2</v>
      </c>
      <c r="B230" s="99" t="s">
        <v>188</v>
      </c>
      <c r="C230" s="95" t="str">
        <f>VLOOKUP($F230,Admin!$D$11:$F$19,2,FALSE)</f>
        <v>Kísérleti fejlesztés</v>
      </c>
      <c r="D230" s="138" t="s">
        <v>123</v>
      </c>
      <c r="E230" s="95" t="str">
        <f>VLOOKUP($F230,Admin!$D$11:$F$19,3,FALSE)</f>
        <v>54. Bérköltség - Kutató-fejlesztő munkatárs</v>
      </c>
      <c r="F230" s="139" t="s">
        <v>213</v>
      </c>
      <c r="G230" s="100" t="s">
        <v>180</v>
      </c>
      <c r="H230" s="100" t="s">
        <v>142</v>
      </c>
      <c r="I230" s="139" t="str">
        <f>VLOOKUP($F230,Admin!$D$11:$G$19,4,FALSE)</f>
        <v>K+F munkatárs</v>
      </c>
      <c r="J230" s="100" t="s">
        <v>42</v>
      </c>
      <c r="K230" s="95" t="str">
        <f t="shared" si="250"/>
        <v>2021.12</v>
      </c>
      <c r="L230" s="101" t="s">
        <v>6</v>
      </c>
      <c r="M230" s="96" t="s">
        <v>70</v>
      </c>
      <c r="N230" s="102">
        <v>933800</v>
      </c>
      <c r="O230" s="97">
        <f t="shared" si="251"/>
        <v>144739</v>
      </c>
      <c r="P230" s="104">
        <v>174</v>
      </c>
      <c r="Q230" s="104">
        <v>67</v>
      </c>
      <c r="R230" s="215">
        <f t="shared" si="248"/>
        <v>0.38505747126436779</v>
      </c>
      <c r="S230" s="105">
        <v>346552</v>
      </c>
      <c r="T230" s="98">
        <f t="shared" si="252"/>
        <v>53716</v>
      </c>
      <c r="U230" s="70">
        <f t="shared" si="249"/>
        <v>1.3937317055757792E-2</v>
      </c>
      <c r="V230" s="181">
        <v>0.155</v>
      </c>
      <c r="W230" s="210"/>
      <c r="X230" s="17">
        <v>44515</v>
      </c>
      <c r="Y230" s="12" t="s">
        <v>66</v>
      </c>
      <c r="Z230" s="12"/>
      <c r="AA230" s="12"/>
      <c r="AB230" s="3">
        <v>1</v>
      </c>
    </row>
    <row r="231" spans="1:28" s="3" customFormat="1" ht="14.45" customHeight="1" x14ac:dyDescent="0.25">
      <c r="A231" s="141">
        <v>2</v>
      </c>
      <c r="B231" s="99" t="s">
        <v>188</v>
      </c>
      <c r="C231" s="95" t="str">
        <f>VLOOKUP($F231,Admin!$D$11:$F$19,2,FALSE)</f>
        <v>Kísérleti fejlesztés</v>
      </c>
      <c r="D231" s="138" t="s">
        <v>123</v>
      </c>
      <c r="E231" s="95" t="str">
        <f>VLOOKUP($F231,Admin!$D$11:$F$19,3,FALSE)</f>
        <v>54. Bérköltség - Kutató-fejlesztő munkatárs</v>
      </c>
      <c r="F231" s="139" t="s">
        <v>213</v>
      </c>
      <c r="G231" s="100" t="s">
        <v>180</v>
      </c>
      <c r="H231" s="100" t="s">
        <v>142</v>
      </c>
      <c r="I231" s="139" t="str">
        <f>VLOOKUP($F231,Admin!$D$11:$G$19,4,FALSE)</f>
        <v>K+F munkatárs</v>
      </c>
      <c r="J231" s="100" t="s">
        <v>43</v>
      </c>
      <c r="K231" s="95" t="str">
        <f t="shared" si="250"/>
        <v>2022.01</v>
      </c>
      <c r="L231" s="101" t="s">
        <v>6</v>
      </c>
      <c r="M231" s="96" t="s">
        <v>70</v>
      </c>
      <c r="N231" s="102">
        <v>1004800</v>
      </c>
      <c r="O231" s="97">
        <f t="shared" si="251"/>
        <v>130624</v>
      </c>
      <c r="P231" s="104">
        <v>174</v>
      </c>
      <c r="Q231" s="104">
        <v>68</v>
      </c>
      <c r="R231" s="215">
        <f t="shared" si="248"/>
        <v>0.39080459770114945</v>
      </c>
      <c r="S231" s="105">
        <f t="shared" si="5"/>
        <v>392680</v>
      </c>
      <c r="T231" s="98">
        <f t="shared" si="252"/>
        <v>51048</v>
      </c>
      <c r="U231" s="70">
        <f t="shared" si="249"/>
        <v>4.5757376093691349E-7</v>
      </c>
      <c r="V231" s="181">
        <v>0.13</v>
      </c>
      <c r="W231" s="210"/>
      <c r="X231" s="17">
        <v>44201</v>
      </c>
      <c r="Y231" s="12" t="s">
        <v>66</v>
      </c>
      <c r="Z231" s="12"/>
      <c r="AA231" s="12"/>
      <c r="AB231" s="3">
        <v>1</v>
      </c>
    </row>
    <row r="232" spans="1:28" s="3" customFormat="1" ht="14.45" customHeight="1" x14ac:dyDescent="0.25">
      <c r="A232" s="141">
        <v>3</v>
      </c>
      <c r="B232" s="99" t="s">
        <v>188</v>
      </c>
      <c r="C232" s="95" t="str">
        <f>VLOOKUP($F232,Admin!$D$11:$F$19,2,FALSE)</f>
        <v>Kísérleti fejlesztés</v>
      </c>
      <c r="D232" s="138" t="s">
        <v>123</v>
      </c>
      <c r="E232" s="95" t="str">
        <f>VLOOKUP($F232,Admin!$D$11:$F$19,3,FALSE)</f>
        <v>54. Bérköltség - Kutató-fejlesztő munkatárs</v>
      </c>
      <c r="F232" s="139" t="s">
        <v>213</v>
      </c>
      <c r="G232" s="100" t="s">
        <v>180</v>
      </c>
      <c r="H232" s="100" t="s">
        <v>142</v>
      </c>
      <c r="I232" s="139" t="str">
        <f>VLOOKUP($F232,Admin!$D$11:$G$19,4,FALSE)</f>
        <v>K+F munkatárs</v>
      </c>
      <c r="J232" s="100" t="s">
        <v>44</v>
      </c>
      <c r="K232" s="95" t="str">
        <f t="shared" si="250"/>
        <v>2022.02</v>
      </c>
      <c r="L232" s="101" t="s">
        <v>6</v>
      </c>
      <c r="M232" s="96" t="s">
        <v>70</v>
      </c>
      <c r="N232" s="102">
        <v>1004800</v>
      </c>
      <c r="O232" s="97">
        <f t="shared" si="251"/>
        <v>130624</v>
      </c>
      <c r="P232" s="104">
        <v>174</v>
      </c>
      <c r="Q232" s="104">
        <v>69</v>
      </c>
      <c r="R232" s="215">
        <f t="shared" si="248"/>
        <v>0.39655172413793105</v>
      </c>
      <c r="S232" s="105">
        <f t="shared" si="5"/>
        <v>398455</v>
      </c>
      <c r="T232" s="98">
        <f t="shared" si="252"/>
        <v>51799</v>
      </c>
      <c r="U232" s="70">
        <f t="shared" si="249"/>
        <v>1.7159016035828145E-7</v>
      </c>
      <c r="V232" s="181">
        <v>0.13</v>
      </c>
      <c r="W232" s="210"/>
      <c r="X232" s="17">
        <v>44599</v>
      </c>
      <c r="Y232" s="12" t="s">
        <v>66</v>
      </c>
      <c r="Z232" s="12"/>
      <c r="AA232" s="12"/>
      <c r="AB232" s="3">
        <v>1</v>
      </c>
    </row>
    <row r="233" spans="1:28" s="3" customFormat="1" ht="14.45" customHeight="1" x14ac:dyDescent="0.25">
      <c r="A233" s="141">
        <v>3</v>
      </c>
      <c r="B233" s="99" t="s">
        <v>188</v>
      </c>
      <c r="C233" s="95" t="str">
        <f>VLOOKUP($F233,Admin!$D$11:$F$19,2,FALSE)</f>
        <v>Kísérleti fejlesztés</v>
      </c>
      <c r="D233" s="138" t="s">
        <v>123</v>
      </c>
      <c r="E233" s="95" t="str">
        <f>VLOOKUP($F233,Admin!$D$11:$F$19,3,FALSE)</f>
        <v>54. Bérköltség - Kutató-fejlesztő munkatárs</v>
      </c>
      <c r="F233" s="139" t="s">
        <v>213</v>
      </c>
      <c r="G233" s="100" t="s">
        <v>180</v>
      </c>
      <c r="H233" s="100" t="s">
        <v>141</v>
      </c>
      <c r="I233" s="139" t="str">
        <f>VLOOKUP($F233,Admin!$D$11:$G$19,4,FALSE)</f>
        <v>K+F munkatárs</v>
      </c>
      <c r="J233" s="100" t="s">
        <v>45</v>
      </c>
      <c r="K233" s="95" t="str">
        <f t="shared" si="250"/>
        <v>2022.03</v>
      </c>
      <c r="L233" s="101" t="s">
        <v>6</v>
      </c>
      <c r="M233" s="96" t="s">
        <v>70</v>
      </c>
      <c r="N233" s="102">
        <v>1004800</v>
      </c>
      <c r="O233" s="97">
        <f t="shared" si="251"/>
        <v>130624</v>
      </c>
      <c r="P233" s="104">
        <v>174</v>
      </c>
      <c r="Q233" s="104">
        <v>57</v>
      </c>
      <c r="R233" s="215">
        <f t="shared" si="248"/>
        <v>0.32758620689655171</v>
      </c>
      <c r="S233" s="105">
        <f t="shared" si="5"/>
        <v>329159</v>
      </c>
      <c r="T233" s="98">
        <f t="shared" si="252"/>
        <v>42791</v>
      </c>
      <c r="U233" s="70">
        <f t="shared" si="249"/>
        <v>-3.7749835274381027E-7</v>
      </c>
      <c r="V233" s="181">
        <v>0.13</v>
      </c>
      <c r="W233" s="210"/>
      <c r="X233" s="17">
        <v>44615</v>
      </c>
      <c r="Y233" s="12" t="s">
        <v>66</v>
      </c>
      <c r="Z233" s="12"/>
      <c r="AA233" s="12"/>
      <c r="AB233" s="3">
        <v>1</v>
      </c>
    </row>
    <row r="234" spans="1:28" s="3" customFormat="1" ht="14.45" customHeight="1" x14ac:dyDescent="0.25">
      <c r="A234" s="141">
        <v>3</v>
      </c>
      <c r="B234" s="99" t="s">
        <v>188</v>
      </c>
      <c r="C234" s="95" t="str">
        <f>VLOOKUP($F234,Admin!$D$11:$F$19,2,FALSE)</f>
        <v>Kísérleti fejlesztés</v>
      </c>
      <c r="D234" s="138" t="s">
        <v>123</v>
      </c>
      <c r="E234" s="95" t="str">
        <f>VLOOKUP($F234,Admin!$D$11:$F$19,3,FALSE)</f>
        <v>54. Bérköltség - Kutató-fejlesztő munkatárs</v>
      </c>
      <c r="F234" s="139" t="s">
        <v>213</v>
      </c>
      <c r="G234" s="100" t="s">
        <v>180</v>
      </c>
      <c r="H234" s="100" t="s">
        <v>141</v>
      </c>
      <c r="I234" s="139" t="str">
        <f>VLOOKUP($F234,Admin!$D$11:$G$19,4,FALSE)</f>
        <v>K+F munkatárs</v>
      </c>
      <c r="J234" s="100" t="s">
        <v>46</v>
      </c>
      <c r="K234" s="95" t="str">
        <f t="shared" ref="K234:K236" si="308">J234</f>
        <v>2022.04</v>
      </c>
      <c r="L234" s="101" t="s">
        <v>6</v>
      </c>
      <c r="M234" s="96" t="s">
        <v>70</v>
      </c>
      <c r="N234" s="102">
        <v>1026800</v>
      </c>
      <c r="O234" s="97">
        <f t="shared" ref="O234" si="309">ROUND(N234*V234,0)</f>
        <v>133484</v>
      </c>
      <c r="P234" s="104">
        <v>174</v>
      </c>
      <c r="Q234" s="104">
        <v>32</v>
      </c>
      <c r="R234" s="215">
        <f t="shared" ref="R234" si="310">Q234/P234</f>
        <v>0.18390804597701149</v>
      </c>
      <c r="S234" s="105">
        <f t="shared" ref="S234" si="311">ROUND(N234*Q234/P234,0)</f>
        <v>188837</v>
      </c>
      <c r="T234" s="98">
        <f t="shared" ref="T234" si="312">ROUND(S234*V234,0)</f>
        <v>24549</v>
      </c>
      <c r="U234" s="70">
        <f t="shared" ref="U234" si="313">Q234/P234-S234/N234</f>
        <v>-2.1269069400142726E-7</v>
      </c>
      <c r="V234" s="181">
        <v>0.13</v>
      </c>
      <c r="W234" s="210"/>
      <c r="X234" s="17">
        <v>44648</v>
      </c>
      <c r="Y234" s="12" t="s">
        <v>66</v>
      </c>
      <c r="Z234" s="12"/>
      <c r="AA234" s="12"/>
      <c r="AB234" s="3">
        <v>1</v>
      </c>
    </row>
    <row r="235" spans="1:28" s="3" customFormat="1" ht="14.45" customHeight="1" x14ac:dyDescent="0.25">
      <c r="A235" s="141">
        <v>3</v>
      </c>
      <c r="B235" s="99" t="s">
        <v>188</v>
      </c>
      <c r="C235" s="95" t="str">
        <f>VLOOKUP($F235,Admin!$D$11:$F$19,2,FALSE)</f>
        <v>Kísérleti fejlesztés</v>
      </c>
      <c r="D235" s="138" t="s">
        <v>123</v>
      </c>
      <c r="E235" s="95" t="str">
        <f>VLOOKUP($F235,Admin!$D$11:$F$19,3,FALSE)</f>
        <v>54. Bérköltség - Kutató-fejlesztő munkatárs</v>
      </c>
      <c r="F235" s="139" t="s">
        <v>213</v>
      </c>
      <c r="G235" s="100" t="s">
        <v>180</v>
      </c>
      <c r="H235" s="100" t="s">
        <v>141</v>
      </c>
      <c r="I235" s="139" t="str">
        <f>VLOOKUP($F235,Admin!$D$11:$G$19,4,FALSE)</f>
        <v>K+F munkatárs</v>
      </c>
      <c r="J235" s="100" t="s">
        <v>47</v>
      </c>
      <c r="K235" s="95" t="str">
        <f t="shared" si="308"/>
        <v>2022.05</v>
      </c>
      <c r="L235" s="101" t="s">
        <v>6</v>
      </c>
      <c r="M235" s="96" t="s">
        <v>70</v>
      </c>
      <c r="N235" s="102">
        <v>1026800</v>
      </c>
      <c r="O235" s="97">
        <f t="shared" ref="O235:O236" si="314">ROUND(N235*V235,0)</f>
        <v>133484</v>
      </c>
      <c r="P235" s="104">
        <v>174</v>
      </c>
      <c r="Q235" s="104">
        <v>32</v>
      </c>
      <c r="R235" s="215">
        <f t="shared" ref="R235:R236" si="315">Q235/P235</f>
        <v>0.18390804597701149</v>
      </c>
      <c r="S235" s="105">
        <f t="shared" ref="S235:S236" si="316">ROUND(N235*Q235/P235,0)</f>
        <v>188837</v>
      </c>
      <c r="T235" s="98">
        <f t="shared" ref="T235:T236" si="317">ROUND(S235*V235,0)</f>
        <v>24549</v>
      </c>
      <c r="U235" s="70">
        <f t="shared" ref="U235:U236" si="318">Q235/P235-S235/N235</f>
        <v>-2.1269069400142726E-7</v>
      </c>
      <c r="V235" s="181">
        <v>0.13</v>
      </c>
      <c r="W235" s="210"/>
      <c r="X235" s="17">
        <v>44648</v>
      </c>
      <c r="Y235" s="12" t="s">
        <v>66</v>
      </c>
      <c r="Z235" s="12"/>
      <c r="AA235" s="12"/>
      <c r="AB235" s="3">
        <v>1</v>
      </c>
    </row>
    <row r="236" spans="1:28" s="3" customFormat="1" ht="14.45" customHeight="1" x14ac:dyDescent="0.25">
      <c r="A236" s="141">
        <v>3</v>
      </c>
      <c r="B236" s="99" t="s">
        <v>188</v>
      </c>
      <c r="C236" s="95" t="str">
        <f>VLOOKUP($F236,Admin!$D$11:$F$19,2,FALSE)</f>
        <v>Kísérleti fejlesztés</v>
      </c>
      <c r="D236" s="138" t="s">
        <v>123</v>
      </c>
      <c r="E236" s="95" t="str">
        <f>VLOOKUP($F236,Admin!$D$11:$F$19,3,FALSE)</f>
        <v>54. Bérköltség - Kutató-fejlesztő munkatárs</v>
      </c>
      <c r="F236" s="139" t="s">
        <v>213</v>
      </c>
      <c r="G236" s="100" t="s">
        <v>180</v>
      </c>
      <c r="H236" s="100" t="s">
        <v>141</v>
      </c>
      <c r="I236" s="139" t="str">
        <f>VLOOKUP($F236,Admin!$D$11:$G$19,4,FALSE)</f>
        <v>K+F munkatárs</v>
      </c>
      <c r="J236" s="100" t="s">
        <v>48</v>
      </c>
      <c r="K236" s="95" t="str">
        <f t="shared" si="308"/>
        <v>2022.06</v>
      </c>
      <c r="L236" s="101" t="s">
        <v>6</v>
      </c>
      <c r="M236" s="96" t="s">
        <v>70</v>
      </c>
      <c r="N236" s="102">
        <v>1026799</v>
      </c>
      <c r="O236" s="97">
        <f t="shared" si="314"/>
        <v>133484</v>
      </c>
      <c r="P236" s="104">
        <v>174</v>
      </c>
      <c r="Q236" s="104">
        <v>61</v>
      </c>
      <c r="R236" s="215">
        <f t="shared" si="315"/>
        <v>0.35057471264367818</v>
      </c>
      <c r="S236" s="105">
        <f t="shared" si="316"/>
        <v>359970</v>
      </c>
      <c r="T236" s="98">
        <f t="shared" si="317"/>
        <v>46796</v>
      </c>
      <c r="U236" s="70">
        <f t="shared" si="318"/>
        <v>-2.2948228806107807E-7</v>
      </c>
      <c r="V236" s="181">
        <v>0.13</v>
      </c>
      <c r="W236" s="210"/>
      <c r="X236" s="17">
        <v>44713</v>
      </c>
      <c r="Y236" s="12" t="s">
        <v>66</v>
      </c>
      <c r="Z236" s="12"/>
      <c r="AA236" s="12"/>
      <c r="AB236" s="3">
        <v>1</v>
      </c>
    </row>
    <row r="237" spans="1:28" s="3" customFormat="1" ht="14.45" customHeight="1" x14ac:dyDescent="0.25">
      <c r="A237" s="141">
        <v>3</v>
      </c>
      <c r="B237" s="99" t="s">
        <v>188</v>
      </c>
      <c r="C237" s="95" t="str">
        <f>VLOOKUP($F237,Admin!$D$11:$F$19,2,FALSE)</f>
        <v>Kísérleti fejlesztés</v>
      </c>
      <c r="D237" s="138" t="s">
        <v>123</v>
      </c>
      <c r="E237" s="95" t="str">
        <f>VLOOKUP($F237,Admin!$D$11:$F$19,3,FALSE)</f>
        <v>54. Bérköltség - Kutató-fejlesztő munkatárs</v>
      </c>
      <c r="F237" s="139" t="s">
        <v>213</v>
      </c>
      <c r="G237" s="100" t="s">
        <v>180</v>
      </c>
      <c r="H237" s="100" t="s">
        <v>141</v>
      </c>
      <c r="I237" s="139" t="str">
        <f>VLOOKUP($F237,Admin!$D$11:$G$19,4,FALSE)</f>
        <v>K+F munkatárs</v>
      </c>
      <c r="J237" s="100" t="s">
        <v>49</v>
      </c>
      <c r="K237" s="95" t="str">
        <f t="shared" ref="K237:K242" si="319">J237</f>
        <v>2022.07</v>
      </c>
      <c r="L237" s="101" t="s">
        <v>6</v>
      </c>
      <c r="M237" s="96" t="s">
        <v>70</v>
      </c>
      <c r="N237" s="102">
        <v>1004800</v>
      </c>
      <c r="O237" s="97">
        <f t="shared" ref="O237" si="320">ROUND(N237*V237,0)</f>
        <v>130624</v>
      </c>
      <c r="P237" s="104">
        <v>174</v>
      </c>
      <c r="Q237" s="104">
        <v>61</v>
      </c>
      <c r="R237" s="215">
        <f t="shared" ref="R237" si="321">Q237/P237</f>
        <v>0.35057471264367818</v>
      </c>
      <c r="S237" s="105">
        <f t="shared" ref="S237" si="322">ROUND(N237*Q237/P237,0)</f>
        <v>352257</v>
      </c>
      <c r="T237" s="98">
        <f t="shared" ref="T237" si="323">ROUND(S237*V237,0)</f>
        <v>45793</v>
      </c>
      <c r="U237" s="70">
        <f t="shared" ref="U237" si="324">Q237/P237-S237/N237</f>
        <v>4.6901310490898851E-7</v>
      </c>
      <c r="V237" s="181">
        <v>0.13</v>
      </c>
      <c r="W237" s="210"/>
      <c r="X237" s="17">
        <v>44729</v>
      </c>
      <c r="Y237" s="12" t="s">
        <v>66</v>
      </c>
      <c r="Z237" s="12"/>
      <c r="AA237" s="12"/>
      <c r="AB237" s="3">
        <v>1</v>
      </c>
    </row>
    <row r="238" spans="1:28" s="3" customFormat="1" ht="14.45" customHeight="1" x14ac:dyDescent="0.25">
      <c r="A238" s="141">
        <v>3</v>
      </c>
      <c r="B238" s="99" t="s">
        <v>188</v>
      </c>
      <c r="C238" s="95" t="str">
        <f>VLOOKUP($F238,Admin!$D$11:$F$19,2,FALSE)</f>
        <v>Kísérleti fejlesztés</v>
      </c>
      <c r="D238" s="138" t="s">
        <v>123</v>
      </c>
      <c r="E238" s="95" t="str">
        <f>VLOOKUP($F238,Admin!$D$11:$F$19,3,FALSE)</f>
        <v>54. Bérköltség - Kutató-fejlesztő munkatárs</v>
      </c>
      <c r="F238" s="139" t="s">
        <v>213</v>
      </c>
      <c r="G238" s="100" t="s">
        <v>180</v>
      </c>
      <c r="H238" s="100" t="s">
        <v>141</v>
      </c>
      <c r="I238" s="139" t="str">
        <f>VLOOKUP($F238,Admin!$D$11:$G$19,4,FALSE)</f>
        <v>K+F munkatárs</v>
      </c>
      <c r="J238" s="100" t="s">
        <v>50</v>
      </c>
      <c r="K238" s="95" t="str">
        <f t="shared" si="319"/>
        <v>2022.08</v>
      </c>
      <c r="L238" s="101" t="s">
        <v>6</v>
      </c>
      <c r="M238" s="96" t="s">
        <v>70</v>
      </c>
      <c r="N238" s="102">
        <v>786366</v>
      </c>
      <c r="O238" s="97">
        <f t="shared" ref="O238:O240" si="325">ROUND(N238*V238,0)</f>
        <v>102228</v>
      </c>
      <c r="P238" s="104">
        <v>174</v>
      </c>
      <c r="Q238" s="104">
        <v>61</v>
      </c>
      <c r="R238" s="215">
        <f t="shared" ref="R238:R240" si="326">Q238/P238</f>
        <v>0.35057471264367818</v>
      </c>
      <c r="S238" s="105">
        <f t="shared" ref="S238:S240" si="327">ROUND(N238*Q238/P238,0)</f>
        <v>275680</v>
      </c>
      <c r="T238" s="98">
        <f t="shared" ref="T238:T240" si="328">ROUND(S238*V238,0)</f>
        <v>35838</v>
      </c>
      <c r="U238" s="70">
        <f t="shared" ref="U238:U240" si="329">Q238/P238-S238/N238</f>
        <v>4.385077512214508E-8</v>
      </c>
      <c r="V238" s="181">
        <v>0.13</v>
      </c>
      <c r="W238" s="210"/>
      <c r="X238" s="17">
        <v>44729</v>
      </c>
      <c r="Y238" s="12" t="s">
        <v>66</v>
      </c>
      <c r="Z238" s="12"/>
      <c r="AA238" s="12"/>
      <c r="AB238" s="3">
        <v>1</v>
      </c>
    </row>
    <row r="239" spans="1:28" s="3" customFormat="1" ht="14.45" customHeight="1" x14ac:dyDescent="0.25">
      <c r="A239" s="141">
        <v>3</v>
      </c>
      <c r="B239" s="99" t="s">
        <v>188</v>
      </c>
      <c r="C239" s="95" t="str">
        <f>VLOOKUP($F239,Admin!$D$11:$F$19,2,FALSE)</f>
        <v>Kísérleti fejlesztés</v>
      </c>
      <c r="D239" s="138" t="s">
        <v>123</v>
      </c>
      <c r="E239" s="95" t="str">
        <f>VLOOKUP($F239,Admin!$D$11:$F$19,3,FALSE)</f>
        <v>54. Bérköltség - Kutató-fejlesztő munkatárs</v>
      </c>
      <c r="F239" s="139" t="s">
        <v>213</v>
      </c>
      <c r="G239" s="100" t="s">
        <v>180</v>
      </c>
      <c r="H239" s="100" t="s">
        <v>141</v>
      </c>
      <c r="I239" s="139" t="str">
        <f>VLOOKUP($F239,Admin!$D$11:$G$19,4,FALSE)</f>
        <v>K+F munkatárs</v>
      </c>
      <c r="J239" s="100" t="s">
        <v>51</v>
      </c>
      <c r="K239" s="95" t="str">
        <f t="shared" si="319"/>
        <v>2022.09</v>
      </c>
      <c r="L239" s="101" t="s">
        <v>6</v>
      </c>
      <c r="M239" s="96" t="s">
        <v>70</v>
      </c>
      <c r="N239" s="102">
        <v>1004799</v>
      </c>
      <c r="O239" s="97">
        <f t="shared" si="325"/>
        <v>130624</v>
      </c>
      <c r="P239" s="104">
        <v>174</v>
      </c>
      <c r="Q239" s="104">
        <v>61</v>
      </c>
      <c r="R239" s="215">
        <f t="shared" si="326"/>
        <v>0.35057471264367818</v>
      </c>
      <c r="S239" s="105">
        <f t="shared" si="327"/>
        <v>352257</v>
      </c>
      <c r="T239" s="98">
        <f t="shared" si="328"/>
        <v>45793</v>
      </c>
      <c r="U239" s="70">
        <f t="shared" si="329"/>
        <v>1.2011323180516342E-7</v>
      </c>
      <c r="V239" s="181">
        <v>0.13</v>
      </c>
      <c r="W239" s="210"/>
      <c r="X239" s="17">
        <v>44729</v>
      </c>
      <c r="Y239" s="12" t="s">
        <v>66</v>
      </c>
      <c r="Z239" s="12"/>
      <c r="AA239" s="12"/>
      <c r="AB239" s="3">
        <v>1</v>
      </c>
    </row>
    <row r="240" spans="1:28" s="3" customFormat="1" ht="14.45" customHeight="1" x14ac:dyDescent="0.25">
      <c r="A240" s="141">
        <v>3</v>
      </c>
      <c r="B240" s="99" t="s">
        <v>188</v>
      </c>
      <c r="C240" s="95" t="str">
        <f>VLOOKUP($F240,Admin!$D$11:$F$19,2,FALSE)</f>
        <v>Kísérleti fejlesztés</v>
      </c>
      <c r="D240" s="138" t="s">
        <v>123</v>
      </c>
      <c r="E240" s="95" t="str">
        <f>VLOOKUP($F240,Admin!$D$11:$F$19,3,FALSE)</f>
        <v>54. Bérköltség - Kutató-fejlesztő munkatárs</v>
      </c>
      <c r="F240" s="139" t="s">
        <v>213</v>
      </c>
      <c r="G240" s="100" t="s">
        <v>180</v>
      </c>
      <c r="H240" s="100" t="s">
        <v>141</v>
      </c>
      <c r="I240" s="139" t="str">
        <f>VLOOKUP($F240,Admin!$D$11:$G$19,4,FALSE)</f>
        <v>K+F munkatárs</v>
      </c>
      <c r="J240" s="100" t="s">
        <v>52</v>
      </c>
      <c r="K240" s="95" t="str">
        <f t="shared" si="319"/>
        <v>2022.10</v>
      </c>
      <c r="L240" s="101" t="s">
        <v>6</v>
      </c>
      <c r="M240" s="96" t="s">
        <v>70</v>
      </c>
      <c r="N240" s="102">
        <v>1025800</v>
      </c>
      <c r="O240" s="97">
        <f t="shared" si="325"/>
        <v>133354</v>
      </c>
      <c r="P240" s="104">
        <v>174</v>
      </c>
      <c r="Q240" s="104">
        <v>59</v>
      </c>
      <c r="R240" s="215">
        <f t="shared" si="326"/>
        <v>0.33908045977011492</v>
      </c>
      <c r="S240" s="105">
        <f t="shared" si="327"/>
        <v>347829</v>
      </c>
      <c r="T240" s="98">
        <f t="shared" si="328"/>
        <v>45218</v>
      </c>
      <c r="U240" s="70">
        <f t="shared" si="329"/>
        <v>-2.5771867434576379E-7</v>
      </c>
      <c r="V240" s="181">
        <v>0.13</v>
      </c>
      <c r="W240" s="210"/>
      <c r="X240" s="17">
        <v>44830</v>
      </c>
      <c r="Y240" s="12" t="s">
        <v>66</v>
      </c>
      <c r="Z240" s="12"/>
      <c r="AA240" s="12"/>
      <c r="AB240" s="3">
        <v>1</v>
      </c>
    </row>
    <row r="241" spans="1:31" s="3" customFormat="1" ht="14.45" customHeight="1" x14ac:dyDescent="0.25">
      <c r="A241" s="141">
        <v>3</v>
      </c>
      <c r="B241" s="99" t="s">
        <v>188</v>
      </c>
      <c r="C241" s="95" t="str">
        <f>VLOOKUP($F241,Admin!$D$11:$F$19,2,FALSE)</f>
        <v>Kísérleti fejlesztés</v>
      </c>
      <c r="D241" s="138" t="s">
        <v>123</v>
      </c>
      <c r="E241" s="95" t="str">
        <f>VLOOKUP($F241,Admin!$D$11:$F$19,3,FALSE)</f>
        <v>54. Bérköltség - Kutató-fejlesztő munkatárs</v>
      </c>
      <c r="F241" s="139" t="s">
        <v>213</v>
      </c>
      <c r="G241" s="100" t="s">
        <v>180</v>
      </c>
      <c r="H241" s="100" t="s">
        <v>141</v>
      </c>
      <c r="I241" s="139" t="str">
        <f>VLOOKUP($F241,Admin!$D$11:$G$19,4,FALSE)</f>
        <v>K+F munkatárs</v>
      </c>
      <c r="J241" s="100" t="s">
        <v>53</v>
      </c>
      <c r="K241" s="95" t="str">
        <f t="shared" si="319"/>
        <v>2022.11</v>
      </c>
      <c r="L241" s="101" t="s">
        <v>6</v>
      </c>
      <c r="M241" s="96" t="s">
        <v>70</v>
      </c>
      <c r="N241" s="102">
        <v>1025800</v>
      </c>
      <c r="O241" s="97">
        <f t="shared" ref="O241:O247" si="330">ROUND(N241*V241,0)</f>
        <v>133354</v>
      </c>
      <c r="P241" s="104">
        <v>174</v>
      </c>
      <c r="Q241" s="104">
        <v>59</v>
      </c>
      <c r="R241" s="215">
        <f t="shared" ref="R241:R247" si="331">Q241/P241</f>
        <v>0.33908045977011492</v>
      </c>
      <c r="S241" s="105">
        <f t="shared" ref="S241:S247" si="332">ROUND(N241*Q241/P241,0)</f>
        <v>347829</v>
      </c>
      <c r="T241" s="98">
        <f t="shared" ref="T241:T247" si="333">ROUND(S241*V241,0)</f>
        <v>45218</v>
      </c>
      <c r="U241" s="70">
        <f t="shared" ref="U241:U247" si="334">Q241/P241-S241/N241</f>
        <v>-2.5771867434576379E-7</v>
      </c>
      <c r="V241" s="181">
        <v>0.13</v>
      </c>
      <c r="W241" s="209" t="s">
        <v>273</v>
      </c>
      <c r="X241" s="17">
        <v>44830</v>
      </c>
      <c r="Y241" s="12" t="s">
        <v>66</v>
      </c>
      <c r="Z241" s="12"/>
      <c r="AA241" s="12"/>
      <c r="AB241" s="3">
        <v>1</v>
      </c>
    </row>
    <row r="242" spans="1:31" s="3" customFormat="1" ht="14.45" customHeight="1" x14ac:dyDescent="0.25">
      <c r="A242" s="141">
        <v>3</v>
      </c>
      <c r="B242" s="99" t="s">
        <v>188</v>
      </c>
      <c r="C242" s="95" t="str">
        <f>VLOOKUP($F242,Admin!$D$11:$F$19,2,FALSE)</f>
        <v>Kísérleti fejlesztés</v>
      </c>
      <c r="D242" s="138" t="s">
        <v>123</v>
      </c>
      <c r="E242" s="95" t="str">
        <f>VLOOKUP($F242,Admin!$D$11:$F$19,3,FALSE)</f>
        <v>54. Bérköltség - Kutató-fejlesztő munkatárs</v>
      </c>
      <c r="F242" s="139" t="s">
        <v>213</v>
      </c>
      <c r="G242" s="100" t="s">
        <v>180</v>
      </c>
      <c r="H242" s="100" t="s">
        <v>141</v>
      </c>
      <c r="I242" s="139" t="str">
        <f>VLOOKUP($F242,Admin!$D$11:$G$19,4,FALSE)</f>
        <v>K+F munkatárs</v>
      </c>
      <c r="J242" s="100" t="s">
        <v>54</v>
      </c>
      <c r="K242" s="95" t="str">
        <f t="shared" si="319"/>
        <v>2022.12</v>
      </c>
      <c r="L242" s="101" t="s">
        <v>6</v>
      </c>
      <c r="M242" s="96" t="s">
        <v>70</v>
      </c>
      <c r="N242" s="102">
        <v>1025799</v>
      </c>
      <c r="O242" s="97">
        <f t="shared" si="330"/>
        <v>133354</v>
      </c>
      <c r="P242" s="104">
        <v>174</v>
      </c>
      <c r="Q242" s="104">
        <v>59</v>
      </c>
      <c r="R242" s="215">
        <f t="shared" si="331"/>
        <v>0.33908045977011492</v>
      </c>
      <c r="S242" s="105">
        <f t="shared" si="332"/>
        <v>347828</v>
      </c>
      <c r="T242" s="98">
        <f t="shared" si="333"/>
        <v>45218</v>
      </c>
      <c r="U242" s="70">
        <f t="shared" si="334"/>
        <v>3.8657838824507351E-7</v>
      </c>
      <c r="V242" s="181">
        <v>0.13</v>
      </c>
      <c r="W242" s="209" t="s">
        <v>273</v>
      </c>
      <c r="X242" s="17">
        <v>44830</v>
      </c>
      <c r="Y242" s="12" t="s">
        <v>66</v>
      </c>
      <c r="Z242" s="12"/>
      <c r="AA242" s="12"/>
      <c r="AB242" s="3">
        <v>1</v>
      </c>
      <c r="AC242" s="204" t="s">
        <v>315</v>
      </c>
      <c r="AD242" s="204" t="s">
        <v>315</v>
      </c>
      <c r="AE242" s="204" t="s">
        <v>315</v>
      </c>
    </row>
    <row r="243" spans="1:31" s="3" customFormat="1" ht="14.45" customHeight="1" x14ac:dyDescent="0.25">
      <c r="A243" s="141">
        <v>3</v>
      </c>
      <c r="B243" s="99" t="s">
        <v>188</v>
      </c>
      <c r="C243" s="95" t="str">
        <f>VLOOKUP($F243,Admin!$D$11:$F$19,2,FALSE)</f>
        <v>Kísérleti fejlesztés</v>
      </c>
      <c r="D243" s="138" t="s">
        <v>123</v>
      </c>
      <c r="E243" s="95" t="str">
        <f>VLOOKUP($F243,Admin!$D$11:$F$19,3,FALSE)</f>
        <v>54. Bérköltség - Kutató-fejlesztő munkatárs</v>
      </c>
      <c r="F243" s="139" t="s">
        <v>213</v>
      </c>
      <c r="G243" s="100" t="s">
        <v>180</v>
      </c>
      <c r="H243" s="100" t="s">
        <v>141</v>
      </c>
      <c r="I243" s="139" t="str">
        <f>VLOOKUP($F243,Admin!$D$11:$G$19,4,FALSE)</f>
        <v>K+F munkatárs</v>
      </c>
      <c r="J243" s="100" t="s">
        <v>257</v>
      </c>
      <c r="K243" s="95" t="str">
        <f t="shared" ref="K243" si="335">J243</f>
        <v>2023.01</v>
      </c>
      <c r="L243" s="101" t="s">
        <v>6</v>
      </c>
      <c r="M243" s="96" t="s">
        <v>70</v>
      </c>
      <c r="N243" s="102">
        <v>1065100</v>
      </c>
      <c r="O243" s="97">
        <f t="shared" ref="O243" si="336">ROUND(N243*V243,0)</f>
        <v>138463</v>
      </c>
      <c r="P243" s="104">
        <v>174</v>
      </c>
      <c r="Q243" s="104">
        <v>58</v>
      </c>
      <c r="R243" s="215">
        <f t="shared" ref="R243" si="337">Q243/P243</f>
        <v>0.33333333333333331</v>
      </c>
      <c r="S243" s="105">
        <f t="shared" ref="S243" si="338">ROUND(N243*Q243/P243,0)</f>
        <v>355033</v>
      </c>
      <c r="T243" s="98">
        <f t="shared" ref="T243" si="339">ROUND(S243*V243,0)</f>
        <v>46154</v>
      </c>
      <c r="U243" s="70">
        <f t="shared" ref="U243" si="340">Q243/P243-S243/N243</f>
        <v>3.1295965946531723E-7</v>
      </c>
      <c r="V243" s="181">
        <v>0.13</v>
      </c>
      <c r="W243" s="209" t="s">
        <v>273</v>
      </c>
      <c r="X243" s="17">
        <v>44945</v>
      </c>
      <c r="Y243" s="12" t="s">
        <v>66</v>
      </c>
      <c r="Z243" s="12"/>
      <c r="AA243" s="12"/>
      <c r="AB243" s="3">
        <v>1</v>
      </c>
      <c r="AC243" s="204" t="s">
        <v>315</v>
      </c>
      <c r="AD243" s="217">
        <v>1</v>
      </c>
      <c r="AE243" s="216">
        <v>0</v>
      </c>
    </row>
    <row r="244" spans="1:31" s="3" customFormat="1" ht="14.45" customHeight="1" x14ac:dyDescent="0.25">
      <c r="A244" s="141"/>
      <c r="B244" s="99" t="s">
        <v>188</v>
      </c>
      <c r="C244" s="95" t="str">
        <f>VLOOKUP($F244,Admin!$D$11:$F$19,2,FALSE)</f>
        <v>Kísérleti fejlesztés</v>
      </c>
      <c r="D244" s="138" t="s">
        <v>123</v>
      </c>
      <c r="E244" s="95" t="str">
        <f>VLOOKUP($F244,Admin!$D$11:$F$19,3,FALSE)</f>
        <v>54. Bérköltség - Kutató-fejlesztő munkatárs</v>
      </c>
      <c r="F244" s="139" t="s">
        <v>213</v>
      </c>
      <c r="G244" s="100" t="s">
        <v>180</v>
      </c>
      <c r="H244" s="100" t="s">
        <v>141</v>
      </c>
      <c r="I244" s="139" t="str">
        <f>VLOOKUP($F244,Admin!$D$11:$G$19,4,FALSE)</f>
        <v>K+F munkatárs</v>
      </c>
      <c r="J244" s="100" t="s">
        <v>295</v>
      </c>
      <c r="K244" s="95" t="str">
        <f t="shared" ref="K244" si="341">J244</f>
        <v>2023.02</v>
      </c>
      <c r="L244" s="101" t="s">
        <v>6</v>
      </c>
      <c r="M244" s="96" t="s">
        <v>70</v>
      </c>
      <c r="N244" s="102">
        <v>1065100</v>
      </c>
      <c r="O244" s="97">
        <f t="shared" ref="O244" si="342">ROUND(N244*V244,0)</f>
        <v>138463</v>
      </c>
      <c r="P244" s="104">
        <v>174</v>
      </c>
      <c r="Q244" s="104">
        <v>114</v>
      </c>
      <c r="R244" s="215">
        <f t="shared" ref="R244" si="343">Q244/P244</f>
        <v>0.65517241379310343</v>
      </c>
      <c r="S244" s="105">
        <f t="shared" ref="S244" si="344">ROUND(N244*Q244/P244,0)</f>
        <v>697824</v>
      </c>
      <c r="T244" s="98">
        <f t="shared" ref="T244" si="345">ROUND(S244*V244,0)</f>
        <v>90717</v>
      </c>
      <c r="U244" s="70">
        <f t="shared" ref="U244" si="346">Q244/P244-S244/N244</f>
        <v>1.2950054872895578E-7</v>
      </c>
      <c r="V244" s="181">
        <v>0.13</v>
      </c>
      <c r="W244" s="209" t="s">
        <v>273</v>
      </c>
      <c r="X244" s="17">
        <v>44953</v>
      </c>
      <c r="Y244" s="12" t="s">
        <v>66</v>
      </c>
      <c r="Z244" s="12"/>
      <c r="AA244" s="12"/>
      <c r="AB244" s="3">
        <v>1</v>
      </c>
      <c r="AC244" s="3" t="s">
        <v>315</v>
      </c>
      <c r="AD244" s="3">
        <v>0</v>
      </c>
      <c r="AE244" s="3">
        <v>0</v>
      </c>
    </row>
    <row r="245" spans="1:31" s="3" customFormat="1" ht="14.45" customHeight="1" x14ac:dyDescent="0.25">
      <c r="A245" s="141"/>
      <c r="B245" s="99" t="s">
        <v>188</v>
      </c>
      <c r="C245" s="95" t="str">
        <f>VLOOKUP($F245,Admin!$D$11:$F$19,2,FALSE)</f>
        <v>Kísérleti fejlesztés</v>
      </c>
      <c r="D245" s="138" t="s">
        <v>123</v>
      </c>
      <c r="E245" s="95" t="str">
        <f>VLOOKUP($F245,Admin!$D$11:$F$19,3,FALSE)</f>
        <v>54. Bérköltség - Kutató-fejlesztő munkatárs</v>
      </c>
      <c r="F245" s="139" t="s">
        <v>213</v>
      </c>
      <c r="G245" s="100" t="s">
        <v>180</v>
      </c>
      <c r="H245" s="100" t="s">
        <v>141</v>
      </c>
      <c r="I245" s="139" t="str">
        <f>VLOOKUP($F245,Admin!$D$11:$G$19,4,FALSE)</f>
        <v>K+F munkatárs</v>
      </c>
      <c r="J245" s="100" t="s">
        <v>296</v>
      </c>
      <c r="K245" s="95" t="str">
        <f t="shared" ref="K245:K246" si="347">J245</f>
        <v>2023.03</v>
      </c>
      <c r="L245" s="101" t="s">
        <v>6</v>
      </c>
      <c r="M245" s="96" t="s">
        <v>70</v>
      </c>
      <c r="N245" s="102">
        <v>1065100</v>
      </c>
      <c r="O245" s="97">
        <f t="shared" ref="O245" si="348">ROUND(N245*V245,0)</f>
        <v>138463</v>
      </c>
      <c r="P245" s="104">
        <v>174</v>
      </c>
      <c r="Q245" s="104">
        <v>114</v>
      </c>
      <c r="R245" s="215">
        <f t="shared" ref="R245" si="349">Q245/P245</f>
        <v>0.65517241379310343</v>
      </c>
      <c r="S245" s="105">
        <f t="shared" ref="S245" si="350">ROUND(N245*Q245/P245,0)</f>
        <v>697824</v>
      </c>
      <c r="T245" s="98">
        <f t="shared" ref="T245" si="351">ROUND(S245*V245,0)</f>
        <v>90717</v>
      </c>
      <c r="U245" s="70">
        <f t="shared" ref="U245" si="352">Q245/P245-S245/N245</f>
        <v>1.2950054872895578E-7</v>
      </c>
      <c r="V245" s="181">
        <v>0.13</v>
      </c>
      <c r="W245" s="209" t="s">
        <v>273</v>
      </c>
      <c r="X245" s="17">
        <v>44980</v>
      </c>
      <c r="Y245" s="12" t="s">
        <v>66</v>
      </c>
      <c r="Z245" s="12"/>
      <c r="AA245" s="12"/>
      <c r="AB245" s="3">
        <v>1</v>
      </c>
      <c r="AC245" s="3" t="s">
        <v>315</v>
      </c>
      <c r="AD245" s="3">
        <v>0</v>
      </c>
      <c r="AE245" s="3">
        <v>0</v>
      </c>
    </row>
    <row r="246" spans="1:31" s="3" customFormat="1" ht="14.45" customHeight="1" x14ac:dyDescent="0.25">
      <c r="A246" s="141"/>
      <c r="B246" s="99" t="s">
        <v>188</v>
      </c>
      <c r="C246" s="95" t="str">
        <f>VLOOKUP($F246,Admin!$D$11:$F$19,2,FALSE)</f>
        <v>Kísérleti fejlesztés</v>
      </c>
      <c r="D246" s="138" t="s">
        <v>123</v>
      </c>
      <c r="E246" s="95" t="str">
        <f>VLOOKUP($F246,Admin!$D$11:$F$19,3,FALSE)</f>
        <v>54. Bérköltség - Kutató-fejlesztő munkatárs</v>
      </c>
      <c r="F246" s="139" t="s">
        <v>213</v>
      </c>
      <c r="G246" s="100" t="s">
        <v>180</v>
      </c>
      <c r="H246" s="100" t="s">
        <v>141</v>
      </c>
      <c r="I246" s="139" t="str">
        <f>VLOOKUP($F246,Admin!$D$11:$G$19,4,FALSE)</f>
        <v>K+F munkatárs</v>
      </c>
      <c r="J246" s="100" t="s">
        <v>297</v>
      </c>
      <c r="K246" s="95" t="str">
        <f t="shared" si="347"/>
        <v>2023.04</v>
      </c>
      <c r="L246" s="101" t="s">
        <v>7</v>
      </c>
      <c r="M246" s="96" t="s">
        <v>70</v>
      </c>
      <c r="N246" s="102">
        <v>1065100</v>
      </c>
      <c r="O246" s="97">
        <f t="shared" ref="O246" si="353">ROUND(N246*V246,0)</f>
        <v>138463</v>
      </c>
      <c r="P246" s="104">
        <v>174</v>
      </c>
      <c r="Q246" s="104">
        <v>114</v>
      </c>
      <c r="R246" s="215">
        <f t="shared" ref="R246" si="354">Q246/P246</f>
        <v>0.65517241379310343</v>
      </c>
      <c r="S246" s="105">
        <f t="shared" ref="S246" si="355">ROUND(N246*Q246/P246,0)</f>
        <v>697824</v>
      </c>
      <c r="T246" s="98">
        <f t="shared" ref="T246" si="356">ROUND(S246*V246,0)</f>
        <v>90717</v>
      </c>
      <c r="U246" s="70">
        <f t="shared" ref="U246" si="357">Q246/P246-S246/N246</f>
        <v>1.2950054872895578E-7</v>
      </c>
      <c r="V246" s="181">
        <v>0.13</v>
      </c>
      <c r="W246" s="209" t="s">
        <v>273</v>
      </c>
      <c r="X246" s="17">
        <v>44980</v>
      </c>
      <c r="Y246" s="12" t="s">
        <v>66</v>
      </c>
      <c r="Z246" s="12"/>
      <c r="AA246" s="12"/>
      <c r="AC246" s="204"/>
      <c r="AD246" s="204"/>
      <c r="AE246" s="204"/>
    </row>
    <row r="247" spans="1:31" s="3" customFormat="1" ht="14.45" customHeight="1" x14ac:dyDescent="0.25">
      <c r="A247" s="141"/>
      <c r="B247" s="99" t="s">
        <v>317</v>
      </c>
      <c r="C247" s="95" t="str">
        <f>VLOOKUP($F247,Admin!$D$11:$F$19,2,FALSE)</f>
        <v>Kísérleti fejlesztés</v>
      </c>
      <c r="D247" s="138" t="s">
        <v>123</v>
      </c>
      <c r="E247" s="95" t="str">
        <f>VLOOKUP($F247,Admin!$D$11:$F$19,3,FALSE)</f>
        <v>54. Bérköltség - Kutató-fejlesztő munkatárs</v>
      </c>
      <c r="F247" s="139" t="s">
        <v>213</v>
      </c>
      <c r="G247" s="100" t="s">
        <v>179</v>
      </c>
      <c r="H247" s="100" t="s">
        <v>228</v>
      </c>
      <c r="I247" s="139" t="str">
        <f>VLOOKUP($F247,Admin!$D$11:$G$19,4,FALSE)</f>
        <v>K+F munkatárs</v>
      </c>
      <c r="J247" s="100" t="s">
        <v>295</v>
      </c>
      <c r="K247" s="95" t="str">
        <f t="shared" ref="K247" si="358">J247</f>
        <v>2023.02</v>
      </c>
      <c r="L247" s="101" t="s">
        <v>6</v>
      </c>
      <c r="M247" s="96" t="s">
        <v>70</v>
      </c>
      <c r="N247" s="102">
        <v>250000</v>
      </c>
      <c r="O247" s="97">
        <f t="shared" si="330"/>
        <v>32500</v>
      </c>
      <c r="P247" s="104">
        <v>87</v>
      </c>
      <c r="Q247" s="104">
        <v>87</v>
      </c>
      <c r="R247" s="215">
        <f t="shared" si="331"/>
        <v>1</v>
      </c>
      <c r="S247" s="105">
        <f t="shared" si="332"/>
        <v>250000</v>
      </c>
      <c r="T247" s="98">
        <f t="shared" si="333"/>
        <v>32500</v>
      </c>
      <c r="U247" s="70">
        <f t="shared" si="334"/>
        <v>0</v>
      </c>
      <c r="V247" s="181">
        <v>0.13</v>
      </c>
      <c r="W247" s="209" t="s">
        <v>318</v>
      </c>
      <c r="X247" s="17">
        <v>44939</v>
      </c>
      <c r="Y247" s="12" t="s">
        <v>66</v>
      </c>
      <c r="Z247" s="12"/>
      <c r="AA247" s="12"/>
      <c r="AB247" s="3">
        <v>1</v>
      </c>
      <c r="AC247" s="3" t="s">
        <v>315</v>
      </c>
      <c r="AD247" s="3">
        <v>0</v>
      </c>
      <c r="AE247" s="3">
        <v>0</v>
      </c>
    </row>
    <row r="248" spans="1:31" s="3" customFormat="1" ht="14.45" customHeight="1" x14ac:dyDescent="0.25">
      <c r="A248" s="141"/>
      <c r="B248" s="99" t="s">
        <v>317</v>
      </c>
      <c r="C248" s="95" t="str">
        <f>VLOOKUP($F248,Admin!$D$11:$F$19,2,FALSE)</f>
        <v>Kísérleti fejlesztés</v>
      </c>
      <c r="D248" s="138" t="s">
        <v>123</v>
      </c>
      <c r="E248" s="95" t="str">
        <f>VLOOKUP($F248,Admin!$D$11:$F$19,3,FALSE)</f>
        <v>54. Bérköltség - Kutató-fejlesztő munkatárs</v>
      </c>
      <c r="F248" s="139" t="s">
        <v>213</v>
      </c>
      <c r="G248" s="100" t="s">
        <v>179</v>
      </c>
      <c r="H248" s="100" t="s">
        <v>228</v>
      </c>
      <c r="I248" s="139" t="str">
        <f>VLOOKUP($F248,Admin!$D$11:$G$19,4,FALSE)</f>
        <v>K+F munkatárs</v>
      </c>
      <c r="J248" s="100" t="s">
        <v>296</v>
      </c>
      <c r="K248" s="95" t="str">
        <f t="shared" ref="K248:K249" si="359">J248</f>
        <v>2023.03</v>
      </c>
      <c r="L248" s="101" t="s">
        <v>6</v>
      </c>
      <c r="M248" s="96" t="s">
        <v>70</v>
      </c>
      <c r="N248" s="102">
        <v>250000</v>
      </c>
      <c r="O248" s="97">
        <f t="shared" ref="O248:O249" si="360">ROUND(N248*V248,0)</f>
        <v>32500</v>
      </c>
      <c r="P248" s="104">
        <v>87</v>
      </c>
      <c r="Q248" s="104">
        <v>87</v>
      </c>
      <c r="R248" s="215">
        <f t="shared" ref="R248:R249" si="361">Q248/P248</f>
        <v>1</v>
      </c>
      <c r="S248" s="105">
        <f t="shared" ref="S248:S249" si="362">ROUND(N248*Q248/P248,0)</f>
        <v>250000</v>
      </c>
      <c r="T248" s="98">
        <f t="shared" ref="T248:T249" si="363">ROUND(S248*V248,0)</f>
        <v>32500</v>
      </c>
      <c r="U248" s="70">
        <f t="shared" ref="U248:U249" si="364">Q248/P248-S248/N248</f>
        <v>0</v>
      </c>
      <c r="V248" s="181">
        <v>0.13</v>
      </c>
      <c r="W248" s="209" t="s">
        <v>318</v>
      </c>
      <c r="X248" s="17">
        <v>44939</v>
      </c>
      <c r="Y248" s="12" t="s">
        <v>66</v>
      </c>
      <c r="Z248" s="12"/>
      <c r="AA248" s="12"/>
      <c r="AB248" s="3">
        <v>1</v>
      </c>
      <c r="AC248" s="3" t="s">
        <v>315</v>
      </c>
      <c r="AD248" s="3">
        <v>0</v>
      </c>
      <c r="AE248" s="3">
        <v>0</v>
      </c>
    </row>
    <row r="249" spans="1:31" s="3" customFormat="1" ht="14.45" customHeight="1" x14ac:dyDescent="0.25">
      <c r="A249" s="141"/>
      <c r="B249" s="99" t="s">
        <v>317</v>
      </c>
      <c r="C249" s="95" t="str">
        <f>VLOOKUP($F249,Admin!$D$11:$F$19,2,FALSE)</f>
        <v>Kísérleti fejlesztés</v>
      </c>
      <c r="D249" s="138" t="s">
        <v>123</v>
      </c>
      <c r="E249" s="95" t="str">
        <f>VLOOKUP($F249,Admin!$D$11:$F$19,3,FALSE)</f>
        <v>54. Bérköltség - Kutató-fejlesztő munkatárs</v>
      </c>
      <c r="F249" s="139" t="s">
        <v>213</v>
      </c>
      <c r="G249" s="100" t="s">
        <v>179</v>
      </c>
      <c r="H249" s="100" t="s">
        <v>228</v>
      </c>
      <c r="I249" s="139" t="str">
        <f>VLOOKUP($F249,Admin!$D$11:$G$19,4,FALSE)</f>
        <v>K+F munkatárs</v>
      </c>
      <c r="J249" s="100" t="s">
        <v>297</v>
      </c>
      <c r="K249" s="95" t="str">
        <f t="shared" si="359"/>
        <v>2023.04</v>
      </c>
      <c r="L249" s="101" t="s">
        <v>7</v>
      </c>
      <c r="M249" s="96" t="s">
        <v>70</v>
      </c>
      <c r="N249" s="102">
        <v>250000</v>
      </c>
      <c r="O249" s="97">
        <f t="shared" si="360"/>
        <v>32500</v>
      </c>
      <c r="P249" s="104">
        <v>87</v>
      </c>
      <c r="Q249" s="104">
        <v>87</v>
      </c>
      <c r="R249" s="215">
        <f t="shared" si="361"/>
        <v>1</v>
      </c>
      <c r="S249" s="105">
        <f t="shared" si="362"/>
        <v>250000</v>
      </c>
      <c r="T249" s="98">
        <f t="shared" si="363"/>
        <v>32500</v>
      </c>
      <c r="U249" s="70">
        <f t="shared" si="364"/>
        <v>0</v>
      </c>
      <c r="V249" s="181">
        <v>0.13</v>
      </c>
      <c r="W249" s="209" t="s">
        <v>318</v>
      </c>
      <c r="X249" s="17">
        <v>44939</v>
      </c>
      <c r="Y249" s="12" t="s">
        <v>66</v>
      </c>
      <c r="Z249" s="12"/>
      <c r="AA249" s="12"/>
      <c r="AC249" s="204"/>
      <c r="AD249" s="204"/>
      <c r="AE249" s="204"/>
    </row>
    <row r="250" spans="1:31" s="3" customFormat="1" ht="14.45" customHeight="1" x14ac:dyDescent="0.25">
      <c r="A250" s="141">
        <v>1</v>
      </c>
      <c r="B250" s="99" t="s">
        <v>189</v>
      </c>
      <c r="C250" s="95" t="str">
        <f>VLOOKUP($F250,Admin!$D$11:$F$19,2,FALSE)</f>
        <v>Alkalmazott (ipari) kutatás</v>
      </c>
      <c r="D250" s="138" t="s">
        <v>123</v>
      </c>
      <c r="E250" s="95" t="str">
        <f>VLOOKUP($F250,Admin!$D$11:$F$19,3,FALSE)</f>
        <v>54. Bérköltség - technikus segédszemélyzet</v>
      </c>
      <c r="F250" s="139" t="s">
        <v>214</v>
      </c>
      <c r="G250" s="100" t="s">
        <v>179</v>
      </c>
      <c r="H250" s="100" t="s">
        <v>208</v>
      </c>
      <c r="I250" s="139" t="str">
        <f>VLOOKUP($F250,Admin!$D$11:$G$19,4,FALSE)</f>
        <v>Technikus</v>
      </c>
      <c r="J250" s="100" t="s">
        <v>31</v>
      </c>
      <c r="K250" s="95" t="str">
        <f t="shared" si="250"/>
        <v>2021.01</v>
      </c>
      <c r="L250" s="101" t="s">
        <v>6</v>
      </c>
      <c r="M250" s="96" t="s">
        <v>70</v>
      </c>
      <c r="N250" s="102">
        <v>300000</v>
      </c>
      <c r="O250" s="97">
        <f t="shared" si="251"/>
        <v>46500</v>
      </c>
      <c r="P250" s="104">
        <v>174</v>
      </c>
      <c r="Q250" s="104">
        <v>154</v>
      </c>
      <c r="R250" s="215">
        <f t="shared" si="248"/>
        <v>0.88505747126436785</v>
      </c>
      <c r="S250" s="105">
        <f t="shared" si="5"/>
        <v>265517</v>
      </c>
      <c r="T250" s="98">
        <f t="shared" si="252"/>
        <v>41155</v>
      </c>
      <c r="U250" s="70">
        <f t="shared" si="249"/>
        <v>8.0459770113172624E-7</v>
      </c>
      <c r="V250" s="181">
        <v>0.155</v>
      </c>
      <c r="W250" s="210"/>
      <c r="X250" s="17">
        <v>44174</v>
      </c>
      <c r="Y250" s="12" t="s">
        <v>66</v>
      </c>
      <c r="Z250" s="12"/>
      <c r="AA250" s="12"/>
      <c r="AB250" s="3">
        <v>1</v>
      </c>
    </row>
    <row r="251" spans="1:31" s="3" customFormat="1" ht="14.45" customHeight="1" x14ac:dyDescent="0.25">
      <c r="A251" s="141">
        <v>3</v>
      </c>
      <c r="B251" s="99" t="s">
        <v>240</v>
      </c>
      <c r="C251" s="95" t="str">
        <f>VLOOKUP($F251,Admin!$D$11:$F$19,2,FALSE)</f>
        <v>Kísérleti fejlesztés</v>
      </c>
      <c r="D251" s="138" t="s">
        <v>123</v>
      </c>
      <c r="E251" s="95" t="str">
        <f>VLOOKUP($F251,Admin!$D$11:$F$19,3,FALSE)</f>
        <v>54. Bérköltség - Kutató-fejlesztő munkatárs</v>
      </c>
      <c r="F251" s="139" t="s">
        <v>213</v>
      </c>
      <c r="G251" s="100" t="s">
        <v>180</v>
      </c>
      <c r="H251" s="100" t="s">
        <v>141</v>
      </c>
      <c r="I251" s="139" t="str">
        <f>VLOOKUP($F251,Admin!$D$11:$G$19,4,FALSE)</f>
        <v>K+F munkatárs</v>
      </c>
      <c r="J251" s="100" t="s">
        <v>46</v>
      </c>
      <c r="K251" s="95" t="str">
        <f t="shared" si="250"/>
        <v>2022.04</v>
      </c>
      <c r="L251" s="101" t="s">
        <v>6</v>
      </c>
      <c r="M251" s="96" t="s">
        <v>70</v>
      </c>
      <c r="N251" s="102">
        <v>882000</v>
      </c>
      <c r="O251" s="97">
        <f t="shared" ref="O251" si="365">ROUND(N251*V251,0)</f>
        <v>114660</v>
      </c>
      <c r="P251" s="104">
        <v>174</v>
      </c>
      <c r="Q251" s="104">
        <v>40</v>
      </c>
      <c r="R251" s="215">
        <f t="shared" ref="R251" si="366">Q251/P251</f>
        <v>0.22988505747126436</v>
      </c>
      <c r="S251" s="105">
        <f t="shared" ref="S251" si="367">ROUND(N251*Q251/P251,0)</f>
        <v>202759</v>
      </c>
      <c r="T251" s="98">
        <f t="shared" ref="T251" si="368">ROUND(S251*V251,0)</f>
        <v>26359</v>
      </c>
      <c r="U251" s="70">
        <f t="shared" ref="U251" si="369">Q251/P251-S251/N251</f>
        <v>-4.3005708030841028E-7</v>
      </c>
      <c r="V251" s="181">
        <v>0.13</v>
      </c>
      <c r="W251" s="210"/>
      <c r="X251" s="17">
        <v>44649</v>
      </c>
      <c r="Y251" s="12" t="s">
        <v>66</v>
      </c>
      <c r="Z251" s="12"/>
      <c r="AA251" s="12"/>
      <c r="AB251" s="3">
        <v>1</v>
      </c>
    </row>
    <row r="252" spans="1:31" s="3" customFormat="1" ht="14.45" customHeight="1" x14ac:dyDescent="0.25">
      <c r="A252" s="141">
        <v>3</v>
      </c>
      <c r="B252" s="99" t="s">
        <v>240</v>
      </c>
      <c r="C252" s="95" t="str">
        <f>VLOOKUP($F252,Admin!$D$11:$F$19,2,FALSE)</f>
        <v>Kísérleti fejlesztés</v>
      </c>
      <c r="D252" s="138" t="s">
        <v>123</v>
      </c>
      <c r="E252" s="95" t="str">
        <f>VLOOKUP($F252,Admin!$D$11:$F$19,3,FALSE)</f>
        <v>54. Bérköltség - Kutató-fejlesztő munkatárs</v>
      </c>
      <c r="F252" s="139" t="s">
        <v>213</v>
      </c>
      <c r="G252" s="100" t="s">
        <v>180</v>
      </c>
      <c r="H252" s="100" t="s">
        <v>141</v>
      </c>
      <c r="I252" s="139" t="str">
        <f>VLOOKUP($F252,Admin!$D$11:$G$19,4,FALSE)</f>
        <v>K+F munkatárs</v>
      </c>
      <c r="J252" s="100" t="s">
        <v>47</v>
      </c>
      <c r="K252" s="95" t="str">
        <f t="shared" ref="K252:K253" si="370">J252</f>
        <v>2022.05</v>
      </c>
      <c r="L252" s="101" t="s">
        <v>6</v>
      </c>
      <c r="M252" s="96" t="s">
        <v>70</v>
      </c>
      <c r="N252" s="102">
        <v>882000</v>
      </c>
      <c r="O252" s="97">
        <f t="shared" ref="O252:O253" si="371">ROUND(N252*V252,0)</f>
        <v>114660</v>
      </c>
      <c r="P252" s="104">
        <v>174</v>
      </c>
      <c r="Q252" s="104">
        <v>40</v>
      </c>
      <c r="R252" s="215">
        <f t="shared" ref="R252:R253" si="372">Q252/P252</f>
        <v>0.22988505747126436</v>
      </c>
      <c r="S252" s="105">
        <f t="shared" ref="S252:S253" si="373">ROUND(N252*Q252/P252,0)</f>
        <v>202759</v>
      </c>
      <c r="T252" s="98">
        <f t="shared" ref="T252:T253" si="374">ROUND(S252*V252,0)</f>
        <v>26359</v>
      </c>
      <c r="U252" s="70">
        <f t="shared" ref="U252:U253" si="375">Q252/P252-S252/N252</f>
        <v>-4.3005708030841028E-7</v>
      </c>
      <c r="V252" s="181">
        <v>0.13</v>
      </c>
      <c r="W252" s="210"/>
      <c r="X252" s="17">
        <v>44649</v>
      </c>
      <c r="Y252" s="12" t="s">
        <v>66</v>
      </c>
      <c r="Z252" s="12"/>
      <c r="AA252" s="12"/>
      <c r="AB252" s="3">
        <v>1</v>
      </c>
    </row>
    <row r="253" spans="1:31" s="3" customFormat="1" ht="14.45" customHeight="1" x14ac:dyDescent="0.25">
      <c r="A253" s="141">
        <v>3</v>
      </c>
      <c r="B253" s="99" t="s">
        <v>240</v>
      </c>
      <c r="C253" s="95" t="str">
        <f>VLOOKUP($F253,Admin!$D$11:$F$19,2,FALSE)</f>
        <v>Kísérleti fejlesztés</v>
      </c>
      <c r="D253" s="138" t="s">
        <v>123</v>
      </c>
      <c r="E253" s="95" t="str">
        <f>VLOOKUP($F253,Admin!$D$11:$F$19,3,FALSE)</f>
        <v>54. Bérköltség - Kutató-fejlesztő munkatárs</v>
      </c>
      <c r="F253" s="139" t="s">
        <v>213</v>
      </c>
      <c r="G253" s="100" t="s">
        <v>180</v>
      </c>
      <c r="H253" s="100" t="s">
        <v>141</v>
      </c>
      <c r="I253" s="139" t="str">
        <f>VLOOKUP($F253,Admin!$D$11:$G$19,4,FALSE)</f>
        <v>K+F munkatárs</v>
      </c>
      <c r="J253" s="100" t="s">
        <v>48</v>
      </c>
      <c r="K253" s="95" t="str">
        <f t="shared" si="370"/>
        <v>2022.06</v>
      </c>
      <c r="L253" s="101" t="s">
        <v>6</v>
      </c>
      <c r="M253" s="96" t="s">
        <v>70</v>
      </c>
      <c r="N253" s="102">
        <v>882000</v>
      </c>
      <c r="O253" s="97">
        <f t="shared" si="371"/>
        <v>114660</v>
      </c>
      <c r="P253" s="104">
        <v>174</v>
      </c>
      <c r="Q253" s="104">
        <v>80</v>
      </c>
      <c r="R253" s="215">
        <f t="shared" si="372"/>
        <v>0.45977011494252873</v>
      </c>
      <c r="S253" s="105">
        <f t="shared" si="373"/>
        <v>405517</v>
      </c>
      <c r="T253" s="98">
        <f t="shared" si="374"/>
        <v>52717</v>
      </c>
      <c r="U253" s="70">
        <f t="shared" si="375"/>
        <v>2.7367268745637219E-7</v>
      </c>
      <c r="V253" s="181">
        <v>0.13</v>
      </c>
      <c r="W253" s="210"/>
      <c r="X253" s="17">
        <v>44712</v>
      </c>
      <c r="Y253" s="12" t="s">
        <v>66</v>
      </c>
      <c r="Z253" s="12"/>
      <c r="AA253" s="12"/>
      <c r="AB253" s="3">
        <v>1</v>
      </c>
    </row>
    <row r="254" spans="1:31" s="3" customFormat="1" ht="14.45" customHeight="1" x14ac:dyDescent="0.25">
      <c r="A254" s="141">
        <v>3</v>
      </c>
      <c r="B254" s="99" t="s">
        <v>240</v>
      </c>
      <c r="C254" s="95" t="str">
        <f>VLOOKUP($F254,Admin!$D$11:$F$19,2,FALSE)</f>
        <v>Kísérleti fejlesztés</v>
      </c>
      <c r="D254" s="138" t="s">
        <v>123</v>
      </c>
      <c r="E254" s="95" t="str">
        <f>VLOOKUP($F254,Admin!$D$11:$F$19,3,FALSE)</f>
        <v>54. Bérköltség - Kutató-fejlesztő munkatárs</v>
      </c>
      <c r="F254" s="139" t="s">
        <v>213</v>
      </c>
      <c r="G254" s="100" t="s">
        <v>180</v>
      </c>
      <c r="H254" s="100" t="s">
        <v>141</v>
      </c>
      <c r="I254" s="139" t="str">
        <f>VLOOKUP($F254,Admin!$D$11:$G$19,4,FALSE)</f>
        <v>K+F munkatárs</v>
      </c>
      <c r="J254" s="100" t="s">
        <v>49</v>
      </c>
      <c r="K254" s="95" t="str">
        <f t="shared" ref="K254:K255" si="376">J254</f>
        <v>2022.07</v>
      </c>
      <c r="L254" s="101" t="s">
        <v>6</v>
      </c>
      <c r="M254" s="96" t="s">
        <v>70</v>
      </c>
      <c r="N254" s="102">
        <v>845999</v>
      </c>
      <c r="O254" s="97">
        <f t="shared" ref="O254" si="377">ROUND(N254*V254,0)</f>
        <v>109980</v>
      </c>
      <c r="P254" s="104">
        <v>174</v>
      </c>
      <c r="Q254" s="104">
        <v>82</v>
      </c>
      <c r="R254" s="215">
        <f t="shared" ref="R254" si="378">Q254/P254</f>
        <v>0.47126436781609193</v>
      </c>
      <c r="S254" s="105">
        <f t="shared" ref="S254" si="379">ROUND(N254*Q254/P254,0)</f>
        <v>398689</v>
      </c>
      <c r="T254" s="98">
        <f t="shared" ref="T254" si="380">ROUND(S254*V254,0)</f>
        <v>51830</v>
      </c>
      <c r="U254" s="70">
        <f t="shared" ref="U254" si="381">Q254/P254-S254/N254</f>
        <v>2.1738565408879751E-7</v>
      </c>
      <c r="V254" s="181">
        <v>0.13</v>
      </c>
      <c r="W254" s="210"/>
      <c r="X254" s="17">
        <v>44732</v>
      </c>
      <c r="Y254" s="12" t="s">
        <v>66</v>
      </c>
      <c r="Z254" s="12"/>
      <c r="AA254" s="12"/>
      <c r="AB254" s="3">
        <v>1</v>
      </c>
    </row>
    <row r="255" spans="1:31" s="3" customFormat="1" ht="14.45" customHeight="1" x14ac:dyDescent="0.25">
      <c r="A255" s="141">
        <v>3</v>
      </c>
      <c r="B255" s="99" t="s">
        <v>240</v>
      </c>
      <c r="C255" s="95" t="str">
        <f>VLOOKUP($F255,Admin!$D$11:$F$19,2,FALSE)</f>
        <v>Kísérleti fejlesztés</v>
      </c>
      <c r="D255" s="138" t="s">
        <v>123</v>
      </c>
      <c r="E255" s="95" t="str">
        <f>VLOOKUP($F255,Admin!$D$11:$F$19,3,FALSE)</f>
        <v>54. Bérköltség - Kutató-fejlesztő munkatárs</v>
      </c>
      <c r="F255" s="139" t="s">
        <v>213</v>
      </c>
      <c r="G255" s="100" t="s">
        <v>180</v>
      </c>
      <c r="H255" s="100" t="s">
        <v>141</v>
      </c>
      <c r="I255" s="139" t="str">
        <f>VLOOKUP($F255,Admin!$D$11:$G$19,4,FALSE)</f>
        <v>K+F munkatárs</v>
      </c>
      <c r="J255" s="100" t="s">
        <v>50</v>
      </c>
      <c r="K255" s="95" t="str">
        <f t="shared" si="376"/>
        <v>2022.08</v>
      </c>
      <c r="L255" s="101" t="s">
        <v>6</v>
      </c>
      <c r="M255" s="96" t="s">
        <v>70</v>
      </c>
      <c r="N255" s="102">
        <v>662086</v>
      </c>
      <c r="O255" s="97">
        <f t="shared" ref="O255" si="382">ROUND(N255*V255,0)</f>
        <v>86071</v>
      </c>
      <c r="P255" s="104">
        <v>174</v>
      </c>
      <c r="Q255" s="104">
        <v>82</v>
      </c>
      <c r="R255" s="215">
        <f t="shared" ref="R255" si="383">Q255/P255</f>
        <v>0.47126436781609193</v>
      </c>
      <c r="S255" s="105">
        <f t="shared" ref="S255" si="384">ROUND(N255*Q255/P255,0)</f>
        <v>312018</v>
      </c>
      <c r="T255" s="98">
        <f t="shared" ref="T255" si="385">ROUND(S255*V255,0)</f>
        <v>40562</v>
      </c>
      <c r="U255" s="70">
        <f t="shared" ref="U255" si="386">Q255/P255-S255/N255</f>
        <v>-6.9442657746332515E-7</v>
      </c>
      <c r="V255" s="181">
        <v>0.13</v>
      </c>
      <c r="W255" s="210"/>
      <c r="X255" s="17">
        <v>44732</v>
      </c>
      <c r="Y255" s="12" t="s">
        <v>66</v>
      </c>
      <c r="Z255" s="12"/>
      <c r="AA255" s="12"/>
      <c r="AB255" s="3">
        <v>1</v>
      </c>
    </row>
    <row r="256" spans="1:31" s="3" customFormat="1" ht="14.45" customHeight="1" x14ac:dyDescent="0.25">
      <c r="A256" s="141">
        <v>3</v>
      </c>
      <c r="B256" s="99" t="s">
        <v>240</v>
      </c>
      <c r="C256" s="95" t="str">
        <f>VLOOKUP($F256,Admin!$D$11:$F$19,2,FALSE)</f>
        <v>Kísérleti fejlesztés</v>
      </c>
      <c r="D256" s="138" t="s">
        <v>123</v>
      </c>
      <c r="E256" s="95" t="str">
        <f>VLOOKUP($F256,Admin!$D$11:$F$19,3,FALSE)</f>
        <v>54. Bérköltség - Kutató-fejlesztő munkatárs</v>
      </c>
      <c r="F256" s="139" t="s">
        <v>213</v>
      </c>
      <c r="G256" s="100" t="s">
        <v>180</v>
      </c>
      <c r="H256" s="100" t="s">
        <v>141</v>
      </c>
      <c r="I256" s="139" t="str">
        <f>VLOOKUP($F256,Admin!$D$11:$G$19,4,FALSE)</f>
        <v>K+F munkatárs</v>
      </c>
      <c r="J256" s="100" t="s">
        <v>51</v>
      </c>
      <c r="K256" s="95" t="str">
        <f t="shared" ref="K256:K259" si="387">J256</f>
        <v>2022.09</v>
      </c>
      <c r="L256" s="101" t="s">
        <v>6</v>
      </c>
      <c r="M256" s="96" t="s">
        <v>70</v>
      </c>
      <c r="N256" s="102">
        <v>845999</v>
      </c>
      <c r="O256" s="97">
        <f t="shared" ref="O256" si="388">ROUND(N256*V256,0)</f>
        <v>109980</v>
      </c>
      <c r="P256" s="104">
        <v>174</v>
      </c>
      <c r="Q256" s="104">
        <v>82</v>
      </c>
      <c r="R256" s="215">
        <f t="shared" ref="R256" si="389">Q256/P256</f>
        <v>0.47126436781609193</v>
      </c>
      <c r="S256" s="105">
        <f t="shared" ref="S256" si="390">ROUND(N256*Q256/P256,0)</f>
        <v>398689</v>
      </c>
      <c r="T256" s="98">
        <f t="shared" ref="T256" si="391">ROUND(S256*V256,0)</f>
        <v>51830</v>
      </c>
      <c r="U256" s="70">
        <f t="shared" ref="U256" si="392">Q256/P256-S256/N256</f>
        <v>2.1738565408879751E-7</v>
      </c>
      <c r="V256" s="181">
        <v>0.13</v>
      </c>
      <c r="W256" s="210"/>
      <c r="X256" s="17">
        <v>44791</v>
      </c>
      <c r="Y256" s="12" t="s">
        <v>66</v>
      </c>
      <c r="Z256" s="12"/>
      <c r="AA256" s="12"/>
      <c r="AB256" s="3">
        <v>1</v>
      </c>
    </row>
    <row r="257" spans="1:31" s="3" customFormat="1" ht="14.45" customHeight="1" x14ac:dyDescent="0.25">
      <c r="A257" s="141">
        <v>3</v>
      </c>
      <c r="B257" s="99" t="s">
        <v>240</v>
      </c>
      <c r="C257" s="95" t="str">
        <f>VLOOKUP($F257,Admin!$D$11:$F$19,2,FALSE)</f>
        <v>Kísérleti fejlesztés</v>
      </c>
      <c r="D257" s="138" t="s">
        <v>123</v>
      </c>
      <c r="E257" s="95" t="str">
        <f>VLOOKUP($F257,Admin!$D$11:$F$19,3,FALSE)</f>
        <v>54. Bérköltség - Kutató-fejlesztő munkatárs</v>
      </c>
      <c r="F257" s="139" t="s">
        <v>213</v>
      </c>
      <c r="G257" s="100" t="s">
        <v>180</v>
      </c>
      <c r="H257" s="100" t="s">
        <v>141</v>
      </c>
      <c r="I257" s="139" t="str">
        <f>VLOOKUP($F257,Admin!$D$11:$G$19,4,FALSE)</f>
        <v>K+F munkatárs</v>
      </c>
      <c r="J257" s="100" t="s">
        <v>52</v>
      </c>
      <c r="K257" s="95" t="str">
        <f t="shared" si="387"/>
        <v>2022.10</v>
      </c>
      <c r="L257" s="101" t="s">
        <v>6</v>
      </c>
      <c r="M257" s="96" t="s">
        <v>70</v>
      </c>
      <c r="N257" s="102">
        <v>846000</v>
      </c>
      <c r="O257" s="97">
        <f t="shared" ref="O257:O259" si="393">ROUND(N257*V257,0)</f>
        <v>109980</v>
      </c>
      <c r="P257" s="104">
        <v>174</v>
      </c>
      <c r="Q257" s="104">
        <v>82</v>
      </c>
      <c r="R257" s="215">
        <f t="shared" ref="R257:R259" si="394">Q257/P257</f>
        <v>0.47126436781609193</v>
      </c>
      <c r="S257" s="105">
        <f t="shared" ref="S257:S259" si="395">ROUND(N257*Q257/P257,0)</f>
        <v>398690</v>
      </c>
      <c r="T257" s="98">
        <f t="shared" ref="T257:T259" si="396">ROUND(S257*V257,0)</f>
        <v>51830</v>
      </c>
      <c r="U257" s="70">
        <f t="shared" ref="U257:U259" si="397">Q257/P257-S257/N257</f>
        <v>-4.0759761965603047E-7</v>
      </c>
      <c r="V257" s="181">
        <v>0.13</v>
      </c>
      <c r="W257" s="210"/>
      <c r="X257" s="17">
        <v>44791</v>
      </c>
      <c r="Y257" s="12" t="s">
        <v>66</v>
      </c>
      <c r="Z257" s="12"/>
      <c r="AA257" s="12"/>
      <c r="AB257" s="3">
        <v>1</v>
      </c>
    </row>
    <row r="258" spans="1:31" s="3" customFormat="1" ht="14.45" customHeight="1" x14ac:dyDescent="0.25">
      <c r="A258" s="141">
        <v>3</v>
      </c>
      <c r="B258" s="99" t="s">
        <v>240</v>
      </c>
      <c r="C258" s="95" t="str">
        <f>VLOOKUP($F258,Admin!$D$11:$F$19,2,FALSE)</f>
        <v>Kísérleti fejlesztés</v>
      </c>
      <c r="D258" s="138" t="s">
        <v>123</v>
      </c>
      <c r="E258" s="95" t="str">
        <f>VLOOKUP($F258,Admin!$D$11:$F$19,3,FALSE)</f>
        <v>54. Bérköltség - Kutató-fejlesztő munkatárs</v>
      </c>
      <c r="F258" s="139" t="s">
        <v>213</v>
      </c>
      <c r="G258" s="100" t="s">
        <v>180</v>
      </c>
      <c r="H258" s="100" t="s">
        <v>141</v>
      </c>
      <c r="I258" s="139" t="str">
        <f>VLOOKUP($F258,Admin!$D$11:$G$19,4,FALSE)</f>
        <v>K+F munkatárs</v>
      </c>
      <c r="J258" s="100" t="s">
        <v>53</v>
      </c>
      <c r="K258" s="95" t="str">
        <f t="shared" si="387"/>
        <v>2022.11</v>
      </c>
      <c r="L258" s="101" t="s">
        <v>6</v>
      </c>
      <c r="M258" s="96" t="s">
        <v>70</v>
      </c>
      <c r="N258" s="102">
        <v>846000</v>
      </c>
      <c r="O258" s="97">
        <f t="shared" si="393"/>
        <v>109980</v>
      </c>
      <c r="P258" s="104">
        <v>174</v>
      </c>
      <c r="Q258" s="104">
        <v>82</v>
      </c>
      <c r="R258" s="215">
        <f t="shared" si="394"/>
        <v>0.47126436781609193</v>
      </c>
      <c r="S258" s="105">
        <f t="shared" si="395"/>
        <v>398690</v>
      </c>
      <c r="T258" s="98">
        <f t="shared" si="396"/>
        <v>51830</v>
      </c>
      <c r="U258" s="70">
        <f t="shared" si="397"/>
        <v>-4.0759761965603047E-7</v>
      </c>
      <c r="V258" s="181">
        <v>0.13</v>
      </c>
      <c r="W258" s="209" t="s">
        <v>274</v>
      </c>
      <c r="X258" s="17">
        <v>44791</v>
      </c>
      <c r="Y258" s="12" t="s">
        <v>66</v>
      </c>
      <c r="Z258" s="12"/>
      <c r="AA258" s="12"/>
      <c r="AB258" s="3">
        <v>1</v>
      </c>
    </row>
    <row r="259" spans="1:31" s="3" customFormat="1" ht="14.45" customHeight="1" x14ac:dyDescent="0.25">
      <c r="A259" s="141">
        <v>3</v>
      </c>
      <c r="B259" s="99" t="s">
        <v>240</v>
      </c>
      <c r="C259" s="95" t="str">
        <f>VLOOKUP($F259,Admin!$D$11:$F$19,2,FALSE)</f>
        <v>Kísérleti fejlesztés</v>
      </c>
      <c r="D259" s="138" t="s">
        <v>123</v>
      </c>
      <c r="E259" s="95" t="str">
        <f>VLOOKUP($F259,Admin!$D$11:$F$19,3,FALSE)</f>
        <v>54. Bérköltség - Kutató-fejlesztő munkatárs</v>
      </c>
      <c r="F259" s="139" t="s">
        <v>213</v>
      </c>
      <c r="G259" s="100" t="s">
        <v>180</v>
      </c>
      <c r="H259" s="100" t="s">
        <v>141</v>
      </c>
      <c r="I259" s="139" t="str">
        <f>VLOOKUP($F259,Admin!$D$11:$G$19,4,FALSE)</f>
        <v>K+F munkatárs</v>
      </c>
      <c r="J259" s="100" t="s">
        <v>54</v>
      </c>
      <c r="K259" s="95" t="str">
        <f t="shared" si="387"/>
        <v>2022.12</v>
      </c>
      <c r="L259" s="101" t="s">
        <v>6</v>
      </c>
      <c r="M259" s="96" t="s">
        <v>70</v>
      </c>
      <c r="N259" s="102">
        <v>846000</v>
      </c>
      <c r="O259" s="97">
        <f t="shared" si="393"/>
        <v>109980</v>
      </c>
      <c r="P259" s="104">
        <v>174</v>
      </c>
      <c r="Q259" s="104">
        <v>82</v>
      </c>
      <c r="R259" s="215">
        <f t="shared" si="394"/>
        <v>0.47126436781609193</v>
      </c>
      <c r="S259" s="105">
        <f t="shared" si="395"/>
        <v>398690</v>
      </c>
      <c r="T259" s="98">
        <f t="shared" si="396"/>
        <v>51830</v>
      </c>
      <c r="U259" s="70">
        <f t="shared" si="397"/>
        <v>-4.0759761965603047E-7</v>
      </c>
      <c r="V259" s="181">
        <v>0.13</v>
      </c>
      <c r="W259" s="209" t="s">
        <v>274</v>
      </c>
      <c r="X259" s="17">
        <v>44791</v>
      </c>
      <c r="Y259" s="12" t="s">
        <v>66</v>
      </c>
      <c r="Z259" s="12"/>
      <c r="AA259" s="12"/>
      <c r="AB259" s="3">
        <v>1</v>
      </c>
      <c r="AC259" s="204" t="s">
        <v>315</v>
      </c>
      <c r="AD259" s="205" t="s">
        <v>316</v>
      </c>
      <c r="AE259" s="205" t="s">
        <v>316</v>
      </c>
    </row>
    <row r="260" spans="1:31" s="3" customFormat="1" ht="14.45" customHeight="1" x14ac:dyDescent="0.25">
      <c r="A260" s="141">
        <v>3</v>
      </c>
      <c r="B260" s="99" t="s">
        <v>240</v>
      </c>
      <c r="C260" s="95" t="str">
        <f>VLOOKUP($F260,Admin!$D$11:$F$19,2,FALSE)</f>
        <v>Kísérleti fejlesztés</v>
      </c>
      <c r="D260" s="138" t="s">
        <v>123</v>
      </c>
      <c r="E260" s="95" t="str">
        <f>VLOOKUP($F260,Admin!$D$11:$F$19,3,FALSE)</f>
        <v>54. Bérköltség - Kutató-fejlesztő munkatárs</v>
      </c>
      <c r="F260" s="139" t="s">
        <v>213</v>
      </c>
      <c r="G260" s="100" t="s">
        <v>180</v>
      </c>
      <c r="H260" s="100" t="s">
        <v>141</v>
      </c>
      <c r="I260" s="139" t="str">
        <f>VLOOKUP($F260,Admin!$D$11:$G$19,4,FALSE)</f>
        <v>K+F munkatárs</v>
      </c>
      <c r="J260" s="100" t="s">
        <v>257</v>
      </c>
      <c r="K260" s="95" t="str">
        <f t="shared" ref="K260" si="398">J260</f>
        <v>2023.01</v>
      </c>
      <c r="L260" s="101" t="s">
        <v>6</v>
      </c>
      <c r="M260" s="96" t="s">
        <v>70</v>
      </c>
      <c r="N260" s="102">
        <v>891000</v>
      </c>
      <c r="O260" s="97">
        <f t="shared" ref="O260" si="399">ROUND(N260*V260,0)</f>
        <v>115830</v>
      </c>
      <c r="P260" s="104">
        <v>174</v>
      </c>
      <c r="Q260" s="104">
        <v>76</v>
      </c>
      <c r="R260" s="215">
        <f t="shared" ref="R260" si="400">Q260/P260</f>
        <v>0.43678160919540232</v>
      </c>
      <c r="S260" s="105">
        <f t="shared" ref="S260" si="401">ROUND(N260*Q260/P260,0)</f>
        <v>389172</v>
      </c>
      <c r="T260" s="98">
        <f t="shared" ref="T260" si="402">ROUND(S260*V260,0)</f>
        <v>50592</v>
      </c>
      <c r="U260" s="70">
        <f t="shared" ref="U260" si="403">Q260/P260-S260/N260</f>
        <v>4.6441425755050503E-7</v>
      </c>
      <c r="V260" s="181">
        <v>0.13</v>
      </c>
      <c r="W260" s="209" t="s">
        <v>274</v>
      </c>
      <c r="X260" s="17">
        <v>44936</v>
      </c>
      <c r="Y260" s="12" t="s">
        <v>66</v>
      </c>
      <c r="Z260" s="12"/>
      <c r="AA260" s="12"/>
      <c r="AB260" s="3">
        <v>1</v>
      </c>
      <c r="AC260" s="204" t="s">
        <v>315</v>
      </c>
      <c r="AD260" s="216">
        <v>0</v>
      </c>
      <c r="AE260" s="216">
        <v>0</v>
      </c>
    </row>
    <row r="261" spans="1:31" s="3" customFormat="1" ht="14.45" customHeight="1" x14ac:dyDescent="0.25">
      <c r="A261" s="141"/>
      <c r="B261" s="99" t="s">
        <v>240</v>
      </c>
      <c r="C261" s="95" t="str">
        <f>VLOOKUP($F261,Admin!$D$11:$F$19,2,FALSE)</f>
        <v>Kísérleti fejlesztés</v>
      </c>
      <c r="D261" s="138" t="s">
        <v>123</v>
      </c>
      <c r="E261" s="95" t="str">
        <f>VLOOKUP($F261,Admin!$D$11:$F$19,3,FALSE)</f>
        <v>54. Bérköltség - Kutató-fejlesztő munkatárs</v>
      </c>
      <c r="F261" s="139" t="s">
        <v>213</v>
      </c>
      <c r="G261" s="100" t="s">
        <v>180</v>
      </c>
      <c r="H261" s="100" t="s">
        <v>141</v>
      </c>
      <c r="I261" s="139" t="str">
        <f>VLOOKUP($F261,Admin!$D$11:$G$19,4,FALSE)</f>
        <v>K+F munkatárs</v>
      </c>
      <c r="J261" s="100" t="s">
        <v>295</v>
      </c>
      <c r="K261" s="95" t="str">
        <f t="shared" ref="K261:K263" si="404">J261</f>
        <v>2023.02</v>
      </c>
      <c r="L261" s="101" t="s">
        <v>6</v>
      </c>
      <c r="M261" s="96" t="s">
        <v>70</v>
      </c>
      <c r="N261" s="102">
        <v>891000</v>
      </c>
      <c r="O261" s="97">
        <f t="shared" ref="O261" si="405">ROUND(N261*V261,0)</f>
        <v>115830</v>
      </c>
      <c r="P261" s="104">
        <v>174</v>
      </c>
      <c r="Q261" s="104">
        <v>119</v>
      </c>
      <c r="R261" s="215">
        <f t="shared" ref="R261" si="406">Q261/P261</f>
        <v>0.68390804597701149</v>
      </c>
      <c r="S261" s="105">
        <f t="shared" ref="S261" si="407">ROUND(N261*Q261/P261,0)</f>
        <v>609362</v>
      </c>
      <c r="T261" s="98">
        <f t="shared" ref="T261" si="408">ROUND(S261*V261,0)</f>
        <v>79217</v>
      </c>
      <c r="U261" s="70">
        <f t="shared" ref="U261" si="409">Q261/P261-S261/N261</f>
        <v>7.740237628617308E-8</v>
      </c>
      <c r="V261" s="181">
        <v>0.13</v>
      </c>
      <c r="W261" s="209" t="s">
        <v>274</v>
      </c>
      <c r="X261" s="17">
        <v>44953</v>
      </c>
      <c r="Y261" s="12" t="s">
        <v>66</v>
      </c>
      <c r="Z261" s="12"/>
      <c r="AA261" s="12"/>
      <c r="AB261" s="3">
        <v>1</v>
      </c>
      <c r="AC261" s="3" t="s">
        <v>315</v>
      </c>
      <c r="AD261" s="3">
        <v>0</v>
      </c>
      <c r="AE261" s="3">
        <v>0</v>
      </c>
    </row>
    <row r="262" spans="1:31" s="3" customFormat="1" ht="14.45" customHeight="1" x14ac:dyDescent="0.25">
      <c r="A262" s="141"/>
      <c r="B262" s="99" t="s">
        <v>240</v>
      </c>
      <c r="C262" s="95" t="str">
        <f>VLOOKUP($F262,Admin!$D$11:$F$19,2,FALSE)</f>
        <v>Kísérleti fejlesztés</v>
      </c>
      <c r="D262" s="138" t="s">
        <v>123</v>
      </c>
      <c r="E262" s="95" t="str">
        <f>VLOOKUP($F262,Admin!$D$11:$F$19,3,FALSE)</f>
        <v>54. Bérköltség - Kutató-fejlesztő munkatárs</v>
      </c>
      <c r="F262" s="139" t="s">
        <v>213</v>
      </c>
      <c r="G262" s="100" t="s">
        <v>180</v>
      </c>
      <c r="H262" s="100" t="s">
        <v>141</v>
      </c>
      <c r="I262" s="139" t="str">
        <f>VLOOKUP($F262,Admin!$D$11:$G$19,4,FALSE)</f>
        <v>K+F munkatárs</v>
      </c>
      <c r="J262" s="100" t="s">
        <v>296</v>
      </c>
      <c r="K262" s="95" t="str">
        <f t="shared" si="404"/>
        <v>2023.03</v>
      </c>
      <c r="L262" s="101" t="s">
        <v>6</v>
      </c>
      <c r="M262" s="96" t="s">
        <v>70</v>
      </c>
      <c r="N262" s="102">
        <v>891000</v>
      </c>
      <c r="O262" s="97">
        <f t="shared" ref="O262:O263" si="410">ROUND(N262*V262,0)</f>
        <v>115830</v>
      </c>
      <c r="P262" s="104">
        <v>174</v>
      </c>
      <c r="Q262" s="104">
        <v>119</v>
      </c>
      <c r="R262" s="215">
        <f t="shared" ref="R262:R263" si="411">Q262/P262</f>
        <v>0.68390804597701149</v>
      </c>
      <c r="S262" s="105">
        <f t="shared" ref="S262:S263" si="412">ROUND(N262*Q262/P262,0)</f>
        <v>609362</v>
      </c>
      <c r="T262" s="98">
        <f t="shared" ref="T262:T263" si="413">ROUND(S262*V262,0)</f>
        <v>79217</v>
      </c>
      <c r="U262" s="70">
        <f t="shared" ref="U262:U263" si="414">Q262/P262-S262/N262</f>
        <v>7.740237628617308E-8</v>
      </c>
      <c r="V262" s="181">
        <v>0.13</v>
      </c>
      <c r="W262" s="209" t="s">
        <v>274</v>
      </c>
      <c r="X262" s="17">
        <v>44953</v>
      </c>
      <c r="Y262" s="12" t="s">
        <v>66</v>
      </c>
      <c r="Z262" s="12"/>
      <c r="AA262" s="12"/>
      <c r="AB262" s="3">
        <v>1</v>
      </c>
      <c r="AC262" s="3" t="s">
        <v>315</v>
      </c>
      <c r="AD262" s="3">
        <v>0</v>
      </c>
      <c r="AE262" s="3">
        <v>0</v>
      </c>
    </row>
    <row r="263" spans="1:31" s="3" customFormat="1" ht="14.45" customHeight="1" x14ac:dyDescent="0.25">
      <c r="A263" s="141"/>
      <c r="B263" s="99" t="s">
        <v>240</v>
      </c>
      <c r="C263" s="95" t="str">
        <f>VLOOKUP($F263,Admin!$D$11:$F$19,2,FALSE)</f>
        <v>Kísérleti fejlesztés</v>
      </c>
      <c r="D263" s="138" t="s">
        <v>123</v>
      </c>
      <c r="E263" s="95" t="str">
        <f>VLOOKUP($F263,Admin!$D$11:$F$19,3,FALSE)</f>
        <v>54. Bérköltség - Kutató-fejlesztő munkatárs</v>
      </c>
      <c r="F263" s="139" t="s">
        <v>213</v>
      </c>
      <c r="G263" s="100" t="s">
        <v>180</v>
      </c>
      <c r="H263" s="100" t="s">
        <v>141</v>
      </c>
      <c r="I263" s="139" t="str">
        <f>VLOOKUP($F263,Admin!$D$11:$G$19,4,FALSE)</f>
        <v>K+F munkatárs</v>
      </c>
      <c r="J263" s="100" t="s">
        <v>297</v>
      </c>
      <c r="K263" s="95" t="str">
        <f t="shared" si="404"/>
        <v>2023.04</v>
      </c>
      <c r="L263" s="101" t="s">
        <v>7</v>
      </c>
      <c r="M263" s="96" t="s">
        <v>70</v>
      </c>
      <c r="N263" s="102">
        <v>891000</v>
      </c>
      <c r="O263" s="97">
        <f t="shared" si="410"/>
        <v>115830</v>
      </c>
      <c r="P263" s="104">
        <v>174</v>
      </c>
      <c r="Q263" s="104">
        <v>119</v>
      </c>
      <c r="R263" s="215">
        <f t="shared" si="411"/>
        <v>0.68390804597701149</v>
      </c>
      <c r="S263" s="105">
        <f t="shared" si="412"/>
        <v>609362</v>
      </c>
      <c r="T263" s="98">
        <f t="shared" si="413"/>
        <v>79217</v>
      </c>
      <c r="U263" s="70">
        <f t="shared" si="414"/>
        <v>7.740237628617308E-8</v>
      </c>
      <c r="V263" s="181">
        <v>0.13</v>
      </c>
      <c r="W263" s="209" t="s">
        <v>274</v>
      </c>
      <c r="X263" s="17">
        <v>44953</v>
      </c>
      <c r="Y263" s="12" t="s">
        <v>66</v>
      </c>
      <c r="Z263" s="12"/>
      <c r="AA263" s="12"/>
    </row>
    <row r="264" spans="1:31" s="3" customFormat="1" ht="14.45" customHeight="1" x14ac:dyDescent="0.25">
      <c r="A264" s="141">
        <v>1</v>
      </c>
      <c r="B264" s="99" t="s">
        <v>190</v>
      </c>
      <c r="C264" s="95" t="str">
        <f>VLOOKUP($F264,Admin!$D$11:$F$19,2,FALSE)</f>
        <v>Alkalmazott (ipari) kutatás</v>
      </c>
      <c r="D264" s="138" t="s">
        <v>123</v>
      </c>
      <c r="E264" s="95" t="str">
        <f>VLOOKUP($F264,Admin!$D$11:$F$19,3,FALSE)</f>
        <v>54. Bérköltség - Kutató-fejlesztő munkatárs</v>
      </c>
      <c r="F264" s="139" t="s">
        <v>212</v>
      </c>
      <c r="G264" s="100" t="s">
        <v>179</v>
      </c>
      <c r="H264" s="100" t="s">
        <v>229</v>
      </c>
      <c r="I264" s="139" t="str">
        <f>VLOOKUP($F264,Admin!$D$11:$G$19,4,FALSE)</f>
        <v>K+F munkatárs</v>
      </c>
      <c r="J264" s="100" t="s">
        <v>225</v>
      </c>
      <c r="K264" s="95" t="str">
        <f t="shared" si="250"/>
        <v>2020.10</v>
      </c>
      <c r="L264" s="101" t="s">
        <v>6</v>
      </c>
      <c r="M264" s="96" t="s">
        <v>70</v>
      </c>
      <c r="N264" s="102">
        <v>130000</v>
      </c>
      <c r="O264" s="97">
        <f t="shared" si="251"/>
        <v>20150</v>
      </c>
      <c r="P264" s="104">
        <v>87</v>
      </c>
      <c r="Q264" s="104">
        <v>87</v>
      </c>
      <c r="R264" s="215">
        <f t="shared" si="248"/>
        <v>1</v>
      </c>
      <c r="S264" s="105">
        <f t="shared" si="5"/>
        <v>130000</v>
      </c>
      <c r="T264" s="98">
        <f t="shared" si="252"/>
        <v>20150</v>
      </c>
      <c r="U264" s="70">
        <f t="shared" si="249"/>
        <v>0</v>
      </c>
      <c r="V264" s="181">
        <v>0.155</v>
      </c>
      <c r="W264" s="210"/>
      <c r="X264" s="17">
        <v>44061</v>
      </c>
      <c r="Y264" s="12" t="s">
        <v>66</v>
      </c>
      <c r="Z264" s="12"/>
      <c r="AA264" s="12"/>
      <c r="AB264" s="3">
        <v>1</v>
      </c>
    </row>
    <row r="265" spans="1:31" s="3" customFormat="1" ht="14.45" customHeight="1" x14ac:dyDescent="0.25">
      <c r="A265" s="141">
        <v>1</v>
      </c>
      <c r="B265" s="99" t="s">
        <v>190</v>
      </c>
      <c r="C265" s="95" t="str">
        <f>VLOOKUP($F265,Admin!$D$11:$F$19,2,FALSE)</f>
        <v>Alkalmazott (ipari) kutatás</v>
      </c>
      <c r="D265" s="138" t="s">
        <v>123</v>
      </c>
      <c r="E265" s="95" t="str">
        <f>VLOOKUP($F265,Admin!$D$11:$F$19,3,FALSE)</f>
        <v>54. Bérköltség - Kutató-fejlesztő munkatárs</v>
      </c>
      <c r="F265" s="139" t="s">
        <v>212</v>
      </c>
      <c r="G265" s="100" t="s">
        <v>179</v>
      </c>
      <c r="H265" s="100" t="s">
        <v>229</v>
      </c>
      <c r="I265" s="139" t="str">
        <f>VLOOKUP($F265,Admin!$D$11:$G$19,4,FALSE)</f>
        <v>K+F munkatárs</v>
      </c>
      <c r="J265" s="100" t="s">
        <v>226</v>
      </c>
      <c r="K265" s="95" t="str">
        <f t="shared" si="250"/>
        <v>2020.11</v>
      </c>
      <c r="L265" s="101" t="s">
        <v>6</v>
      </c>
      <c r="M265" s="96" t="s">
        <v>70</v>
      </c>
      <c r="N265" s="102">
        <v>130000</v>
      </c>
      <c r="O265" s="97">
        <f t="shared" si="251"/>
        <v>20150</v>
      </c>
      <c r="P265" s="104">
        <v>87</v>
      </c>
      <c r="Q265" s="104">
        <v>87</v>
      </c>
      <c r="R265" s="215">
        <f t="shared" si="248"/>
        <v>1</v>
      </c>
      <c r="S265" s="105">
        <f t="shared" si="5"/>
        <v>130000</v>
      </c>
      <c r="T265" s="98">
        <f t="shared" si="252"/>
        <v>20150</v>
      </c>
      <c r="U265" s="70">
        <f t="shared" si="249"/>
        <v>0</v>
      </c>
      <c r="V265" s="181">
        <v>0.155</v>
      </c>
      <c r="W265" s="210"/>
      <c r="X265" s="17">
        <v>44061</v>
      </c>
      <c r="Y265" s="12" t="s">
        <v>66</v>
      </c>
      <c r="Z265" s="12"/>
      <c r="AA265" s="12"/>
      <c r="AB265" s="3">
        <v>1</v>
      </c>
    </row>
    <row r="266" spans="1:31" s="3" customFormat="1" ht="14.45" customHeight="1" x14ac:dyDescent="0.25">
      <c r="A266" s="141">
        <v>1</v>
      </c>
      <c r="B266" s="99" t="s">
        <v>190</v>
      </c>
      <c r="C266" s="95" t="str">
        <f>VLOOKUP($F266,Admin!$D$11:$F$19,2,FALSE)</f>
        <v>Alkalmazott (ipari) kutatás</v>
      </c>
      <c r="D266" s="138" t="s">
        <v>123</v>
      </c>
      <c r="E266" s="95" t="str">
        <f>VLOOKUP($F266,Admin!$D$11:$F$19,3,FALSE)</f>
        <v>54. Bérköltség - Kutató-fejlesztő munkatárs</v>
      </c>
      <c r="F266" s="139" t="s">
        <v>212</v>
      </c>
      <c r="G266" s="100" t="s">
        <v>179</v>
      </c>
      <c r="H266" s="100" t="s">
        <v>229</v>
      </c>
      <c r="I266" s="139" t="str">
        <f>VLOOKUP($F266,Admin!$D$11:$G$19,4,FALSE)</f>
        <v>K+F munkatárs</v>
      </c>
      <c r="J266" s="100" t="s">
        <v>30</v>
      </c>
      <c r="K266" s="95" t="str">
        <f t="shared" si="250"/>
        <v>2020.12</v>
      </c>
      <c r="L266" s="101" t="s">
        <v>6</v>
      </c>
      <c r="M266" s="96" t="s">
        <v>70</v>
      </c>
      <c r="N266" s="102">
        <v>130000</v>
      </c>
      <c r="O266" s="97">
        <f t="shared" si="251"/>
        <v>20150</v>
      </c>
      <c r="P266" s="104">
        <v>87</v>
      </c>
      <c r="Q266" s="104">
        <v>87</v>
      </c>
      <c r="R266" s="215">
        <f t="shared" si="248"/>
        <v>1</v>
      </c>
      <c r="S266" s="105">
        <f t="shared" si="5"/>
        <v>130000</v>
      </c>
      <c r="T266" s="98">
        <f t="shared" si="252"/>
        <v>20150</v>
      </c>
      <c r="U266" s="70">
        <f t="shared" si="249"/>
        <v>0</v>
      </c>
      <c r="V266" s="181">
        <v>0.155</v>
      </c>
      <c r="W266" s="210"/>
      <c r="X266" s="17">
        <v>44061</v>
      </c>
      <c r="Y266" s="12" t="s">
        <v>66</v>
      </c>
      <c r="Z266" s="12"/>
      <c r="AA266" s="12"/>
      <c r="AB266" s="3">
        <v>1</v>
      </c>
    </row>
    <row r="267" spans="1:31" s="3" customFormat="1" ht="14.45" customHeight="1" x14ac:dyDescent="0.25">
      <c r="A267" s="141">
        <v>1</v>
      </c>
      <c r="B267" s="99" t="s">
        <v>190</v>
      </c>
      <c r="C267" s="95" t="str">
        <f>VLOOKUP($F267,Admin!$D$11:$F$19,2,FALSE)</f>
        <v>Alkalmazott (ipari) kutatás</v>
      </c>
      <c r="D267" s="138" t="s">
        <v>123</v>
      </c>
      <c r="E267" s="95" t="str">
        <f>VLOOKUP($F267,Admin!$D$11:$F$19,3,FALSE)</f>
        <v>54. Bérköltség - Kutató-fejlesztő munkatárs</v>
      </c>
      <c r="F267" s="139" t="s">
        <v>212</v>
      </c>
      <c r="G267" s="100" t="s">
        <v>179</v>
      </c>
      <c r="H267" s="100" t="s">
        <v>229</v>
      </c>
      <c r="I267" s="139" t="str">
        <f>VLOOKUP($F267,Admin!$D$11:$G$19,4,FALSE)</f>
        <v>K+F munkatárs</v>
      </c>
      <c r="J267" s="100" t="s">
        <v>31</v>
      </c>
      <c r="K267" s="95" t="str">
        <f t="shared" si="250"/>
        <v>2021.01</v>
      </c>
      <c r="L267" s="101" t="s">
        <v>6</v>
      </c>
      <c r="M267" s="96" t="s">
        <v>70</v>
      </c>
      <c r="N267" s="102">
        <v>130000</v>
      </c>
      <c r="O267" s="97">
        <f t="shared" si="251"/>
        <v>20150</v>
      </c>
      <c r="P267" s="104">
        <v>87</v>
      </c>
      <c r="Q267" s="104">
        <v>87</v>
      </c>
      <c r="R267" s="215">
        <f t="shared" si="248"/>
        <v>1</v>
      </c>
      <c r="S267" s="105">
        <f t="shared" si="5"/>
        <v>130000</v>
      </c>
      <c r="T267" s="98">
        <f t="shared" si="252"/>
        <v>20150</v>
      </c>
      <c r="U267" s="70">
        <f t="shared" si="249"/>
        <v>0</v>
      </c>
      <c r="V267" s="181">
        <v>0.155</v>
      </c>
      <c r="W267" s="210"/>
      <c r="X267" s="17">
        <v>44061</v>
      </c>
      <c r="Y267" s="12" t="s">
        <v>66</v>
      </c>
      <c r="Z267" s="12"/>
      <c r="AA267" s="12"/>
      <c r="AB267" s="3">
        <v>1</v>
      </c>
    </row>
    <row r="268" spans="1:31" s="3" customFormat="1" ht="14.45" customHeight="1" x14ac:dyDescent="0.25">
      <c r="A268" s="141">
        <v>2</v>
      </c>
      <c r="B268" s="99" t="s">
        <v>190</v>
      </c>
      <c r="C268" s="95" t="str">
        <f>VLOOKUP($F268,Admin!$D$11:$F$19,2,FALSE)</f>
        <v>Kísérleti fejlesztés</v>
      </c>
      <c r="D268" s="138" t="s">
        <v>123</v>
      </c>
      <c r="E268" s="95" t="str">
        <f>VLOOKUP($F268,Admin!$D$11:$F$19,3,FALSE)</f>
        <v>54. Bérköltség - Kutató-fejlesztő munkatárs</v>
      </c>
      <c r="F268" s="139" t="s">
        <v>213</v>
      </c>
      <c r="G268" s="100" t="s">
        <v>179</v>
      </c>
      <c r="H268" s="100" t="s">
        <v>229</v>
      </c>
      <c r="I268" s="139" t="str">
        <f>VLOOKUP($F268,Admin!$D$11:$G$19,4,FALSE)</f>
        <v>K+F munkatárs</v>
      </c>
      <c r="J268" s="100" t="s">
        <v>32</v>
      </c>
      <c r="K268" s="95" t="str">
        <f t="shared" si="250"/>
        <v>2021.02</v>
      </c>
      <c r="L268" s="101" t="s">
        <v>6</v>
      </c>
      <c r="M268" s="96" t="s">
        <v>70</v>
      </c>
      <c r="N268" s="102">
        <v>130000</v>
      </c>
      <c r="O268" s="97">
        <f t="shared" si="251"/>
        <v>20150</v>
      </c>
      <c r="P268" s="104">
        <v>87</v>
      </c>
      <c r="Q268" s="104">
        <v>87</v>
      </c>
      <c r="R268" s="215">
        <f t="shared" si="248"/>
        <v>1</v>
      </c>
      <c r="S268" s="105">
        <f t="shared" si="5"/>
        <v>130000</v>
      </c>
      <c r="T268" s="98">
        <f t="shared" si="252"/>
        <v>20150</v>
      </c>
      <c r="U268" s="70">
        <f t="shared" si="249"/>
        <v>0</v>
      </c>
      <c r="V268" s="181">
        <v>0.155</v>
      </c>
      <c r="W268" s="210"/>
      <c r="X268" s="17">
        <v>44061</v>
      </c>
      <c r="Y268" s="12" t="s">
        <v>66</v>
      </c>
      <c r="Z268" s="12"/>
      <c r="AA268" s="12"/>
      <c r="AB268" s="3">
        <v>1</v>
      </c>
    </row>
    <row r="269" spans="1:31" s="3" customFormat="1" ht="14.45" customHeight="1" x14ac:dyDescent="0.25">
      <c r="A269" s="141">
        <v>3</v>
      </c>
      <c r="B269" s="99" t="s">
        <v>261</v>
      </c>
      <c r="C269" s="95" t="str">
        <f>VLOOKUP($F269,Admin!$D$11:$F$19,2,FALSE)</f>
        <v>Kísérleti fejlesztés</v>
      </c>
      <c r="D269" s="138" t="s">
        <v>123</v>
      </c>
      <c r="E269" s="95" t="str">
        <f>VLOOKUP($F269,Admin!$D$11:$F$19,3,FALSE)</f>
        <v>54. Bérköltség - technikus segédszemélyzet</v>
      </c>
      <c r="F269" s="139" t="s">
        <v>215</v>
      </c>
      <c r="G269" s="100" t="s">
        <v>179</v>
      </c>
      <c r="H269" s="100" t="s">
        <v>229</v>
      </c>
      <c r="I269" s="139" t="str">
        <f>VLOOKUP($F269,Admin!$D$11:$G$19,4,FALSE)</f>
        <v>Technikus</v>
      </c>
      <c r="J269" s="100" t="s">
        <v>53</v>
      </c>
      <c r="K269" s="95" t="str">
        <f t="shared" ref="K269" si="415">J269</f>
        <v>2022.11</v>
      </c>
      <c r="L269" s="101" t="s">
        <v>6</v>
      </c>
      <c r="M269" s="96" t="s">
        <v>70</v>
      </c>
      <c r="N269" s="102">
        <v>200000</v>
      </c>
      <c r="O269" s="97">
        <f t="shared" ref="O269" si="416">ROUND(N269*V269,0)</f>
        <v>26000</v>
      </c>
      <c r="P269" s="104">
        <v>87</v>
      </c>
      <c r="Q269" s="104">
        <v>43</v>
      </c>
      <c r="R269" s="215">
        <f t="shared" ref="R269" si="417">Q269/P269</f>
        <v>0.4942528735632184</v>
      </c>
      <c r="S269" s="105">
        <f t="shared" ref="S269" si="418">ROUND(N269*Q269/P269,0)</f>
        <v>98851</v>
      </c>
      <c r="T269" s="98">
        <f t="shared" ref="T269" si="419">ROUND(S269*V269,0)</f>
        <v>12851</v>
      </c>
      <c r="U269" s="70">
        <f t="shared" ref="U269" si="420">Q269/P269-S269/N269</f>
        <v>-2.1264367816020702E-6</v>
      </c>
      <c r="V269" s="181">
        <v>0.13</v>
      </c>
      <c r="W269" s="209" t="s">
        <v>275</v>
      </c>
      <c r="X269" s="17">
        <v>44860</v>
      </c>
      <c r="Y269" s="12" t="s">
        <v>66</v>
      </c>
      <c r="Z269" s="12"/>
      <c r="AA269" s="12"/>
      <c r="AB269" s="3">
        <v>1</v>
      </c>
    </row>
    <row r="270" spans="1:31" s="3" customFormat="1" ht="14.45" customHeight="1" x14ac:dyDescent="0.25">
      <c r="A270" s="141">
        <v>3</v>
      </c>
      <c r="B270" s="99" t="s">
        <v>261</v>
      </c>
      <c r="C270" s="95" t="str">
        <f>VLOOKUP($F270,Admin!$D$11:$F$19,2,FALSE)</f>
        <v>Kísérleti fejlesztés</v>
      </c>
      <c r="D270" s="138" t="s">
        <v>123</v>
      </c>
      <c r="E270" s="95" t="str">
        <f>VLOOKUP($F270,Admin!$D$11:$F$19,3,FALSE)</f>
        <v>54. Bérköltség - technikus segédszemélyzet</v>
      </c>
      <c r="F270" s="139" t="s">
        <v>215</v>
      </c>
      <c r="G270" s="100" t="s">
        <v>179</v>
      </c>
      <c r="H270" s="100" t="s">
        <v>229</v>
      </c>
      <c r="I270" s="139" t="str">
        <f>VLOOKUP($F270,Admin!$D$11:$G$19,4,FALSE)</f>
        <v>Technikus</v>
      </c>
      <c r="J270" s="100" t="s">
        <v>54</v>
      </c>
      <c r="K270" s="95" t="str">
        <f t="shared" ref="K270:K271" si="421">J270</f>
        <v>2022.12</v>
      </c>
      <c r="L270" s="101" t="s">
        <v>6</v>
      </c>
      <c r="M270" s="96" t="s">
        <v>70</v>
      </c>
      <c r="N270" s="102">
        <v>199999</v>
      </c>
      <c r="O270" s="97">
        <f t="shared" ref="O270:O271" si="422">ROUND(N270*V270,0)</f>
        <v>26000</v>
      </c>
      <c r="P270" s="104">
        <v>87</v>
      </c>
      <c r="Q270" s="104">
        <v>43</v>
      </c>
      <c r="R270" s="215">
        <f t="shared" ref="R270:R271" si="423">Q270/P270</f>
        <v>0.4942528735632184</v>
      </c>
      <c r="S270" s="105">
        <f t="shared" ref="S270:S271" si="424">ROUND(N270*Q270/P270,0)</f>
        <v>98850</v>
      </c>
      <c r="T270" s="98">
        <f t="shared" ref="T270:T271" si="425">ROUND(S270*V270,0)</f>
        <v>12851</v>
      </c>
      <c r="U270" s="70">
        <f t="shared" ref="U270:U271" si="426">Q270/P270-S270/N270</f>
        <v>4.0230086206793914E-7</v>
      </c>
      <c r="V270" s="181">
        <v>0.13</v>
      </c>
      <c r="W270" s="209" t="s">
        <v>275</v>
      </c>
      <c r="X270" s="17">
        <v>44860</v>
      </c>
      <c r="Y270" s="12" t="s">
        <v>66</v>
      </c>
      <c r="Z270" s="12"/>
      <c r="AA270" s="12"/>
      <c r="AB270" s="3">
        <v>1</v>
      </c>
      <c r="AC270" s="204" t="s">
        <v>315</v>
      </c>
      <c r="AD270" s="204" t="s">
        <v>315</v>
      </c>
      <c r="AE270" s="204" t="s">
        <v>315</v>
      </c>
    </row>
    <row r="271" spans="1:31" s="3" customFormat="1" ht="14.45" customHeight="1" x14ac:dyDescent="0.25">
      <c r="A271" s="141">
        <v>3</v>
      </c>
      <c r="B271" s="99" t="s">
        <v>261</v>
      </c>
      <c r="C271" s="95" t="str">
        <f>VLOOKUP($F271,Admin!$D$11:$F$19,2,FALSE)</f>
        <v>Kísérleti fejlesztés</v>
      </c>
      <c r="D271" s="138" t="s">
        <v>123</v>
      </c>
      <c r="E271" s="95" t="str">
        <f>VLOOKUP($F271,Admin!$D$11:$F$19,3,FALSE)</f>
        <v>54. Bérköltség - technikus segédszemélyzet</v>
      </c>
      <c r="F271" s="139" t="s">
        <v>215</v>
      </c>
      <c r="G271" s="100" t="s">
        <v>179</v>
      </c>
      <c r="H271" s="100" t="s">
        <v>229</v>
      </c>
      <c r="I271" s="139" t="str">
        <f>VLOOKUP($F271,Admin!$D$11:$G$19,4,FALSE)</f>
        <v>Technikus</v>
      </c>
      <c r="J271" s="100" t="s">
        <v>257</v>
      </c>
      <c r="K271" s="95" t="str">
        <f t="shared" si="421"/>
        <v>2023.01</v>
      </c>
      <c r="L271" s="101" t="s">
        <v>6</v>
      </c>
      <c r="M271" s="96" t="s">
        <v>70</v>
      </c>
      <c r="N271" s="102">
        <v>200000</v>
      </c>
      <c r="O271" s="97">
        <f t="shared" si="422"/>
        <v>26000</v>
      </c>
      <c r="P271" s="104">
        <v>87</v>
      </c>
      <c r="Q271" s="104">
        <v>43</v>
      </c>
      <c r="R271" s="215">
        <f t="shared" si="423"/>
        <v>0.4942528735632184</v>
      </c>
      <c r="S271" s="105">
        <f t="shared" si="424"/>
        <v>98851</v>
      </c>
      <c r="T271" s="98">
        <f t="shared" si="425"/>
        <v>12851</v>
      </c>
      <c r="U271" s="70">
        <f t="shared" si="426"/>
        <v>-2.1264367816020702E-6</v>
      </c>
      <c r="V271" s="181">
        <v>0.13</v>
      </c>
      <c r="W271" s="209" t="s">
        <v>275</v>
      </c>
      <c r="X271" s="17">
        <v>44860</v>
      </c>
      <c r="Y271" s="12" t="s">
        <v>66</v>
      </c>
      <c r="Z271" s="12"/>
      <c r="AA271" s="12"/>
      <c r="AB271" s="3">
        <v>1</v>
      </c>
      <c r="AC271" s="204" t="s">
        <v>315</v>
      </c>
      <c r="AD271" s="216">
        <v>0</v>
      </c>
      <c r="AE271" s="216">
        <v>0</v>
      </c>
    </row>
    <row r="272" spans="1:31" s="3" customFormat="1" ht="14.45" customHeight="1" x14ac:dyDescent="0.25">
      <c r="A272" s="141"/>
      <c r="B272" s="99" t="s">
        <v>261</v>
      </c>
      <c r="C272" s="95" t="str">
        <f>VLOOKUP($F272,Admin!$D$11:$F$19,2,FALSE)</f>
        <v>Kísérleti fejlesztés</v>
      </c>
      <c r="D272" s="138" t="s">
        <v>123</v>
      </c>
      <c r="E272" s="95" t="str">
        <f>VLOOKUP($F272,Admin!$D$11:$F$19,3,FALSE)</f>
        <v>54. Bérköltség - technikus segédszemélyzet</v>
      </c>
      <c r="F272" s="139" t="s">
        <v>215</v>
      </c>
      <c r="G272" s="100" t="s">
        <v>179</v>
      </c>
      <c r="H272" s="100" t="s">
        <v>229</v>
      </c>
      <c r="I272" s="139" t="str">
        <f>VLOOKUP($F272,Admin!$D$11:$G$19,4,FALSE)</f>
        <v>Technikus</v>
      </c>
      <c r="J272" s="100" t="s">
        <v>295</v>
      </c>
      <c r="K272" s="95" t="str">
        <f t="shared" ref="K272:K274" si="427">J272</f>
        <v>2023.02</v>
      </c>
      <c r="L272" s="101" t="s">
        <v>6</v>
      </c>
      <c r="M272" s="96" t="s">
        <v>70</v>
      </c>
      <c r="N272" s="102">
        <v>200000</v>
      </c>
      <c r="O272" s="97">
        <f t="shared" ref="O272" si="428">ROUND(N272*V272,0)</f>
        <v>26000</v>
      </c>
      <c r="P272" s="104">
        <v>87</v>
      </c>
      <c r="Q272" s="104">
        <v>43</v>
      </c>
      <c r="R272" s="215">
        <f t="shared" ref="R272" si="429">Q272/P272</f>
        <v>0.4942528735632184</v>
      </c>
      <c r="S272" s="105">
        <f t="shared" ref="S272" si="430">ROUND(N272*Q272/P272,0)</f>
        <v>98851</v>
      </c>
      <c r="T272" s="98">
        <f t="shared" ref="T272" si="431">ROUND(S272*V272,0)</f>
        <v>12851</v>
      </c>
      <c r="U272" s="70">
        <f t="shared" ref="U272" si="432">Q272/P272-S272/N272</f>
        <v>-2.1264367816020702E-6</v>
      </c>
      <c r="V272" s="181">
        <v>0.13</v>
      </c>
      <c r="W272" s="209" t="s">
        <v>275</v>
      </c>
      <c r="X272" s="17">
        <v>44938</v>
      </c>
      <c r="Y272" s="12" t="s">
        <v>66</v>
      </c>
      <c r="Z272" s="12"/>
      <c r="AA272" s="12"/>
      <c r="AB272" s="3">
        <v>1</v>
      </c>
      <c r="AC272" s="3" t="s">
        <v>315</v>
      </c>
      <c r="AD272" s="3">
        <v>0</v>
      </c>
      <c r="AE272" s="3">
        <v>0</v>
      </c>
    </row>
    <row r="273" spans="1:31" s="3" customFormat="1" ht="14.45" customHeight="1" x14ac:dyDescent="0.25">
      <c r="A273" s="141"/>
      <c r="B273" s="99" t="s">
        <v>261</v>
      </c>
      <c r="C273" s="95" t="str">
        <f>VLOOKUP($F273,Admin!$D$11:$F$19,2,FALSE)</f>
        <v>Kísérleti fejlesztés</v>
      </c>
      <c r="D273" s="138" t="s">
        <v>123</v>
      </c>
      <c r="E273" s="95" t="str">
        <f>VLOOKUP($F273,Admin!$D$11:$F$19,3,FALSE)</f>
        <v>54. Bérköltség - technikus segédszemélyzet</v>
      </c>
      <c r="F273" s="139" t="s">
        <v>215</v>
      </c>
      <c r="G273" s="100" t="s">
        <v>179</v>
      </c>
      <c r="H273" s="100" t="s">
        <v>229</v>
      </c>
      <c r="I273" s="139" t="str">
        <f>VLOOKUP($F273,Admin!$D$11:$G$19,4,FALSE)</f>
        <v>Technikus</v>
      </c>
      <c r="J273" s="100" t="s">
        <v>296</v>
      </c>
      <c r="K273" s="95" t="str">
        <f t="shared" si="427"/>
        <v>2023.03</v>
      </c>
      <c r="L273" s="101" t="s">
        <v>6</v>
      </c>
      <c r="M273" s="96" t="s">
        <v>70</v>
      </c>
      <c r="N273" s="102">
        <v>200000</v>
      </c>
      <c r="O273" s="97">
        <f t="shared" ref="O273:O274" si="433">ROUND(N273*V273,0)</f>
        <v>26000</v>
      </c>
      <c r="P273" s="104">
        <v>87</v>
      </c>
      <c r="Q273" s="104">
        <v>43</v>
      </c>
      <c r="R273" s="215">
        <f t="shared" ref="R273:R274" si="434">Q273/P273</f>
        <v>0.4942528735632184</v>
      </c>
      <c r="S273" s="105">
        <f t="shared" ref="S273:S274" si="435">ROUND(N273*Q273/P273,0)</f>
        <v>98851</v>
      </c>
      <c r="T273" s="98">
        <f t="shared" ref="T273:T274" si="436">ROUND(S273*V273,0)</f>
        <v>12851</v>
      </c>
      <c r="U273" s="70">
        <f t="shared" ref="U273:U274" si="437">Q273/P273-S273/N273</f>
        <v>-2.1264367816020702E-6</v>
      </c>
      <c r="V273" s="181">
        <v>0.13</v>
      </c>
      <c r="W273" s="209" t="s">
        <v>275</v>
      </c>
      <c r="X273" s="17">
        <v>44938</v>
      </c>
      <c r="Y273" s="12" t="s">
        <v>66</v>
      </c>
      <c r="Z273" s="12"/>
      <c r="AA273" s="12"/>
      <c r="AB273" s="3">
        <v>1</v>
      </c>
      <c r="AC273" s="3" t="s">
        <v>315</v>
      </c>
      <c r="AD273" s="3">
        <v>0</v>
      </c>
      <c r="AE273" s="3">
        <v>0</v>
      </c>
    </row>
    <row r="274" spans="1:31" s="3" customFormat="1" ht="14.45" customHeight="1" x14ac:dyDescent="0.25">
      <c r="A274" s="141"/>
      <c r="B274" s="99" t="s">
        <v>261</v>
      </c>
      <c r="C274" s="95" t="str">
        <f>VLOOKUP($F274,Admin!$D$11:$F$19,2,FALSE)</f>
        <v>Kísérleti fejlesztés</v>
      </c>
      <c r="D274" s="138" t="s">
        <v>123</v>
      </c>
      <c r="E274" s="95" t="str">
        <f>VLOOKUP($F274,Admin!$D$11:$F$19,3,FALSE)</f>
        <v>54. Bérköltség - technikus segédszemélyzet</v>
      </c>
      <c r="F274" s="139" t="s">
        <v>215</v>
      </c>
      <c r="G274" s="100" t="s">
        <v>179</v>
      </c>
      <c r="H274" s="100" t="s">
        <v>229</v>
      </c>
      <c r="I274" s="139" t="str">
        <f>VLOOKUP($F274,Admin!$D$11:$G$19,4,FALSE)</f>
        <v>Technikus</v>
      </c>
      <c r="J274" s="100" t="s">
        <v>297</v>
      </c>
      <c r="K274" s="95" t="str">
        <f t="shared" si="427"/>
        <v>2023.04</v>
      </c>
      <c r="L274" s="101" t="s">
        <v>7</v>
      </c>
      <c r="M274" s="96" t="s">
        <v>70</v>
      </c>
      <c r="N274" s="102">
        <v>200000</v>
      </c>
      <c r="O274" s="97">
        <f t="shared" si="433"/>
        <v>26000</v>
      </c>
      <c r="P274" s="104">
        <v>87</v>
      </c>
      <c r="Q274" s="104">
        <v>43</v>
      </c>
      <c r="R274" s="215">
        <f t="shared" si="434"/>
        <v>0.4942528735632184</v>
      </c>
      <c r="S274" s="105">
        <f t="shared" si="435"/>
        <v>98851</v>
      </c>
      <c r="T274" s="98">
        <f t="shared" si="436"/>
        <v>12851</v>
      </c>
      <c r="U274" s="70">
        <f t="shared" si="437"/>
        <v>-2.1264367816020702E-6</v>
      </c>
      <c r="V274" s="181">
        <v>0.13</v>
      </c>
      <c r="W274" s="209" t="s">
        <v>275</v>
      </c>
      <c r="X274" s="17">
        <v>44938</v>
      </c>
      <c r="Y274" s="12" t="s">
        <v>66</v>
      </c>
      <c r="Z274" s="12"/>
      <c r="AA274" s="12"/>
    </row>
    <row r="275" spans="1:31" s="3" customFormat="1" ht="14.45" customHeight="1" x14ac:dyDescent="0.25">
      <c r="A275" s="141">
        <v>3</v>
      </c>
      <c r="B275" s="99" t="s">
        <v>258</v>
      </c>
      <c r="C275" s="95" t="str">
        <f>VLOOKUP($F275,Admin!$D$11:$F$19,2,FALSE)</f>
        <v>Kísérleti fejlesztés</v>
      </c>
      <c r="D275" s="138" t="s">
        <v>123</v>
      </c>
      <c r="E275" s="95" t="str">
        <f>VLOOKUP($F275,Admin!$D$11:$F$19,3,FALSE)</f>
        <v>54. Bérköltség - Kutató-fejlesztő munkatárs</v>
      </c>
      <c r="F275" s="139" t="s">
        <v>213</v>
      </c>
      <c r="G275" s="100" t="s">
        <v>179</v>
      </c>
      <c r="H275" s="100" t="s">
        <v>228</v>
      </c>
      <c r="I275" s="139" t="str">
        <f>VLOOKUP($F275,Admin!$D$11:$G$19,4,FALSE)</f>
        <v>K+F munkatárs</v>
      </c>
      <c r="J275" s="100" t="s">
        <v>53</v>
      </c>
      <c r="K275" s="95" t="str">
        <f t="shared" si="250"/>
        <v>2022.11</v>
      </c>
      <c r="L275" s="101" t="s">
        <v>6</v>
      </c>
      <c r="M275" s="96" t="s">
        <v>70</v>
      </c>
      <c r="N275" s="102">
        <v>250000</v>
      </c>
      <c r="O275" s="97">
        <f t="shared" si="251"/>
        <v>32500</v>
      </c>
      <c r="P275" s="104">
        <v>130</v>
      </c>
      <c r="Q275" s="104">
        <v>130</v>
      </c>
      <c r="R275" s="215">
        <f t="shared" si="248"/>
        <v>1</v>
      </c>
      <c r="S275" s="105">
        <f t="shared" si="5"/>
        <v>250000</v>
      </c>
      <c r="T275" s="98">
        <f t="shared" si="252"/>
        <v>32500</v>
      </c>
      <c r="U275" s="70">
        <f t="shared" si="249"/>
        <v>0</v>
      </c>
      <c r="V275" s="181">
        <v>0.13</v>
      </c>
      <c r="W275" s="209" t="s">
        <v>276</v>
      </c>
      <c r="X275" s="17">
        <v>44849</v>
      </c>
      <c r="Y275" s="12" t="s">
        <v>66</v>
      </c>
      <c r="Z275" s="12"/>
      <c r="AA275" s="12"/>
      <c r="AB275" s="3">
        <v>1</v>
      </c>
    </row>
    <row r="276" spans="1:31" s="3" customFormat="1" ht="14.45" customHeight="1" x14ac:dyDescent="0.25">
      <c r="A276" s="141">
        <v>3</v>
      </c>
      <c r="B276" s="99" t="s">
        <v>258</v>
      </c>
      <c r="C276" s="95" t="str">
        <f>VLOOKUP($F276,Admin!$D$11:$F$19,2,FALSE)</f>
        <v>Kísérleti fejlesztés</v>
      </c>
      <c r="D276" s="138" t="s">
        <v>123</v>
      </c>
      <c r="E276" s="95" t="str">
        <f>VLOOKUP($F276,Admin!$D$11:$F$19,3,FALSE)</f>
        <v>54. Bérköltség - Kutató-fejlesztő munkatárs</v>
      </c>
      <c r="F276" s="139" t="s">
        <v>213</v>
      </c>
      <c r="G276" s="100" t="s">
        <v>179</v>
      </c>
      <c r="H276" s="100" t="s">
        <v>228</v>
      </c>
      <c r="I276" s="139" t="str">
        <f>VLOOKUP($F276,Admin!$D$11:$G$19,4,FALSE)</f>
        <v>K+F munkatárs</v>
      </c>
      <c r="J276" s="100" t="s">
        <v>54</v>
      </c>
      <c r="K276" s="95" t="str">
        <f t="shared" si="250"/>
        <v>2022.12</v>
      </c>
      <c r="L276" s="101" t="s">
        <v>6</v>
      </c>
      <c r="M276" s="96" t="s">
        <v>70</v>
      </c>
      <c r="N276" s="102">
        <v>250000</v>
      </c>
      <c r="O276" s="97">
        <f t="shared" si="251"/>
        <v>32500</v>
      </c>
      <c r="P276" s="104">
        <v>130</v>
      </c>
      <c r="Q276" s="104">
        <v>130</v>
      </c>
      <c r="R276" s="215">
        <f t="shared" si="248"/>
        <v>1</v>
      </c>
      <c r="S276" s="105">
        <f t="shared" si="5"/>
        <v>250000</v>
      </c>
      <c r="T276" s="98">
        <f t="shared" si="252"/>
        <v>32500</v>
      </c>
      <c r="U276" s="70">
        <f t="shared" si="249"/>
        <v>0</v>
      </c>
      <c r="V276" s="181">
        <v>0.13</v>
      </c>
      <c r="W276" s="209" t="s">
        <v>276</v>
      </c>
      <c r="X276" s="17">
        <v>44849</v>
      </c>
      <c r="Y276" s="12" t="s">
        <v>66</v>
      </c>
      <c r="Z276" s="12"/>
      <c r="AA276" s="12"/>
      <c r="AB276" s="3">
        <v>1</v>
      </c>
      <c r="AC276" s="204" t="s">
        <v>315</v>
      </c>
      <c r="AD276" s="204" t="s">
        <v>315</v>
      </c>
      <c r="AE276" s="204" t="s">
        <v>315</v>
      </c>
    </row>
    <row r="277" spans="1:31" s="3" customFormat="1" ht="14.45" customHeight="1" x14ac:dyDescent="0.25">
      <c r="A277" s="141">
        <v>3</v>
      </c>
      <c r="B277" s="99" t="s">
        <v>258</v>
      </c>
      <c r="C277" s="95" t="str">
        <f>VLOOKUP($F277,Admin!$D$11:$F$19,2,FALSE)</f>
        <v>Kísérleti fejlesztés</v>
      </c>
      <c r="D277" s="138" t="s">
        <v>123</v>
      </c>
      <c r="E277" s="95" t="str">
        <f>VLOOKUP($F277,Admin!$D$11:$F$19,3,FALSE)</f>
        <v>54. Bérköltség - Kutató-fejlesztő munkatárs</v>
      </c>
      <c r="F277" s="139" t="s">
        <v>213</v>
      </c>
      <c r="G277" s="100" t="s">
        <v>179</v>
      </c>
      <c r="H277" s="100" t="s">
        <v>228</v>
      </c>
      <c r="I277" s="139" t="str">
        <f>VLOOKUP($F277,Admin!$D$11:$G$19,4,FALSE)</f>
        <v>K+F munkatárs</v>
      </c>
      <c r="J277" s="100" t="s">
        <v>257</v>
      </c>
      <c r="K277" s="95" t="str">
        <f t="shared" ref="K277" si="438">J277</f>
        <v>2023.01</v>
      </c>
      <c r="L277" s="101" t="s">
        <v>6</v>
      </c>
      <c r="M277" s="96" t="s">
        <v>70</v>
      </c>
      <c r="N277" s="102">
        <v>250000</v>
      </c>
      <c r="O277" s="97">
        <f t="shared" ref="O277" si="439">ROUND(N277*V277,0)</f>
        <v>32500</v>
      </c>
      <c r="P277" s="104">
        <v>130</v>
      </c>
      <c r="Q277" s="104">
        <v>130</v>
      </c>
      <c r="R277" s="215">
        <f t="shared" ref="R277" si="440">Q277/P277</f>
        <v>1</v>
      </c>
      <c r="S277" s="105">
        <f t="shared" ref="S277" si="441">ROUND(N277*Q277/P277,0)</f>
        <v>250000</v>
      </c>
      <c r="T277" s="98">
        <f t="shared" ref="T277" si="442">ROUND(S277*V277,0)</f>
        <v>32500</v>
      </c>
      <c r="U277" s="70">
        <f t="shared" ref="U277" si="443">Q277/P277-S277/N277</f>
        <v>0</v>
      </c>
      <c r="V277" s="181">
        <v>0.13</v>
      </c>
      <c r="W277" s="209" t="s">
        <v>276</v>
      </c>
      <c r="X277" s="17">
        <v>44849</v>
      </c>
      <c r="Y277" s="12" t="s">
        <v>66</v>
      </c>
      <c r="Z277" s="12"/>
      <c r="AA277" s="12"/>
      <c r="AB277" s="3">
        <v>1</v>
      </c>
      <c r="AC277" s="204" t="s">
        <v>315</v>
      </c>
      <c r="AD277" s="216">
        <v>0</v>
      </c>
      <c r="AE277" s="216">
        <v>0</v>
      </c>
    </row>
    <row r="278" spans="1:31" s="3" customFormat="1" ht="14.45" customHeight="1" x14ac:dyDescent="0.25">
      <c r="A278" s="141"/>
      <c r="B278" s="99" t="s">
        <v>258</v>
      </c>
      <c r="C278" s="95" t="str">
        <f>VLOOKUP($F278,Admin!$D$11:$F$19,2,FALSE)</f>
        <v>Kísérleti fejlesztés</v>
      </c>
      <c r="D278" s="138" t="s">
        <v>123</v>
      </c>
      <c r="E278" s="95" t="str">
        <f>VLOOKUP($F278,Admin!$D$11:$F$19,3,FALSE)</f>
        <v>54. Bérköltség - Kutató-fejlesztő munkatárs</v>
      </c>
      <c r="F278" s="139" t="s">
        <v>213</v>
      </c>
      <c r="G278" s="100" t="s">
        <v>179</v>
      </c>
      <c r="H278" s="100" t="s">
        <v>228</v>
      </c>
      <c r="I278" s="139" t="str">
        <f>VLOOKUP($F278,Admin!$D$11:$G$19,4,FALSE)</f>
        <v>K+F munkatárs</v>
      </c>
      <c r="J278" s="100" t="s">
        <v>295</v>
      </c>
      <c r="K278" s="95" t="str">
        <f t="shared" ref="K278:K280" si="444">J278</f>
        <v>2023.02</v>
      </c>
      <c r="L278" s="101" t="s">
        <v>6</v>
      </c>
      <c r="M278" s="96" t="s">
        <v>70</v>
      </c>
      <c r="N278" s="102">
        <v>250000</v>
      </c>
      <c r="O278" s="97">
        <f t="shared" ref="O278" si="445">ROUND(N278*V278,0)</f>
        <v>32500</v>
      </c>
      <c r="P278" s="104">
        <v>130</v>
      </c>
      <c r="Q278" s="104">
        <v>130</v>
      </c>
      <c r="R278" s="215">
        <f t="shared" ref="R278" si="446">Q278/P278</f>
        <v>1</v>
      </c>
      <c r="S278" s="105">
        <f t="shared" ref="S278" si="447">ROUND(N278*Q278/P278,0)</f>
        <v>250000</v>
      </c>
      <c r="T278" s="98">
        <f t="shared" ref="T278" si="448">ROUND(S278*V278,0)</f>
        <v>32500</v>
      </c>
      <c r="U278" s="70">
        <f t="shared" ref="U278" si="449">Q278/P278-S278/N278</f>
        <v>0</v>
      </c>
      <c r="V278" s="181">
        <v>0.13</v>
      </c>
      <c r="W278" s="209" t="s">
        <v>276</v>
      </c>
      <c r="X278" s="17">
        <v>44938</v>
      </c>
      <c r="Y278" s="12" t="s">
        <v>66</v>
      </c>
      <c r="Z278" s="12"/>
      <c r="AA278" s="12"/>
      <c r="AB278" s="3">
        <v>1</v>
      </c>
      <c r="AC278" s="3" t="s">
        <v>315</v>
      </c>
      <c r="AD278" s="3">
        <v>0</v>
      </c>
      <c r="AE278" s="3">
        <v>0</v>
      </c>
    </row>
    <row r="279" spans="1:31" s="3" customFormat="1" ht="14.45" customHeight="1" x14ac:dyDescent="0.25">
      <c r="A279" s="141"/>
      <c r="B279" s="99" t="s">
        <v>258</v>
      </c>
      <c r="C279" s="95" t="str">
        <f>VLOOKUP($F279,Admin!$D$11:$F$19,2,FALSE)</f>
        <v>Kísérleti fejlesztés</v>
      </c>
      <c r="D279" s="138" t="s">
        <v>123</v>
      </c>
      <c r="E279" s="95" t="str">
        <f>VLOOKUP($F279,Admin!$D$11:$F$19,3,FALSE)</f>
        <v>54. Bérköltség - Kutató-fejlesztő munkatárs</v>
      </c>
      <c r="F279" s="139" t="s">
        <v>213</v>
      </c>
      <c r="G279" s="100" t="s">
        <v>179</v>
      </c>
      <c r="H279" s="100" t="s">
        <v>228</v>
      </c>
      <c r="I279" s="139" t="str">
        <f>VLOOKUP($F279,Admin!$D$11:$G$19,4,FALSE)</f>
        <v>K+F munkatárs</v>
      </c>
      <c r="J279" s="100" t="s">
        <v>296</v>
      </c>
      <c r="K279" s="95" t="str">
        <f t="shared" si="444"/>
        <v>2023.03</v>
      </c>
      <c r="L279" s="101" t="s">
        <v>6</v>
      </c>
      <c r="M279" s="96" t="s">
        <v>70</v>
      </c>
      <c r="N279" s="102">
        <v>250000</v>
      </c>
      <c r="O279" s="97">
        <f t="shared" ref="O279:O280" si="450">ROUND(N279*V279,0)</f>
        <v>32500</v>
      </c>
      <c r="P279" s="104">
        <v>130</v>
      </c>
      <c r="Q279" s="104">
        <v>130</v>
      </c>
      <c r="R279" s="215">
        <f t="shared" ref="R279:R280" si="451">Q279/P279</f>
        <v>1</v>
      </c>
      <c r="S279" s="105">
        <f t="shared" ref="S279:S280" si="452">ROUND(N279*Q279/P279,0)</f>
        <v>250000</v>
      </c>
      <c r="T279" s="98">
        <f t="shared" ref="T279:T280" si="453">ROUND(S279*V279,0)</f>
        <v>32500</v>
      </c>
      <c r="U279" s="70">
        <f t="shared" ref="U279:U280" si="454">Q279/P279-S279/N279</f>
        <v>0</v>
      </c>
      <c r="V279" s="181">
        <v>0.13</v>
      </c>
      <c r="W279" s="209" t="s">
        <v>276</v>
      </c>
      <c r="X279" s="17">
        <v>44938</v>
      </c>
      <c r="Y279" s="12" t="s">
        <v>66</v>
      </c>
      <c r="Z279" s="12"/>
      <c r="AA279" s="12"/>
      <c r="AB279" s="3">
        <v>1</v>
      </c>
      <c r="AC279" s="3" t="s">
        <v>315</v>
      </c>
      <c r="AD279" s="3">
        <v>0</v>
      </c>
      <c r="AE279" s="3">
        <v>0</v>
      </c>
    </row>
    <row r="280" spans="1:31" s="3" customFormat="1" ht="14.45" customHeight="1" x14ac:dyDescent="0.25">
      <c r="A280" s="141"/>
      <c r="B280" s="99" t="s">
        <v>258</v>
      </c>
      <c r="C280" s="95" t="str">
        <f>VLOOKUP($F280,Admin!$D$11:$F$19,2,FALSE)</f>
        <v>Kísérleti fejlesztés</v>
      </c>
      <c r="D280" s="138" t="s">
        <v>123</v>
      </c>
      <c r="E280" s="95" t="str">
        <f>VLOOKUP($F280,Admin!$D$11:$F$19,3,FALSE)</f>
        <v>54. Bérköltség - Kutató-fejlesztő munkatárs</v>
      </c>
      <c r="F280" s="139" t="s">
        <v>213</v>
      </c>
      <c r="G280" s="100" t="s">
        <v>179</v>
      </c>
      <c r="H280" s="100" t="s">
        <v>228</v>
      </c>
      <c r="I280" s="139" t="str">
        <f>VLOOKUP($F280,Admin!$D$11:$G$19,4,FALSE)</f>
        <v>K+F munkatárs</v>
      </c>
      <c r="J280" s="100" t="s">
        <v>297</v>
      </c>
      <c r="K280" s="95" t="str">
        <f t="shared" si="444"/>
        <v>2023.04</v>
      </c>
      <c r="L280" s="101" t="s">
        <v>7</v>
      </c>
      <c r="M280" s="96" t="s">
        <v>70</v>
      </c>
      <c r="N280" s="102">
        <v>250000</v>
      </c>
      <c r="O280" s="97">
        <f t="shared" si="450"/>
        <v>32500</v>
      </c>
      <c r="P280" s="104">
        <v>130</v>
      </c>
      <c r="Q280" s="104">
        <v>130</v>
      </c>
      <c r="R280" s="215">
        <f t="shared" si="451"/>
        <v>1</v>
      </c>
      <c r="S280" s="105">
        <f t="shared" si="452"/>
        <v>250000</v>
      </c>
      <c r="T280" s="98">
        <f t="shared" si="453"/>
        <v>32500</v>
      </c>
      <c r="U280" s="70">
        <f t="shared" si="454"/>
        <v>0</v>
      </c>
      <c r="V280" s="181">
        <v>0.13</v>
      </c>
      <c r="W280" s="209" t="s">
        <v>276</v>
      </c>
      <c r="X280" s="17">
        <v>44938</v>
      </c>
      <c r="Y280" s="12" t="s">
        <v>66</v>
      </c>
      <c r="Z280" s="12"/>
      <c r="AA280" s="12"/>
    </row>
    <row r="281" spans="1:31" s="3" customFormat="1" ht="14.45" customHeight="1" x14ac:dyDescent="0.25">
      <c r="A281" s="141">
        <v>3</v>
      </c>
      <c r="B281" s="99" t="s">
        <v>241</v>
      </c>
      <c r="C281" s="95" t="str">
        <f>VLOOKUP($F281,Admin!$D$11:$F$19,2,FALSE)</f>
        <v>Kísérleti fejlesztés</v>
      </c>
      <c r="D281" s="138" t="s">
        <v>123</v>
      </c>
      <c r="E281" s="95" t="str">
        <f>VLOOKUP($F281,Admin!$D$11:$F$19,3,FALSE)</f>
        <v>54. Bérköltség - Kutató-fejlesztő munkatárs</v>
      </c>
      <c r="F281" s="139" t="s">
        <v>213</v>
      </c>
      <c r="G281" s="100" t="s">
        <v>180</v>
      </c>
      <c r="H281" s="100" t="s">
        <v>142</v>
      </c>
      <c r="I281" s="139" t="str">
        <f>VLOOKUP($F281,Admin!$D$11:$G$19,4,FALSE)</f>
        <v>K+F munkatárs</v>
      </c>
      <c r="J281" s="100" t="s">
        <v>46</v>
      </c>
      <c r="K281" s="95" t="str">
        <f t="shared" si="250"/>
        <v>2022.04</v>
      </c>
      <c r="L281" s="101" t="s">
        <v>6</v>
      </c>
      <c r="M281" s="96" t="s">
        <v>70</v>
      </c>
      <c r="N281" s="102">
        <v>802999</v>
      </c>
      <c r="O281" s="97">
        <f t="shared" ref="O281" si="455">ROUND(N281*V281,0)</f>
        <v>104390</v>
      </c>
      <c r="P281" s="104">
        <v>174</v>
      </c>
      <c r="Q281" s="104">
        <v>43</v>
      </c>
      <c r="R281" s="215">
        <f t="shared" ref="R281" si="456">Q281/P281</f>
        <v>0.2471264367816092</v>
      </c>
      <c r="S281" s="105">
        <f t="shared" ref="S281" si="457">ROUND(N281*Q281/P281,0)</f>
        <v>198442</v>
      </c>
      <c r="T281" s="98">
        <f t="shared" ref="T281" si="458">ROUND(S281*V281,0)</f>
        <v>25797</v>
      </c>
      <c r="U281" s="70">
        <f t="shared" ref="U281" si="459">Q281/P281-S281/N281</f>
        <v>3.5069681955657295E-7</v>
      </c>
      <c r="V281" s="181">
        <v>0.13</v>
      </c>
      <c r="W281" s="210"/>
      <c r="X281" s="17">
        <v>44649</v>
      </c>
      <c r="Y281" s="12" t="s">
        <v>66</v>
      </c>
      <c r="Z281" s="12"/>
      <c r="AA281" s="12"/>
      <c r="AB281" s="3">
        <v>1</v>
      </c>
    </row>
    <row r="282" spans="1:31" s="3" customFormat="1" ht="14.45" customHeight="1" x14ac:dyDescent="0.25">
      <c r="A282" s="141">
        <v>3</v>
      </c>
      <c r="B282" s="99" t="s">
        <v>241</v>
      </c>
      <c r="C282" s="95" t="str">
        <f>VLOOKUP($F282,Admin!$D$11:$F$19,2,FALSE)</f>
        <v>Kísérleti fejlesztés</v>
      </c>
      <c r="D282" s="138" t="s">
        <v>123</v>
      </c>
      <c r="E282" s="95" t="str">
        <f>VLOOKUP($F282,Admin!$D$11:$F$19,3,FALSE)</f>
        <v>54. Bérköltség - Kutató-fejlesztő munkatárs</v>
      </c>
      <c r="F282" s="139" t="s">
        <v>213</v>
      </c>
      <c r="G282" s="100" t="s">
        <v>180</v>
      </c>
      <c r="H282" s="100" t="s">
        <v>142</v>
      </c>
      <c r="I282" s="139" t="str">
        <f>VLOOKUP($F282,Admin!$D$11:$G$19,4,FALSE)</f>
        <v>K+F munkatárs</v>
      </c>
      <c r="J282" s="100" t="s">
        <v>47</v>
      </c>
      <c r="K282" s="95" t="str">
        <f t="shared" ref="K282:K283" si="460">J282</f>
        <v>2022.05</v>
      </c>
      <c r="L282" s="101" t="s">
        <v>6</v>
      </c>
      <c r="M282" s="96" t="s">
        <v>70</v>
      </c>
      <c r="N282" s="102">
        <v>803000</v>
      </c>
      <c r="O282" s="97">
        <f t="shared" ref="O282:O283" si="461">ROUND(N282*V282,0)</f>
        <v>104390</v>
      </c>
      <c r="P282" s="104">
        <v>174</v>
      </c>
      <c r="Q282" s="104">
        <v>43</v>
      </c>
      <c r="R282" s="215">
        <f t="shared" ref="R282:R283" si="462">Q282/P282</f>
        <v>0.2471264367816092</v>
      </c>
      <c r="S282" s="105">
        <f t="shared" ref="S282:S283" si="463">ROUND(N282*Q282/P282,0)</f>
        <v>198443</v>
      </c>
      <c r="T282" s="98">
        <f t="shared" ref="T282:T283" si="464">ROUND(S282*V282,0)</f>
        <v>25798</v>
      </c>
      <c r="U282" s="70">
        <f t="shared" ref="U282:U283" si="465">Q282/P282-S282/N282</f>
        <v>-5.8687966103532219E-7</v>
      </c>
      <c r="V282" s="181">
        <v>0.13</v>
      </c>
      <c r="W282" s="210"/>
      <c r="X282" s="17">
        <v>44649</v>
      </c>
      <c r="Y282" s="12" t="s">
        <v>66</v>
      </c>
      <c r="Z282" s="12"/>
      <c r="AA282" s="12"/>
      <c r="AB282" s="3">
        <v>1</v>
      </c>
    </row>
    <row r="283" spans="1:31" s="3" customFormat="1" ht="14.45" customHeight="1" x14ac:dyDescent="0.25">
      <c r="A283" s="141">
        <v>3</v>
      </c>
      <c r="B283" s="99" t="s">
        <v>241</v>
      </c>
      <c r="C283" s="95" t="str">
        <f>VLOOKUP($F283,Admin!$D$11:$F$19,2,FALSE)</f>
        <v>Kísérleti fejlesztés</v>
      </c>
      <c r="D283" s="138" t="s">
        <v>123</v>
      </c>
      <c r="E283" s="95" t="str">
        <f>VLOOKUP($F283,Admin!$D$11:$F$19,3,FALSE)</f>
        <v>54. Bérköltség - Kutató-fejlesztő munkatárs</v>
      </c>
      <c r="F283" s="139" t="s">
        <v>213</v>
      </c>
      <c r="G283" s="100" t="s">
        <v>180</v>
      </c>
      <c r="H283" s="100" t="s">
        <v>142</v>
      </c>
      <c r="I283" s="139" t="str">
        <f>VLOOKUP($F283,Admin!$D$11:$G$19,4,FALSE)</f>
        <v>K+F munkatárs</v>
      </c>
      <c r="J283" s="100" t="s">
        <v>48</v>
      </c>
      <c r="K283" s="95" t="str">
        <f t="shared" si="460"/>
        <v>2022.06</v>
      </c>
      <c r="L283" s="101" t="s">
        <v>6</v>
      </c>
      <c r="M283" s="96" t="s">
        <v>70</v>
      </c>
      <c r="N283" s="102">
        <v>803000</v>
      </c>
      <c r="O283" s="97">
        <f t="shared" si="461"/>
        <v>104390</v>
      </c>
      <c r="P283" s="104">
        <v>174</v>
      </c>
      <c r="Q283" s="104">
        <v>43</v>
      </c>
      <c r="R283" s="215">
        <f t="shared" si="462"/>
        <v>0.2471264367816092</v>
      </c>
      <c r="S283" s="105">
        <f t="shared" si="463"/>
        <v>198443</v>
      </c>
      <c r="T283" s="98">
        <f t="shared" si="464"/>
        <v>25798</v>
      </c>
      <c r="U283" s="70">
        <f t="shared" si="465"/>
        <v>-5.8687966103532219E-7</v>
      </c>
      <c r="V283" s="181">
        <v>0.13</v>
      </c>
      <c r="W283" s="210"/>
      <c r="X283" s="17">
        <v>44715</v>
      </c>
      <c r="Y283" s="12" t="s">
        <v>66</v>
      </c>
      <c r="Z283" s="12"/>
      <c r="AA283" s="12"/>
      <c r="AB283" s="3">
        <v>1</v>
      </c>
    </row>
    <row r="284" spans="1:31" s="3" customFormat="1" ht="14.45" customHeight="1" x14ac:dyDescent="0.25">
      <c r="A284" s="141">
        <v>3</v>
      </c>
      <c r="B284" s="99" t="s">
        <v>241</v>
      </c>
      <c r="C284" s="95" t="str">
        <f>VLOOKUP($F284,Admin!$D$11:$F$19,2,FALSE)</f>
        <v>Kísérleti fejlesztés</v>
      </c>
      <c r="D284" s="138" t="s">
        <v>123</v>
      </c>
      <c r="E284" s="95" t="str">
        <f>VLOOKUP($F284,Admin!$D$11:$F$19,3,FALSE)</f>
        <v>54. Bérköltség - Kutató-fejlesztő munkatárs</v>
      </c>
      <c r="F284" s="139" t="s">
        <v>213</v>
      </c>
      <c r="G284" s="100" t="s">
        <v>180</v>
      </c>
      <c r="H284" s="100" t="s">
        <v>142</v>
      </c>
      <c r="I284" s="139" t="str">
        <f>VLOOKUP($F284,Admin!$D$11:$G$19,4,FALSE)</f>
        <v>K+F munkatárs</v>
      </c>
      <c r="J284" s="100" t="s">
        <v>49</v>
      </c>
      <c r="K284" s="95" t="str">
        <f t="shared" ref="K284:K285" si="466">J284</f>
        <v>2022.07</v>
      </c>
      <c r="L284" s="101" t="s">
        <v>6</v>
      </c>
      <c r="M284" s="96" t="s">
        <v>70</v>
      </c>
      <c r="N284" s="102">
        <v>745642</v>
      </c>
      <c r="O284" s="97">
        <f t="shared" ref="O284" si="467">ROUND(N284*V284,0)</f>
        <v>96933</v>
      </c>
      <c r="P284" s="104">
        <v>174</v>
      </c>
      <c r="Q284" s="104">
        <v>43</v>
      </c>
      <c r="R284" s="215">
        <f t="shared" ref="R284" si="468">Q284/P284</f>
        <v>0.2471264367816092</v>
      </c>
      <c r="S284" s="105">
        <f t="shared" ref="S284" si="469">ROUND(N284*Q284/P284,0)</f>
        <v>184268</v>
      </c>
      <c r="T284" s="98">
        <f t="shared" ref="T284" si="470">ROUND(S284*V284,0)</f>
        <v>23955</v>
      </c>
      <c r="U284" s="70">
        <f t="shared" ref="U284" si="471">Q284/P284-S284/N284</f>
        <v>-2.0039816339689764E-7</v>
      </c>
      <c r="V284" s="181">
        <v>0.13</v>
      </c>
      <c r="W284" s="210"/>
      <c r="X284" s="17">
        <v>44734</v>
      </c>
      <c r="Y284" s="12" t="s">
        <v>66</v>
      </c>
      <c r="Z284" s="12"/>
      <c r="AA284" s="12"/>
      <c r="AB284" s="3">
        <v>1</v>
      </c>
    </row>
    <row r="285" spans="1:31" s="3" customFormat="1" ht="14.45" customHeight="1" x14ac:dyDescent="0.25">
      <c r="A285" s="141">
        <v>3</v>
      </c>
      <c r="B285" s="99" t="s">
        <v>241</v>
      </c>
      <c r="C285" s="95" t="str">
        <f>VLOOKUP($F285,Admin!$D$11:$F$19,2,FALSE)</f>
        <v>Kísérleti fejlesztés</v>
      </c>
      <c r="D285" s="138" t="s">
        <v>123</v>
      </c>
      <c r="E285" s="95" t="str">
        <f>VLOOKUP($F285,Admin!$D$11:$F$19,3,FALSE)</f>
        <v>54. Bérköltség - Kutató-fejlesztő munkatárs</v>
      </c>
      <c r="F285" s="139" t="s">
        <v>213</v>
      </c>
      <c r="G285" s="100" t="s">
        <v>180</v>
      </c>
      <c r="H285" s="100" t="s">
        <v>142</v>
      </c>
      <c r="I285" s="139" t="str">
        <f>VLOOKUP($F285,Admin!$D$11:$G$19,4,FALSE)</f>
        <v>K+F munkatárs</v>
      </c>
      <c r="J285" s="100" t="s">
        <v>50</v>
      </c>
      <c r="K285" s="95" t="str">
        <f t="shared" si="466"/>
        <v>2022.08</v>
      </c>
      <c r="L285" s="101" t="s">
        <v>6</v>
      </c>
      <c r="M285" s="96" t="s">
        <v>70</v>
      </c>
      <c r="N285" s="102">
        <v>628435</v>
      </c>
      <c r="O285" s="97">
        <f t="shared" ref="O285:O289" si="472">ROUND(N285*V285,0)</f>
        <v>81697</v>
      </c>
      <c r="P285" s="104">
        <v>174</v>
      </c>
      <c r="Q285" s="104">
        <v>43</v>
      </c>
      <c r="R285" s="215">
        <f t="shared" ref="R285:R289" si="473">Q285/P285</f>
        <v>0.2471264367816092</v>
      </c>
      <c r="S285" s="105">
        <f t="shared" ref="S285:S289" si="474">ROUND(N285*Q285/P285,0)</f>
        <v>155303</v>
      </c>
      <c r="T285" s="98">
        <f t="shared" ref="T285:T289" si="475">ROUND(S285*V285,0)</f>
        <v>20189</v>
      </c>
      <c r="U285" s="70">
        <f t="shared" ref="U285:U289" si="476">Q285/P285-S285/N285</f>
        <v>-1.5546739029481671E-7</v>
      </c>
      <c r="V285" s="181">
        <v>0.13</v>
      </c>
      <c r="W285" s="210"/>
      <c r="X285" s="17">
        <v>44734</v>
      </c>
      <c r="Y285" s="12" t="s">
        <v>66</v>
      </c>
      <c r="Z285" s="12"/>
      <c r="AA285" s="12"/>
      <c r="AB285" s="3">
        <v>1</v>
      </c>
    </row>
    <row r="286" spans="1:31" s="3" customFormat="1" ht="14.45" customHeight="1" x14ac:dyDescent="0.25">
      <c r="A286" s="141">
        <v>3</v>
      </c>
      <c r="B286" s="99" t="s">
        <v>241</v>
      </c>
      <c r="C286" s="95" t="str">
        <f>VLOOKUP($F286,Admin!$D$11:$F$19,2,FALSE)</f>
        <v>Kísérleti fejlesztés</v>
      </c>
      <c r="D286" s="138" t="s">
        <v>123</v>
      </c>
      <c r="E286" s="95" t="str">
        <f>VLOOKUP($F286,Admin!$D$11:$F$19,3,FALSE)</f>
        <v>54. Bérköltség - Kutató-fejlesztő munkatárs</v>
      </c>
      <c r="F286" s="139" t="s">
        <v>213</v>
      </c>
      <c r="G286" s="100" t="s">
        <v>180</v>
      </c>
      <c r="H286" s="100" t="s">
        <v>142</v>
      </c>
      <c r="I286" s="139" t="str">
        <f>VLOOKUP($F286,Admin!$D$11:$G$19,4,FALSE)</f>
        <v>K+F munkatárs</v>
      </c>
      <c r="J286" s="100" t="s">
        <v>51</v>
      </c>
      <c r="K286" s="95" t="str">
        <f>J286</f>
        <v>2022.09</v>
      </c>
      <c r="L286" s="101" t="s">
        <v>6</v>
      </c>
      <c r="M286" s="96" t="s">
        <v>70</v>
      </c>
      <c r="N286" s="102">
        <v>802999</v>
      </c>
      <c r="O286" s="97">
        <f>ROUND(N286*V286,0)</f>
        <v>104390</v>
      </c>
      <c r="P286" s="104">
        <v>174</v>
      </c>
      <c r="Q286" s="104">
        <v>43</v>
      </c>
      <c r="R286" s="215">
        <f>Q286/P286</f>
        <v>0.2471264367816092</v>
      </c>
      <c r="S286" s="105">
        <f>ROUND(N286*Q286/P286,0)</f>
        <v>198442</v>
      </c>
      <c r="T286" s="98">
        <f>ROUND(S286*V286,0)</f>
        <v>25797</v>
      </c>
      <c r="U286" s="70">
        <f>Q286/P286-S286/N286</f>
        <v>3.5069681955657295E-7</v>
      </c>
      <c r="V286" s="181">
        <v>0.13</v>
      </c>
      <c r="W286" s="210"/>
      <c r="X286" s="17">
        <v>44734</v>
      </c>
      <c r="Y286" s="12" t="s">
        <v>66</v>
      </c>
      <c r="Z286" s="12"/>
      <c r="AA286" s="12"/>
      <c r="AB286" s="3">
        <v>1</v>
      </c>
    </row>
    <row r="287" spans="1:31" s="3" customFormat="1" ht="14.45" customHeight="1" x14ac:dyDescent="0.25">
      <c r="A287" s="141">
        <v>3</v>
      </c>
      <c r="B287" s="99" t="s">
        <v>241</v>
      </c>
      <c r="C287" s="95" t="str">
        <f>VLOOKUP($F287,Admin!$D$11:$F$19,2,FALSE)</f>
        <v>Kísérleti fejlesztés</v>
      </c>
      <c r="D287" s="138" t="s">
        <v>123</v>
      </c>
      <c r="E287" s="95" t="str">
        <f>VLOOKUP($F287,Admin!$D$11:$F$19,3,FALSE)</f>
        <v>54. Bérköltség - Kutató-fejlesztő munkatárs</v>
      </c>
      <c r="F287" s="139" t="s">
        <v>213</v>
      </c>
      <c r="G287" s="100" t="s">
        <v>180</v>
      </c>
      <c r="H287" s="100" t="s">
        <v>142</v>
      </c>
      <c r="I287" s="139" t="str">
        <f>VLOOKUP($F287,Admin!$D$11:$G$19,4,FALSE)</f>
        <v>K+F munkatárs</v>
      </c>
      <c r="J287" s="100" t="s">
        <v>53</v>
      </c>
      <c r="K287" s="95" t="str">
        <f t="shared" ref="K287:K288" si="477">J287</f>
        <v>2022.11</v>
      </c>
      <c r="L287" s="101" t="s">
        <v>6</v>
      </c>
      <c r="M287" s="96" t="s">
        <v>70</v>
      </c>
      <c r="N287" s="102">
        <v>853000</v>
      </c>
      <c r="O287" s="97">
        <f t="shared" ref="O287" si="478">ROUND(N287*V287,0)</f>
        <v>110890</v>
      </c>
      <c r="P287" s="104">
        <v>174</v>
      </c>
      <c r="Q287" s="104">
        <v>51</v>
      </c>
      <c r="R287" s="215">
        <f t="shared" ref="R287" si="479">Q287/P287</f>
        <v>0.29310344827586204</v>
      </c>
      <c r="S287" s="105">
        <f t="shared" ref="S287" si="480">ROUND(N287*Q287/P287,0)</f>
        <v>250017</v>
      </c>
      <c r="T287" s="98">
        <f t="shared" ref="T287" si="481">ROUND(S287*V287,0)</f>
        <v>32502</v>
      </c>
      <c r="U287" s="70">
        <f t="shared" ref="U287" si="482">Q287/P287-S287/N287</f>
        <v>2.8297691712086959E-7</v>
      </c>
      <c r="V287" s="181">
        <v>0.13</v>
      </c>
      <c r="W287" s="209" t="s">
        <v>277</v>
      </c>
      <c r="X287" s="17">
        <v>44875</v>
      </c>
      <c r="Y287" s="12" t="s">
        <v>66</v>
      </c>
      <c r="Z287" s="12"/>
      <c r="AA287" s="12"/>
      <c r="AB287" s="3">
        <v>1</v>
      </c>
    </row>
    <row r="288" spans="1:31" s="3" customFormat="1" ht="14.45" customHeight="1" x14ac:dyDescent="0.25">
      <c r="A288" s="141">
        <v>3</v>
      </c>
      <c r="B288" s="99" t="s">
        <v>241</v>
      </c>
      <c r="C288" s="95" t="str">
        <f>VLOOKUP($F288,Admin!$D$11:$F$19,2,FALSE)</f>
        <v>Kísérleti fejlesztés</v>
      </c>
      <c r="D288" s="138" t="s">
        <v>123</v>
      </c>
      <c r="E288" s="95" t="str">
        <f>VLOOKUP($F288,Admin!$D$11:$F$19,3,FALSE)</f>
        <v>54. Bérköltség - Kutató-fejlesztő munkatárs</v>
      </c>
      <c r="F288" s="139" t="s">
        <v>213</v>
      </c>
      <c r="G288" s="100" t="s">
        <v>180</v>
      </c>
      <c r="H288" s="100" t="s">
        <v>142</v>
      </c>
      <c r="I288" s="139" t="str">
        <f>VLOOKUP($F288,Admin!$D$11:$G$19,4,FALSE)</f>
        <v>K+F munkatárs</v>
      </c>
      <c r="J288" s="100" t="s">
        <v>54</v>
      </c>
      <c r="K288" s="95" t="str">
        <f t="shared" si="477"/>
        <v>2022.12</v>
      </c>
      <c r="L288" s="101" t="s">
        <v>6</v>
      </c>
      <c r="M288" s="96" t="s">
        <v>70</v>
      </c>
      <c r="N288" s="102">
        <v>853000</v>
      </c>
      <c r="O288" s="97">
        <f t="shared" ref="O288" si="483">ROUND(N288*V288,0)</f>
        <v>110890</v>
      </c>
      <c r="P288" s="104">
        <v>174</v>
      </c>
      <c r="Q288" s="104">
        <v>51</v>
      </c>
      <c r="R288" s="215">
        <f t="shared" ref="R288" si="484">Q288/P288</f>
        <v>0.29310344827586204</v>
      </c>
      <c r="S288" s="105">
        <f t="shared" ref="S288" si="485">ROUND(N288*Q288/P288,0)</f>
        <v>250017</v>
      </c>
      <c r="T288" s="98">
        <f t="shared" ref="T288" si="486">ROUND(S288*V288,0)</f>
        <v>32502</v>
      </c>
      <c r="U288" s="70">
        <f t="shared" ref="U288" si="487">Q288/P288-S288/N288</f>
        <v>2.8297691712086959E-7</v>
      </c>
      <c r="V288" s="181">
        <v>0.13</v>
      </c>
      <c r="W288" s="209" t="s">
        <v>277</v>
      </c>
      <c r="X288" s="17">
        <v>44875</v>
      </c>
      <c r="Y288" s="12" t="s">
        <v>66</v>
      </c>
      <c r="Z288" s="12"/>
      <c r="AA288" s="12"/>
      <c r="AB288" s="3">
        <v>1</v>
      </c>
      <c r="AC288" s="204" t="s">
        <v>315</v>
      </c>
      <c r="AD288" s="204" t="s">
        <v>315</v>
      </c>
      <c r="AE288" s="204" t="s">
        <v>315</v>
      </c>
    </row>
    <row r="289" spans="1:31" s="3" customFormat="1" ht="14.45" customHeight="1" x14ac:dyDescent="0.25">
      <c r="A289" s="141">
        <v>3</v>
      </c>
      <c r="B289" s="99" t="s">
        <v>253</v>
      </c>
      <c r="C289" s="95" t="str">
        <f>VLOOKUP($F289,Admin!$D$11:$F$19,2,FALSE)</f>
        <v>Kísérleti fejlesztés</v>
      </c>
      <c r="D289" s="138" t="s">
        <v>123</v>
      </c>
      <c r="E289" s="95" t="str">
        <f>VLOOKUP($F289,Admin!$D$11:$F$19,3,FALSE)</f>
        <v>54. Bérköltség - Kutató-fejlesztő munkatárs</v>
      </c>
      <c r="F289" s="139" t="s">
        <v>213</v>
      </c>
      <c r="G289" s="100" t="s">
        <v>180</v>
      </c>
      <c r="H289" s="100" t="s">
        <v>250</v>
      </c>
      <c r="I289" s="139" t="str">
        <f>VLOOKUP($F289,Admin!$D$11:$G$19,4,FALSE)</f>
        <v>K+F munkatárs</v>
      </c>
      <c r="J289" s="100" t="s">
        <v>51</v>
      </c>
      <c r="K289" s="95" t="str">
        <f t="shared" ref="K289" si="488">J289</f>
        <v>2022.09</v>
      </c>
      <c r="L289" s="101" t="s">
        <v>6</v>
      </c>
      <c r="M289" s="96" t="s">
        <v>70</v>
      </c>
      <c r="N289" s="102">
        <v>502100</v>
      </c>
      <c r="O289" s="97">
        <f t="shared" si="472"/>
        <v>65273</v>
      </c>
      <c r="P289" s="104">
        <v>174</v>
      </c>
      <c r="Q289" s="104">
        <v>44</v>
      </c>
      <c r="R289" s="215">
        <f t="shared" si="473"/>
        <v>0.25287356321839083</v>
      </c>
      <c r="S289" s="105">
        <f t="shared" si="474"/>
        <v>126968</v>
      </c>
      <c r="T289" s="98">
        <f t="shared" si="475"/>
        <v>16506</v>
      </c>
      <c r="U289" s="70">
        <f t="shared" si="476"/>
        <v>-3.6627772548314397E-7</v>
      </c>
      <c r="V289" s="191">
        <v>0.13</v>
      </c>
      <c r="W289" s="211"/>
      <c r="X289" s="17">
        <v>44798</v>
      </c>
      <c r="Y289" s="12" t="s">
        <v>66</v>
      </c>
      <c r="Z289" s="12"/>
      <c r="AA289" s="12"/>
      <c r="AB289" s="3">
        <v>1</v>
      </c>
    </row>
    <row r="290" spans="1:31" s="3" customFormat="1" ht="14.45" customHeight="1" x14ac:dyDescent="0.25">
      <c r="A290" s="141">
        <v>3</v>
      </c>
      <c r="B290" s="99" t="s">
        <v>253</v>
      </c>
      <c r="C290" s="95" t="str">
        <f>VLOOKUP($F290,Admin!$D$11:$F$19,2,FALSE)</f>
        <v>Kísérleti fejlesztés</v>
      </c>
      <c r="D290" s="138" t="s">
        <v>123</v>
      </c>
      <c r="E290" s="95" t="str">
        <f>VLOOKUP($F290,Admin!$D$11:$F$19,3,FALSE)</f>
        <v>54. Bérköltség - Kutató-fejlesztő munkatárs</v>
      </c>
      <c r="F290" s="139" t="s">
        <v>213</v>
      </c>
      <c r="G290" s="100" t="s">
        <v>180</v>
      </c>
      <c r="H290" s="100" t="s">
        <v>262</v>
      </c>
      <c r="I290" s="139" t="str">
        <f>VLOOKUP($F290,Admin!$D$11:$G$19,4,FALSE)</f>
        <v>K+F munkatárs</v>
      </c>
      <c r="J290" s="100" t="s">
        <v>52</v>
      </c>
      <c r="K290" s="95" t="str">
        <f t="shared" ref="K290:K292" si="489">J290</f>
        <v>2022.10</v>
      </c>
      <c r="L290" s="101" t="s">
        <v>6</v>
      </c>
      <c r="M290" s="96" t="s">
        <v>70</v>
      </c>
      <c r="N290" s="102">
        <v>587440</v>
      </c>
      <c r="O290" s="97">
        <f t="shared" ref="O290" si="490">ROUND(N290*V290,0)</f>
        <v>76367</v>
      </c>
      <c r="P290" s="104">
        <v>174</v>
      </c>
      <c r="Q290" s="104">
        <v>38</v>
      </c>
      <c r="R290" s="215">
        <f t="shared" ref="R290" si="491">Q290/P290</f>
        <v>0.21839080459770116</v>
      </c>
      <c r="S290" s="105">
        <f t="shared" ref="S290" si="492">ROUND(N290*Q290/P290,0)</f>
        <v>128291</v>
      </c>
      <c r="T290" s="98">
        <f t="shared" ref="T290" si="493">ROUND(S290*V290,0)</f>
        <v>16678</v>
      </c>
      <c r="U290" s="70">
        <f t="shared" ref="U290" si="494">Q290/P290-S290/N290</f>
        <v>8.4136741382301317E-7</v>
      </c>
      <c r="V290" s="191">
        <v>0.13</v>
      </c>
      <c r="W290" s="211"/>
      <c r="X290" s="17">
        <v>44826</v>
      </c>
      <c r="Y290" s="12" t="s">
        <v>66</v>
      </c>
      <c r="Z290" s="12"/>
      <c r="AA290" s="12"/>
      <c r="AB290" s="3">
        <v>1</v>
      </c>
    </row>
    <row r="291" spans="1:31" s="3" customFormat="1" ht="14.45" customHeight="1" x14ac:dyDescent="0.25">
      <c r="A291" s="141">
        <v>3</v>
      </c>
      <c r="B291" s="99" t="s">
        <v>253</v>
      </c>
      <c r="C291" s="95" t="str">
        <f>VLOOKUP($F291,Admin!$D$11:$F$19,2,FALSE)</f>
        <v>Kísérleti fejlesztés</v>
      </c>
      <c r="D291" s="138" t="s">
        <v>123</v>
      </c>
      <c r="E291" s="95" t="str">
        <f>VLOOKUP($F291,Admin!$D$11:$F$19,3,FALSE)</f>
        <v>54. Bérköltség - Kutató-fejlesztő munkatárs</v>
      </c>
      <c r="F291" s="139" t="s">
        <v>213</v>
      </c>
      <c r="G291" s="100" t="s">
        <v>180</v>
      </c>
      <c r="H291" s="100" t="s">
        <v>262</v>
      </c>
      <c r="I291" s="139" t="str">
        <f>VLOOKUP($F291,Admin!$D$11:$G$19,4,FALSE)</f>
        <v>K+F munkatárs</v>
      </c>
      <c r="J291" s="100" t="s">
        <v>53</v>
      </c>
      <c r="K291" s="95" t="str">
        <f t="shared" si="489"/>
        <v>2022.11</v>
      </c>
      <c r="L291" s="101" t="s">
        <v>6</v>
      </c>
      <c r="M291" s="96" t="s">
        <v>70</v>
      </c>
      <c r="N291" s="102">
        <v>587440</v>
      </c>
      <c r="O291" s="97">
        <f t="shared" ref="O291:O292" si="495">ROUND(N291*V291,0)</f>
        <v>76367</v>
      </c>
      <c r="P291" s="104">
        <v>174</v>
      </c>
      <c r="Q291" s="104">
        <v>38</v>
      </c>
      <c r="R291" s="215">
        <f t="shared" ref="R291:R292" si="496">Q291/P291</f>
        <v>0.21839080459770116</v>
      </c>
      <c r="S291" s="105">
        <f t="shared" ref="S291:S292" si="497">ROUND(N291*Q291/P291,0)</f>
        <v>128291</v>
      </c>
      <c r="T291" s="98">
        <f t="shared" ref="T291:T292" si="498">ROUND(S291*V291,0)</f>
        <v>16678</v>
      </c>
      <c r="U291" s="70">
        <f t="shared" ref="U291:U292" si="499">Q291/P291-S291/N291</f>
        <v>8.4136741382301317E-7</v>
      </c>
      <c r="V291" s="191">
        <v>0.13</v>
      </c>
      <c r="W291" s="209" t="s">
        <v>278</v>
      </c>
      <c r="X291" s="17">
        <v>44826</v>
      </c>
      <c r="Y291" s="12" t="s">
        <v>66</v>
      </c>
      <c r="Z291" s="12"/>
      <c r="AA291" s="12"/>
      <c r="AB291" s="3">
        <v>1</v>
      </c>
    </row>
    <row r="292" spans="1:31" s="3" customFormat="1" ht="14.45" customHeight="1" x14ac:dyDescent="0.25">
      <c r="A292" s="141">
        <v>3</v>
      </c>
      <c r="B292" s="99" t="s">
        <v>253</v>
      </c>
      <c r="C292" s="95" t="str">
        <f>VLOOKUP($F292,Admin!$D$11:$F$19,2,FALSE)</f>
        <v>Kísérleti fejlesztés</v>
      </c>
      <c r="D292" s="138" t="s">
        <v>123</v>
      </c>
      <c r="E292" s="95" t="str">
        <f>VLOOKUP($F292,Admin!$D$11:$F$19,3,FALSE)</f>
        <v>54. Bérköltség - Kutató-fejlesztő munkatárs</v>
      </c>
      <c r="F292" s="139" t="s">
        <v>213</v>
      </c>
      <c r="G292" s="100" t="s">
        <v>180</v>
      </c>
      <c r="H292" s="100" t="s">
        <v>262</v>
      </c>
      <c r="I292" s="139" t="str">
        <f>VLOOKUP($F292,Admin!$D$11:$G$19,4,FALSE)</f>
        <v>K+F munkatárs</v>
      </c>
      <c r="J292" s="100" t="s">
        <v>54</v>
      </c>
      <c r="K292" s="95" t="str">
        <f t="shared" si="489"/>
        <v>2022.12</v>
      </c>
      <c r="L292" s="101" t="s">
        <v>6</v>
      </c>
      <c r="M292" s="96" t="s">
        <v>70</v>
      </c>
      <c r="N292" s="102">
        <v>587440</v>
      </c>
      <c r="O292" s="97">
        <f t="shared" si="495"/>
        <v>76367</v>
      </c>
      <c r="P292" s="104">
        <v>174</v>
      </c>
      <c r="Q292" s="104">
        <v>38</v>
      </c>
      <c r="R292" s="215">
        <f t="shared" si="496"/>
        <v>0.21839080459770116</v>
      </c>
      <c r="S292" s="105">
        <f t="shared" si="497"/>
        <v>128291</v>
      </c>
      <c r="T292" s="98">
        <f t="shared" si="498"/>
        <v>16678</v>
      </c>
      <c r="U292" s="70">
        <f t="shared" si="499"/>
        <v>8.4136741382301317E-7</v>
      </c>
      <c r="V292" s="191">
        <v>0.13</v>
      </c>
      <c r="W292" s="209" t="s">
        <v>278</v>
      </c>
      <c r="X292" s="17">
        <v>44826</v>
      </c>
      <c r="Y292" s="12" t="s">
        <v>66</v>
      </c>
      <c r="Z292" s="12"/>
      <c r="AA292" s="12"/>
      <c r="AB292" s="3">
        <v>1</v>
      </c>
      <c r="AC292" s="204" t="s">
        <v>315</v>
      </c>
      <c r="AD292" s="204" t="s">
        <v>315</v>
      </c>
      <c r="AE292" s="204" t="s">
        <v>315</v>
      </c>
    </row>
    <row r="293" spans="1:31" s="3" customFormat="1" ht="14.45" customHeight="1" x14ac:dyDescent="0.25">
      <c r="A293" s="141">
        <v>3</v>
      </c>
      <c r="B293" s="99" t="s">
        <v>253</v>
      </c>
      <c r="C293" s="95" t="str">
        <f>VLOOKUP($F293,Admin!$D$11:$F$19,2,FALSE)</f>
        <v>Kísérleti fejlesztés</v>
      </c>
      <c r="D293" s="138" t="s">
        <v>123</v>
      </c>
      <c r="E293" s="95" t="str">
        <f>VLOOKUP($F293,Admin!$D$11:$F$19,3,FALSE)</f>
        <v>54. Bérköltség - Kutató-fejlesztő munkatárs</v>
      </c>
      <c r="F293" s="139" t="s">
        <v>213</v>
      </c>
      <c r="G293" s="100" t="s">
        <v>180</v>
      </c>
      <c r="H293" s="100" t="s">
        <v>262</v>
      </c>
      <c r="I293" s="139" t="str">
        <f>VLOOKUP($F293,Admin!$D$11:$G$19,4,FALSE)</f>
        <v>K+F munkatárs</v>
      </c>
      <c r="J293" s="100" t="s">
        <v>257</v>
      </c>
      <c r="K293" s="95" t="str">
        <f t="shared" ref="K293" si="500">J293</f>
        <v>2023.01</v>
      </c>
      <c r="L293" s="101" t="s">
        <v>6</v>
      </c>
      <c r="M293" s="96" t="s">
        <v>70</v>
      </c>
      <c r="N293" s="102">
        <v>550000</v>
      </c>
      <c r="O293" s="97">
        <f t="shared" ref="O293" si="501">ROUND(N293*V293,0)</f>
        <v>71500</v>
      </c>
      <c r="P293" s="104">
        <v>174</v>
      </c>
      <c r="Q293" s="104">
        <v>42</v>
      </c>
      <c r="R293" s="215">
        <f t="shared" ref="R293" si="502">Q293/P293</f>
        <v>0.2413793103448276</v>
      </c>
      <c r="S293" s="105">
        <f t="shared" ref="S293" si="503">ROUND(N293*Q293/P293,0)</f>
        <v>132759</v>
      </c>
      <c r="T293" s="98">
        <f t="shared" ref="T293" si="504">ROUND(S293*V293,0)</f>
        <v>17259</v>
      </c>
      <c r="U293" s="70">
        <f t="shared" ref="U293" si="505">Q293/P293-S293/N293</f>
        <v>-6.8965517241448282E-7</v>
      </c>
      <c r="V293" s="191">
        <v>0.13</v>
      </c>
      <c r="W293" s="209" t="s">
        <v>278</v>
      </c>
      <c r="X293" s="17">
        <v>44942</v>
      </c>
      <c r="Y293" s="12" t="s">
        <v>66</v>
      </c>
      <c r="Z293" s="12"/>
      <c r="AA293" s="12"/>
      <c r="AB293" s="3">
        <v>1</v>
      </c>
      <c r="AC293" s="204" t="s">
        <v>315</v>
      </c>
      <c r="AD293" s="216">
        <v>0</v>
      </c>
      <c r="AE293" s="216">
        <v>0</v>
      </c>
    </row>
    <row r="294" spans="1:31" s="3" customFormat="1" ht="14.45" customHeight="1" x14ac:dyDescent="0.25">
      <c r="A294" s="141"/>
      <c r="B294" s="99" t="s">
        <v>253</v>
      </c>
      <c r="C294" s="95" t="str">
        <f>VLOOKUP($F294,Admin!$D$11:$F$19,2,FALSE)</f>
        <v>Kísérleti fejlesztés</v>
      </c>
      <c r="D294" s="138" t="s">
        <v>123</v>
      </c>
      <c r="E294" s="95" t="str">
        <f>VLOOKUP($F294,Admin!$D$11:$F$19,3,FALSE)</f>
        <v>54. Bérköltség - Kutató-fejlesztő munkatárs</v>
      </c>
      <c r="F294" s="139" t="s">
        <v>213</v>
      </c>
      <c r="G294" s="100" t="s">
        <v>180</v>
      </c>
      <c r="H294" s="100" t="s">
        <v>262</v>
      </c>
      <c r="I294" s="139" t="str">
        <f>VLOOKUP($F294,Admin!$D$11:$G$19,4,FALSE)</f>
        <v>K+F munkatárs</v>
      </c>
      <c r="J294" s="100" t="s">
        <v>295</v>
      </c>
      <c r="K294" s="95" t="str">
        <f t="shared" ref="K294:K296" si="506">J294</f>
        <v>2023.02</v>
      </c>
      <c r="L294" s="101" t="s">
        <v>6</v>
      </c>
      <c r="M294" s="96" t="s">
        <v>70</v>
      </c>
      <c r="N294" s="102">
        <v>550000</v>
      </c>
      <c r="O294" s="97">
        <f t="shared" ref="O294" si="507">ROUND(N294*V294,0)</f>
        <v>71500</v>
      </c>
      <c r="P294" s="104">
        <v>174</v>
      </c>
      <c r="Q294" s="104">
        <v>80</v>
      </c>
      <c r="R294" s="215">
        <f t="shared" ref="R294" si="508">Q294/P294</f>
        <v>0.45977011494252873</v>
      </c>
      <c r="S294" s="105">
        <f t="shared" ref="S294" si="509">ROUND(N294*Q294/P294,0)</f>
        <v>252874</v>
      </c>
      <c r="T294" s="98">
        <f t="shared" ref="T294" si="510">ROUND(S294*V294,0)</f>
        <v>32874</v>
      </c>
      <c r="U294" s="70">
        <f t="shared" ref="U294" si="511">Q294/P294-S294/N294</f>
        <v>-7.941483803342031E-7</v>
      </c>
      <c r="V294" s="191">
        <v>0.13</v>
      </c>
      <c r="W294" s="209" t="s">
        <v>278</v>
      </c>
      <c r="X294" s="17">
        <v>44956</v>
      </c>
      <c r="Y294" s="12" t="s">
        <v>66</v>
      </c>
      <c r="Z294" s="12"/>
      <c r="AA294" s="12"/>
      <c r="AB294" s="3">
        <v>1</v>
      </c>
      <c r="AC294" s="3" t="s">
        <v>315</v>
      </c>
      <c r="AD294" s="3">
        <v>0</v>
      </c>
      <c r="AE294" s="3">
        <v>0</v>
      </c>
    </row>
    <row r="295" spans="1:31" s="3" customFormat="1" ht="14.45" customHeight="1" x14ac:dyDescent="0.25">
      <c r="A295" s="141"/>
      <c r="B295" s="99" t="s">
        <v>253</v>
      </c>
      <c r="C295" s="95" t="str">
        <f>VLOOKUP($F295,Admin!$D$11:$F$19,2,FALSE)</f>
        <v>Kísérleti fejlesztés</v>
      </c>
      <c r="D295" s="138" t="s">
        <v>123</v>
      </c>
      <c r="E295" s="95" t="str">
        <f>VLOOKUP($F295,Admin!$D$11:$F$19,3,FALSE)</f>
        <v>54. Bérköltség - Kutató-fejlesztő munkatárs</v>
      </c>
      <c r="F295" s="139" t="s">
        <v>213</v>
      </c>
      <c r="G295" s="100" t="s">
        <v>180</v>
      </c>
      <c r="H295" s="100" t="s">
        <v>262</v>
      </c>
      <c r="I295" s="139" t="str">
        <f>VLOOKUP($F295,Admin!$D$11:$G$19,4,FALSE)</f>
        <v>K+F munkatárs</v>
      </c>
      <c r="J295" s="100" t="s">
        <v>296</v>
      </c>
      <c r="K295" s="95" t="str">
        <f t="shared" si="506"/>
        <v>2023.03</v>
      </c>
      <c r="L295" s="101" t="s">
        <v>6</v>
      </c>
      <c r="M295" s="96" t="s">
        <v>70</v>
      </c>
      <c r="N295" s="102">
        <v>550000</v>
      </c>
      <c r="O295" s="97">
        <f t="shared" ref="O295:O296" si="512">ROUND(N295*V295,0)</f>
        <v>71500</v>
      </c>
      <c r="P295" s="104">
        <v>174</v>
      </c>
      <c r="Q295" s="104">
        <v>80</v>
      </c>
      <c r="R295" s="215">
        <f t="shared" ref="R295:R296" si="513">Q295/P295</f>
        <v>0.45977011494252873</v>
      </c>
      <c r="S295" s="105">
        <f t="shared" ref="S295:S296" si="514">ROUND(N295*Q295/P295,0)</f>
        <v>252874</v>
      </c>
      <c r="T295" s="98">
        <f t="shared" ref="T295:T296" si="515">ROUND(S295*V295,0)</f>
        <v>32874</v>
      </c>
      <c r="U295" s="70">
        <f t="shared" ref="U295:U296" si="516">Q295/P295-S295/N295</f>
        <v>-7.941483803342031E-7</v>
      </c>
      <c r="V295" s="191">
        <v>0.13</v>
      </c>
      <c r="W295" s="209" t="s">
        <v>278</v>
      </c>
      <c r="X295" s="17">
        <v>44956</v>
      </c>
      <c r="Y295" s="12" t="s">
        <v>66</v>
      </c>
      <c r="Z295" s="12"/>
      <c r="AA295" s="12"/>
      <c r="AB295" s="3">
        <v>1</v>
      </c>
      <c r="AC295" s="3" t="s">
        <v>315</v>
      </c>
      <c r="AD295" s="3">
        <v>0</v>
      </c>
      <c r="AE295" s="3">
        <v>0</v>
      </c>
    </row>
    <row r="296" spans="1:31" s="3" customFormat="1" ht="14.45" customHeight="1" x14ac:dyDescent="0.25">
      <c r="A296" s="141"/>
      <c r="B296" s="99" t="s">
        <v>253</v>
      </c>
      <c r="C296" s="95" t="str">
        <f>VLOOKUP($F296,Admin!$D$11:$F$19,2,FALSE)</f>
        <v>Kísérleti fejlesztés</v>
      </c>
      <c r="D296" s="138" t="s">
        <v>123</v>
      </c>
      <c r="E296" s="95" t="str">
        <f>VLOOKUP($F296,Admin!$D$11:$F$19,3,FALSE)</f>
        <v>54. Bérköltség - Kutató-fejlesztő munkatárs</v>
      </c>
      <c r="F296" s="139" t="s">
        <v>213</v>
      </c>
      <c r="G296" s="100" t="s">
        <v>180</v>
      </c>
      <c r="H296" s="100" t="s">
        <v>262</v>
      </c>
      <c r="I296" s="139" t="str">
        <f>VLOOKUP($F296,Admin!$D$11:$G$19,4,FALSE)</f>
        <v>K+F munkatárs</v>
      </c>
      <c r="J296" s="100" t="s">
        <v>297</v>
      </c>
      <c r="K296" s="95" t="str">
        <f t="shared" si="506"/>
        <v>2023.04</v>
      </c>
      <c r="L296" s="101" t="s">
        <v>7</v>
      </c>
      <c r="M296" s="96" t="s">
        <v>70</v>
      </c>
      <c r="N296" s="102">
        <v>550000</v>
      </c>
      <c r="O296" s="97">
        <f t="shared" si="512"/>
        <v>71500</v>
      </c>
      <c r="P296" s="104">
        <v>174</v>
      </c>
      <c r="Q296" s="104">
        <v>80</v>
      </c>
      <c r="R296" s="215">
        <f t="shared" si="513"/>
        <v>0.45977011494252873</v>
      </c>
      <c r="S296" s="105">
        <f t="shared" si="514"/>
        <v>252874</v>
      </c>
      <c r="T296" s="98">
        <f t="shared" si="515"/>
        <v>32874</v>
      </c>
      <c r="U296" s="70">
        <f t="shared" si="516"/>
        <v>-7.941483803342031E-7</v>
      </c>
      <c r="V296" s="191">
        <v>0.13</v>
      </c>
      <c r="W296" s="209" t="s">
        <v>278</v>
      </c>
      <c r="X296" s="17">
        <v>44956</v>
      </c>
      <c r="Y296" s="12" t="s">
        <v>66</v>
      </c>
      <c r="Z296" s="12"/>
      <c r="AA296" s="12"/>
      <c r="AC296" s="204"/>
      <c r="AD296" s="204"/>
      <c r="AE296" s="204"/>
    </row>
    <row r="297" spans="1:31" s="3" customFormat="1" ht="14.45" customHeight="1" x14ac:dyDescent="0.25">
      <c r="A297" s="141">
        <v>2</v>
      </c>
      <c r="B297" s="99" t="s">
        <v>191</v>
      </c>
      <c r="C297" s="95" t="str">
        <f>VLOOKUP($F297,Admin!$D$11:$F$19,2,FALSE)</f>
        <v>Kísérleti fejlesztés</v>
      </c>
      <c r="D297" s="138" t="s">
        <v>123</v>
      </c>
      <c r="E297" s="95" t="str">
        <f>VLOOKUP($F297,Admin!$D$11:$F$19,3,FALSE)</f>
        <v>54. Bérköltség - technikus segédszemélyzet</v>
      </c>
      <c r="F297" s="139" t="s">
        <v>215</v>
      </c>
      <c r="G297" s="100" t="s">
        <v>179</v>
      </c>
      <c r="H297" s="100" t="s">
        <v>208</v>
      </c>
      <c r="I297" s="139" t="str">
        <f>VLOOKUP($F297,Admin!$D$11:$G$19,4,FALSE)</f>
        <v>Technikus</v>
      </c>
      <c r="J297" s="100" t="s">
        <v>37</v>
      </c>
      <c r="K297" s="95" t="str">
        <f t="shared" si="250"/>
        <v>2021.07</v>
      </c>
      <c r="L297" s="101" t="s">
        <v>6</v>
      </c>
      <c r="M297" s="96" t="s">
        <v>70</v>
      </c>
      <c r="N297" s="102">
        <v>380600</v>
      </c>
      <c r="O297" s="97">
        <f t="shared" si="251"/>
        <v>58993</v>
      </c>
      <c r="P297" s="104">
        <v>174</v>
      </c>
      <c r="Q297" s="104">
        <v>47</v>
      </c>
      <c r="R297" s="215">
        <f t="shared" si="248"/>
        <v>0.27011494252873564</v>
      </c>
      <c r="S297" s="105">
        <f t="shared" si="5"/>
        <v>102806</v>
      </c>
      <c r="T297" s="98">
        <f t="shared" si="252"/>
        <v>15935</v>
      </c>
      <c r="U297" s="70">
        <f t="shared" si="249"/>
        <v>-6.6440768053954713E-7</v>
      </c>
      <c r="V297" s="140">
        <v>0.155</v>
      </c>
      <c r="W297" s="209"/>
      <c r="X297" s="17">
        <v>44362</v>
      </c>
      <c r="Y297" s="12" t="s">
        <v>66</v>
      </c>
      <c r="Z297" s="12"/>
      <c r="AA297" s="12"/>
      <c r="AB297" s="3">
        <v>1</v>
      </c>
    </row>
    <row r="298" spans="1:31" s="3" customFormat="1" ht="14.45" customHeight="1" x14ac:dyDescent="0.25">
      <c r="A298" s="141">
        <v>2</v>
      </c>
      <c r="B298" s="99" t="s">
        <v>191</v>
      </c>
      <c r="C298" s="95" t="str">
        <f>VLOOKUP($F298,Admin!$D$11:$F$19,2,FALSE)</f>
        <v>Kísérleti fejlesztés</v>
      </c>
      <c r="D298" s="138" t="s">
        <v>123</v>
      </c>
      <c r="E298" s="95" t="str">
        <f>VLOOKUP($F298,Admin!$D$11:$F$19,3,FALSE)</f>
        <v>54. Bérköltség - technikus segédszemélyzet</v>
      </c>
      <c r="F298" s="139" t="s">
        <v>215</v>
      </c>
      <c r="G298" s="100" t="s">
        <v>179</v>
      </c>
      <c r="H298" s="100" t="s">
        <v>208</v>
      </c>
      <c r="I298" s="139" t="str">
        <f>VLOOKUP($F298,Admin!$D$11:$G$19,4,FALSE)</f>
        <v>Technikus</v>
      </c>
      <c r="J298" s="100" t="s">
        <v>38</v>
      </c>
      <c r="K298" s="95" t="str">
        <f t="shared" si="250"/>
        <v>2021.08</v>
      </c>
      <c r="L298" s="101" t="s">
        <v>6</v>
      </c>
      <c r="M298" s="96" t="s">
        <v>70</v>
      </c>
      <c r="N298" s="102">
        <v>380600</v>
      </c>
      <c r="O298" s="97">
        <f t="shared" si="251"/>
        <v>58993</v>
      </c>
      <c r="P298" s="104">
        <v>174</v>
      </c>
      <c r="Q298" s="104">
        <v>47</v>
      </c>
      <c r="R298" s="215">
        <f t="shared" si="248"/>
        <v>0.27011494252873564</v>
      </c>
      <c r="S298" s="105">
        <f t="shared" si="5"/>
        <v>102806</v>
      </c>
      <c r="T298" s="98">
        <f t="shared" si="252"/>
        <v>15935</v>
      </c>
      <c r="U298" s="70">
        <f t="shared" si="249"/>
        <v>-6.6440768053954713E-7</v>
      </c>
      <c r="V298" s="140">
        <v>0.155</v>
      </c>
      <c r="W298" s="209"/>
      <c r="X298" s="17">
        <v>44362</v>
      </c>
      <c r="Y298" s="12" t="s">
        <v>66</v>
      </c>
      <c r="Z298" s="12"/>
      <c r="AA298" s="12"/>
      <c r="AB298" s="3">
        <v>1</v>
      </c>
    </row>
    <row r="299" spans="1:31" s="3" customFormat="1" ht="14.45" customHeight="1" x14ac:dyDescent="0.25">
      <c r="A299" s="141">
        <v>2</v>
      </c>
      <c r="B299" s="99" t="s">
        <v>191</v>
      </c>
      <c r="C299" s="95" t="str">
        <f>VLOOKUP($F299,Admin!$D$11:$F$19,2,FALSE)</f>
        <v>Kísérleti fejlesztés</v>
      </c>
      <c r="D299" s="138" t="s">
        <v>123</v>
      </c>
      <c r="E299" s="95" t="str">
        <f>VLOOKUP($F299,Admin!$D$11:$F$19,3,FALSE)</f>
        <v>54. Bérköltség - technikus segédszemélyzet</v>
      </c>
      <c r="F299" s="139" t="s">
        <v>215</v>
      </c>
      <c r="G299" s="100" t="s">
        <v>179</v>
      </c>
      <c r="H299" s="100" t="s">
        <v>208</v>
      </c>
      <c r="I299" s="139" t="str">
        <f>VLOOKUP($F299,Admin!$D$11:$G$19,4,FALSE)</f>
        <v>Technikus</v>
      </c>
      <c r="J299" s="100" t="s">
        <v>39</v>
      </c>
      <c r="K299" s="95" t="str">
        <f t="shared" si="250"/>
        <v>2021.09</v>
      </c>
      <c r="L299" s="101" t="s">
        <v>6</v>
      </c>
      <c r="M299" s="96" t="s">
        <v>70</v>
      </c>
      <c r="N299" s="102">
        <v>380599</v>
      </c>
      <c r="O299" s="97">
        <f t="shared" si="251"/>
        <v>58993</v>
      </c>
      <c r="P299" s="104">
        <v>174</v>
      </c>
      <c r="Q299" s="104">
        <v>47</v>
      </c>
      <c r="R299" s="215">
        <f t="shared" si="248"/>
        <v>0.27011494252873564</v>
      </c>
      <c r="S299" s="105">
        <f t="shared" si="5"/>
        <v>102805</v>
      </c>
      <c r="T299" s="98">
        <f t="shared" si="252"/>
        <v>15935</v>
      </c>
      <c r="U299" s="70">
        <f t="shared" si="249"/>
        <v>1.2533177813356389E-6</v>
      </c>
      <c r="V299" s="140">
        <v>0.155</v>
      </c>
      <c r="W299" s="209"/>
      <c r="X299" s="17">
        <v>44362</v>
      </c>
      <c r="Y299" s="12" t="s">
        <v>66</v>
      </c>
      <c r="Z299" s="12"/>
      <c r="AA299" s="12"/>
      <c r="AB299" s="3">
        <v>1</v>
      </c>
    </row>
    <row r="300" spans="1:31" s="3" customFormat="1" ht="14.45" customHeight="1" x14ac:dyDescent="0.25">
      <c r="A300" s="141">
        <v>2</v>
      </c>
      <c r="B300" s="99" t="s">
        <v>191</v>
      </c>
      <c r="C300" s="95" t="str">
        <f>VLOOKUP($F300,Admin!$D$11:$F$19,2,FALSE)</f>
        <v>Kísérleti fejlesztés</v>
      </c>
      <c r="D300" s="138" t="s">
        <v>123</v>
      </c>
      <c r="E300" s="95" t="str">
        <f>VLOOKUP($F300,Admin!$D$11:$F$19,3,FALSE)</f>
        <v>54. Bérköltség - technikus segédszemélyzet</v>
      </c>
      <c r="F300" s="139" t="s">
        <v>215</v>
      </c>
      <c r="G300" s="100" t="s">
        <v>179</v>
      </c>
      <c r="H300" s="100" t="s">
        <v>208</v>
      </c>
      <c r="I300" s="139" t="str">
        <f>VLOOKUP($F300,Admin!$D$11:$G$19,4,FALSE)</f>
        <v>Technikus</v>
      </c>
      <c r="J300" s="100" t="s">
        <v>40</v>
      </c>
      <c r="K300" s="95" t="str">
        <f t="shared" si="250"/>
        <v>2021.10</v>
      </c>
      <c r="L300" s="101" t="s">
        <v>6</v>
      </c>
      <c r="M300" s="96" t="s">
        <v>70</v>
      </c>
      <c r="N300" s="102">
        <v>437700</v>
      </c>
      <c r="O300" s="97">
        <f t="shared" si="251"/>
        <v>67844</v>
      </c>
      <c r="P300" s="104">
        <v>174</v>
      </c>
      <c r="Q300" s="104">
        <v>47</v>
      </c>
      <c r="R300" s="215">
        <f t="shared" si="248"/>
        <v>0.27011494252873564</v>
      </c>
      <c r="S300" s="105">
        <f t="shared" si="5"/>
        <v>118229</v>
      </c>
      <c r="T300" s="98">
        <f t="shared" si="252"/>
        <v>18325</v>
      </c>
      <c r="U300" s="70">
        <f t="shared" si="249"/>
        <v>7.0903547538803124E-7</v>
      </c>
      <c r="V300" s="140">
        <v>0.155</v>
      </c>
      <c r="W300" s="209"/>
      <c r="X300" s="17">
        <v>44362</v>
      </c>
      <c r="Y300" s="12" t="s">
        <v>66</v>
      </c>
      <c r="Z300" s="12"/>
      <c r="AA300" s="12"/>
      <c r="AB300" s="3">
        <v>1</v>
      </c>
    </row>
    <row r="301" spans="1:31" s="3" customFormat="1" ht="14.45" customHeight="1" x14ac:dyDescent="0.25">
      <c r="A301" s="141">
        <v>2</v>
      </c>
      <c r="B301" s="99" t="s">
        <v>191</v>
      </c>
      <c r="C301" s="95" t="str">
        <f>VLOOKUP($F301,Admin!$D$11:$F$19,2,FALSE)</f>
        <v>Kísérleti fejlesztés</v>
      </c>
      <c r="D301" s="138" t="s">
        <v>123</v>
      </c>
      <c r="E301" s="95" t="str">
        <f>VLOOKUP($F301,Admin!$D$11:$F$19,3,FALSE)</f>
        <v>54. Bérköltség - technikus segédszemélyzet</v>
      </c>
      <c r="F301" s="139" t="s">
        <v>215</v>
      </c>
      <c r="G301" s="100" t="s">
        <v>179</v>
      </c>
      <c r="H301" s="100" t="s">
        <v>208</v>
      </c>
      <c r="I301" s="139" t="str">
        <f>VLOOKUP($F301,Admin!$D$11:$G$19,4,FALSE)</f>
        <v>Technikus</v>
      </c>
      <c r="J301" s="100" t="s">
        <v>41</v>
      </c>
      <c r="K301" s="95" t="str">
        <f t="shared" si="250"/>
        <v>2021.11</v>
      </c>
      <c r="L301" s="101" t="s">
        <v>6</v>
      </c>
      <c r="M301" s="96" t="s">
        <v>70</v>
      </c>
      <c r="N301" s="102">
        <v>437700</v>
      </c>
      <c r="O301" s="97">
        <f t="shared" si="251"/>
        <v>67844</v>
      </c>
      <c r="P301" s="104">
        <v>174</v>
      </c>
      <c r="Q301" s="104">
        <v>47</v>
      </c>
      <c r="R301" s="215">
        <f t="shared" si="248"/>
        <v>0.27011494252873564</v>
      </c>
      <c r="S301" s="105">
        <f t="shared" si="5"/>
        <v>118229</v>
      </c>
      <c r="T301" s="98">
        <f t="shared" si="252"/>
        <v>18325</v>
      </c>
      <c r="U301" s="70">
        <f t="shared" si="249"/>
        <v>7.0903547538803124E-7</v>
      </c>
      <c r="V301" s="140">
        <v>0.155</v>
      </c>
      <c r="W301" s="209"/>
      <c r="X301" s="17">
        <v>44362</v>
      </c>
      <c r="Y301" s="12" t="s">
        <v>66</v>
      </c>
      <c r="Z301" s="12"/>
      <c r="AA301" s="12"/>
      <c r="AB301" s="3">
        <v>1</v>
      </c>
    </row>
    <row r="302" spans="1:31" s="3" customFormat="1" ht="14.45" customHeight="1" x14ac:dyDescent="0.25">
      <c r="A302" s="141">
        <v>2</v>
      </c>
      <c r="B302" s="99" t="s">
        <v>191</v>
      </c>
      <c r="C302" s="95" t="str">
        <f>VLOOKUP($F302,Admin!$D$11:$F$19,2,FALSE)</f>
        <v>Kísérleti fejlesztés</v>
      </c>
      <c r="D302" s="138" t="s">
        <v>123</v>
      </c>
      <c r="E302" s="95" t="str">
        <f>VLOOKUP($F302,Admin!$D$11:$F$19,3,FALSE)</f>
        <v>54. Bérköltség - technikus segédszemélyzet</v>
      </c>
      <c r="F302" s="139" t="s">
        <v>215</v>
      </c>
      <c r="G302" s="100" t="s">
        <v>179</v>
      </c>
      <c r="H302" s="100" t="s">
        <v>208</v>
      </c>
      <c r="I302" s="139" t="str">
        <f>VLOOKUP($F302,Admin!$D$11:$G$19,4,FALSE)</f>
        <v>Technikus</v>
      </c>
      <c r="J302" s="100" t="s">
        <v>42</v>
      </c>
      <c r="K302" s="95" t="str">
        <f t="shared" si="250"/>
        <v>2021.12</v>
      </c>
      <c r="L302" s="101" t="s">
        <v>6</v>
      </c>
      <c r="M302" s="96" t="s">
        <v>70</v>
      </c>
      <c r="N302" s="102">
        <v>437699</v>
      </c>
      <c r="O302" s="97">
        <f t="shared" si="251"/>
        <v>67843</v>
      </c>
      <c r="P302" s="104">
        <v>174</v>
      </c>
      <c r="Q302" s="104">
        <v>47</v>
      </c>
      <c r="R302" s="215">
        <f t="shared" si="248"/>
        <v>0.27011494252873564</v>
      </c>
      <c r="S302" s="105">
        <f t="shared" si="5"/>
        <v>118229</v>
      </c>
      <c r="T302" s="98">
        <f t="shared" si="252"/>
        <v>18325</v>
      </c>
      <c r="U302" s="70">
        <f t="shared" si="249"/>
        <v>9.1912216060308083E-8</v>
      </c>
      <c r="V302" s="140">
        <v>0.155</v>
      </c>
      <c r="W302" s="209"/>
      <c r="X302" s="17">
        <v>44362</v>
      </c>
      <c r="Y302" s="12" t="s">
        <v>66</v>
      </c>
      <c r="Z302" s="12"/>
      <c r="AA302" s="12"/>
      <c r="AB302" s="3">
        <v>1</v>
      </c>
    </row>
    <row r="303" spans="1:31" s="3" customFormat="1" ht="14.45" customHeight="1" x14ac:dyDescent="0.25">
      <c r="A303" s="141">
        <v>2</v>
      </c>
      <c r="B303" s="99" t="s">
        <v>191</v>
      </c>
      <c r="C303" s="95" t="str">
        <f>VLOOKUP($F303,Admin!$D$11:$F$19,2,FALSE)</f>
        <v>Kísérleti fejlesztés</v>
      </c>
      <c r="D303" s="138" t="s">
        <v>123</v>
      </c>
      <c r="E303" s="95" t="str">
        <f>VLOOKUP($F303,Admin!$D$11:$F$19,3,FALSE)</f>
        <v>54. Bérköltség - technikus segédszemélyzet</v>
      </c>
      <c r="F303" s="139" t="s">
        <v>215</v>
      </c>
      <c r="G303" s="100" t="s">
        <v>179</v>
      </c>
      <c r="H303" s="100" t="s">
        <v>208</v>
      </c>
      <c r="I303" s="139" t="str">
        <f>VLOOKUP($F303,Admin!$D$11:$G$19,4,FALSE)</f>
        <v>Technikus</v>
      </c>
      <c r="J303" s="100" t="s">
        <v>43</v>
      </c>
      <c r="K303" s="95" t="str">
        <f t="shared" si="250"/>
        <v>2022.01</v>
      </c>
      <c r="L303" s="101" t="s">
        <v>6</v>
      </c>
      <c r="M303" s="96" t="s">
        <v>70</v>
      </c>
      <c r="N303" s="102">
        <v>491600</v>
      </c>
      <c r="O303" s="97">
        <f t="shared" si="251"/>
        <v>63908</v>
      </c>
      <c r="P303" s="104">
        <v>174</v>
      </c>
      <c r="Q303" s="104">
        <v>47</v>
      </c>
      <c r="R303" s="215">
        <f t="shared" si="248"/>
        <v>0.27011494252873564</v>
      </c>
      <c r="S303" s="105">
        <f t="shared" si="5"/>
        <v>132789</v>
      </c>
      <c r="T303" s="98">
        <f t="shared" si="252"/>
        <v>17263</v>
      </c>
      <c r="U303" s="70">
        <f t="shared" si="249"/>
        <v>-1.0053964067391341E-6</v>
      </c>
      <c r="V303" s="140">
        <v>0.13</v>
      </c>
      <c r="W303" s="209"/>
      <c r="X303" s="17">
        <v>44529</v>
      </c>
      <c r="Y303" s="12" t="s">
        <v>66</v>
      </c>
      <c r="Z303" s="12"/>
      <c r="AA303" s="12"/>
      <c r="AB303" s="3">
        <v>1</v>
      </c>
    </row>
    <row r="304" spans="1:31" s="3" customFormat="1" ht="14.45" customHeight="1" x14ac:dyDescent="0.25">
      <c r="A304" s="141">
        <v>3</v>
      </c>
      <c r="B304" s="99" t="s">
        <v>191</v>
      </c>
      <c r="C304" s="95" t="str">
        <f>VLOOKUP($F304,Admin!$D$11:$F$19,2,FALSE)</f>
        <v>Kísérleti fejlesztés</v>
      </c>
      <c r="D304" s="138" t="s">
        <v>123</v>
      </c>
      <c r="E304" s="95" t="str">
        <f>VLOOKUP($F304,Admin!$D$11:$F$19,3,FALSE)</f>
        <v>54. Bérköltség - technikus segédszemélyzet</v>
      </c>
      <c r="F304" s="139" t="s">
        <v>215</v>
      </c>
      <c r="G304" s="100" t="s">
        <v>179</v>
      </c>
      <c r="H304" s="100" t="s">
        <v>208</v>
      </c>
      <c r="I304" s="139" t="str">
        <f>VLOOKUP($F304,Admin!$D$11:$G$19,4,FALSE)</f>
        <v>Technikus</v>
      </c>
      <c r="J304" s="100" t="s">
        <v>44</v>
      </c>
      <c r="K304" s="95" t="str">
        <f t="shared" si="250"/>
        <v>2022.02</v>
      </c>
      <c r="L304" s="101" t="s">
        <v>6</v>
      </c>
      <c r="M304" s="96" t="s">
        <v>70</v>
      </c>
      <c r="N304" s="102">
        <v>491600</v>
      </c>
      <c r="O304" s="97">
        <f t="shared" si="251"/>
        <v>63908</v>
      </c>
      <c r="P304" s="104">
        <v>174</v>
      </c>
      <c r="Q304" s="104">
        <v>41</v>
      </c>
      <c r="R304" s="215">
        <f t="shared" si="248"/>
        <v>0.23563218390804597</v>
      </c>
      <c r="S304" s="105">
        <f t="shared" si="5"/>
        <v>115837</v>
      </c>
      <c r="T304" s="98">
        <f t="shared" si="252"/>
        <v>15059</v>
      </c>
      <c r="U304" s="70">
        <f t="shared" si="249"/>
        <v>-4.4424492393058124E-7</v>
      </c>
      <c r="V304" s="140">
        <v>0.13</v>
      </c>
      <c r="W304" s="209"/>
      <c r="X304" s="17">
        <v>44588</v>
      </c>
      <c r="Y304" s="12" t="s">
        <v>66</v>
      </c>
      <c r="Z304" s="12"/>
      <c r="AA304" s="12"/>
      <c r="AB304" s="3">
        <v>1</v>
      </c>
    </row>
    <row r="305" spans="1:31" s="3" customFormat="1" ht="14.45" customHeight="1" x14ac:dyDescent="0.25">
      <c r="A305" s="141">
        <v>3</v>
      </c>
      <c r="B305" s="99" t="s">
        <v>191</v>
      </c>
      <c r="C305" s="95" t="str">
        <f>VLOOKUP($F305,Admin!$D$11:$F$19,2,FALSE)</f>
        <v>Kísérleti fejlesztés</v>
      </c>
      <c r="D305" s="138" t="s">
        <v>123</v>
      </c>
      <c r="E305" s="95" t="str">
        <f>VLOOKUP($F305,Admin!$D$11:$F$19,3,FALSE)</f>
        <v>54. Bérköltség - technikus segédszemélyzet</v>
      </c>
      <c r="F305" s="139" t="s">
        <v>215</v>
      </c>
      <c r="G305" s="100" t="s">
        <v>179</v>
      </c>
      <c r="H305" s="100" t="s">
        <v>208</v>
      </c>
      <c r="I305" s="139" t="str">
        <f>VLOOKUP($F305,Admin!$D$11:$G$19,4,FALSE)</f>
        <v>Technikus</v>
      </c>
      <c r="J305" s="100" t="s">
        <v>45</v>
      </c>
      <c r="K305" s="95" t="str">
        <f t="shared" si="250"/>
        <v>2022.03</v>
      </c>
      <c r="L305" s="101" t="s">
        <v>6</v>
      </c>
      <c r="M305" s="96" t="s">
        <v>70</v>
      </c>
      <c r="N305" s="102">
        <v>491600</v>
      </c>
      <c r="O305" s="97">
        <f t="shared" si="251"/>
        <v>63908</v>
      </c>
      <c r="P305" s="104">
        <v>174</v>
      </c>
      <c r="Q305" s="104">
        <v>41</v>
      </c>
      <c r="R305" s="215">
        <f t="shared" si="248"/>
        <v>0.23563218390804597</v>
      </c>
      <c r="S305" s="105">
        <f t="shared" si="5"/>
        <v>115837</v>
      </c>
      <c r="T305" s="98">
        <f t="shared" si="252"/>
        <v>15059</v>
      </c>
      <c r="U305" s="70">
        <f t="shared" si="249"/>
        <v>-4.4424492393058124E-7</v>
      </c>
      <c r="V305" s="140">
        <v>0.13</v>
      </c>
      <c r="W305" s="209"/>
      <c r="X305" s="17">
        <v>44588</v>
      </c>
      <c r="Y305" s="12" t="s">
        <v>66</v>
      </c>
      <c r="Z305" s="12"/>
      <c r="AA305" s="12"/>
      <c r="AB305" s="3">
        <v>1</v>
      </c>
    </row>
    <row r="306" spans="1:31" s="3" customFormat="1" ht="14.45" customHeight="1" x14ac:dyDescent="0.25">
      <c r="A306" s="141">
        <v>3</v>
      </c>
      <c r="B306" s="99" t="s">
        <v>191</v>
      </c>
      <c r="C306" s="95" t="str">
        <f>VLOOKUP($F306,Admin!$D$11:$F$19,2,FALSE)</f>
        <v>Kísérleti fejlesztés</v>
      </c>
      <c r="D306" s="138" t="s">
        <v>123</v>
      </c>
      <c r="E306" s="95" t="str">
        <f>VLOOKUP($F306,Admin!$D$11:$F$19,3,FALSE)</f>
        <v>54. Bérköltség - technikus segédszemélyzet</v>
      </c>
      <c r="F306" s="139" t="s">
        <v>215</v>
      </c>
      <c r="G306" s="100" t="s">
        <v>179</v>
      </c>
      <c r="H306" s="100" t="s">
        <v>208</v>
      </c>
      <c r="I306" s="139" t="str">
        <f>VLOOKUP($F306,Admin!$D$11:$G$19,4,FALSE)</f>
        <v>Technikus</v>
      </c>
      <c r="J306" s="100" t="s">
        <v>46</v>
      </c>
      <c r="K306" s="95" t="str">
        <f t="shared" si="250"/>
        <v>2022.04</v>
      </c>
      <c r="L306" s="101" t="s">
        <v>6</v>
      </c>
      <c r="M306" s="96" t="s">
        <v>70</v>
      </c>
      <c r="N306" s="102">
        <v>491600</v>
      </c>
      <c r="O306" s="97">
        <f t="shared" si="251"/>
        <v>63908</v>
      </c>
      <c r="P306" s="104">
        <v>174</v>
      </c>
      <c r="Q306" s="104">
        <v>41</v>
      </c>
      <c r="R306" s="215">
        <f t="shared" si="248"/>
        <v>0.23563218390804597</v>
      </c>
      <c r="S306" s="105">
        <f t="shared" si="5"/>
        <v>115837</v>
      </c>
      <c r="T306" s="98">
        <f t="shared" si="252"/>
        <v>15059</v>
      </c>
      <c r="U306" s="70">
        <f t="shared" si="249"/>
        <v>-4.4424492393058124E-7</v>
      </c>
      <c r="V306" s="140">
        <v>0.13</v>
      </c>
      <c r="W306" s="209"/>
      <c r="X306" s="17">
        <v>44588</v>
      </c>
      <c r="Y306" s="12" t="s">
        <v>66</v>
      </c>
      <c r="Z306" s="12"/>
      <c r="AA306" s="12"/>
      <c r="AB306" s="3">
        <v>1</v>
      </c>
    </row>
    <row r="307" spans="1:31" s="3" customFormat="1" ht="14.45" customHeight="1" x14ac:dyDescent="0.25">
      <c r="A307" s="141">
        <v>3</v>
      </c>
      <c r="B307" s="99" t="s">
        <v>191</v>
      </c>
      <c r="C307" s="95" t="str">
        <f>VLOOKUP($F307,Admin!$D$11:$F$19,2,FALSE)</f>
        <v>Kísérleti fejlesztés</v>
      </c>
      <c r="D307" s="138" t="s">
        <v>123</v>
      </c>
      <c r="E307" s="95" t="str">
        <f>VLOOKUP($F307,Admin!$D$11:$F$19,3,FALSE)</f>
        <v>54. Bérköltség - technikus segédszemélyzet</v>
      </c>
      <c r="F307" s="139" t="s">
        <v>215</v>
      </c>
      <c r="G307" s="100" t="s">
        <v>179</v>
      </c>
      <c r="H307" s="100" t="s">
        <v>208</v>
      </c>
      <c r="I307" s="139" t="str">
        <f>VLOOKUP($F307,Admin!$D$11:$G$19,4,FALSE)</f>
        <v>Technikus</v>
      </c>
      <c r="J307" s="100" t="s">
        <v>47</v>
      </c>
      <c r="K307" s="95" t="str">
        <f t="shared" si="250"/>
        <v>2022.05</v>
      </c>
      <c r="L307" s="101" t="s">
        <v>6</v>
      </c>
      <c r="M307" s="96" t="s">
        <v>70</v>
      </c>
      <c r="N307" s="102">
        <v>491598</v>
      </c>
      <c r="O307" s="97">
        <f t="shared" si="251"/>
        <v>63908</v>
      </c>
      <c r="P307" s="104">
        <v>174</v>
      </c>
      <c r="Q307" s="104">
        <v>41</v>
      </c>
      <c r="R307" s="215">
        <f t="shared" si="248"/>
        <v>0.23563218390804597</v>
      </c>
      <c r="S307" s="105">
        <f t="shared" si="5"/>
        <v>115836</v>
      </c>
      <c r="T307" s="98">
        <f t="shared" si="252"/>
        <v>15059</v>
      </c>
      <c r="U307" s="70">
        <f t="shared" si="249"/>
        <v>6.3129798652528102E-7</v>
      </c>
      <c r="V307" s="140">
        <v>0.13</v>
      </c>
      <c r="W307" s="209"/>
      <c r="X307" s="17">
        <v>44588</v>
      </c>
      <c r="Y307" s="12" t="s">
        <v>66</v>
      </c>
      <c r="Z307" s="12"/>
      <c r="AA307" s="12"/>
      <c r="AB307" s="3">
        <v>1</v>
      </c>
    </row>
    <row r="308" spans="1:31" s="3" customFormat="1" ht="14.45" customHeight="1" x14ac:dyDescent="0.25">
      <c r="A308" s="141">
        <v>3</v>
      </c>
      <c r="B308" s="99" t="s">
        <v>191</v>
      </c>
      <c r="C308" s="95" t="str">
        <f>VLOOKUP($F308,Admin!$D$11:$F$19,2,FALSE)</f>
        <v>Kísérleti fejlesztés</v>
      </c>
      <c r="D308" s="138" t="s">
        <v>123</v>
      </c>
      <c r="E308" s="95" t="str">
        <f>VLOOKUP($F308,Admin!$D$11:$F$19,3,FALSE)</f>
        <v>54. Bérköltség - technikus segédszemélyzet</v>
      </c>
      <c r="F308" s="139" t="s">
        <v>215</v>
      </c>
      <c r="G308" s="100" t="s">
        <v>179</v>
      </c>
      <c r="H308" s="100" t="s">
        <v>208</v>
      </c>
      <c r="I308" s="139" t="str">
        <f>VLOOKUP($F308,Admin!$D$11:$G$19,4,FALSE)</f>
        <v>Technikus</v>
      </c>
      <c r="J308" s="100" t="s">
        <v>48</v>
      </c>
      <c r="K308" s="95" t="str">
        <f t="shared" si="250"/>
        <v>2022.06</v>
      </c>
      <c r="L308" s="101" t="s">
        <v>6</v>
      </c>
      <c r="M308" s="96" t="s">
        <v>70</v>
      </c>
      <c r="N308" s="102">
        <v>491600</v>
      </c>
      <c r="O308" s="97">
        <f t="shared" si="251"/>
        <v>63908</v>
      </c>
      <c r="P308" s="104">
        <v>174</v>
      </c>
      <c r="Q308" s="104">
        <v>41</v>
      </c>
      <c r="R308" s="215">
        <f t="shared" si="248"/>
        <v>0.23563218390804597</v>
      </c>
      <c r="S308" s="105">
        <f t="shared" si="5"/>
        <v>115837</v>
      </c>
      <c r="T308" s="98">
        <f t="shared" si="252"/>
        <v>15059</v>
      </c>
      <c r="U308" s="70">
        <f t="shared" si="249"/>
        <v>-4.4424492393058124E-7</v>
      </c>
      <c r="V308" s="140">
        <v>0.13</v>
      </c>
      <c r="W308" s="209"/>
      <c r="X308" s="17">
        <v>44588</v>
      </c>
      <c r="Y308" s="12" t="s">
        <v>66</v>
      </c>
      <c r="Z308" s="12"/>
      <c r="AA308" s="12"/>
      <c r="AB308" s="3">
        <v>1</v>
      </c>
    </row>
    <row r="309" spans="1:31" s="3" customFormat="1" ht="14.45" customHeight="1" x14ac:dyDescent="0.25">
      <c r="A309" s="141">
        <v>3</v>
      </c>
      <c r="B309" s="99" t="s">
        <v>191</v>
      </c>
      <c r="C309" s="95" t="str">
        <f>VLOOKUP($F309,Admin!$D$11:$F$19,2,FALSE)</f>
        <v>Kísérleti fejlesztés</v>
      </c>
      <c r="D309" s="138" t="s">
        <v>123</v>
      </c>
      <c r="E309" s="95" t="str">
        <f>VLOOKUP($F309,Admin!$D$11:$F$19,3,FALSE)</f>
        <v>54. Bérköltség - technikus segédszemélyzet</v>
      </c>
      <c r="F309" s="139" t="s">
        <v>215</v>
      </c>
      <c r="G309" s="100" t="s">
        <v>179</v>
      </c>
      <c r="H309" s="100" t="s">
        <v>208</v>
      </c>
      <c r="I309" s="139" t="str">
        <f>VLOOKUP($F309,Admin!$D$11:$G$19,4,FALSE)</f>
        <v>Technikus</v>
      </c>
      <c r="J309" s="100" t="s">
        <v>49</v>
      </c>
      <c r="K309" s="95" t="str">
        <f t="shared" ref="K309:K314" si="517">J309</f>
        <v>2022.07</v>
      </c>
      <c r="L309" s="101" t="s">
        <v>6</v>
      </c>
      <c r="M309" s="96" t="s">
        <v>70</v>
      </c>
      <c r="N309" s="102">
        <v>545000</v>
      </c>
      <c r="O309" s="97">
        <f t="shared" ref="O309" si="518">ROUND(N309*V309,0)</f>
        <v>70850</v>
      </c>
      <c r="P309" s="104">
        <v>174</v>
      </c>
      <c r="Q309" s="104">
        <v>37</v>
      </c>
      <c r="R309" s="215">
        <f t="shared" ref="R309" si="519">Q309/P309</f>
        <v>0.21264367816091953</v>
      </c>
      <c r="S309" s="105">
        <f t="shared" ref="S309" si="520">ROUND(N309*Q309/P309,0)</f>
        <v>115891</v>
      </c>
      <c r="T309" s="98">
        <f t="shared" ref="T309" si="521">ROUND(S309*V309,0)</f>
        <v>15066</v>
      </c>
      <c r="U309" s="70">
        <f t="shared" ref="U309" si="522">Q309/P309-S309/N309</f>
        <v>-3.5853632818216852E-7</v>
      </c>
      <c r="V309" s="140">
        <v>0.13</v>
      </c>
      <c r="W309" s="209"/>
      <c r="X309" s="17">
        <v>44721</v>
      </c>
      <c r="Y309" s="12" t="s">
        <v>66</v>
      </c>
      <c r="Z309" s="12"/>
      <c r="AA309" s="12"/>
      <c r="AB309" s="3">
        <v>1</v>
      </c>
    </row>
    <row r="310" spans="1:31" s="3" customFormat="1" ht="14.45" customHeight="1" x14ac:dyDescent="0.25">
      <c r="A310" s="141">
        <v>3</v>
      </c>
      <c r="B310" s="99" t="s">
        <v>191</v>
      </c>
      <c r="C310" s="95" t="str">
        <f>VLOOKUP($F310,Admin!$D$11:$F$19,2,FALSE)</f>
        <v>Kísérleti fejlesztés</v>
      </c>
      <c r="D310" s="138" t="s">
        <v>123</v>
      </c>
      <c r="E310" s="95" t="str">
        <f>VLOOKUP($F310,Admin!$D$11:$F$19,3,FALSE)</f>
        <v>54. Bérköltség - technikus segédszemélyzet</v>
      </c>
      <c r="F310" s="139" t="s">
        <v>215</v>
      </c>
      <c r="G310" s="100" t="s">
        <v>179</v>
      </c>
      <c r="H310" s="100" t="s">
        <v>208</v>
      </c>
      <c r="I310" s="139" t="str">
        <f>VLOOKUP($F310,Admin!$D$11:$G$19,4,FALSE)</f>
        <v>Technikus</v>
      </c>
      <c r="J310" s="100" t="s">
        <v>50</v>
      </c>
      <c r="K310" s="95" t="str">
        <f t="shared" si="517"/>
        <v>2022.08</v>
      </c>
      <c r="L310" s="101" t="s">
        <v>6</v>
      </c>
      <c r="M310" s="96" t="s">
        <v>70</v>
      </c>
      <c r="N310" s="102">
        <v>545000</v>
      </c>
      <c r="O310" s="97">
        <f t="shared" ref="O310:O314" si="523">ROUND(N310*V310,0)</f>
        <v>70850</v>
      </c>
      <c r="P310" s="104">
        <v>174</v>
      </c>
      <c r="Q310" s="104">
        <v>37</v>
      </c>
      <c r="R310" s="215">
        <f t="shared" ref="R310:R314" si="524">Q310/P310</f>
        <v>0.21264367816091953</v>
      </c>
      <c r="S310" s="105">
        <f t="shared" ref="S310:S314" si="525">ROUND(N310*Q310/P310,0)</f>
        <v>115891</v>
      </c>
      <c r="T310" s="98">
        <f t="shared" ref="T310:T314" si="526">ROUND(S310*V310,0)</f>
        <v>15066</v>
      </c>
      <c r="U310" s="70">
        <f t="shared" ref="U310:U314" si="527">Q310/P310-S310/N310</f>
        <v>-3.5853632818216852E-7</v>
      </c>
      <c r="V310" s="140">
        <v>0.13</v>
      </c>
      <c r="W310" s="209"/>
      <c r="X310" s="17">
        <v>44721</v>
      </c>
      <c r="Y310" s="12" t="s">
        <v>66</v>
      </c>
      <c r="Z310" s="12"/>
      <c r="AA310" s="12"/>
      <c r="AB310" s="3">
        <v>1</v>
      </c>
    </row>
    <row r="311" spans="1:31" s="3" customFormat="1" ht="14.45" customHeight="1" x14ac:dyDescent="0.25">
      <c r="A311" s="141">
        <v>3</v>
      </c>
      <c r="B311" s="99" t="s">
        <v>191</v>
      </c>
      <c r="C311" s="95" t="str">
        <f>VLOOKUP($F311,Admin!$D$11:$F$19,2,FALSE)</f>
        <v>Kísérleti fejlesztés</v>
      </c>
      <c r="D311" s="138" t="s">
        <v>123</v>
      </c>
      <c r="E311" s="95" t="str">
        <f>VLOOKUP($F311,Admin!$D$11:$F$19,3,FALSE)</f>
        <v>54. Bérköltség - technikus segédszemélyzet</v>
      </c>
      <c r="F311" s="139" t="s">
        <v>215</v>
      </c>
      <c r="G311" s="100" t="s">
        <v>179</v>
      </c>
      <c r="H311" s="100" t="s">
        <v>208</v>
      </c>
      <c r="I311" s="139" t="str">
        <f>VLOOKUP($F311,Admin!$D$11:$G$19,4,FALSE)</f>
        <v>Technikus</v>
      </c>
      <c r="J311" s="100" t="s">
        <v>51</v>
      </c>
      <c r="K311" s="95" t="str">
        <f t="shared" si="517"/>
        <v>2022.09</v>
      </c>
      <c r="L311" s="101" t="s">
        <v>6</v>
      </c>
      <c r="M311" s="96" t="s">
        <v>70</v>
      </c>
      <c r="N311" s="102">
        <v>545000</v>
      </c>
      <c r="O311" s="97">
        <f t="shared" si="523"/>
        <v>70850</v>
      </c>
      <c r="P311" s="104">
        <v>174</v>
      </c>
      <c r="Q311" s="104">
        <v>37</v>
      </c>
      <c r="R311" s="215">
        <f t="shared" si="524"/>
        <v>0.21264367816091953</v>
      </c>
      <c r="S311" s="105">
        <f t="shared" si="525"/>
        <v>115891</v>
      </c>
      <c r="T311" s="98">
        <f t="shared" si="526"/>
        <v>15066</v>
      </c>
      <c r="U311" s="70">
        <f t="shared" si="527"/>
        <v>-3.5853632818216852E-7</v>
      </c>
      <c r="V311" s="140">
        <v>0.13</v>
      </c>
      <c r="W311" s="209"/>
      <c r="X311" s="17">
        <v>44721</v>
      </c>
      <c r="Y311" s="12" t="s">
        <v>66</v>
      </c>
      <c r="Z311" s="12"/>
      <c r="AA311" s="12"/>
      <c r="AB311" s="3">
        <v>1</v>
      </c>
    </row>
    <row r="312" spans="1:31" s="3" customFormat="1" ht="14.45" customHeight="1" x14ac:dyDescent="0.25">
      <c r="A312" s="141">
        <v>3</v>
      </c>
      <c r="B312" s="99" t="s">
        <v>191</v>
      </c>
      <c r="C312" s="95" t="str">
        <f>VLOOKUP($F312,Admin!$D$11:$F$19,2,FALSE)</f>
        <v>Kísérleti fejlesztés</v>
      </c>
      <c r="D312" s="138" t="s">
        <v>123</v>
      </c>
      <c r="E312" s="95" t="str">
        <f>VLOOKUP($F312,Admin!$D$11:$F$19,3,FALSE)</f>
        <v>54. Bérköltség - technikus segédszemélyzet</v>
      </c>
      <c r="F312" s="139" t="s">
        <v>215</v>
      </c>
      <c r="G312" s="100" t="s">
        <v>179</v>
      </c>
      <c r="H312" s="100" t="s">
        <v>208</v>
      </c>
      <c r="I312" s="139" t="str">
        <f>VLOOKUP($F312,Admin!$D$11:$G$19,4,FALSE)</f>
        <v>Technikus</v>
      </c>
      <c r="J312" s="100" t="s">
        <v>52</v>
      </c>
      <c r="K312" s="95" t="str">
        <f t="shared" si="517"/>
        <v>2022.10</v>
      </c>
      <c r="L312" s="101" t="s">
        <v>6</v>
      </c>
      <c r="M312" s="96" t="s">
        <v>70</v>
      </c>
      <c r="N312" s="102">
        <v>545000</v>
      </c>
      <c r="O312" s="97">
        <f t="shared" si="523"/>
        <v>70850</v>
      </c>
      <c r="P312" s="104">
        <v>174</v>
      </c>
      <c r="Q312" s="104">
        <v>37</v>
      </c>
      <c r="R312" s="215">
        <f t="shared" si="524"/>
        <v>0.21264367816091953</v>
      </c>
      <c r="S312" s="105">
        <f t="shared" si="525"/>
        <v>115891</v>
      </c>
      <c r="T312" s="98">
        <f t="shared" si="526"/>
        <v>15066</v>
      </c>
      <c r="U312" s="70">
        <f t="shared" si="527"/>
        <v>-3.5853632818216852E-7</v>
      </c>
      <c r="V312" s="140">
        <v>0.13</v>
      </c>
      <c r="W312" s="209"/>
      <c r="X312" s="17">
        <v>44721</v>
      </c>
      <c r="Y312" s="12" t="s">
        <v>66</v>
      </c>
      <c r="Z312" s="12"/>
      <c r="AA312" s="12"/>
      <c r="AB312" s="3">
        <v>1</v>
      </c>
    </row>
    <row r="313" spans="1:31" s="3" customFormat="1" ht="14.45" customHeight="1" x14ac:dyDescent="0.25">
      <c r="A313" s="141">
        <v>3</v>
      </c>
      <c r="B313" s="99" t="s">
        <v>191</v>
      </c>
      <c r="C313" s="95" t="str">
        <f>VLOOKUP($F313,Admin!$D$11:$F$19,2,FALSE)</f>
        <v>Kísérleti fejlesztés</v>
      </c>
      <c r="D313" s="138" t="s">
        <v>123</v>
      </c>
      <c r="E313" s="95" t="str">
        <f>VLOOKUP($F313,Admin!$D$11:$F$19,3,FALSE)</f>
        <v>54. Bérköltség - technikus segédszemélyzet</v>
      </c>
      <c r="F313" s="139" t="s">
        <v>215</v>
      </c>
      <c r="G313" s="100" t="s">
        <v>179</v>
      </c>
      <c r="H313" s="100" t="s">
        <v>208</v>
      </c>
      <c r="I313" s="139" t="str">
        <f>VLOOKUP($F313,Admin!$D$11:$G$19,4,FALSE)</f>
        <v>Technikus</v>
      </c>
      <c r="J313" s="100" t="s">
        <v>53</v>
      </c>
      <c r="K313" s="95" t="str">
        <f t="shared" si="517"/>
        <v>2022.11</v>
      </c>
      <c r="L313" s="101" t="s">
        <v>6</v>
      </c>
      <c r="M313" s="96" t="s">
        <v>70</v>
      </c>
      <c r="N313" s="102">
        <v>545000</v>
      </c>
      <c r="O313" s="97">
        <f t="shared" si="523"/>
        <v>70850</v>
      </c>
      <c r="P313" s="104">
        <v>174</v>
      </c>
      <c r="Q313" s="104">
        <v>37</v>
      </c>
      <c r="R313" s="215">
        <f t="shared" si="524"/>
        <v>0.21264367816091953</v>
      </c>
      <c r="S313" s="105">
        <f t="shared" si="525"/>
        <v>115891</v>
      </c>
      <c r="T313" s="98">
        <f t="shared" si="526"/>
        <v>15066</v>
      </c>
      <c r="U313" s="70">
        <f t="shared" si="527"/>
        <v>-3.5853632818216852E-7</v>
      </c>
      <c r="V313" s="140">
        <v>0.13</v>
      </c>
      <c r="W313" s="209" t="s">
        <v>279</v>
      </c>
      <c r="X313" s="17">
        <v>44721</v>
      </c>
      <c r="Y313" s="12" t="s">
        <v>66</v>
      </c>
      <c r="Z313" s="12"/>
      <c r="AA313" s="12"/>
      <c r="AB313" s="3">
        <v>1</v>
      </c>
    </row>
    <row r="314" spans="1:31" s="3" customFormat="1" ht="14.45" customHeight="1" x14ac:dyDescent="0.25">
      <c r="A314" s="141">
        <v>3</v>
      </c>
      <c r="B314" s="99" t="s">
        <v>191</v>
      </c>
      <c r="C314" s="95" t="str">
        <f>VLOOKUP($F314,Admin!$D$11:$F$19,2,FALSE)</f>
        <v>Kísérleti fejlesztés</v>
      </c>
      <c r="D314" s="138" t="s">
        <v>123</v>
      </c>
      <c r="E314" s="95" t="str">
        <f>VLOOKUP($F314,Admin!$D$11:$F$19,3,FALSE)</f>
        <v>54. Bérköltség - technikus segédszemélyzet</v>
      </c>
      <c r="F314" s="139" t="s">
        <v>215</v>
      </c>
      <c r="G314" s="100" t="s">
        <v>179</v>
      </c>
      <c r="H314" s="100" t="s">
        <v>208</v>
      </c>
      <c r="I314" s="139" t="str">
        <f>VLOOKUP($F314,Admin!$D$11:$G$19,4,FALSE)</f>
        <v>Technikus</v>
      </c>
      <c r="J314" s="100" t="s">
        <v>54</v>
      </c>
      <c r="K314" s="95" t="str">
        <f t="shared" si="517"/>
        <v>2022.12</v>
      </c>
      <c r="L314" s="101" t="s">
        <v>6</v>
      </c>
      <c r="M314" s="96" t="s">
        <v>70</v>
      </c>
      <c r="N314" s="102">
        <v>545000</v>
      </c>
      <c r="O314" s="97">
        <f t="shared" si="523"/>
        <v>70850</v>
      </c>
      <c r="P314" s="104">
        <v>174</v>
      </c>
      <c r="Q314" s="104">
        <v>37</v>
      </c>
      <c r="R314" s="215">
        <f t="shared" si="524"/>
        <v>0.21264367816091953</v>
      </c>
      <c r="S314" s="105">
        <f t="shared" si="525"/>
        <v>115891</v>
      </c>
      <c r="T314" s="98">
        <f t="shared" si="526"/>
        <v>15066</v>
      </c>
      <c r="U314" s="70">
        <f t="shared" si="527"/>
        <v>-3.5853632818216852E-7</v>
      </c>
      <c r="V314" s="140">
        <v>0.13</v>
      </c>
      <c r="W314" s="209" t="s">
        <v>279</v>
      </c>
      <c r="X314" s="17">
        <v>44721</v>
      </c>
      <c r="Y314" s="12" t="s">
        <v>66</v>
      </c>
      <c r="Z314" s="12"/>
      <c r="AA314" s="12"/>
      <c r="AB314" s="3">
        <v>1</v>
      </c>
      <c r="AC314" s="204" t="s">
        <v>315</v>
      </c>
      <c r="AD314" s="204" t="s">
        <v>315</v>
      </c>
      <c r="AE314" s="204" t="s">
        <v>315</v>
      </c>
    </row>
    <row r="315" spans="1:31" s="3" customFormat="1" ht="14.45" customHeight="1" x14ac:dyDescent="0.25">
      <c r="A315" s="141">
        <v>3</v>
      </c>
      <c r="B315" s="99" t="s">
        <v>191</v>
      </c>
      <c r="C315" s="95" t="str">
        <f>VLOOKUP($F315,Admin!$D$11:$F$19,2,FALSE)</f>
        <v>Kísérleti fejlesztés</v>
      </c>
      <c r="D315" s="138" t="s">
        <v>123</v>
      </c>
      <c r="E315" s="95" t="str">
        <f>VLOOKUP($F315,Admin!$D$11:$F$19,3,FALSE)</f>
        <v>54. Bérköltség - technikus segédszemélyzet</v>
      </c>
      <c r="F315" s="139" t="s">
        <v>215</v>
      </c>
      <c r="G315" s="100" t="s">
        <v>179</v>
      </c>
      <c r="H315" s="100" t="s">
        <v>208</v>
      </c>
      <c r="I315" s="139" t="str">
        <f>VLOOKUP($F315,Admin!$D$11:$G$19,4,FALSE)</f>
        <v>Technikus</v>
      </c>
      <c r="J315" s="100" t="s">
        <v>257</v>
      </c>
      <c r="K315" s="95" t="str">
        <f t="shared" ref="K315" si="528">J315</f>
        <v>2023.01</v>
      </c>
      <c r="L315" s="101" t="s">
        <v>6</v>
      </c>
      <c r="M315" s="96" t="s">
        <v>70</v>
      </c>
      <c r="N315" s="102">
        <v>599500</v>
      </c>
      <c r="O315" s="97">
        <f t="shared" ref="O315" si="529">ROUND(N315*V315,0)</f>
        <v>77935</v>
      </c>
      <c r="P315" s="104">
        <v>174</v>
      </c>
      <c r="Q315" s="104">
        <v>33</v>
      </c>
      <c r="R315" s="215">
        <f t="shared" ref="R315" si="530">Q315/P315</f>
        <v>0.18965517241379309</v>
      </c>
      <c r="S315" s="105">
        <f t="shared" ref="S315" si="531">ROUND(N315*Q315/P315,0)</f>
        <v>113698</v>
      </c>
      <c r="T315" s="98">
        <f t="shared" ref="T315" si="532">ROUND(S315*V315,0)</f>
        <v>14781</v>
      </c>
      <c r="U315" s="70">
        <f t="shared" ref="U315" si="533">Q315/P315-S315/N315</f>
        <v>4.6015357624273889E-7</v>
      </c>
      <c r="V315" s="140">
        <v>0.13</v>
      </c>
      <c r="W315" s="209" t="s">
        <v>279</v>
      </c>
      <c r="X315" s="17">
        <v>44936</v>
      </c>
      <c r="Y315" s="12" t="s">
        <v>66</v>
      </c>
      <c r="Z315" s="12"/>
      <c r="AA315" s="12"/>
      <c r="AB315" s="3">
        <v>1</v>
      </c>
      <c r="AC315" s="204" t="s">
        <v>315</v>
      </c>
      <c r="AD315" s="216">
        <v>0</v>
      </c>
      <c r="AE315" s="216">
        <v>0</v>
      </c>
    </row>
    <row r="316" spans="1:31" s="3" customFormat="1" ht="14.45" customHeight="1" x14ac:dyDescent="0.25">
      <c r="A316" s="141"/>
      <c r="B316" s="99" t="s">
        <v>191</v>
      </c>
      <c r="C316" s="95" t="str">
        <f>VLOOKUP($F316,Admin!$D$11:$F$19,2,FALSE)</f>
        <v>Kísérleti fejlesztés</v>
      </c>
      <c r="D316" s="138" t="s">
        <v>123</v>
      </c>
      <c r="E316" s="95" t="str">
        <f>VLOOKUP($F316,Admin!$D$11:$F$19,3,FALSE)</f>
        <v>54. Bérköltség - technikus segédszemélyzet</v>
      </c>
      <c r="F316" s="139" t="s">
        <v>215</v>
      </c>
      <c r="G316" s="100" t="s">
        <v>179</v>
      </c>
      <c r="H316" s="100" t="s">
        <v>208</v>
      </c>
      <c r="I316" s="139" t="str">
        <f>VLOOKUP($F316,Admin!$D$11:$G$19,4,FALSE)</f>
        <v>Technikus</v>
      </c>
      <c r="J316" s="100" t="s">
        <v>295</v>
      </c>
      <c r="K316" s="95" t="str">
        <f t="shared" ref="K316:K318" si="534">J316</f>
        <v>2023.02</v>
      </c>
      <c r="L316" s="101" t="s">
        <v>6</v>
      </c>
      <c r="M316" s="96" t="s">
        <v>70</v>
      </c>
      <c r="N316" s="102">
        <v>599500</v>
      </c>
      <c r="O316" s="97">
        <f t="shared" ref="O316:O318" si="535">ROUND(N316*V316,0)</f>
        <v>77935</v>
      </c>
      <c r="P316" s="104">
        <v>174</v>
      </c>
      <c r="Q316" s="104">
        <v>33</v>
      </c>
      <c r="R316" s="215">
        <f t="shared" ref="R316:R318" si="536">Q316/P316</f>
        <v>0.18965517241379309</v>
      </c>
      <c r="S316" s="105">
        <f t="shared" ref="S316:S318" si="537">ROUND(N316*Q316/P316,0)</f>
        <v>113698</v>
      </c>
      <c r="T316" s="98">
        <f t="shared" ref="T316:T318" si="538">ROUND(S316*V316,0)</f>
        <v>14781</v>
      </c>
      <c r="U316" s="70">
        <f t="shared" ref="U316:U318" si="539">Q316/P316-S316/N316</f>
        <v>4.6015357624273889E-7</v>
      </c>
      <c r="V316" s="140">
        <v>0.13</v>
      </c>
      <c r="W316" s="209" t="s">
        <v>279</v>
      </c>
      <c r="X316" s="17">
        <v>44936</v>
      </c>
      <c r="Y316" s="12" t="s">
        <v>66</v>
      </c>
      <c r="Z316" s="12"/>
      <c r="AA316" s="12"/>
      <c r="AB316" s="3">
        <v>1</v>
      </c>
      <c r="AC316" s="3" t="s">
        <v>315</v>
      </c>
      <c r="AD316" s="3">
        <v>0</v>
      </c>
      <c r="AE316" s="3">
        <v>0</v>
      </c>
    </row>
    <row r="317" spans="1:31" s="3" customFormat="1" ht="14.45" customHeight="1" x14ac:dyDescent="0.25">
      <c r="A317" s="141"/>
      <c r="B317" s="99" t="s">
        <v>191</v>
      </c>
      <c r="C317" s="95" t="str">
        <f>VLOOKUP($F317,Admin!$D$11:$F$19,2,FALSE)</f>
        <v>Kísérleti fejlesztés</v>
      </c>
      <c r="D317" s="138" t="s">
        <v>123</v>
      </c>
      <c r="E317" s="95" t="str">
        <f>VLOOKUP($F317,Admin!$D$11:$F$19,3,FALSE)</f>
        <v>54. Bérköltség - technikus segédszemélyzet</v>
      </c>
      <c r="F317" s="139" t="s">
        <v>215</v>
      </c>
      <c r="G317" s="100" t="s">
        <v>179</v>
      </c>
      <c r="H317" s="100" t="s">
        <v>208</v>
      </c>
      <c r="I317" s="139" t="str">
        <f>VLOOKUP($F317,Admin!$D$11:$G$19,4,FALSE)</f>
        <v>Technikus</v>
      </c>
      <c r="J317" s="100" t="s">
        <v>296</v>
      </c>
      <c r="K317" s="95" t="str">
        <f t="shared" si="534"/>
        <v>2023.03</v>
      </c>
      <c r="L317" s="101" t="s">
        <v>6</v>
      </c>
      <c r="M317" s="96" t="s">
        <v>70</v>
      </c>
      <c r="N317" s="102">
        <v>599500</v>
      </c>
      <c r="O317" s="97">
        <f t="shared" si="535"/>
        <v>77935</v>
      </c>
      <c r="P317" s="104">
        <v>174</v>
      </c>
      <c r="Q317" s="104">
        <v>33</v>
      </c>
      <c r="R317" s="215">
        <f t="shared" si="536"/>
        <v>0.18965517241379309</v>
      </c>
      <c r="S317" s="105">
        <f t="shared" si="537"/>
        <v>113698</v>
      </c>
      <c r="T317" s="98">
        <f t="shared" si="538"/>
        <v>14781</v>
      </c>
      <c r="U317" s="70">
        <f t="shared" si="539"/>
        <v>4.6015357624273889E-7</v>
      </c>
      <c r="V317" s="140">
        <v>0.13</v>
      </c>
      <c r="W317" s="209" t="s">
        <v>279</v>
      </c>
      <c r="X317" s="17">
        <v>44936</v>
      </c>
      <c r="Y317" s="12" t="s">
        <v>66</v>
      </c>
      <c r="Z317" s="12"/>
      <c r="AA317" s="12"/>
      <c r="AB317" s="3">
        <v>1</v>
      </c>
      <c r="AC317" s="3" t="s">
        <v>315</v>
      </c>
      <c r="AD317" s="3">
        <v>0</v>
      </c>
      <c r="AE317" s="3">
        <v>0</v>
      </c>
    </row>
    <row r="318" spans="1:31" s="3" customFormat="1" ht="14.45" customHeight="1" x14ac:dyDescent="0.25">
      <c r="A318" s="141"/>
      <c r="B318" s="99" t="s">
        <v>191</v>
      </c>
      <c r="C318" s="95" t="str">
        <f>VLOOKUP($F318,Admin!$D$11:$F$19,2,FALSE)</f>
        <v>Kísérleti fejlesztés</v>
      </c>
      <c r="D318" s="138" t="s">
        <v>123</v>
      </c>
      <c r="E318" s="95" t="str">
        <f>VLOOKUP($F318,Admin!$D$11:$F$19,3,FALSE)</f>
        <v>54. Bérköltség - technikus segédszemélyzet</v>
      </c>
      <c r="F318" s="139" t="s">
        <v>215</v>
      </c>
      <c r="G318" s="100" t="s">
        <v>179</v>
      </c>
      <c r="H318" s="100" t="s">
        <v>208</v>
      </c>
      <c r="I318" s="139" t="str">
        <f>VLOOKUP($F318,Admin!$D$11:$G$19,4,FALSE)</f>
        <v>Technikus</v>
      </c>
      <c r="J318" s="100" t="s">
        <v>297</v>
      </c>
      <c r="K318" s="95" t="str">
        <f t="shared" si="534"/>
        <v>2023.04</v>
      </c>
      <c r="L318" s="101" t="s">
        <v>7</v>
      </c>
      <c r="M318" s="96" t="s">
        <v>70</v>
      </c>
      <c r="N318" s="102">
        <v>599500</v>
      </c>
      <c r="O318" s="97">
        <f t="shared" si="535"/>
        <v>77935</v>
      </c>
      <c r="P318" s="104">
        <v>174</v>
      </c>
      <c r="Q318" s="104">
        <v>33</v>
      </c>
      <c r="R318" s="215">
        <f t="shared" si="536"/>
        <v>0.18965517241379309</v>
      </c>
      <c r="S318" s="105">
        <f t="shared" si="537"/>
        <v>113698</v>
      </c>
      <c r="T318" s="98">
        <f t="shared" si="538"/>
        <v>14781</v>
      </c>
      <c r="U318" s="70">
        <f t="shared" si="539"/>
        <v>4.6015357624273889E-7</v>
      </c>
      <c r="V318" s="140">
        <v>0.13</v>
      </c>
      <c r="W318" s="209" t="s">
        <v>279</v>
      </c>
      <c r="X318" s="17">
        <v>44936</v>
      </c>
      <c r="Y318" s="12" t="s">
        <v>66</v>
      </c>
      <c r="Z318" s="12"/>
      <c r="AA318" s="12"/>
    </row>
    <row r="319" spans="1:31" s="3" customFormat="1" ht="14.45" customHeight="1" x14ac:dyDescent="0.25">
      <c r="A319" s="141">
        <v>1</v>
      </c>
      <c r="B319" s="99" t="s">
        <v>192</v>
      </c>
      <c r="C319" s="95" t="str">
        <f>VLOOKUP($F319,Admin!$D$11:$F$19,2,FALSE)</f>
        <v>Alkalmazott (ipari) kutatás</v>
      </c>
      <c r="D319" s="138" t="s">
        <v>123</v>
      </c>
      <c r="E319" s="95" t="str">
        <f>VLOOKUP($F319,Admin!$D$11:$F$19,3,FALSE)</f>
        <v>54. Bérköltség - technikus segédszemélyzet</v>
      </c>
      <c r="F319" s="139" t="s">
        <v>214</v>
      </c>
      <c r="G319" s="100" t="s">
        <v>180</v>
      </c>
      <c r="H319" s="100" t="s">
        <v>144</v>
      </c>
      <c r="I319" s="139" t="str">
        <f>VLOOKUP($F319,Admin!$D$11:$G$19,4,FALSE)</f>
        <v>Technikus</v>
      </c>
      <c r="J319" s="100" t="s">
        <v>221</v>
      </c>
      <c r="K319" s="95" t="str">
        <f t="shared" si="250"/>
        <v>2020.06</v>
      </c>
      <c r="L319" s="101" t="s">
        <v>6</v>
      </c>
      <c r="M319" s="96" t="s">
        <v>70</v>
      </c>
      <c r="N319" s="102">
        <v>350000</v>
      </c>
      <c r="O319" s="97">
        <f t="shared" si="251"/>
        <v>61250</v>
      </c>
      <c r="P319" s="104">
        <v>174</v>
      </c>
      <c r="Q319" s="104">
        <v>100</v>
      </c>
      <c r="R319" s="215">
        <f t="shared" si="248"/>
        <v>0.57471264367816088</v>
      </c>
      <c r="S319" s="105">
        <f t="shared" si="5"/>
        <v>201149</v>
      </c>
      <c r="T319" s="98">
        <f t="shared" si="252"/>
        <v>35201</v>
      </c>
      <c r="U319" s="70">
        <f t="shared" si="249"/>
        <v>1.2151067323440401E-6</v>
      </c>
      <c r="V319" s="140">
        <v>0.17499999999999999</v>
      </c>
      <c r="W319" s="209"/>
      <c r="X319" s="17">
        <v>43963</v>
      </c>
      <c r="Y319" s="12" t="s">
        <v>66</v>
      </c>
      <c r="Z319" s="12"/>
      <c r="AA319" s="12"/>
      <c r="AB319" s="3">
        <v>1</v>
      </c>
    </row>
    <row r="320" spans="1:31" s="3" customFormat="1" ht="14.45" customHeight="1" x14ac:dyDescent="0.25">
      <c r="A320" s="141">
        <v>1</v>
      </c>
      <c r="B320" s="99" t="s">
        <v>192</v>
      </c>
      <c r="C320" s="95" t="str">
        <f>VLOOKUP($F320,Admin!$D$11:$F$19,2,FALSE)</f>
        <v>Alkalmazott (ipari) kutatás</v>
      </c>
      <c r="D320" s="138" t="s">
        <v>123</v>
      </c>
      <c r="E320" s="95" t="str">
        <f>VLOOKUP($F320,Admin!$D$11:$F$19,3,FALSE)</f>
        <v>54. Bérköltség - technikus segédszemélyzet</v>
      </c>
      <c r="F320" s="139" t="s">
        <v>214</v>
      </c>
      <c r="G320" s="100" t="s">
        <v>180</v>
      </c>
      <c r="H320" s="100" t="s">
        <v>144</v>
      </c>
      <c r="I320" s="139" t="str">
        <f>VLOOKUP($F320,Admin!$D$11:$G$19,4,FALSE)</f>
        <v>Technikus</v>
      </c>
      <c r="J320" s="100" t="s">
        <v>222</v>
      </c>
      <c r="K320" s="95" t="str">
        <f t="shared" si="250"/>
        <v>2020.07</v>
      </c>
      <c r="L320" s="101" t="s">
        <v>6</v>
      </c>
      <c r="M320" s="96" t="s">
        <v>70</v>
      </c>
      <c r="N320" s="102">
        <v>350000</v>
      </c>
      <c r="O320" s="97">
        <f t="shared" si="251"/>
        <v>54250</v>
      </c>
      <c r="P320" s="104">
        <v>174</v>
      </c>
      <c r="Q320" s="104">
        <v>87</v>
      </c>
      <c r="R320" s="215">
        <f t="shared" si="248"/>
        <v>0.5</v>
      </c>
      <c r="S320" s="105">
        <f t="shared" si="5"/>
        <v>175000</v>
      </c>
      <c r="T320" s="98">
        <f t="shared" si="252"/>
        <v>27125</v>
      </c>
      <c r="U320" s="70">
        <f t="shared" si="249"/>
        <v>0</v>
      </c>
      <c r="V320" s="140">
        <v>0.155</v>
      </c>
      <c r="W320" s="209"/>
      <c r="X320" s="17">
        <v>43973</v>
      </c>
      <c r="Y320" s="12" t="s">
        <v>66</v>
      </c>
      <c r="Z320" s="12"/>
      <c r="AA320" s="12"/>
      <c r="AB320" s="3">
        <v>1</v>
      </c>
    </row>
    <row r="321" spans="1:28" s="3" customFormat="1" ht="14.45" customHeight="1" x14ac:dyDescent="0.25">
      <c r="A321" s="141">
        <v>1</v>
      </c>
      <c r="B321" s="99" t="s">
        <v>192</v>
      </c>
      <c r="C321" s="95" t="str">
        <f>VLOOKUP($F321,Admin!$D$11:$F$19,2,FALSE)</f>
        <v>Alkalmazott (ipari) kutatás</v>
      </c>
      <c r="D321" s="138" t="s">
        <v>123</v>
      </c>
      <c r="E321" s="95" t="str">
        <f>VLOOKUP($F321,Admin!$D$11:$F$19,3,FALSE)</f>
        <v>54. Bérköltség - technikus segédszemélyzet</v>
      </c>
      <c r="F321" s="139" t="s">
        <v>214</v>
      </c>
      <c r="G321" s="100" t="s">
        <v>180</v>
      </c>
      <c r="H321" s="100" t="s">
        <v>144</v>
      </c>
      <c r="I321" s="139" t="str">
        <f>VLOOKUP($F321,Admin!$D$11:$G$19,4,FALSE)</f>
        <v>Technikus</v>
      </c>
      <c r="J321" s="100" t="s">
        <v>223</v>
      </c>
      <c r="K321" s="95" t="str">
        <f t="shared" si="250"/>
        <v>2020.08</v>
      </c>
      <c r="L321" s="101" t="s">
        <v>6</v>
      </c>
      <c r="M321" s="96" t="s">
        <v>70</v>
      </c>
      <c r="N321" s="102">
        <v>350000</v>
      </c>
      <c r="O321" s="97">
        <f t="shared" si="251"/>
        <v>54250</v>
      </c>
      <c r="P321" s="104">
        <v>174</v>
      </c>
      <c r="Q321" s="104">
        <v>87</v>
      </c>
      <c r="R321" s="215">
        <f t="shared" si="248"/>
        <v>0.5</v>
      </c>
      <c r="S321" s="105">
        <f t="shared" si="5"/>
        <v>175000</v>
      </c>
      <c r="T321" s="98">
        <f t="shared" si="252"/>
        <v>27125</v>
      </c>
      <c r="U321" s="70">
        <f t="shared" si="249"/>
        <v>0</v>
      </c>
      <c r="V321" s="140">
        <v>0.155</v>
      </c>
      <c r="W321" s="209"/>
      <c r="X321" s="17">
        <v>43973</v>
      </c>
      <c r="Y321" s="12" t="s">
        <v>66</v>
      </c>
      <c r="Z321" s="12"/>
      <c r="AA321" s="12"/>
      <c r="AB321" s="3">
        <v>1</v>
      </c>
    </row>
    <row r="322" spans="1:28" s="3" customFormat="1" ht="14.45" customHeight="1" x14ac:dyDescent="0.25">
      <c r="A322" s="141">
        <v>1</v>
      </c>
      <c r="B322" s="99" t="s">
        <v>192</v>
      </c>
      <c r="C322" s="95" t="str">
        <f>VLOOKUP($F322,Admin!$D$11:$F$19,2,FALSE)</f>
        <v>Alkalmazott (ipari) kutatás</v>
      </c>
      <c r="D322" s="138" t="s">
        <v>123</v>
      </c>
      <c r="E322" s="95" t="str">
        <f>VLOOKUP($F322,Admin!$D$11:$F$19,3,FALSE)</f>
        <v>54. Bérköltség - technikus segédszemélyzet</v>
      </c>
      <c r="F322" s="139" t="s">
        <v>214</v>
      </c>
      <c r="G322" s="100" t="s">
        <v>180</v>
      </c>
      <c r="H322" s="100" t="s">
        <v>144</v>
      </c>
      <c r="I322" s="139" t="str">
        <f>VLOOKUP($F322,Admin!$D$11:$G$19,4,FALSE)</f>
        <v>Technikus</v>
      </c>
      <c r="J322" s="100" t="s">
        <v>224</v>
      </c>
      <c r="K322" s="95" t="str">
        <f t="shared" si="250"/>
        <v>2020.09</v>
      </c>
      <c r="L322" s="101" t="s">
        <v>6</v>
      </c>
      <c r="M322" s="96" t="s">
        <v>70</v>
      </c>
      <c r="N322" s="102">
        <v>350000</v>
      </c>
      <c r="O322" s="97">
        <f t="shared" si="251"/>
        <v>54250</v>
      </c>
      <c r="P322" s="104">
        <v>174</v>
      </c>
      <c r="Q322" s="104">
        <v>87</v>
      </c>
      <c r="R322" s="215">
        <f t="shared" si="248"/>
        <v>0.5</v>
      </c>
      <c r="S322" s="105">
        <f t="shared" si="5"/>
        <v>175000</v>
      </c>
      <c r="T322" s="98">
        <f t="shared" si="252"/>
        <v>27125</v>
      </c>
      <c r="U322" s="70">
        <f t="shared" si="249"/>
        <v>0</v>
      </c>
      <c r="V322" s="140">
        <v>0.155</v>
      </c>
      <c r="W322" s="209"/>
      <c r="X322" s="17">
        <v>43973</v>
      </c>
      <c r="Y322" s="12" t="s">
        <v>66</v>
      </c>
      <c r="Z322" s="12"/>
      <c r="AA322" s="12"/>
      <c r="AB322" s="3">
        <v>1</v>
      </c>
    </row>
    <row r="323" spans="1:28" s="3" customFormat="1" ht="14.45" customHeight="1" x14ac:dyDescent="0.25">
      <c r="A323" s="141">
        <v>1</v>
      </c>
      <c r="B323" s="99" t="s">
        <v>192</v>
      </c>
      <c r="C323" s="95" t="str">
        <f>VLOOKUP($F323,Admin!$D$11:$F$19,2,FALSE)</f>
        <v>Alkalmazott (ipari) kutatás</v>
      </c>
      <c r="D323" s="138" t="s">
        <v>123</v>
      </c>
      <c r="E323" s="95" t="str">
        <f>VLOOKUP($F323,Admin!$D$11:$F$19,3,FALSE)</f>
        <v>54. Bérköltség - technikus segédszemélyzet</v>
      </c>
      <c r="F323" s="139" t="s">
        <v>214</v>
      </c>
      <c r="G323" s="100" t="s">
        <v>180</v>
      </c>
      <c r="H323" s="100" t="s">
        <v>144</v>
      </c>
      <c r="I323" s="139" t="str">
        <f>VLOOKUP($F323,Admin!$D$11:$G$19,4,FALSE)</f>
        <v>Technikus</v>
      </c>
      <c r="J323" s="100" t="s">
        <v>225</v>
      </c>
      <c r="K323" s="95" t="str">
        <f t="shared" si="250"/>
        <v>2020.10</v>
      </c>
      <c r="L323" s="101" t="s">
        <v>6</v>
      </c>
      <c r="M323" s="96" t="s">
        <v>70</v>
      </c>
      <c r="N323" s="102">
        <v>350000</v>
      </c>
      <c r="O323" s="97">
        <f t="shared" si="251"/>
        <v>54250</v>
      </c>
      <c r="P323" s="104">
        <v>174</v>
      </c>
      <c r="Q323" s="104">
        <v>87</v>
      </c>
      <c r="R323" s="215">
        <f t="shared" si="248"/>
        <v>0.5</v>
      </c>
      <c r="S323" s="105">
        <f t="shared" si="5"/>
        <v>175000</v>
      </c>
      <c r="T323" s="98">
        <f t="shared" si="252"/>
        <v>27125</v>
      </c>
      <c r="U323" s="70">
        <f t="shared" si="249"/>
        <v>0</v>
      </c>
      <c r="V323" s="140">
        <v>0.155</v>
      </c>
      <c r="W323" s="209"/>
      <c r="X323" s="17">
        <v>43973</v>
      </c>
      <c r="Y323" s="12" t="s">
        <v>66</v>
      </c>
      <c r="Z323" s="12"/>
      <c r="AA323" s="12"/>
      <c r="AB323" s="3">
        <v>1</v>
      </c>
    </row>
    <row r="324" spans="1:28" s="3" customFormat="1" ht="14.45" customHeight="1" x14ac:dyDescent="0.25">
      <c r="A324" s="141">
        <v>1</v>
      </c>
      <c r="B324" s="99" t="s">
        <v>192</v>
      </c>
      <c r="C324" s="95" t="str">
        <f>VLOOKUP($F324,Admin!$D$11:$F$19,2,FALSE)</f>
        <v>Alkalmazott (ipari) kutatás</v>
      </c>
      <c r="D324" s="138" t="s">
        <v>123</v>
      </c>
      <c r="E324" s="95" t="str">
        <f>VLOOKUP($F324,Admin!$D$11:$F$19,3,FALSE)</f>
        <v>54. Bérköltség - technikus segédszemélyzet</v>
      </c>
      <c r="F324" s="139" t="s">
        <v>214</v>
      </c>
      <c r="G324" s="100" t="s">
        <v>180</v>
      </c>
      <c r="H324" s="100" t="s">
        <v>144</v>
      </c>
      <c r="I324" s="139" t="str">
        <f>VLOOKUP($F324,Admin!$D$11:$G$19,4,FALSE)</f>
        <v>Technikus</v>
      </c>
      <c r="J324" s="100" t="s">
        <v>226</v>
      </c>
      <c r="K324" s="95" t="str">
        <f t="shared" si="250"/>
        <v>2020.11</v>
      </c>
      <c r="L324" s="101" t="s">
        <v>6</v>
      </c>
      <c r="M324" s="96" t="s">
        <v>70</v>
      </c>
      <c r="N324" s="102">
        <v>350000</v>
      </c>
      <c r="O324" s="97">
        <f t="shared" si="251"/>
        <v>54250</v>
      </c>
      <c r="P324" s="104">
        <v>174</v>
      </c>
      <c r="Q324" s="104">
        <v>87</v>
      </c>
      <c r="R324" s="215">
        <f t="shared" si="248"/>
        <v>0.5</v>
      </c>
      <c r="S324" s="105">
        <f t="shared" si="5"/>
        <v>175000</v>
      </c>
      <c r="T324" s="98">
        <f t="shared" si="252"/>
        <v>27125</v>
      </c>
      <c r="U324" s="70">
        <f t="shared" si="249"/>
        <v>0</v>
      </c>
      <c r="V324" s="140">
        <v>0.155</v>
      </c>
      <c r="W324" s="209"/>
      <c r="X324" s="17">
        <v>43973</v>
      </c>
      <c r="Y324" s="12" t="s">
        <v>66</v>
      </c>
      <c r="Z324" s="12"/>
      <c r="AA324" s="12"/>
      <c r="AB324" s="3">
        <v>1</v>
      </c>
    </row>
    <row r="325" spans="1:28" s="3" customFormat="1" ht="14.45" customHeight="1" x14ac:dyDescent="0.25">
      <c r="A325" s="141">
        <v>1</v>
      </c>
      <c r="B325" s="99" t="s">
        <v>192</v>
      </c>
      <c r="C325" s="95" t="str">
        <f>VLOOKUP($F325,Admin!$D$11:$F$19,2,FALSE)</f>
        <v>Alkalmazott (ipari) kutatás</v>
      </c>
      <c r="D325" s="138" t="s">
        <v>123</v>
      </c>
      <c r="E325" s="95" t="str">
        <f>VLOOKUP($F325,Admin!$D$11:$F$19,3,FALSE)</f>
        <v>54. Bérköltség - technikus segédszemélyzet</v>
      </c>
      <c r="F325" s="139" t="s">
        <v>214</v>
      </c>
      <c r="G325" s="100" t="s">
        <v>180</v>
      </c>
      <c r="H325" s="100" t="s">
        <v>144</v>
      </c>
      <c r="I325" s="139" t="str">
        <f>VLOOKUP($F325,Admin!$D$11:$G$19,4,FALSE)</f>
        <v>Technikus</v>
      </c>
      <c r="J325" s="100" t="s">
        <v>30</v>
      </c>
      <c r="K325" s="95" t="str">
        <f t="shared" si="250"/>
        <v>2020.12</v>
      </c>
      <c r="L325" s="101" t="s">
        <v>6</v>
      </c>
      <c r="M325" s="96" t="s">
        <v>70</v>
      </c>
      <c r="N325" s="102">
        <v>350000</v>
      </c>
      <c r="O325" s="97">
        <f t="shared" si="251"/>
        <v>54250</v>
      </c>
      <c r="P325" s="104">
        <v>174</v>
      </c>
      <c r="Q325" s="104">
        <v>87</v>
      </c>
      <c r="R325" s="215">
        <f t="shared" si="248"/>
        <v>0.5</v>
      </c>
      <c r="S325" s="105">
        <f t="shared" si="5"/>
        <v>175000</v>
      </c>
      <c r="T325" s="98">
        <f t="shared" si="252"/>
        <v>27125</v>
      </c>
      <c r="U325" s="70">
        <f t="shared" si="249"/>
        <v>0</v>
      </c>
      <c r="V325" s="140">
        <v>0.155</v>
      </c>
      <c r="W325" s="209"/>
      <c r="X325" s="17">
        <v>43973</v>
      </c>
      <c r="Y325" s="12" t="s">
        <v>66</v>
      </c>
      <c r="Z325" s="12"/>
      <c r="AA325" s="12"/>
      <c r="AB325" s="3">
        <v>1</v>
      </c>
    </row>
    <row r="326" spans="1:28" s="3" customFormat="1" ht="14.45" customHeight="1" x14ac:dyDescent="0.25">
      <c r="A326" s="141">
        <v>1</v>
      </c>
      <c r="B326" s="99" t="s">
        <v>192</v>
      </c>
      <c r="C326" s="95" t="str">
        <f>VLOOKUP($F326,Admin!$D$11:$F$19,2,FALSE)</f>
        <v>Alkalmazott (ipari) kutatás</v>
      </c>
      <c r="D326" s="138" t="s">
        <v>123</v>
      </c>
      <c r="E326" s="95" t="str">
        <f>VLOOKUP($F326,Admin!$D$11:$F$19,3,FALSE)</f>
        <v>54. Bérköltség - technikus segédszemélyzet</v>
      </c>
      <c r="F326" s="139" t="s">
        <v>214</v>
      </c>
      <c r="G326" s="100" t="s">
        <v>180</v>
      </c>
      <c r="H326" s="100" t="s">
        <v>144</v>
      </c>
      <c r="I326" s="139" t="str">
        <f>VLOOKUP($F326,Admin!$D$11:$G$19,4,FALSE)</f>
        <v>Technikus</v>
      </c>
      <c r="J326" s="100" t="s">
        <v>31</v>
      </c>
      <c r="K326" s="95" t="str">
        <f t="shared" si="250"/>
        <v>2021.01</v>
      </c>
      <c r="L326" s="101" t="s">
        <v>6</v>
      </c>
      <c r="M326" s="96" t="s">
        <v>70</v>
      </c>
      <c r="N326" s="102">
        <v>350000</v>
      </c>
      <c r="O326" s="97">
        <f t="shared" si="251"/>
        <v>54250</v>
      </c>
      <c r="P326" s="104">
        <v>174</v>
      </c>
      <c r="Q326" s="104">
        <v>87</v>
      </c>
      <c r="R326" s="215">
        <f t="shared" si="248"/>
        <v>0.5</v>
      </c>
      <c r="S326" s="105">
        <f t="shared" si="5"/>
        <v>175000</v>
      </c>
      <c r="T326" s="98">
        <f t="shared" si="252"/>
        <v>27125</v>
      </c>
      <c r="U326" s="70">
        <f t="shared" si="249"/>
        <v>0</v>
      </c>
      <c r="V326" s="140">
        <v>0.155</v>
      </c>
      <c r="W326" s="209"/>
      <c r="X326" s="17">
        <v>44186</v>
      </c>
      <c r="Y326" s="12" t="s">
        <v>66</v>
      </c>
      <c r="Z326" s="12"/>
      <c r="AA326" s="12"/>
      <c r="AB326" s="3">
        <v>1</v>
      </c>
    </row>
    <row r="327" spans="1:28" s="3" customFormat="1" ht="14.45" customHeight="1" x14ac:dyDescent="0.25">
      <c r="A327" s="141">
        <v>2</v>
      </c>
      <c r="B327" s="99" t="s">
        <v>192</v>
      </c>
      <c r="C327" s="95" t="str">
        <f>VLOOKUP($F327,Admin!$D$11:$F$19,2,FALSE)</f>
        <v>Kísérleti fejlesztés</v>
      </c>
      <c r="D327" s="138" t="s">
        <v>123</v>
      </c>
      <c r="E327" s="95" t="str">
        <f>VLOOKUP($F327,Admin!$D$11:$F$19,3,FALSE)</f>
        <v>54. Bérköltség - technikus segédszemélyzet</v>
      </c>
      <c r="F327" s="139" t="s">
        <v>215</v>
      </c>
      <c r="G327" s="100" t="s">
        <v>180</v>
      </c>
      <c r="H327" s="100" t="s">
        <v>144</v>
      </c>
      <c r="I327" s="139" t="str">
        <f>VLOOKUP($F327,Admin!$D$11:$G$19,4,FALSE)</f>
        <v>Technikus</v>
      </c>
      <c r="J327" s="100" t="s">
        <v>32</v>
      </c>
      <c r="K327" s="95" t="str">
        <f t="shared" si="250"/>
        <v>2021.02</v>
      </c>
      <c r="L327" s="101" t="s">
        <v>6</v>
      </c>
      <c r="M327" s="96" t="s">
        <v>70</v>
      </c>
      <c r="N327" s="102">
        <v>350000</v>
      </c>
      <c r="O327" s="97">
        <f t="shared" si="251"/>
        <v>54250</v>
      </c>
      <c r="P327" s="104">
        <v>174</v>
      </c>
      <c r="Q327" s="104">
        <v>87</v>
      </c>
      <c r="R327" s="215">
        <f t="shared" si="248"/>
        <v>0.5</v>
      </c>
      <c r="S327" s="105">
        <f t="shared" si="5"/>
        <v>175000</v>
      </c>
      <c r="T327" s="98">
        <f t="shared" si="252"/>
        <v>27125</v>
      </c>
      <c r="U327" s="70">
        <f t="shared" si="249"/>
        <v>0</v>
      </c>
      <c r="V327" s="140">
        <v>0.155</v>
      </c>
      <c r="W327" s="209"/>
      <c r="X327" s="17">
        <v>44216</v>
      </c>
      <c r="Y327" s="12" t="s">
        <v>66</v>
      </c>
      <c r="Z327" s="12"/>
      <c r="AA327" s="12"/>
      <c r="AB327" s="3">
        <v>1</v>
      </c>
    </row>
    <row r="328" spans="1:28" s="3" customFormat="1" ht="14.45" customHeight="1" x14ac:dyDescent="0.25">
      <c r="A328" s="141">
        <v>2</v>
      </c>
      <c r="B328" s="99" t="s">
        <v>192</v>
      </c>
      <c r="C328" s="95" t="str">
        <f>VLOOKUP($F328,Admin!$D$11:$F$19,2,FALSE)</f>
        <v>Kísérleti fejlesztés</v>
      </c>
      <c r="D328" s="138" t="s">
        <v>123</v>
      </c>
      <c r="E328" s="95" t="str">
        <f>VLOOKUP($F328,Admin!$D$11:$F$19,3,FALSE)</f>
        <v>54. Bérköltség - technikus segédszemélyzet</v>
      </c>
      <c r="F328" s="139" t="s">
        <v>215</v>
      </c>
      <c r="G328" s="100" t="s">
        <v>180</v>
      </c>
      <c r="H328" s="100" t="s">
        <v>144</v>
      </c>
      <c r="I328" s="139" t="str">
        <f>VLOOKUP($F328,Admin!$D$11:$G$19,4,FALSE)</f>
        <v>Technikus</v>
      </c>
      <c r="J328" s="100" t="s">
        <v>33</v>
      </c>
      <c r="K328" s="95" t="str">
        <f t="shared" si="250"/>
        <v>2021.03</v>
      </c>
      <c r="L328" s="101" t="s">
        <v>6</v>
      </c>
      <c r="M328" s="96" t="s">
        <v>70</v>
      </c>
      <c r="N328" s="102">
        <v>350000</v>
      </c>
      <c r="O328" s="97">
        <f t="shared" si="251"/>
        <v>54250</v>
      </c>
      <c r="P328" s="104">
        <v>174</v>
      </c>
      <c r="Q328" s="104">
        <v>87</v>
      </c>
      <c r="R328" s="215">
        <f t="shared" si="248"/>
        <v>0.5</v>
      </c>
      <c r="S328" s="105">
        <f t="shared" si="5"/>
        <v>175000</v>
      </c>
      <c r="T328" s="98">
        <f t="shared" si="252"/>
        <v>27125</v>
      </c>
      <c r="U328" s="70">
        <f t="shared" si="249"/>
        <v>0</v>
      </c>
      <c r="V328" s="140">
        <v>0.155</v>
      </c>
      <c r="W328" s="209"/>
      <c r="X328" s="17">
        <v>44216</v>
      </c>
      <c r="Y328" s="12" t="s">
        <v>66</v>
      </c>
      <c r="Z328" s="12"/>
      <c r="AA328" s="12"/>
      <c r="AB328" s="3">
        <v>1</v>
      </c>
    </row>
    <row r="329" spans="1:28" s="3" customFormat="1" ht="14.45" customHeight="1" x14ac:dyDescent="0.25">
      <c r="A329" s="141">
        <v>2</v>
      </c>
      <c r="B329" s="99" t="s">
        <v>192</v>
      </c>
      <c r="C329" s="95" t="str">
        <f>VLOOKUP($F329,Admin!$D$11:$F$19,2,FALSE)</f>
        <v>Kísérleti fejlesztés</v>
      </c>
      <c r="D329" s="138" t="s">
        <v>123</v>
      </c>
      <c r="E329" s="95" t="str">
        <f>VLOOKUP($F329,Admin!$D$11:$F$19,3,FALSE)</f>
        <v>54. Bérköltség - technikus segédszemélyzet</v>
      </c>
      <c r="F329" s="139" t="s">
        <v>215</v>
      </c>
      <c r="G329" s="100" t="s">
        <v>180</v>
      </c>
      <c r="H329" s="100" t="s">
        <v>144</v>
      </c>
      <c r="I329" s="139" t="str">
        <f>VLOOKUP($F329,Admin!$D$11:$G$19,4,FALSE)</f>
        <v>Technikus</v>
      </c>
      <c r="J329" s="100" t="s">
        <v>34</v>
      </c>
      <c r="K329" s="95" t="str">
        <f t="shared" si="250"/>
        <v>2021.04</v>
      </c>
      <c r="L329" s="101" t="s">
        <v>6</v>
      </c>
      <c r="M329" s="96" t="s">
        <v>70</v>
      </c>
      <c r="N329" s="102">
        <v>350000</v>
      </c>
      <c r="O329" s="97">
        <f t="shared" si="251"/>
        <v>54250</v>
      </c>
      <c r="P329" s="104">
        <v>174</v>
      </c>
      <c r="Q329" s="104">
        <v>87</v>
      </c>
      <c r="R329" s="215">
        <f t="shared" si="248"/>
        <v>0.5</v>
      </c>
      <c r="S329" s="105">
        <f t="shared" si="5"/>
        <v>175000</v>
      </c>
      <c r="T329" s="98">
        <f t="shared" si="252"/>
        <v>27125</v>
      </c>
      <c r="U329" s="70">
        <f t="shared" si="249"/>
        <v>0</v>
      </c>
      <c r="V329" s="140">
        <v>0.155</v>
      </c>
      <c r="W329" s="209"/>
      <c r="X329" s="17">
        <v>44216</v>
      </c>
      <c r="Y329" s="12" t="s">
        <v>66</v>
      </c>
      <c r="Z329" s="12"/>
      <c r="AA329" s="12"/>
      <c r="AB329" s="3">
        <v>1</v>
      </c>
    </row>
    <row r="330" spans="1:28" s="3" customFormat="1" ht="14.45" customHeight="1" x14ac:dyDescent="0.25">
      <c r="A330" s="141">
        <v>2</v>
      </c>
      <c r="B330" s="99" t="s">
        <v>192</v>
      </c>
      <c r="C330" s="95" t="str">
        <f>VLOOKUP($F330,Admin!$D$11:$F$19,2,FALSE)</f>
        <v>Kísérleti fejlesztés</v>
      </c>
      <c r="D330" s="138" t="s">
        <v>123</v>
      </c>
      <c r="E330" s="95" t="str">
        <f>VLOOKUP($F330,Admin!$D$11:$F$19,3,FALSE)</f>
        <v>54. Bérköltség - technikus segédszemélyzet</v>
      </c>
      <c r="F330" s="139" t="s">
        <v>215</v>
      </c>
      <c r="G330" s="100" t="s">
        <v>180</v>
      </c>
      <c r="H330" s="100" t="s">
        <v>144</v>
      </c>
      <c r="I330" s="139" t="str">
        <f>VLOOKUP($F330,Admin!$D$11:$G$19,4,FALSE)</f>
        <v>Technikus</v>
      </c>
      <c r="J330" s="100" t="s">
        <v>35</v>
      </c>
      <c r="K330" s="95" t="str">
        <f t="shared" si="250"/>
        <v>2021.05</v>
      </c>
      <c r="L330" s="101" t="s">
        <v>6</v>
      </c>
      <c r="M330" s="96" t="s">
        <v>70</v>
      </c>
      <c r="N330" s="102">
        <v>350000</v>
      </c>
      <c r="O330" s="97">
        <f t="shared" si="251"/>
        <v>54250</v>
      </c>
      <c r="P330" s="104">
        <v>174</v>
      </c>
      <c r="Q330" s="104">
        <v>87</v>
      </c>
      <c r="R330" s="215">
        <f t="shared" si="248"/>
        <v>0.5</v>
      </c>
      <c r="S330" s="105">
        <f t="shared" si="5"/>
        <v>175000</v>
      </c>
      <c r="T330" s="98">
        <f t="shared" si="252"/>
        <v>27125</v>
      </c>
      <c r="U330" s="70">
        <f t="shared" si="249"/>
        <v>0</v>
      </c>
      <c r="V330" s="140">
        <v>0.155</v>
      </c>
      <c r="W330" s="209"/>
      <c r="X330" s="17">
        <v>44216</v>
      </c>
      <c r="Y330" s="12" t="s">
        <v>66</v>
      </c>
      <c r="Z330" s="12"/>
      <c r="AA330" s="12"/>
      <c r="AB330" s="3">
        <v>1</v>
      </c>
    </row>
    <row r="331" spans="1:28" s="3" customFormat="1" ht="14.45" customHeight="1" x14ac:dyDescent="0.25">
      <c r="A331" s="141">
        <v>2</v>
      </c>
      <c r="B331" s="99" t="s">
        <v>192</v>
      </c>
      <c r="C331" s="95" t="str">
        <f>VLOOKUP($F331,Admin!$D$11:$F$19,2,FALSE)</f>
        <v>Kísérleti fejlesztés</v>
      </c>
      <c r="D331" s="138" t="s">
        <v>123</v>
      </c>
      <c r="E331" s="95" t="str">
        <f>VLOOKUP($F331,Admin!$D$11:$F$19,3,FALSE)</f>
        <v>54. Bérköltség - technikus segédszemélyzet</v>
      </c>
      <c r="F331" s="139" t="s">
        <v>215</v>
      </c>
      <c r="G331" s="100" t="s">
        <v>180</v>
      </c>
      <c r="H331" s="100" t="s">
        <v>144</v>
      </c>
      <c r="I331" s="139" t="str">
        <f>VLOOKUP($F331,Admin!$D$11:$G$19,4,FALSE)</f>
        <v>Technikus</v>
      </c>
      <c r="J331" s="100" t="s">
        <v>36</v>
      </c>
      <c r="K331" s="95" t="str">
        <f t="shared" si="250"/>
        <v>2021.06</v>
      </c>
      <c r="L331" s="101" t="s">
        <v>6</v>
      </c>
      <c r="M331" s="96" t="s">
        <v>70</v>
      </c>
      <c r="N331" s="102">
        <v>350000</v>
      </c>
      <c r="O331" s="97">
        <f t="shared" si="251"/>
        <v>54250</v>
      </c>
      <c r="P331" s="104">
        <v>174</v>
      </c>
      <c r="Q331" s="104">
        <v>87</v>
      </c>
      <c r="R331" s="215">
        <f t="shared" si="248"/>
        <v>0.5</v>
      </c>
      <c r="S331" s="105">
        <f t="shared" si="5"/>
        <v>175000</v>
      </c>
      <c r="T331" s="98">
        <f t="shared" si="252"/>
        <v>27125</v>
      </c>
      <c r="U331" s="70">
        <f t="shared" si="249"/>
        <v>0</v>
      </c>
      <c r="V331" s="140">
        <v>0.155</v>
      </c>
      <c r="W331" s="209"/>
      <c r="X331" s="17">
        <v>44216</v>
      </c>
      <c r="Y331" s="12" t="s">
        <v>66</v>
      </c>
      <c r="Z331" s="12"/>
      <c r="AA331" s="12"/>
      <c r="AB331" s="3">
        <v>1</v>
      </c>
    </row>
    <row r="332" spans="1:28" s="3" customFormat="1" ht="14.45" customHeight="1" x14ac:dyDescent="0.25">
      <c r="A332" s="141">
        <v>2</v>
      </c>
      <c r="B332" s="99" t="s">
        <v>192</v>
      </c>
      <c r="C332" s="95" t="str">
        <f>VLOOKUP($F332,Admin!$D$11:$F$19,2,FALSE)</f>
        <v>Kísérleti fejlesztés</v>
      </c>
      <c r="D332" s="138" t="s">
        <v>123</v>
      </c>
      <c r="E332" s="95" t="str">
        <f>VLOOKUP($F332,Admin!$D$11:$F$19,3,FALSE)</f>
        <v>54. Bérköltség - technikus segédszemélyzet</v>
      </c>
      <c r="F332" s="139" t="s">
        <v>215</v>
      </c>
      <c r="G332" s="100" t="s">
        <v>180</v>
      </c>
      <c r="H332" s="100" t="s">
        <v>144</v>
      </c>
      <c r="I332" s="139" t="str">
        <f>VLOOKUP($F332,Admin!$D$11:$G$19,4,FALSE)</f>
        <v>Technikus</v>
      </c>
      <c r="J332" s="100" t="s">
        <v>37</v>
      </c>
      <c r="K332" s="95" t="str">
        <f t="shared" si="250"/>
        <v>2021.07</v>
      </c>
      <c r="L332" s="101" t="s">
        <v>6</v>
      </c>
      <c r="M332" s="96" t="s">
        <v>70</v>
      </c>
      <c r="N332" s="102">
        <v>350000</v>
      </c>
      <c r="O332" s="97">
        <f t="shared" si="251"/>
        <v>54250</v>
      </c>
      <c r="P332" s="104">
        <v>174</v>
      </c>
      <c r="Q332" s="104">
        <v>87</v>
      </c>
      <c r="R332" s="215">
        <f t="shared" si="248"/>
        <v>0.5</v>
      </c>
      <c r="S332" s="105">
        <f t="shared" si="5"/>
        <v>175000</v>
      </c>
      <c r="T332" s="98">
        <f t="shared" si="252"/>
        <v>27125</v>
      </c>
      <c r="U332" s="70">
        <f t="shared" si="249"/>
        <v>0</v>
      </c>
      <c r="V332" s="140">
        <v>0.155</v>
      </c>
      <c r="W332" s="209"/>
      <c r="X332" s="17">
        <v>44362</v>
      </c>
      <c r="Y332" s="12" t="s">
        <v>66</v>
      </c>
      <c r="Z332" s="12"/>
      <c r="AA332" s="12"/>
      <c r="AB332" s="3">
        <v>1</v>
      </c>
    </row>
    <row r="333" spans="1:28" s="3" customFormat="1" ht="14.45" customHeight="1" x14ac:dyDescent="0.25">
      <c r="A333" s="141">
        <v>2</v>
      </c>
      <c r="B333" s="99" t="s">
        <v>192</v>
      </c>
      <c r="C333" s="95" t="str">
        <f>VLOOKUP($F333,Admin!$D$11:$F$19,2,FALSE)</f>
        <v>Kísérleti fejlesztés</v>
      </c>
      <c r="D333" s="138" t="s">
        <v>123</v>
      </c>
      <c r="E333" s="95" t="str">
        <f>VLOOKUP($F333,Admin!$D$11:$F$19,3,FALSE)</f>
        <v>54. Bérköltség - technikus segédszemélyzet</v>
      </c>
      <c r="F333" s="139" t="s">
        <v>215</v>
      </c>
      <c r="G333" s="100" t="s">
        <v>180</v>
      </c>
      <c r="H333" s="100" t="s">
        <v>144</v>
      </c>
      <c r="I333" s="139" t="str">
        <f>VLOOKUP($F333,Admin!$D$11:$G$19,4,FALSE)</f>
        <v>Technikus</v>
      </c>
      <c r="J333" s="100" t="s">
        <v>38</v>
      </c>
      <c r="K333" s="95" t="str">
        <f t="shared" si="250"/>
        <v>2021.08</v>
      </c>
      <c r="L333" s="101" t="s">
        <v>6</v>
      </c>
      <c r="M333" s="96" t="s">
        <v>70</v>
      </c>
      <c r="N333" s="102">
        <v>349999</v>
      </c>
      <c r="O333" s="97">
        <f t="shared" si="251"/>
        <v>54250</v>
      </c>
      <c r="P333" s="104">
        <v>174</v>
      </c>
      <c r="Q333" s="104">
        <v>87</v>
      </c>
      <c r="R333" s="215">
        <f t="shared" si="248"/>
        <v>0.5</v>
      </c>
      <c r="S333" s="105">
        <f t="shared" si="5"/>
        <v>175000</v>
      </c>
      <c r="T333" s="98">
        <f t="shared" si="252"/>
        <v>27125</v>
      </c>
      <c r="U333" s="70">
        <f t="shared" si="249"/>
        <v>-1.4285755102205755E-6</v>
      </c>
      <c r="V333" s="140">
        <v>0.155</v>
      </c>
      <c r="W333" s="209"/>
      <c r="X333" s="17">
        <v>44362</v>
      </c>
      <c r="Y333" s="12" t="s">
        <v>66</v>
      </c>
      <c r="Z333" s="12"/>
      <c r="AA333" s="12"/>
      <c r="AB333" s="3">
        <v>1</v>
      </c>
    </row>
    <row r="334" spans="1:28" s="3" customFormat="1" ht="14.45" customHeight="1" x14ac:dyDescent="0.25">
      <c r="A334" s="141">
        <v>2</v>
      </c>
      <c r="B334" s="99" t="s">
        <v>192</v>
      </c>
      <c r="C334" s="95" t="str">
        <f>VLOOKUP($F334,Admin!$D$11:$F$19,2,FALSE)</f>
        <v>Kísérleti fejlesztés</v>
      </c>
      <c r="D334" s="138" t="s">
        <v>123</v>
      </c>
      <c r="E334" s="95" t="str">
        <f>VLOOKUP($F334,Admin!$D$11:$F$19,3,FALSE)</f>
        <v>54. Bérköltség - technikus segédszemélyzet</v>
      </c>
      <c r="F334" s="139" t="s">
        <v>215</v>
      </c>
      <c r="G334" s="100" t="s">
        <v>180</v>
      </c>
      <c r="H334" s="100" t="s">
        <v>144</v>
      </c>
      <c r="I334" s="139" t="str">
        <f>VLOOKUP($F334,Admin!$D$11:$G$19,4,FALSE)</f>
        <v>Technikus</v>
      </c>
      <c r="J334" s="100" t="s">
        <v>39</v>
      </c>
      <c r="K334" s="95" t="str">
        <f t="shared" si="250"/>
        <v>2021.09</v>
      </c>
      <c r="L334" s="101" t="s">
        <v>6</v>
      </c>
      <c r="M334" s="96" t="s">
        <v>70</v>
      </c>
      <c r="N334" s="102">
        <v>350000</v>
      </c>
      <c r="O334" s="97">
        <f t="shared" si="251"/>
        <v>54250</v>
      </c>
      <c r="P334" s="104">
        <v>174</v>
      </c>
      <c r="Q334" s="104">
        <v>87</v>
      </c>
      <c r="R334" s="215">
        <f t="shared" si="248"/>
        <v>0.5</v>
      </c>
      <c r="S334" s="105">
        <f t="shared" si="5"/>
        <v>175000</v>
      </c>
      <c r="T334" s="98">
        <f t="shared" si="252"/>
        <v>27125</v>
      </c>
      <c r="U334" s="70">
        <f t="shared" si="249"/>
        <v>0</v>
      </c>
      <c r="V334" s="140">
        <v>0.155</v>
      </c>
      <c r="W334" s="209"/>
      <c r="X334" s="17">
        <v>44362</v>
      </c>
      <c r="Y334" s="12" t="s">
        <v>66</v>
      </c>
      <c r="Z334" s="12"/>
      <c r="AA334" s="12"/>
      <c r="AB334" s="3">
        <v>1</v>
      </c>
    </row>
    <row r="335" spans="1:28" s="3" customFormat="1" ht="14.45" customHeight="1" x14ac:dyDescent="0.25">
      <c r="A335" s="141">
        <v>2</v>
      </c>
      <c r="B335" s="99" t="s">
        <v>192</v>
      </c>
      <c r="C335" s="95" t="str">
        <f>VLOOKUP($F335,Admin!$D$11:$F$19,2,FALSE)</f>
        <v>Kísérleti fejlesztés</v>
      </c>
      <c r="D335" s="138" t="s">
        <v>123</v>
      </c>
      <c r="E335" s="95" t="str">
        <f>VLOOKUP($F335,Admin!$D$11:$F$19,3,FALSE)</f>
        <v>54. Bérköltség - technikus segédszemélyzet</v>
      </c>
      <c r="F335" s="139" t="s">
        <v>215</v>
      </c>
      <c r="G335" s="100" t="s">
        <v>180</v>
      </c>
      <c r="H335" s="100" t="s">
        <v>144</v>
      </c>
      <c r="I335" s="139" t="str">
        <f>VLOOKUP($F335,Admin!$D$11:$G$19,4,FALSE)</f>
        <v>Technikus</v>
      </c>
      <c r="J335" s="100" t="s">
        <v>40</v>
      </c>
      <c r="K335" s="95" t="str">
        <f t="shared" si="250"/>
        <v>2021.10</v>
      </c>
      <c r="L335" s="101" t="s">
        <v>6</v>
      </c>
      <c r="M335" s="96" t="s">
        <v>70</v>
      </c>
      <c r="N335" s="102">
        <v>410000</v>
      </c>
      <c r="O335" s="97">
        <f t="shared" si="251"/>
        <v>63550</v>
      </c>
      <c r="P335" s="104">
        <v>174</v>
      </c>
      <c r="Q335" s="104">
        <v>87</v>
      </c>
      <c r="R335" s="215">
        <f t="shared" si="248"/>
        <v>0.5</v>
      </c>
      <c r="S335" s="105">
        <f t="shared" si="5"/>
        <v>205000</v>
      </c>
      <c r="T335" s="98">
        <f t="shared" si="252"/>
        <v>31775</v>
      </c>
      <c r="U335" s="70">
        <f t="shared" si="249"/>
        <v>0</v>
      </c>
      <c r="V335" s="140">
        <v>0.155</v>
      </c>
      <c r="W335" s="209"/>
      <c r="X335" s="17">
        <v>44362</v>
      </c>
      <c r="Y335" s="12" t="s">
        <v>66</v>
      </c>
      <c r="Z335" s="12"/>
      <c r="AA335" s="12"/>
      <c r="AB335" s="3">
        <v>1</v>
      </c>
    </row>
    <row r="336" spans="1:28" s="3" customFormat="1" ht="14.45" customHeight="1" x14ac:dyDescent="0.25">
      <c r="A336" s="141">
        <v>2</v>
      </c>
      <c r="B336" s="99" t="s">
        <v>192</v>
      </c>
      <c r="C336" s="95" t="str">
        <f>VLOOKUP($F336,Admin!$D$11:$F$19,2,FALSE)</f>
        <v>Kísérleti fejlesztés</v>
      </c>
      <c r="D336" s="138" t="s">
        <v>123</v>
      </c>
      <c r="E336" s="95" t="str">
        <f>VLOOKUP($F336,Admin!$D$11:$F$19,3,FALSE)</f>
        <v>54. Bérköltség - technikus segédszemélyzet</v>
      </c>
      <c r="F336" s="139" t="s">
        <v>215</v>
      </c>
      <c r="G336" s="100" t="s">
        <v>180</v>
      </c>
      <c r="H336" s="100" t="s">
        <v>144</v>
      </c>
      <c r="I336" s="139" t="str">
        <f>VLOOKUP($F336,Admin!$D$11:$G$19,4,FALSE)</f>
        <v>Technikus</v>
      </c>
      <c r="J336" s="100" t="s">
        <v>41</v>
      </c>
      <c r="K336" s="95" t="str">
        <f t="shared" si="250"/>
        <v>2021.11</v>
      </c>
      <c r="L336" s="101" t="s">
        <v>6</v>
      </c>
      <c r="M336" s="96" t="s">
        <v>70</v>
      </c>
      <c r="N336" s="102">
        <v>410000</v>
      </c>
      <c r="O336" s="97">
        <f t="shared" si="251"/>
        <v>63550</v>
      </c>
      <c r="P336" s="104">
        <v>174</v>
      </c>
      <c r="Q336" s="104">
        <v>87</v>
      </c>
      <c r="R336" s="215">
        <f t="shared" si="248"/>
        <v>0.5</v>
      </c>
      <c r="S336" s="105">
        <v>175000</v>
      </c>
      <c r="T336" s="98">
        <f t="shared" si="252"/>
        <v>27125</v>
      </c>
      <c r="U336" s="70">
        <f t="shared" si="249"/>
        <v>7.3170731707317083E-2</v>
      </c>
      <c r="V336" s="140">
        <v>0.155</v>
      </c>
      <c r="W336" s="209"/>
      <c r="X336" s="17">
        <v>44511</v>
      </c>
      <c r="Y336" s="12" t="s">
        <v>66</v>
      </c>
      <c r="Z336" s="12"/>
      <c r="AA336" s="12"/>
      <c r="AB336" s="3">
        <v>1</v>
      </c>
    </row>
    <row r="337" spans="1:31" s="3" customFormat="1" ht="14.45" customHeight="1" x14ac:dyDescent="0.25">
      <c r="A337" s="141">
        <v>2</v>
      </c>
      <c r="B337" s="99" t="s">
        <v>192</v>
      </c>
      <c r="C337" s="95" t="str">
        <f>VLOOKUP($F337,Admin!$D$11:$F$19,2,FALSE)</f>
        <v>Kísérleti fejlesztés</v>
      </c>
      <c r="D337" s="138" t="s">
        <v>123</v>
      </c>
      <c r="E337" s="95" t="str">
        <f>VLOOKUP($F337,Admin!$D$11:$F$19,3,FALSE)</f>
        <v>54. Bérköltség - technikus segédszemélyzet</v>
      </c>
      <c r="F337" s="139" t="s">
        <v>215</v>
      </c>
      <c r="G337" s="100" t="s">
        <v>180</v>
      </c>
      <c r="H337" s="100" t="s">
        <v>144</v>
      </c>
      <c r="I337" s="139" t="str">
        <f>VLOOKUP($F337,Admin!$D$11:$G$19,4,FALSE)</f>
        <v>Technikus</v>
      </c>
      <c r="J337" s="100" t="s">
        <v>42</v>
      </c>
      <c r="K337" s="95" t="str">
        <f t="shared" si="250"/>
        <v>2021.12</v>
      </c>
      <c r="L337" s="101" t="s">
        <v>6</v>
      </c>
      <c r="M337" s="96" t="s">
        <v>70</v>
      </c>
      <c r="N337" s="102">
        <v>410000</v>
      </c>
      <c r="O337" s="97">
        <f t="shared" si="251"/>
        <v>63550</v>
      </c>
      <c r="P337" s="104">
        <v>174</v>
      </c>
      <c r="Q337" s="104">
        <v>87</v>
      </c>
      <c r="R337" s="215">
        <f t="shared" si="248"/>
        <v>0.5</v>
      </c>
      <c r="S337" s="105">
        <v>175000</v>
      </c>
      <c r="T337" s="98">
        <f t="shared" si="252"/>
        <v>27125</v>
      </c>
      <c r="U337" s="70">
        <f t="shared" si="249"/>
        <v>7.3170731707317083E-2</v>
      </c>
      <c r="V337" s="140">
        <v>0.155</v>
      </c>
      <c r="W337" s="209"/>
      <c r="X337" s="17">
        <v>44511</v>
      </c>
      <c r="Y337" s="12" t="s">
        <v>66</v>
      </c>
      <c r="Z337" s="12"/>
      <c r="AA337" s="12"/>
      <c r="AB337" s="3">
        <v>1</v>
      </c>
    </row>
    <row r="338" spans="1:31" s="3" customFormat="1" ht="14.45" customHeight="1" x14ac:dyDescent="0.25">
      <c r="A338" s="141">
        <v>2</v>
      </c>
      <c r="B338" s="99" t="s">
        <v>192</v>
      </c>
      <c r="C338" s="95" t="str">
        <f>VLOOKUP($F338,Admin!$D$11:$F$19,2,FALSE)</f>
        <v>Kísérleti fejlesztés</v>
      </c>
      <c r="D338" s="138" t="s">
        <v>123</v>
      </c>
      <c r="E338" s="95" t="str">
        <f>VLOOKUP($F338,Admin!$D$11:$F$19,3,FALSE)</f>
        <v>54. Bérköltség - technikus segédszemélyzet</v>
      </c>
      <c r="F338" s="139" t="s">
        <v>215</v>
      </c>
      <c r="G338" s="100" t="s">
        <v>180</v>
      </c>
      <c r="H338" s="100" t="s">
        <v>144</v>
      </c>
      <c r="I338" s="139" t="str">
        <f>VLOOKUP($F338,Admin!$D$11:$G$19,4,FALSE)</f>
        <v>Technikus</v>
      </c>
      <c r="J338" s="100" t="s">
        <v>43</v>
      </c>
      <c r="K338" s="95" t="str">
        <f t="shared" si="250"/>
        <v>2022.01</v>
      </c>
      <c r="L338" s="101" t="s">
        <v>6</v>
      </c>
      <c r="M338" s="96" t="s">
        <v>70</v>
      </c>
      <c r="N338" s="102">
        <v>426357</v>
      </c>
      <c r="O338" s="97">
        <f t="shared" si="251"/>
        <v>55426</v>
      </c>
      <c r="P338" s="104">
        <v>174</v>
      </c>
      <c r="Q338" s="104">
        <v>66</v>
      </c>
      <c r="R338" s="215">
        <f t="shared" si="248"/>
        <v>0.37931034482758619</v>
      </c>
      <c r="S338" s="105">
        <f t="shared" si="5"/>
        <v>161722</v>
      </c>
      <c r="T338" s="98">
        <f t="shared" si="252"/>
        <v>21024</v>
      </c>
      <c r="U338" s="70">
        <f t="shared" si="249"/>
        <v>-8.8965431510601434E-7</v>
      </c>
      <c r="V338" s="140">
        <v>0.13</v>
      </c>
      <c r="W338" s="209"/>
      <c r="X338" s="17">
        <v>44564</v>
      </c>
      <c r="Y338" s="12" t="s">
        <v>66</v>
      </c>
      <c r="Z338" s="12"/>
      <c r="AA338" s="12"/>
      <c r="AB338" s="3">
        <v>1</v>
      </c>
    </row>
    <row r="339" spans="1:31" s="3" customFormat="1" ht="14.45" customHeight="1" x14ac:dyDescent="0.25">
      <c r="A339" s="141">
        <v>3</v>
      </c>
      <c r="B339" s="99" t="s">
        <v>192</v>
      </c>
      <c r="C339" s="95" t="str">
        <f>VLOOKUP($F339,Admin!$D$11:$F$19,2,FALSE)</f>
        <v>Kísérleti fejlesztés</v>
      </c>
      <c r="D339" s="138" t="s">
        <v>123</v>
      </c>
      <c r="E339" s="95" t="str">
        <f>VLOOKUP($F339,Admin!$D$11:$F$19,3,FALSE)</f>
        <v>54. Bérköltség - technikus segédszemélyzet</v>
      </c>
      <c r="F339" s="139" t="s">
        <v>215</v>
      </c>
      <c r="G339" s="100" t="s">
        <v>180</v>
      </c>
      <c r="H339" s="100" t="s">
        <v>144</v>
      </c>
      <c r="I339" s="139" t="str">
        <f>VLOOKUP($F339,Admin!$D$11:$G$19,4,FALSE)</f>
        <v>Technikus</v>
      </c>
      <c r="J339" s="100" t="s">
        <v>44</v>
      </c>
      <c r="K339" s="95" t="str">
        <f t="shared" si="250"/>
        <v>2022.02</v>
      </c>
      <c r="L339" s="101" t="s">
        <v>6</v>
      </c>
      <c r="M339" s="96" t="s">
        <v>70</v>
      </c>
      <c r="N339" s="102">
        <v>463000</v>
      </c>
      <c r="O339" s="97">
        <f t="shared" si="251"/>
        <v>60190</v>
      </c>
      <c r="P339" s="104">
        <v>174</v>
      </c>
      <c r="Q339" s="104">
        <v>98</v>
      </c>
      <c r="R339" s="215">
        <f t="shared" si="248"/>
        <v>0.56321839080459768</v>
      </c>
      <c r="S339" s="105">
        <f t="shared" si="5"/>
        <v>260770</v>
      </c>
      <c r="T339" s="98">
        <f t="shared" si="252"/>
        <v>33900</v>
      </c>
      <c r="U339" s="70">
        <f t="shared" si="249"/>
        <v>2.4825600153377536E-7</v>
      </c>
      <c r="V339" s="140">
        <v>0.13</v>
      </c>
      <c r="W339" s="209"/>
      <c r="X339" s="17">
        <v>44595</v>
      </c>
      <c r="Y339" s="12" t="s">
        <v>66</v>
      </c>
      <c r="Z339" s="12"/>
      <c r="AA339" s="12"/>
      <c r="AB339" s="3">
        <v>1</v>
      </c>
    </row>
    <row r="340" spans="1:31" s="3" customFormat="1" ht="14.45" customHeight="1" x14ac:dyDescent="0.25">
      <c r="A340" s="141">
        <v>3</v>
      </c>
      <c r="B340" s="99" t="s">
        <v>192</v>
      </c>
      <c r="C340" s="95" t="str">
        <f>VLOOKUP($F340,Admin!$D$11:$F$19,2,FALSE)</f>
        <v>Kísérleti fejlesztés</v>
      </c>
      <c r="D340" s="138" t="s">
        <v>123</v>
      </c>
      <c r="E340" s="95" t="str">
        <f>VLOOKUP($F340,Admin!$D$11:$F$19,3,FALSE)</f>
        <v>54. Bérköltség - technikus segédszemélyzet</v>
      </c>
      <c r="F340" s="139" t="s">
        <v>215</v>
      </c>
      <c r="G340" s="100" t="s">
        <v>180</v>
      </c>
      <c r="H340" s="100" t="s">
        <v>144</v>
      </c>
      <c r="I340" s="139" t="str">
        <f>VLOOKUP($F340,Admin!$D$11:$G$19,4,FALSE)</f>
        <v>Technikus</v>
      </c>
      <c r="J340" s="100" t="s">
        <v>45</v>
      </c>
      <c r="K340" s="95" t="str">
        <f t="shared" si="250"/>
        <v>2022.03</v>
      </c>
      <c r="L340" s="101" t="s">
        <v>6</v>
      </c>
      <c r="M340" s="96" t="s">
        <v>70</v>
      </c>
      <c r="N340" s="102">
        <v>463000</v>
      </c>
      <c r="O340" s="97">
        <f t="shared" si="251"/>
        <v>60190</v>
      </c>
      <c r="P340" s="104">
        <v>174</v>
      </c>
      <c r="Q340" s="104">
        <v>98</v>
      </c>
      <c r="R340" s="215">
        <f t="shared" si="248"/>
        <v>0.56321839080459768</v>
      </c>
      <c r="S340" s="105">
        <f t="shared" si="5"/>
        <v>260770</v>
      </c>
      <c r="T340" s="98">
        <f t="shared" si="252"/>
        <v>33900</v>
      </c>
      <c r="U340" s="70">
        <f t="shared" si="249"/>
        <v>2.4825600153377536E-7</v>
      </c>
      <c r="V340" s="140">
        <v>0.13</v>
      </c>
      <c r="W340" s="209"/>
      <c r="X340" s="17">
        <v>44595</v>
      </c>
      <c r="Y340" s="12" t="s">
        <v>66</v>
      </c>
      <c r="Z340" s="12"/>
      <c r="AA340" s="12"/>
      <c r="AB340" s="3">
        <v>1</v>
      </c>
    </row>
    <row r="341" spans="1:31" s="3" customFormat="1" ht="14.45" customHeight="1" x14ac:dyDescent="0.25">
      <c r="A341" s="141">
        <v>3</v>
      </c>
      <c r="B341" s="99" t="s">
        <v>192</v>
      </c>
      <c r="C341" s="95" t="str">
        <f>VLOOKUP($F341,Admin!$D$11:$F$19,2,FALSE)</f>
        <v>Kísérleti fejlesztés</v>
      </c>
      <c r="D341" s="138" t="s">
        <v>123</v>
      </c>
      <c r="E341" s="95" t="str">
        <f>VLOOKUP($F341,Admin!$D$11:$F$19,3,FALSE)</f>
        <v>54. Bérköltség - technikus segédszemélyzet</v>
      </c>
      <c r="F341" s="139" t="s">
        <v>215</v>
      </c>
      <c r="G341" s="100" t="s">
        <v>180</v>
      </c>
      <c r="H341" s="100" t="s">
        <v>144</v>
      </c>
      <c r="I341" s="139" t="str">
        <f>VLOOKUP($F341,Admin!$D$11:$G$19,4,FALSE)</f>
        <v>Technikus</v>
      </c>
      <c r="J341" s="100" t="s">
        <v>46</v>
      </c>
      <c r="K341" s="95" t="str">
        <f t="shared" ref="K341" si="540">J341</f>
        <v>2022.04</v>
      </c>
      <c r="L341" s="101" t="s">
        <v>6</v>
      </c>
      <c r="M341" s="96" t="s">
        <v>70</v>
      </c>
      <c r="N341" s="102">
        <v>463000</v>
      </c>
      <c r="O341" s="97">
        <f t="shared" ref="O341" si="541">ROUND(N341*V341,0)</f>
        <v>60190</v>
      </c>
      <c r="P341" s="104">
        <v>174</v>
      </c>
      <c r="Q341" s="104">
        <v>98</v>
      </c>
      <c r="R341" s="215">
        <f t="shared" ref="R341" si="542">Q341/P341</f>
        <v>0.56321839080459768</v>
      </c>
      <c r="S341" s="105">
        <f t="shared" ref="S341" si="543">ROUND(N341*Q341/P341,0)</f>
        <v>260770</v>
      </c>
      <c r="T341" s="98">
        <f t="shared" ref="T341" si="544">ROUND(S341*V341,0)</f>
        <v>33900</v>
      </c>
      <c r="U341" s="70">
        <f t="shared" ref="U341" si="545">Q341/P341-S341/N341</f>
        <v>2.4825600153377536E-7</v>
      </c>
      <c r="V341" s="140">
        <v>0.13</v>
      </c>
      <c r="W341" s="209"/>
      <c r="X341" s="17">
        <v>44644</v>
      </c>
      <c r="Y341" s="12" t="s">
        <v>66</v>
      </c>
      <c r="Z341" s="12"/>
      <c r="AA341" s="12"/>
      <c r="AB341" s="3">
        <v>1</v>
      </c>
    </row>
    <row r="342" spans="1:31" s="3" customFormat="1" ht="14.45" customHeight="1" x14ac:dyDescent="0.25">
      <c r="A342" s="141">
        <v>3</v>
      </c>
      <c r="B342" s="99" t="s">
        <v>192</v>
      </c>
      <c r="C342" s="95" t="str">
        <f>VLOOKUP($F342,Admin!$D$11:$F$19,2,FALSE)</f>
        <v>Kísérleti fejlesztés</v>
      </c>
      <c r="D342" s="138" t="s">
        <v>123</v>
      </c>
      <c r="E342" s="95" t="str">
        <f>VLOOKUP($F342,Admin!$D$11:$F$19,3,FALSE)</f>
        <v>54. Bérköltség - technikus segédszemélyzet</v>
      </c>
      <c r="F342" s="139" t="s">
        <v>215</v>
      </c>
      <c r="G342" s="100" t="s">
        <v>180</v>
      </c>
      <c r="H342" s="100" t="s">
        <v>144</v>
      </c>
      <c r="I342" s="139" t="str">
        <f>VLOOKUP($F342,Admin!$D$11:$G$19,4,FALSE)</f>
        <v>Technikus</v>
      </c>
      <c r="J342" s="100" t="s">
        <v>47</v>
      </c>
      <c r="K342" s="95" t="str">
        <f t="shared" ref="K342:K346" si="546">J342</f>
        <v>2022.05</v>
      </c>
      <c r="L342" s="101" t="s">
        <v>6</v>
      </c>
      <c r="M342" s="96" t="s">
        <v>70</v>
      </c>
      <c r="N342" s="102">
        <v>463000</v>
      </c>
      <c r="O342" s="97">
        <f t="shared" ref="O342:O346" si="547">ROUND(N342*V342,0)</f>
        <v>60190</v>
      </c>
      <c r="P342" s="104">
        <v>174</v>
      </c>
      <c r="Q342" s="104">
        <v>98</v>
      </c>
      <c r="R342" s="215">
        <f t="shared" ref="R342:R346" si="548">Q342/P342</f>
        <v>0.56321839080459768</v>
      </c>
      <c r="S342" s="105">
        <f t="shared" ref="S342:S346" si="549">ROUND(N342*Q342/P342,0)</f>
        <v>260770</v>
      </c>
      <c r="T342" s="98">
        <f t="shared" ref="T342:T346" si="550">ROUND(S342*V342,0)</f>
        <v>33900</v>
      </c>
      <c r="U342" s="70">
        <f t="shared" ref="U342:U346" si="551">Q342/P342-S342/N342</f>
        <v>2.4825600153377536E-7</v>
      </c>
      <c r="V342" s="140">
        <v>0.13</v>
      </c>
      <c r="W342" s="209"/>
      <c r="X342" s="17">
        <v>44644</v>
      </c>
      <c r="Y342" s="12" t="s">
        <v>66</v>
      </c>
      <c r="Z342" s="12"/>
      <c r="AA342" s="12"/>
      <c r="AB342" s="3">
        <v>1</v>
      </c>
    </row>
    <row r="343" spans="1:31" s="3" customFormat="1" ht="14.45" customHeight="1" x14ac:dyDescent="0.25">
      <c r="A343" s="141">
        <v>3</v>
      </c>
      <c r="B343" s="99" t="s">
        <v>192</v>
      </c>
      <c r="C343" s="95" t="str">
        <f>VLOOKUP($F343,Admin!$D$11:$F$19,2,FALSE)</f>
        <v>Kísérleti fejlesztés</v>
      </c>
      <c r="D343" s="138" t="s">
        <v>123</v>
      </c>
      <c r="E343" s="95" t="str">
        <f>VLOOKUP($F343,Admin!$D$11:$F$19,3,FALSE)</f>
        <v>54. Bérköltség - technikus segédszemélyzet</v>
      </c>
      <c r="F343" s="139" t="s">
        <v>215</v>
      </c>
      <c r="G343" s="100" t="s">
        <v>180</v>
      </c>
      <c r="H343" s="100" t="s">
        <v>144</v>
      </c>
      <c r="I343" s="139" t="str">
        <f>VLOOKUP($F343,Admin!$D$11:$G$19,4,FALSE)</f>
        <v>Technikus</v>
      </c>
      <c r="J343" s="100" t="s">
        <v>48</v>
      </c>
      <c r="K343" s="95" t="str">
        <f t="shared" si="546"/>
        <v>2022.06</v>
      </c>
      <c r="L343" s="101" t="s">
        <v>6</v>
      </c>
      <c r="M343" s="96" t="s">
        <v>70</v>
      </c>
      <c r="N343" s="102">
        <v>463000</v>
      </c>
      <c r="O343" s="97">
        <f t="shared" si="547"/>
        <v>60190</v>
      </c>
      <c r="P343" s="104">
        <v>174</v>
      </c>
      <c r="Q343" s="104">
        <v>98</v>
      </c>
      <c r="R343" s="215">
        <f t="shared" si="548"/>
        <v>0.56321839080459768</v>
      </c>
      <c r="S343" s="105">
        <f t="shared" si="549"/>
        <v>260770</v>
      </c>
      <c r="T343" s="98">
        <f t="shared" si="550"/>
        <v>33900</v>
      </c>
      <c r="U343" s="70">
        <f t="shared" si="551"/>
        <v>2.4825600153377536E-7</v>
      </c>
      <c r="V343" s="140">
        <v>0.13</v>
      </c>
      <c r="W343" s="209"/>
      <c r="X343" s="17">
        <v>44644</v>
      </c>
      <c r="Y343" s="12" t="s">
        <v>66</v>
      </c>
      <c r="Z343" s="12"/>
      <c r="AA343" s="12"/>
      <c r="AB343" s="3">
        <v>1</v>
      </c>
    </row>
    <row r="344" spans="1:31" s="3" customFormat="1" ht="14.45" customHeight="1" x14ac:dyDescent="0.25">
      <c r="A344" s="141">
        <v>3</v>
      </c>
      <c r="B344" s="99" t="s">
        <v>192</v>
      </c>
      <c r="C344" s="95" t="str">
        <f>VLOOKUP($F344,Admin!$D$11:$F$19,2,FALSE)</f>
        <v>Kísérleti fejlesztés</v>
      </c>
      <c r="D344" s="138" t="s">
        <v>123</v>
      </c>
      <c r="E344" s="95" t="str">
        <f>VLOOKUP($F344,Admin!$D$11:$F$19,3,FALSE)</f>
        <v>54. Bérköltség - technikus segédszemélyzet</v>
      </c>
      <c r="F344" s="139" t="s">
        <v>215</v>
      </c>
      <c r="G344" s="100" t="s">
        <v>180</v>
      </c>
      <c r="H344" s="100" t="s">
        <v>144</v>
      </c>
      <c r="I344" s="139" t="str">
        <f>VLOOKUP($F344,Admin!$D$11:$G$19,4,FALSE)</f>
        <v>Technikus</v>
      </c>
      <c r="J344" s="100" t="s">
        <v>49</v>
      </c>
      <c r="K344" s="95" t="str">
        <f t="shared" si="546"/>
        <v>2022.07</v>
      </c>
      <c r="L344" s="101" t="s">
        <v>6</v>
      </c>
      <c r="M344" s="96" t="s">
        <v>70</v>
      </c>
      <c r="N344" s="102">
        <v>463000</v>
      </c>
      <c r="O344" s="97">
        <f t="shared" si="547"/>
        <v>60190</v>
      </c>
      <c r="P344" s="104">
        <v>174</v>
      </c>
      <c r="Q344" s="104">
        <v>98</v>
      </c>
      <c r="R344" s="215">
        <f t="shared" si="548"/>
        <v>0.56321839080459768</v>
      </c>
      <c r="S344" s="105">
        <f t="shared" si="549"/>
        <v>260770</v>
      </c>
      <c r="T344" s="98">
        <f t="shared" si="550"/>
        <v>33900</v>
      </c>
      <c r="U344" s="70">
        <f t="shared" si="551"/>
        <v>2.4825600153377536E-7</v>
      </c>
      <c r="V344" s="140">
        <v>0.13</v>
      </c>
      <c r="W344" s="209"/>
      <c r="X344" s="17">
        <v>44644</v>
      </c>
      <c r="Y344" s="12" t="s">
        <v>66</v>
      </c>
      <c r="Z344" s="12"/>
      <c r="AA344" s="12"/>
      <c r="AB344" s="3">
        <v>1</v>
      </c>
    </row>
    <row r="345" spans="1:31" s="3" customFormat="1" ht="14.45" customHeight="1" x14ac:dyDescent="0.25">
      <c r="A345" s="141">
        <v>3</v>
      </c>
      <c r="B345" s="99" t="s">
        <v>192</v>
      </c>
      <c r="C345" s="95" t="str">
        <f>VLOOKUP($F345,Admin!$D$11:$F$19,2,FALSE)</f>
        <v>Kísérleti fejlesztés</v>
      </c>
      <c r="D345" s="138" t="s">
        <v>123</v>
      </c>
      <c r="E345" s="95" t="str">
        <f>VLOOKUP($F345,Admin!$D$11:$F$19,3,FALSE)</f>
        <v>54. Bérköltség - technikus segédszemélyzet</v>
      </c>
      <c r="F345" s="139" t="s">
        <v>215</v>
      </c>
      <c r="G345" s="100" t="s">
        <v>180</v>
      </c>
      <c r="H345" s="100" t="s">
        <v>144</v>
      </c>
      <c r="I345" s="139" t="str">
        <f>VLOOKUP($F345,Admin!$D$11:$G$19,4,FALSE)</f>
        <v>Technikus</v>
      </c>
      <c r="J345" s="100" t="s">
        <v>50</v>
      </c>
      <c r="K345" s="95" t="str">
        <f t="shared" si="546"/>
        <v>2022.08</v>
      </c>
      <c r="L345" s="101" t="s">
        <v>6</v>
      </c>
      <c r="M345" s="96" t="s">
        <v>70</v>
      </c>
      <c r="N345" s="102">
        <v>390608</v>
      </c>
      <c r="O345" s="97">
        <f t="shared" si="547"/>
        <v>50779</v>
      </c>
      <c r="P345" s="104">
        <v>174</v>
      </c>
      <c r="Q345" s="104">
        <v>98</v>
      </c>
      <c r="R345" s="215">
        <f t="shared" si="548"/>
        <v>0.56321839080459768</v>
      </c>
      <c r="S345" s="105">
        <f t="shared" si="549"/>
        <v>219998</v>
      </c>
      <c r="T345" s="98">
        <f t="shared" si="550"/>
        <v>28600</v>
      </c>
      <c r="U345" s="70">
        <f t="shared" si="551"/>
        <v>-1.0005033120874529E-6</v>
      </c>
      <c r="V345" s="140">
        <v>0.13</v>
      </c>
      <c r="W345" s="209"/>
      <c r="X345" s="17">
        <v>44644</v>
      </c>
      <c r="Y345" s="12" t="s">
        <v>66</v>
      </c>
      <c r="Z345" s="12"/>
      <c r="AA345" s="12"/>
      <c r="AB345" s="3">
        <v>1</v>
      </c>
    </row>
    <row r="346" spans="1:31" s="3" customFormat="1" ht="14.45" customHeight="1" x14ac:dyDescent="0.25">
      <c r="A346" s="141">
        <v>3</v>
      </c>
      <c r="B346" s="99" t="s">
        <v>192</v>
      </c>
      <c r="C346" s="95" t="str">
        <f>VLOOKUP($F346,Admin!$D$11:$F$19,2,FALSE)</f>
        <v>Kísérleti fejlesztés</v>
      </c>
      <c r="D346" s="138" t="s">
        <v>123</v>
      </c>
      <c r="E346" s="95" t="str">
        <f>VLOOKUP($F346,Admin!$D$11:$F$19,3,FALSE)</f>
        <v>54. Bérköltség - technikus segédszemélyzet</v>
      </c>
      <c r="F346" s="139" t="s">
        <v>215</v>
      </c>
      <c r="G346" s="100" t="s">
        <v>180</v>
      </c>
      <c r="H346" s="100" t="s">
        <v>144</v>
      </c>
      <c r="I346" s="139" t="str">
        <f>VLOOKUP($F346,Admin!$D$11:$G$19,4,FALSE)</f>
        <v>Technikus</v>
      </c>
      <c r="J346" s="100" t="s">
        <v>51</v>
      </c>
      <c r="K346" s="95" t="str">
        <f t="shared" si="546"/>
        <v>2022.09</v>
      </c>
      <c r="L346" s="101" t="s">
        <v>6</v>
      </c>
      <c r="M346" s="96" t="s">
        <v>70</v>
      </c>
      <c r="N346" s="102">
        <v>463000</v>
      </c>
      <c r="O346" s="97">
        <f t="shared" si="547"/>
        <v>60190</v>
      </c>
      <c r="P346" s="104">
        <v>174</v>
      </c>
      <c r="Q346" s="104">
        <v>98</v>
      </c>
      <c r="R346" s="215">
        <f t="shared" si="548"/>
        <v>0.56321839080459768</v>
      </c>
      <c r="S346" s="105">
        <f t="shared" si="549"/>
        <v>260770</v>
      </c>
      <c r="T346" s="98">
        <f t="shared" si="550"/>
        <v>33900</v>
      </c>
      <c r="U346" s="70">
        <f t="shared" si="551"/>
        <v>2.4825600153377536E-7</v>
      </c>
      <c r="V346" s="140">
        <v>0.13</v>
      </c>
      <c r="W346" s="209"/>
      <c r="X346" s="17">
        <v>44644</v>
      </c>
      <c r="Y346" s="12" t="s">
        <v>66</v>
      </c>
      <c r="Z346" s="12"/>
      <c r="AA346" s="12"/>
      <c r="AB346" s="3">
        <v>1</v>
      </c>
    </row>
    <row r="347" spans="1:31" s="3" customFormat="1" ht="14.45" customHeight="1" x14ac:dyDescent="0.25">
      <c r="A347" s="141">
        <v>3</v>
      </c>
      <c r="B347" s="99" t="s">
        <v>192</v>
      </c>
      <c r="C347" s="95" t="str">
        <f>VLOOKUP($F347,Admin!$D$11:$F$19,2,FALSE)</f>
        <v>Kísérleti fejlesztés</v>
      </c>
      <c r="D347" s="138" t="s">
        <v>123</v>
      </c>
      <c r="E347" s="95" t="str">
        <f>VLOOKUP($F347,Admin!$D$11:$F$19,3,FALSE)</f>
        <v>54. Bérköltség - technikus segédszemélyzet</v>
      </c>
      <c r="F347" s="139" t="s">
        <v>215</v>
      </c>
      <c r="G347" s="100" t="s">
        <v>180</v>
      </c>
      <c r="H347" s="100" t="s">
        <v>144</v>
      </c>
      <c r="I347" s="139" t="str">
        <f>VLOOKUP($F347,Admin!$D$11:$G$19,4,FALSE)</f>
        <v>Technikus</v>
      </c>
      <c r="J347" s="100" t="s">
        <v>52</v>
      </c>
      <c r="K347" s="95" t="str">
        <f t="shared" ref="K347:K349" si="552">J347</f>
        <v>2022.10</v>
      </c>
      <c r="L347" s="101" t="s">
        <v>6</v>
      </c>
      <c r="M347" s="96" t="s">
        <v>70</v>
      </c>
      <c r="N347" s="102">
        <v>463000</v>
      </c>
      <c r="O347" s="97">
        <f t="shared" ref="O347" si="553">ROUND(N347*V347,0)</f>
        <v>60190</v>
      </c>
      <c r="P347" s="104">
        <v>174</v>
      </c>
      <c r="Q347" s="104">
        <v>98</v>
      </c>
      <c r="R347" s="215">
        <f t="shared" ref="R347" si="554">Q347/P347</f>
        <v>0.56321839080459768</v>
      </c>
      <c r="S347" s="105">
        <f t="shared" ref="S347" si="555">ROUND(N347*Q347/P347,0)</f>
        <v>260770</v>
      </c>
      <c r="T347" s="98">
        <f t="shared" ref="T347" si="556">ROUND(S347*V347,0)</f>
        <v>33900</v>
      </c>
      <c r="U347" s="70">
        <f t="shared" ref="U347" si="557">Q347/P347-S347/N347</f>
        <v>2.4825600153377536E-7</v>
      </c>
      <c r="V347" s="140">
        <v>0.13</v>
      </c>
      <c r="W347" s="209"/>
      <c r="X347" s="17">
        <v>44825</v>
      </c>
      <c r="Y347" s="12" t="s">
        <v>66</v>
      </c>
      <c r="Z347" s="12"/>
      <c r="AA347" s="12"/>
      <c r="AB347" s="3">
        <v>1</v>
      </c>
    </row>
    <row r="348" spans="1:31" s="3" customFormat="1" ht="14.45" customHeight="1" x14ac:dyDescent="0.25">
      <c r="A348" s="141">
        <v>3</v>
      </c>
      <c r="B348" s="99" t="s">
        <v>192</v>
      </c>
      <c r="C348" s="95" t="str">
        <f>VLOOKUP($F348,Admin!$D$11:$F$19,2,FALSE)</f>
        <v>Kísérleti fejlesztés</v>
      </c>
      <c r="D348" s="138" t="s">
        <v>123</v>
      </c>
      <c r="E348" s="95" t="str">
        <f>VLOOKUP($F348,Admin!$D$11:$F$19,3,FALSE)</f>
        <v>54. Bérköltség - technikus segédszemélyzet</v>
      </c>
      <c r="F348" s="139" t="s">
        <v>215</v>
      </c>
      <c r="G348" s="100" t="s">
        <v>180</v>
      </c>
      <c r="H348" s="100" t="s">
        <v>144</v>
      </c>
      <c r="I348" s="139" t="str">
        <f>VLOOKUP($F348,Admin!$D$11:$G$19,4,FALSE)</f>
        <v>Technikus</v>
      </c>
      <c r="J348" s="100" t="s">
        <v>53</v>
      </c>
      <c r="K348" s="95" t="str">
        <f t="shared" si="552"/>
        <v>2022.11</v>
      </c>
      <c r="L348" s="101" t="s">
        <v>6</v>
      </c>
      <c r="M348" s="96" t="s">
        <v>70</v>
      </c>
      <c r="N348" s="102">
        <v>463000</v>
      </c>
      <c r="O348" s="97">
        <f t="shared" ref="O348:O349" si="558">ROUND(N348*V348,0)</f>
        <v>60190</v>
      </c>
      <c r="P348" s="104">
        <v>174</v>
      </c>
      <c r="Q348" s="104">
        <v>98</v>
      </c>
      <c r="R348" s="215">
        <f t="shared" ref="R348:R349" si="559">Q348/P348</f>
        <v>0.56321839080459768</v>
      </c>
      <c r="S348" s="105">
        <f t="shared" ref="S348:S349" si="560">ROUND(N348*Q348/P348,0)</f>
        <v>260770</v>
      </c>
      <c r="T348" s="98">
        <f t="shared" ref="T348:T349" si="561">ROUND(S348*V348,0)</f>
        <v>33900</v>
      </c>
      <c r="U348" s="70">
        <f t="shared" ref="U348:U349" si="562">Q348/P348-S348/N348</f>
        <v>2.4825600153377536E-7</v>
      </c>
      <c r="V348" s="140">
        <v>0.13</v>
      </c>
      <c r="W348" s="209" t="s">
        <v>280</v>
      </c>
      <c r="X348" s="17">
        <v>44825</v>
      </c>
      <c r="Y348" s="12" t="s">
        <v>66</v>
      </c>
      <c r="Z348" s="12"/>
      <c r="AA348" s="12"/>
      <c r="AB348" s="3">
        <v>1</v>
      </c>
    </row>
    <row r="349" spans="1:31" s="3" customFormat="1" ht="14.45" customHeight="1" x14ac:dyDescent="0.25">
      <c r="A349" s="141">
        <v>3</v>
      </c>
      <c r="B349" s="99" t="s">
        <v>192</v>
      </c>
      <c r="C349" s="95" t="str">
        <f>VLOOKUP($F349,Admin!$D$11:$F$19,2,FALSE)</f>
        <v>Kísérleti fejlesztés</v>
      </c>
      <c r="D349" s="138" t="s">
        <v>123</v>
      </c>
      <c r="E349" s="95" t="str">
        <f>VLOOKUP($F349,Admin!$D$11:$F$19,3,FALSE)</f>
        <v>54. Bérköltség - technikus segédszemélyzet</v>
      </c>
      <c r="F349" s="139" t="s">
        <v>215</v>
      </c>
      <c r="G349" s="100" t="s">
        <v>180</v>
      </c>
      <c r="H349" s="100" t="s">
        <v>144</v>
      </c>
      <c r="I349" s="139" t="str">
        <f>VLOOKUP($F349,Admin!$D$11:$G$19,4,FALSE)</f>
        <v>Technikus</v>
      </c>
      <c r="J349" s="100" t="s">
        <v>54</v>
      </c>
      <c r="K349" s="95" t="str">
        <f t="shared" si="552"/>
        <v>2022.12</v>
      </c>
      <c r="L349" s="101" t="s">
        <v>6</v>
      </c>
      <c r="M349" s="96" t="s">
        <v>70</v>
      </c>
      <c r="N349" s="102">
        <v>463000</v>
      </c>
      <c r="O349" s="97">
        <f t="shared" si="558"/>
        <v>60190</v>
      </c>
      <c r="P349" s="104">
        <v>174</v>
      </c>
      <c r="Q349" s="104">
        <v>98</v>
      </c>
      <c r="R349" s="215">
        <f t="shared" si="559"/>
        <v>0.56321839080459768</v>
      </c>
      <c r="S349" s="105">
        <f t="shared" si="560"/>
        <v>260770</v>
      </c>
      <c r="T349" s="98">
        <f t="shared" si="561"/>
        <v>33900</v>
      </c>
      <c r="U349" s="70">
        <f t="shared" si="562"/>
        <v>2.4825600153377536E-7</v>
      </c>
      <c r="V349" s="140">
        <v>0.13</v>
      </c>
      <c r="W349" s="209" t="s">
        <v>280</v>
      </c>
      <c r="X349" s="17">
        <v>44825</v>
      </c>
      <c r="Y349" s="12" t="s">
        <v>66</v>
      </c>
      <c r="Z349" s="12"/>
      <c r="AA349" s="12"/>
      <c r="AB349" s="3">
        <v>1</v>
      </c>
      <c r="AC349" s="204" t="s">
        <v>315</v>
      </c>
      <c r="AD349" s="205" t="s">
        <v>316</v>
      </c>
      <c r="AE349" s="205" t="s">
        <v>316</v>
      </c>
    </row>
    <row r="350" spans="1:31" s="3" customFormat="1" ht="14.45" customHeight="1" x14ac:dyDescent="0.25">
      <c r="A350" s="141">
        <v>3</v>
      </c>
      <c r="B350" s="99" t="s">
        <v>192</v>
      </c>
      <c r="C350" s="95" t="str">
        <f>VLOOKUP($F350,Admin!$D$11:$F$19,2,FALSE)</f>
        <v>Kísérleti fejlesztés</v>
      </c>
      <c r="D350" s="138" t="s">
        <v>123</v>
      </c>
      <c r="E350" s="95" t="str">
        <f>VLOOKUP($F350,Admin!$D$11:$F$19,3,FALSE)</f>
        <v>54. Bérköltség - technikus segédszemélyzet</v>
      </c>
      <c r="F350" s="139" t="s">
        <v>215</v>
      </c>
      <c r="G350" s="100" t="s">
        <v>180</v>
      </c>
      <c r="H350" s="100" t="s">
        <v>144</v>
      </c>
      <c r="I350" s="139" t="str">
        <f>VLOOKUP($F350,Admin!$D$11:$G$19,4,FALSE)</f>
        <v>Technikus</v>
      </c>
      <c r="J350" s="100" t="s">
        <v>257</v>
      </c>
      <c r="K350" s="95" t="str">
        <f t="shared" ref="K350" si="563">J350</f>
        <v>2023.01</v>
      </c>
      <c r="L350" s="101" t="s">
        <v>6</v>
      </c>
      <c r="M350" s="96" t="s">
        <v>70</v>
      </c>
      <c r="N350" s="102">
        <v>514300</v>
      </c>
      <c r="O350" s="97">
        <f t="shared" ref="O350" si="564">ROUND(N350*V350,0)</f>
        <v>66859</v>
      </c>
      <c r="P350" s="104">
        <v>174</v>
      </c>
      <c r="Q350" s="104">
        <v>88</v>
      </c>
      <c r="R350" s="215">
        <f t="shared" ref="R350" si="565">Q350/P350</f>
        <v>0.50574712643678166</v>
      </c>
      <c r="S350" s="105">
        <f t="shared" ref="S350" si="566">ROUND(N350*Q350/P350,0)</f>
        <v>260106</v>
      </c>
      <c r="T350" s="98">
        <f t="shared" ref="T350" si="567">ROUND(S350*V350,0)</f>
        <v>33814</v>
      </c>
      <c r="U350" s="70">
        <f t="shared" ref="U350" si="568">Q350/P350-S350/N350</f>
        <v>-4.9168493720941342E-7</v>
      </c>
      <c r="V350" s="140">
        <v>0.13</v>
      </c>
      <c r="W350" s="209" t="s">
        <v>280</v>
      </c>
      <c r="X350" s="17">
        <v>44944</v>
      </c>
      <c r="Y350" s="12" t="s">
        <v>66</v>
      </c>
      <c r="Z350" s="12"/>
      <c r="AA350" s="12"/>
      <c r="AB350" s="3">
        <v>1</v>
      </c>
      <c r="AC350" s="204" t="s">
        <v>315</v>
      </c>
      <c r="AD350" s="217">
        <v>11364</v>
      </c>
      <c r="AE350" s="217">
        <v>6500</v>
      </c>
    </row>
    <row r="351" spans="1:31" s="3" customFormat="1" ht="14.45" customHeight="1" x14ac:dyDescent="0.25">
      <c r="A351" s="141"/>
      <c r="B351" s="99" t="s">
        <v>192</v>
      </c>
      <c r="C351" s="95" t="str">
        <f>VLOOKUP($F351,Admin!$D$11:$F$19,2,FALSE)</f>
        <v>Kísérleti fejlesztés</v>
      </c>
      <c r="D351" s="138" t="s">
        <v>123</v>
      </c>
      <c r="E351" s="95" t="str">
        <f>VLOOKUP($F351,Admin!$D$11:$F$19,3,FALSE)</f>
        <v>54. Bérköltség - technikus segédszemélyzet</v>
      </c>
      <c r="F351" s="139" t="s">
        <v>215</v>
      </c>
      <c r="G351" s="100" t="s">
        <v>180</v>
      </c>
      <c r="H351" s="100" t="s">
        <v>144</v>
      </c>
      <c r="I351" s="139" t="str">
        <f>VLOOKUP($F351,Admin!$D$11:$G$19,4,FALSE)</f>
        <v>Technikus</v>
      </c>
      <c r="J351" s="100" t="s">
        <v>295</v>
      </c>
      <c r="K351" s="95" t="str">
        <f t="shared" ref="K351:K353" si="569">J351</f>
        <v>2023.02</v>
      </c>
      <c r="L351" s="101" t="s">
        <v>6</v>
      </c>
      <c r="M351" s="96" t="s">
        <v>70</v>
      </c>
      <c r="N351" s="102">
        <v>514300</v>
      </c>
      <c r="O351" s="97">
        <f t="shared" ref="O351" si="570">ROUND(N351*V351,0)</f>
        <v>66859</v>
      </c>
      <c r="P351" s="104">
        <v>174</v>
      </c>
      <c r="Q351" s="104">
        <v>88</v>
      </c>
      <c r="R351" s="215">
        <f t="shared" ref="R351" si="571">Q351/P351</f>
        <v>0.50574712643678166</v>
      </c>
      <c r="S351" s="105">
        <f t="shared" ref="S351" si="572">ROUND(N351*Q351/P351,0)</f>
        <v>260106</v>
      </c>
      <c r="T351" s="98">
        <f t="shared" ref="T351" si="573">ROUND(S351*V351,0)</f>
        <v>33814</v>
      </c>
      <c r="U351" s="70">
        <f t="shared" ref="U351" si="574">Q351/P351-S351/N351</f>
        <v>-4.9168493720941342E-7</v>
      </c>
      <c r="V351" s="140">
        <v>0.13</v>
      </c>
      <c r="W351" s="209" t="s">
        <v>280</v>
      </c>
      <c r="X351" s="17">
        <v>44956</v>
      </c>
      <c r="Y351" s="12" t="s">
        <v>66</v>
      </c>
      <c r="Z351" s="12"/>
      <c r="AA351" s="12"/>
      <c r="AB351" s="3">
        <v>1</v>
      </c>
      <c r="AC351" s="3" t="s">
        <v>315</v>
      </c>
      <c r="AD351" s="219">
        <v>4545</v>
      </c>
      <c r="AE351" s="219">
        <v>6500</v>
      </c>
    </row>
    <row r="352" spans="1:31" s="3" customFormat="1" ht="14.45" customHeight="1" x14ac:dyDescent="0.25">
      <c r="A352" s="141"/>
      <c r="B352" s="99" t="s">
        <v>192</v>
      </c>
      <c r="C352" s="95" t="str">
        <f>VLOOKUP($F352,Admin!$D$11:$F$19,2,FALSE)</f>
        <v>Kísérleti fejlesztés</v>
      </c>
      <c r="D352" s="138" t="s">
        <v>123</v>
      </c>
      <c r="E352" s="95" t="str">
        <f>VLOOKUP($F352,Admin!$D$11:$F$19,3,FALSE)</f>
        <v>54. Bérköltség - technikus segédszemélyzet</v>
      </c>
      <c r="F352" s="139" t="s">
        <v>215</v>
      </c>
      <c r="G352" s="100" t="s">
        <v>180</v>
      </c>
      <c r="H352" s="100" t="s">
        <v>144</v>
      </c>
      <c r="I352" s="139" t="str">
        <f>VLOOKUP($F352,Admin!$D$11:$G$19,4,FALSE)</f>
        <v>Technikus</v>
      </c>
      <c r="J352" s="100" t="s">
        <v>296</v>
      </c>
      <c r="K352" s="95" t="str">
        <f t="shared" si="569"/>
        <v>2023.03</v>
      </c>
      <c r="L352" s="101" t="s">
        <v>6</v>
      </c>
      <c r="M352" s="96" t="s">
        <v>70</v>
      </c>
      <c r="N352" s="102">
        <v>514300</v>
      </c>
      <c r="O352" s="97">
        <f t="shared" ref="O352:O353" si="575">ROUND(N352*V352,0)</f>
        <v>66859</v>
      </c>
      <c r="P352" s="104">
        <v>174</v>
      </c>
      <c r="Q352" s="104">
        <v>88</v>
      </c>
      <c r="R352" s="215">
        <f t="shared" ref="R352:R353" si="576">Q352/P352</f>
        <v>0.50574712643678166</v>
      </c>
      <c r="S352" s="105">
        <f t="shared" ref="S352:S353" si="577">ROUND(N352*Q352/P352,0)</f>
        <v>260106</v>
      </c>
      <c r="T352" s="98">
        <f t="shared" ref="T352:T353" si="578">ROUND(S352*V352,0)</f>
        <v>33814</v>
      </c>
      <c r="U352" s="70">
        <f t="shared" ref="U352:U353" si="579">Q352/P352-S352/N352</f>
        <v>-4.9168493720941342E-7</v>
      </c>
      <c r="V352" s="140">
        <v>0.13</v>
      </c>
      <c r="W352" s="209" t="s">
        <v>280</v>
      </c>
      <c r="X352" s="17">
        <v>44956</v>
      </c>
      <c r="Y352" s="12" t="s">
        <v>66</v>
      </c>
      <c r="Z352" s="12"/>
      <c r="AA352" s="12"/>
      <c r="AB352" s="3">
        <v>1</v>
      </c>
      <c r="AC352" s="3" t="s">
        <v>315</v>
      </c>
      <c r="AD352" s="219">
        <v>4545</v>
      </c>
      <c r="AE352" s="219">
        <v>6500</v>
      </c>
    </row>
    <row r="353" spans="1:31" s="3" customFormat="1" ht="14.45" customHeight="1" x14ac:dyDescent="0.25">
      <c r="A353" s="141"/>
      <c r="B353" s="99" t="s">
        <v>192</v>
      </c>
      <c r="C353" s="95" t="str">
        <f>VLOOKUP($F353,Admin!$D$11:$F$19,2,FALSE)</f>
        <v>Kísérleti fejlesztés</v>
      </c>
      <c r="D353" s="138" t="s">
        <v>123</v>
      </c>
      <c r="E353" s="95" t="str">
        <f>VLOOKUP($F353,Admin!$D$11:$F$19,3,FALSE)</f>
        <v>54. Bérköltség - technikus segédszemélyzet</v>
      </c>
      <c r="F353" s="139" t="s">
        <v>215</v>
      </c>
      <c r="G353" s="100" t="s">
        <v>180</v>
      </c>
      <c r="H353" s="100" t="s">
        <v>144</v>
      </c>
      <c r="I353" s="139" t="str">
        <f>VLOOKUP($F353,Admin!$D$11:$G$19,4,FALSE)</f>
        <v>Technikus</v>
      </c>
      <c r="J353" s="100" t="s">
        <v>297</v>
      </c>
      <c r="K353" s="95" t="str">
        <f t="shared" si="569"/>
        <v>2023.04</v>
      </c>
      <c r="L353" s="101" t="s">
        <v>7</v>
      </c>
      <c r="M353" s="96" t="s">
        <v>70</v>
      </c>
      <c r="N353" s="102">
        <v>514300</v>
      </c>
      <c r="O353" s="97">
        <f t="shared" si="575"/>
        <v>66859</v>
      </c>
      <c r="P353" s="104">
        <v>174</v>
      </c>
      <c r="Q353" s="104">
        <v>88</v>
      </c>
      <c r="R353" s="215">
        <f t="shared" si="576"/>
        <v>0.50574712643678166</v>
      </c>
      <c r="S353" s="105">
        <f t="shared" si="577"/>
        <v>260106</v>
      </c>
      <c r="T353" s="98">
        <f t="shared" si="578"/>
        <v>33814</v>
      </c>
      <c r="U353" s="70">
        <f t="shared" si="579"/>
        <v>-4.9168493720941342E-7</v>
      </c>
      <c r="V353" s="140">
        <v>0.13</v>
      </c>
      <c r="W353" s="209" t="s">
        <v>280</v>
      </c>
      <c r="X353" s="17">
        <v>44956</v>
      </c>
      <c r="Y353" s="12" t="s">
        <v>66</v>
      </c>
      <c r="Z353" s="12"/>
      <c r="AA353" s="12"/>
      <c r="AC353" s="204"/>
      <c r="AD353" s="205"/>
      <c r="AE353" s="205"/>
    </row>
    <row r="354" spans="1:31" s="3" customFormat="1" ht="14.45" customHeight="1" x14ac:dyDescent="0.25">
      <c r="A354" s="141">
        <v>1</v>
      </c>
      <c r="B354" s="99" t="s">
        <v>193</v>
      </c>
      <c r="C354" s="95" t="str">
        <f>VLOOKUP($F354,Admin!$D$11:$F$19,2,FALSE)</f>
        <v>Alkalmazott (ipari) kutatás</v>
      </c>
      <c r="D354" s="138" t="s">
        <v>123</v>
      </c>
      <c r="E354" s="95" t="str">
        <f>VLOOKUP($F354,Admin!$D$11:$F$19,3,FALSE)</f>
        <v>54. Bérköltség - Kutató-fejlesztő munkatárs</v>
      </c>
      <c r="F354" s="139" t="s">
        <v>212</v>
      </c>
      <c r="G354" s="100" t="s">
        <v>179</v>
      </c>
      <c r="H354" s="100" t="s">
        <v>228</v>
      </c>
      <c r="I354" s="139" t="str">
        <f>VLOOKUP($F354,Admin!$D$11:$G$19,4,FALSE)</f>
        <v>K+F munkatárs</v>
      </c>
      <c r="J354" s="100" t="s">
        <v>225</v>
      </c>
      <c r="K354" s="95" t="str">
        <f t="shared" si="250"/>
        <v>2020.10</v>
      </c>
      <c r="L354" s="101" t="s">
        <v>6</v>
      </c>
      <c r="M354" s="96" t="s">
        <v>70</v>
      </c>
      <c r="N354" s="102">
        <v>421800</v>
      </c>
      <c r="O354" s="97">
        <f t="shared" si="251"/>
        <v>65379</v>
      </c>
      <c r="P354" s="104">
        <v>174</v>
      </c>
      <c r="Q354" s="104">
        <v>83</v>
      </c>
      <c r="R354" s="215">
        <f t="shared" si="248"/>
        <v>0.47701149425287354</v>
      </c>
      <c r="S354" s="105">
        <f t="shared" si="5"/>
        <v>201203</v>
      </c>
      <c r="T354" s="98">
        <f t="shared" si="252"/>
        <v>31186</v>
      </c>
      <c r="U354" s="70">
        <f t="shared" si="249"/>
        <v>1.0627687578312894E-6</v>
      </c>
      <c r="V354" s="140">
        <v>0.155</v>
      </c>
      <c r="W354" s="209"/>
      <c r="X354" s="17">
        <v>44090</v>
      </c>
      <c r="Y354" s="12" t="s">
        <v>66</v>
      </c>
      <c r="Z354" s="12"/>
      <c r="AA354" s="12"/>
      <c r="AB354" s="3">
        <v>1</v>
      </c>
    </row>
    <row r="355" spans="1:31" s="3" customFormat="1" ht="14.45" customHeight="1" x14ac:dyDescent="0.25">
      <c r="A355" s="141">
        <v>1</v>
      </c>
      <c r="B355" s="99" t="s">
        <v>193</v>
      </c>
      <c r="C355" s="95" t="str">
        <f>VLOOKUP($F355,Admin!$D$11:$F$19,2,FALSE)</f>
        <v>Alkalmazott (ipari) kutatás</v>
      </c>
      <c r="D355" s="138" t="s">
        <v>123</v>
      </c>
      <c r="E355" s="95" t="str">
        <f>VLOOKUP($F355,Admin!$D$11:$F$19,3,FALSE)</f>
        <v>54. Bérköltség - Kutató-fejlesztő munkatárs</v>
      </c>
      <c r="F355" s="139" t="s">
        <v>212</v>
      </c>
      <c r="G355" s="100" t="s">
        <v>179</v>
      </c>
      <c r="H355" s="100" t="s">
        <v>228</v>
      </c>
      <c r="I355" s="139" t="str">
        <f>VLOOKUP($F355,Admin!$D$11:$G$19,4,FALSE)</f>
        <v>K+F munkatárs</v>
      </c>
      <c r="J355" s="100" t="s">
        <v>226</v>
      </c>
      <c r="K355" s="95" t="str">
        <f t="shared" si="250"/>
        <v>2020.11</v>
      </c>
      <c r="L355" s="101" t="s">
        <v>6</v>
      </c>
      <c r="M355" s="96" t="s">
        <v>70</v>
      </c>
      <c r="N355" s="102">
        <v>421800</v>
      </c>
      <c r="O355" s="97">
        <f t="shared" si="251"/>
        <v>65379</v>
      </c>
      <c r="P355" s="104">
        <v>174</v>
      </c>
      <c r="Q355" s="104">
        <v>83</v>
      </c>
      <c r="R355" s="215">
        <f t="shared" ref="R355:R438" si="580">Q355/P355</f>
        <v>0.47701149425287354</v>
      </c>
      <c r="S355" s="105">
        <f t="shared" si="5"/>
        <v>201203</v>
      </c>
      <c r="T355" s="98">
        <f t="shared" si="252"/>
        <v>31186</v>
      </c>
      <c r="U355" s="70">
        <f t="shared" si="249"/>
        <v>1.0627687578312894E-6</v>
      </c>
      <c r="V355" s="140">
        <v>0.155</v>
      </c>
      <c r="W355" s="209"/>
      <c r="X355" s="17">
        <v>44090</v>
      </c>
      <c r="Y355" s="12" t="s">
        <v>66</v>
      </c>
      <c r="Z355" s="12"/>
      <c r="AA355" s="12"/>
      <c r="AB355" s="3">
        <v>1</v>
      </c>
    </row>
    <row r="356" spans="1:31" s="3" customFormat="1" ht="14.45" customHeight="1" x14ac:dyDescent="0.25">
      <c r="A356" s="141">
        <v>1</v>
      </c>
      <c r="B356" s="99" t="s">
        <v>193</v>
      </c>
      <c r="C356" s="95" t="str">
        <f>VLOOKUP($F356,Admin!$D$11:$F$19,2,FALSE)</f>
        <v>Alkalmazott (ipari) kutatás</v>
      </c>
      <c r="D356" s="138" t="s">
        <v>123</v>
      </c>
      <c r="E356" s="95" t="str">
        <f>VLOOKUP($F356,Admin!$D$11:$F$19,3,FALSE)</f>
        <v>54. Bérköltség - Kutató-fejlesztő munkatárs</v>
      </c>
      <c r="F356" s="139" t="s">
        <v>212</v>
      </c>
      <c r="G356" s="100" t="s">
        <v>179</v>
      </c>
      <c r="H356" s="100" t="s">
        <v>228</v>
      </c>
      <c r="I356" s="139" t="str">
        <f>VLOOKUP($F356,Admin!$D$11:$G$19,4,FALSE)</f>
        <v>K+F munkatárs</v>
      </c>
      <c r="J356" s="100" t="s">
        <v>30</v>
      </c>
      <c r="K356" s="95" t="str">
        <f t="shared" si="250"/>
        <v>2020.12</v>
      </c>
      <c r="L356" s="101" t="s">
        <v>6</v>
      </c>
      <c r="M356" s="96" t="s">
        <v>70</v>
      </c>
      <c r="N356" s="102">
        <v>421800</v>
      </c>
      <c r="O356" s="97">
        <f t="shared" si="251"/>
        <v>65379</v>
      </c>
      <c r="P356" s="104">
        <v>174</v>
      </c>
      <c r="Q356" s="104">
        <v>83</v>
      </c>
      <c r="R356" s="215">
        <f t="shared" si="580"/>
        <v>0.47701149425287354</v>
      </c>
      <c r="S356" s="105">
        <f t="shared" si="5"/>
        <v>201203</v>
      </c>
      <c r="T356" s="98">
        <f t="shared" si="252"/>
        <v>31186</v>
      </c>
      <c r="U356" s="70">
        <f t="shared" ref="U356:U439" si="581">Q356/P356-S356/N356</f>
        <v>1.0627687578312894E-6</v>
      </c>
      <c r="V356" s="140">
        <v>0.155</v>
      </c>
      <c r="W356" s="209"/>
      <c r="X356" s="17">
        <v>44090</v>
      </c>
      <c r="Y356" s="12" t="s">
        <v>66</v>
      </c>
      <c r="Z356" s="12"/>
      <c r="AA356" s="12"/>
      <c r="AB356" s="3">
        <v>1</v>
      </c>
    </row>
    <row r="357" spans="1:31" s="3" customFormat="1" ht="14.45" customHeight="1" x14ac:dyDescent="0.25">
      <c r="A357" s="141">
        <v>1</v>
      </c>
      <c r="B357" s="99" t="s">
        <v>193</v>
      </c>
      <c r="C357" s="95" t="str">
        <f>VLOOKUP($F357,Admin!$D$11:$F$19,2,FALSE)</f>
        <v>Alkalmazott (ipari) kutatás</v>
      </c>
      <c r="D357" s="138" t="s">
        <v>123</v>
      </c>
      <c r="E357" s="95" t="str">
        <f>VLOOKUP($F357,Admin!$D$11:$F$19,3,FALSE)</f>
        <v>54. Bérköltség - Kutató-fejlesztő munkatárs</v>
      </c>
      <c r="F357" s="139" t="s">
        <v>212</v>
      </c>
      <c r="G357" s="100" t="s">
        <v>179</v>
      </c>
      <c r="H357" s="100" t="s">
        <v>228</v>
      </c>
      <c r="I357" s="139" t="str">
        <f>VLOOKUP($F357,Admin!$D$11:$G$19,4,FALSE)</f>
        <v>K+F munkatárs</v>
      </c>
      <c r="J357" s="100" t="s">
        <v>31</v>
      </c>
      <c r="K357" s="95" t="str">
        <f t="shared" ref="K357:K440" si="582">J357</f>
        <v>2021.01</v>
      </c>
      <c r="L357" s="101" t="s">
        <v>6</v>
      </c>
      <c r="M357" s="96" t="s">
        <v>70</v>
      </c>
      <c r="N357" s="102">
        <v>421800</v>
      </c>
      <c r="O357" s="97">
        <f t="shared" ref="O357:O440" si="583">ROUND(N357*V357,0)</f>
        <v>65379</v>
      </c>
      <c r="P357" s="104">
        <v>174</v>
      </c>
      <c r="Q357" s="104">
        <v>83</v>
      </c>
      <c r="R357" s="215">
        <f t="shared" si="580"/>
        <v>0.47701149425287354</v>
      </c>
      <c r="S357" s="105">
        <f t="shared" si="5"/>
        <v>201203</v>
      </c>
      <c r="T357" s="98">
        <f t="shared" ref="T357:T440" si="584">ROUND(S357*V357,0)</f>
        <v>31186</v>
      </c>
      <c r="U357" s="70">
        <f t="shared" si="581"/>
        <v>1.0627687578312894E-6</v>
      </c>
      <c r="V357" s="140">
        <v>0.155</v>
      </c>
      <c r="W357" s="209"/>
      <c r="X357" s="17">
        <v>44090</v>
      </c>
      <c r="Y357" s="12" t="s">
        <v>66</v>
      </c>
      <c r="Z357" s="12"/>
      <c r="AA357" s="12"/>
      <c r="AB357" s="3">
        <v>1</v>
      </c>
    </row>
    <row r="358" spans="1:31" s="3" customFormat="1" ht="14.45" customHeight="1" x14ac:dyDescent="0.25">
      <c r="A358" s="141">
        <v>2</v>
      </c>
      <c r="B358" s="99" t="s">
        <v>193</v>
      </c>
      <c r="C358" s="95" t="str">
        <f>VLOOKUP($F358,Admin!$D$11:$F$19,2,FALSE)</f>
        <v>Kísérleti fejlesztés</v>
      </c>
      <c r="D358" s="138" t="s">
        <v>123</v>
      </c>
      <c r="E358" s="95" t="str">
        <f>VLOOKUP($F358,Admin!$D$11:$F$19,3,FALSE)</f>
        <v>54. Bérköltség - Kutató-fejlesztő munkatárs</v>
      </c>
      <c r="F358" s="139" t="s">
        <v>213</v>
      </c>
      <c r="G358" s="100" t="s">
        <v>179</v>
      </c>
      <c r="H358" s="100" t="s">
        <v>228</v>
      </c>
      <c r="I358" s="139" t="str">
        <f>VLOOKUP($F358,Admin!$D$11:$G$19,4,FALSE)</f>
        <v>K+F munkatárs</v>
      </c>
      <c r="J358" s="100" t="s">
        <v>32</v>
      </c>
      <c r="K358" s="95" t="str">
        <f t="shared" si="582"/>
        <v>2021.02</v>
      </c>
      <c r="L358" s="101" t="s">
        <v>6</v>
      </c>
      <c r="M358" s="96" t="s">
        <v>70</v>
      </c>
      <c r="N358" s="102">
        <v>421800</v>
      </c>
      <c r="O358" s="97">
        <f t="shared" si="583"/>
        <v>65379</v>
      </c>
      <c r="P358" s="104">
        <v>174</v>
      </c>
      <c r="Q358" s="104">
        <v>83</v>
      </c>
      <c r="R358" s="215">
        <f t="shared" si="580"/>
        <v>0.47701149425287354</v>
      </c>
      <c r="S358" s="105">
        <f t="shared" si="5"/>
        <v>201203</v>
      </c>
      <c r="T358" s="98">
        <f t="shared" si="584"/>
        <v>31186</v>
      </c>
      <c r="U358" s="70">
        <f t="shared" si="581"/>
        <v>1.0627687578312894E-6</v>
      </c>
      <c r="V358" s="140">
        <v>0.155</v>
      </c>
      <c r="W358" s="209"/>
      <c r="X358" s="17">
        <v>44090</v>
      </c>
      <c r="Y358" s="12" t="s">
        <v>66</v>
      </c>
      <c r="Z358" s="12"/>
      <c r="AA358" s="12"/>
      <c r="AB358" s="3">
        <v>1</v>
      </c>
    </row>
    <row r="359" spans="1:31" s="3" customFormat="1" ht="14.45" customHeight="1" x14ac:dyDescent="0.25">
      <c r="A359" s="141">
        <v>2</v>
      </c>
      <c r="B359" s="99" t="s">
        <v>193</v>
      </c>
      <c r="C359" s="95" t="str">
        <f>VLOOKUP($F359,Admin!$D$11:$F$19,2,FALSE)</f>
        <v>Kísérleti fejlesztés</v>
      </c>
      <c r="D359" s="138" t="s">
        <v>123</v>
      </c>
      <c r="E359" s="95" t="str">
        <f>VLOOKUP($F359,Admin!$D$11:$F$19,3,FALSE)</f>
        <v>54. Bérköltség - Kutató-fejlesztő munkatárs</v>
      </c>
      <c r="F359" s="139" t="s">
        <v>213</v>
      </c>
      <c r="G359" s="100" t="s">
        <v>179</v>
      </c>
      <c r="H359" s="100" t="s">
        <v>228</v>
      </c>
      <c r="I359" s="139" t="str">
        <f>VLOOKUP($F359,Admin!$D$11:$G$19,4,FALSE)</f>
        <v>K+F munkatárs</v>
      </c>
      <c r="J359" s="100" t="s">
        <v>33</v>
      </c>
      <c r="K359" s="95" t="str">
        <f t="shared" si="582"/>
        <v>2021.03</v>
      </c>
      <c r="L359" s="101" t="s">
        <v>6</v>
      </c>
      <c r="M359" s="96" t="s">
        <v>70</v>
      </c>
      <c r="N359" s="102">
        <v>421800</v>
      </c>
      <c r="O359" s="97">
        <f t="shared" si="583"/>
        <v>65379</v>
      </c>
      <c r="P359" s="104">
        <v>174</v>
      </c>
      <c r="Q359" s="104">
        <v>83</v>
      </c>
      <c r="R359" s="215">
        <f t="shared" si="580"/>
        <v>0.47701149425287354</v>
      </c>
      <c r="S359" s="105">
        <f t="shared" si="5"/>
        <v>201203</v>
      </c>
      <c r="T359" s="98">
        <f t="shared" si="584"/>
        <v>31186</v>
      </c>
      <c r="U359" s="70">
        <f t="shared" si="581"/>
        <v>1.0627687578312894E-6</v>
      </c>
      <c r="V359" s="140">
        <v>0.155</v>
      </c>
      <c r="W359" s="209"/>
      <c r="X359" s="17">
        <v>44090</v>
      </c>
      <c r="Y359" s="12" t="s">
        <v>66</v>
      </c>
      <c r="Z359" s="12"/>
      <c r="AA359" s="12"/>
      <c r="AB359" s="3">
        <v>1</v>
      </c>
    </row>
    <row r="360" spans="1:31" s="3" customFormat="1" ht="14.45" customHeight="1" x14ac:dyDescent="0.25">
      <c r="A360" s="141">
        <v>2</v>
      </c>
      <c r="B360" s="99" t="s">
        <v>193</v>
      </c>
      <c r="C360" s="95" t="str">
        <f>VLOOKUP($F360,Admin!$D$11:$F$19,2,FALSE)</f>
        <v>Kísérleti fejlesztés</v>
      </c>
      <c r="D360" s="138" t="s">
        <v>123</v>
      </c>
      <c r="E360" s="95" t="str">
        <f>VLOOKUP($F360,Admin!$D$11:$F$19,3,FALSE)</f>
        <v>54. Bérköltség - Kutató-fejlesztő munkatárs</v>
      </c>
      <c r="F360" s="139" t="s">
        <v>213</v>
      </c>
      <c r="G360" s="100" t="s">
        <v>179</v>
      </c>
      <c r="H360" s="100" t="s">
        <v>228</v>
      </c>
      <c r="I360" s="139" t="str">
        <f>VLOOKUP($F360,Admin!$D$11:$G$19,4,FALSE)</f>
        <v>K+F munkatárs</v>
      </c>
      <c r="J360" s="100" t="s">
        <v>34</v>
      </c>
      <c r="K360" s="95" t="str">
        <f t="shared" si="582"/>
        <v>2021.04</v>
      </c>
      <c r="L360" s="101" t="s">
        <v>6</v>
      </c>
      <c r="M360" s="96" t="s">
        <v>70</v>
      </c>
      <c r="N360" s="102">
        <v>421800</v>
      </c>
      <c r="O360" s="97">
        <f t="shared" si="583"/>
        <v>65379</v>
      </c>
      <c r="P360" s="104">
        <v>174</v>
      </c>
      <c r="Q360" s="104">
        <v>83</v>
      </c>
      <c r="R360" s="215">
        <f t="shared" si="580"/>
        <v>0.47701149425287354</v>
      </c>
      <c r="S360" s="105">
        <f t="shared" si="5"/>
        <v>201203</v>
      </c>
      <c r="T360" s="98">
        <f t="shared" si="584"/>
        <v>31186</v>
      </c>
      <c r="U360" s="70">
        <f t="shared" si="581"/>
        <v>1.0627687578312894E-6</v>
      </c>
      <c r="V360" s="140">
        <v>0.155</v>
      </c>
      <c r="W360" s="209"/>
      <c r="X360" s="17">
        <v>44272</v>
      </c>
      <c r="Y360" s="12" t="s">
        <v>66</v>
      </c>
      <c r="Z360" s="12"/>
      <c r="AA360" s="12"/>
      <c r="AB360" s="3">
        <v>1</v>
      </c>
    </row>
    <row r="361" spans="1:31" s="3" customFormat="1" ht="14.45" customHeight="1" x14ac:dyDescent="0.25">
      <c r="A361" s="141">
        <v>2</v>
      </c>
      <c r="B361" s="99" t="s">
        <v>193</v>
      </c>
      <c r="C361" s="95" t="str">
        <f>VLOOKUP($F361,Admin!$D$11:$F$19,2,FALSE)</f>
        <v>Kísérleti fejlesztés</v>
      </c>
      <c r="D361" s="138" t="s">
        <v>123</v>
      </c>
      <c r="E361" s="95" t="str">
        <f>VLOOKUP($F361,Admin!$D$11:$F$19,3,FALSE)</f>
        <v>54. Bérköltség - Kutató-fejlesztő munkatárs</v>
      </c>
      <c r="F361" s="139" t="s">
        <v>213</v>
      </c>
      <c r="G361" s="100" t="s">
        <v>179</v>
      </c>
      <c r="H361" s="100" t="s">
        <v>228</v>
      </c>
      <c r="I361" s="139" t="str">
        <f>VLOOKUP($F361,Admin!$D$11:$G$19,4,FALSE)</f>
        <v>K+F munkatárs</v>
      </c>
      <c r="J361" s="100" t="s">
        <v>35</v>
      </c>
      <c r="K361" s="95" t="str">
        <f t="shared" si="582"/>
        <v>2021.05</v>
      </c>
      <c r="L361" s="101" t="s">
        <v>6</v>
      </c>
      <c r="M361" s="96" t="s">
        <v>70</v>
      </c>
      <c r="N361" s="102">
        <v>421800</v>
      </c>
      <c r="O361" s="97">
        <f t="shared" si="583"/>
        <v>65379</v>
      </c>
      <c r="P361" s="104">
        <v>174</v>
      </c>
      <c r="Q361" s="104">
        <v>83</v>
      </c>
      <c r="R361" s="215">
        <f t="shared" si="580"/>
        <v>0.47701149425287354</v>
      </c>
      <c r="S361" s="105">
        <f t="shared" si="5"/>
        <v>201203</v>
      </c>
      <c r="T361" s="98">
        <f t="shared" si="584"/>
        <v>31186</v>
      </c>
      <c r="U361" s="70">
        <f t="shared" si="581"/>
        <v>1.0627687578312894E-6</v>
      </c>
      <c r="V361" s="140">
        <v>0.155</v>
      </c>
      <c r="W361" s="209"/>
      <c r="X361" s="17">
        <v>44272</v>
      </c>
      <c r="Y361" s="12" t="s">
        <v>66</v>
      </c>
      <c r="Z361" s="12"/>
      <c r="AA361" s="12"/>
      <c r="AB361" s="3">
        <v>1</v>
      </c>
    </row>
    <row r="362" spans="1:31" s="3" customFormat="1" ht="14.45" customHeight="1" x14ac:dyDescent="0.25">
      <c r="A362" s="141">
        <v>2</v>
      </c>
      <c r="B362" s="99" t="s">
        <v>193</v>
      </c>
      <c r="C362" s="95" t="str">
        <f>VLOOKUP($F362,Admin!$D$11:$F$19,2,FALSE)</f>
        <v>Kísérleti fejlesztés</v>
      </c>
      <c r="D362" s="138" t="s">
        <v>123</v>
      </c>
      <c r="E362" s="95" t="str">
        <f>VLOOKUP($F362,Admin!$D$11:$F$19,3,FALSE)</f>
        <v>54. Bérköltség - Kutató-fejlesztő munkatárs</v>
      </c>
      <c r="F362" s="139" t="s">
        <v>213</v>
      </c>
      <c r="G362" s="100" t="s">
        <v>179</v>
      </c>
      <c r="H362" s="100" t="s">
        <v>228</v>
      </c>
      <c r="I362" s="139" t="str">
        <f>VLOOKUP($F362,Admin!$D$11:$G$19,4,FALSE)</f>
        <v>K+F munkatárs</v>
      </c>
      <c r="J362" s="100" t="s">
        <v>36</v>
      </c>
      <c r="K362" s="95" t="str">
        <f t="shared" si="582"/>
        <v>2021.06</v>
      </c>
      <c r="L362" s="101" t="s">
        <v>6</v>
      </c>
      <c r="M362" s="96" t="s">
        <v>70</v>
      </c>
      <c r="N362" s="102">
        <v>421800</v>
      </c>
      <c r="O362" s="97">
        <f t="shared" si="583"/>
        <v>65379</v>
      </c>
      <c r="P362" s="104">
        <v>174</v>
      </c>
      <c r="Q362" s="104">
        <v>83</v>
      </c>
      <c r="R362" s="215">
        <f t="shared" si="580"/>
        <v>0.47701149425287354</v>
      </c>
      <c r="S362" s="105">
        <f t="shared" si="5"/>
        <v>201203</v>
      </c>
      <c r="T362" s="98">
        <f t="shared" si="584"/>
        <v>31186</v>
      </c>
      <c r="U362" s="70">
        <f t="shared" si="581"/>
        <v>1.0627687578312894E-6</v>
      </c>
      <c r="V362" s="140">
        <v>0.155</v>
      </c>
      <c r="W362" s="209"/>
      <c r="X362" s="17">
        <v>44272</v>
      </c>
      <c r="Y362" s="12" t="s">
        <v>66</v>
      </c>
      <c r="Z362" s="12"/>
      <c r="AA362" s="12"/>
      <c r="AB362" s="3">
        <v>1</v>
      </c>
    </row>
    <row r="363" spans="1:31" s="3" customFormat="1" ht="14.45" customHeight="1" x14ac:dyDescent="0.25">
      <c r="A363" s="141">
        <v>2</v>
      </c>
      <c r="B363" s="99" t="s">
        <v>193</v>
      </c>
      <c r="C363" s="95" t="str">
        <f>VLOOKUP($F363,Admin!$D$11:$F$19,2,FALSE)</f>
        <v>Kísérleti fejlesztés</v>
      </c>
      <c r="D363" s="138" t="s">
        <v>123</v>
      </c>
      <c r="E363" s="95" t="str">
        <f>VLOOKUP($F363,Admin!$D$11:$F$19,3,FALSE)</f>
        <v>54. Bérköltség - Kutató-fejlesztő munkatárs</v>
      </c>
      <c r="F363" s="139" t="s">
        <v>213</v>
      </c>
      <c r="G363" s="100" t="s">
        <v>179</v>
      </c>
      <c r="H363" s="100" t="s">
        <v>228</v>
      </c>
      <c r="I363" s="139" t="str">
        <f>VLOOKUP($F363,Admin!$D$11:$G$19,4,FALSE)</f>
        <v>K+F munkatárs</v>
      </c>
      <c r="J363" s="100" t="s">
        <v>37</v>
      </c>
      <c r="K363" s="95" t="str">
        <f t="shared" si="582"/>
        <v>2021.07</v>
      </c>
      <c r="L363" s="101" t="s">
        <v>6</v>
      </c>
      <c r="M363" s="96" t="s">
        <v>70</v>
      </c>
      <c r="N363" s="102">
        <v>554000</v>
      </c>
      <c r="O363" s="97">
        <f t="shared" si="583"/>
        <v>85870</v>
      </c>
      <c r="P363" s="104">
        <v>174</v>
      </c>
      <c r="Q363" s="104">
        <v>104</v>
      </c>
      <c r="R363" s="215">
        <f t="shared" si="580"/>
        <v>0.5977011494252874</v>
      </c>
      <c r="S363" s="105">
        <f t="shared" si="5"/>
        <v>331126</v>
      </c>
      <c r="T363" s="98">
        <f t="shared" si="584"/>
        <v>51325</v>
      </c>
      <c r="U363" s="70">
        <f t="shared" si="581"/>
        <v>7.8841445705357671E-7</v>
      </c>
      <c r="V363" s="140">
        <v>0.155</v>
      </c>
      <c r="W363" s="209"/>
      <c r="X363" s="17">
        <v>44362</v>
      </c>
      <c r="Y363" s="12" t="s">
        <v>66</v>
      </c>
      <c r="Z363" s="12"/>
      <c r="AA363" s="12"/>
      <c r="AB363" s="3">
        <v>1</v>
      </c>
    </row>
    <row r="364" spans="1:31" s="3" customFormat="1" ht="14.45" customHeight="1" x14ac:dyDescent="0.25">
      <c r="A364" s="141">
        <v>2</v>
      </c>
      <c r="B364" s="99" t="s">
        <v>193</v>
      </c>
      <c r="C364" s="95" t="str">
        <f>VLOOKUP($F364,Admin!$D$11:$F$19,2,FALSE)</f>
        <v>Kísérleti fejlesztés</v>
      </c>
      <c r="D364" s="138" t="s">
        <v>123</v>
      </c>
      <c r="E364" s="95" t="str">
        <f>VLOOKUP($F364,Admin!$D$11:$F$19,3,FALSE)</f>
        <v>54. Bérköltség - Kutató-fejlesztő munkatárs</v>
      </c>
      <c r="F364" s="139" t="s">
        <v>213</v>
      </c>
      <c r="G364" s="100" t="s">
        <v>179</v>
      </c>
      <c r="H364" s="100" t="s">
        <v>228</v>
      </c>
      <c r="I364" s="139" t="str">
        <f>VLOOKUP($F364,Admin!$D$11:$G$19,4,FALSE)</f>
        <v>K+F munkatárs</v>
      </c>
      <c r="J364" s="100" t="s">
        <v>38</v>
      </c>
      <c r="K364" s="95" t="str">
        <f t="shared" si="582"/>
        <v>2021.08</v>
      </c>
      <c r="L364" s="101" t="s">
        <v>6</v>
      </c>
      <c r="M364" s="96" t="s">
        <v>70</v>
      </c>
      <c r="N364" s="102">
        <v>554000</v>
      </c>
      <c r="O364" s="97">
        <f t="shared" si="583"/>
        <v>85870</v>
      </c>
      <c r="P364" s="104">
        <v>174</v>
      </c>
      <c r="Q364" s="104">
        <v>104</v>
      </c>
      <c r="R364" s="215">
        <f t="shared" si="580"/>
        <v>0.5977011494252874</v>
      </c>
      <c r="S364" s="105">
        <f t="shared" si="5"/>
        <v>331126</v>
      </c>
      <c r="T364" s="98">
        <f t="shared" si="584"/>
        <v>51325</v>
      </c>
      <c r="U364" s="70">
        <f t="shared" si="581"/>
        <v>7.8841445705357671E-7</v>
      </c>
      <c r="V364" s="140">
        <v>0.155</v>
      </c>
      <c r="W364" s="209"/>
      <c r="X364" s="17">
        <v>44362</v>
      </c>
      <c r="Y364" s="12" t="s">
        <v>66</v>
      </c>
      <c r="Z364" s="12"/>
      <c r="AA364" s="12"/>
      <c r="AB364" s="3">
        <v>1</v>
      </c>
    </row>
    <row r="365" spans="1:31" s="3" customFormat="1" ht="14.45" customHeight="1" x14ac:dyDescent="0.25">
      <c r="A365" s="141">
        <v>2</v>
      </c>
      <c r="B365" s="99" t="s">
        <v>193</v>
      </c>
      <c r="C365" s="95" t="str">
        <f>VLOOKUP($F365,Admin!$D$11:$F$19,2,FALSE)</f>
        <v>Kísérleti fejlesztés</v>
      </c>
      <c r="D365" s="138" t="s">
        <v>123</v>
      </c>
      <c r="E365" s="95" t="str">
        <f>VLOOKUP($F365,Admin!$D$11:$F$19,3,FALSE)</f>
        <v>54. Bérköltség - Kutató-fejlesztő munkatárs</v>
      </c>
      <c r="F365" s="139" t="s">
        <v>213</v>
      </c>
      <c r="G365" s="100" t="s">
        <v>179</v>
      </c>
      <c r="H365" s="100" t="s">
        <v>228</v>
      </c>
      <c r="I365" s="139" t="str">
        <f>VLOOKUP($F365,Admin!$D$11:$G$19,4,FALSE)</f>
        <v>K+F munkatárs</v>
      </c>
      <c r="J365" s="100" t="s">
        <v>39</v>
      </c>
      <c r="K365" s="95" t="str">
        <f t="shared" si="582"/>
        <v>2021.09</v>
      </c>
      <c r="L365" s="101" t="s">
        <v>6</v>
      </c>
      <c r="M365" s="96" t="s">
        <v>70</v>
      </c>
      <c r="N365" s="102">
        <v>554000</v>
      </c>
      <c r="O365" s="97">
        <f t="shared" si="583"/>
        <v>85870</v>
      </c>
      <c r="P365" s="104">
        <v>174</v>
      </c>
      <c r="Q365" s="104">
        <v>104</v>
      </c>
      <c r="R365" s="215">
        <f t="shared" si="580"/>
        <v>0.5977011494252874</v>
      </c>
      <c r="S365" s="105">
        <f t="shared" si="5"/>
        <v>331126</v>
      </c>
      <c r="T365" s="98">
        <f t="shared" si="584"/>
        <v>51325</v>
      </c>
      <c r="U365" s="70">
        <f t="shared" si="581"/>
        <v>7.8841445705357671E-7</v>
      </c>
      <c r="V365" s="140">
        <v>0.155</v>
      </c>
      <c r="W365" s="209"/>
      <c r="X365" s="17">
        <v>44362</v>
      </c>
      <c r="Y365" s="12" t="s">
        <v>66</v>
      </c>
      <c r="Z365" s="12"/>
      <c r="AA365" s="12"/>
      <c r="AB365" s="3">
        <v>1</v>
      </c>
    </row>
    <row r="366" spans="1:31" s="3" customFormat="1" ht="14.45" customHeight="1" x14ac:dyDescent="0.25">
      <c r="A366" s="141">
        <v>2</v>
      </c>
      <c r="B366" s="99" t="s">
        <v>193</v>
      </c>
      <c r="C366" s="95" t="str">
        <f>VLOOKUP($F366,Admin!$D$11:$F$19,2,FALSE)</f>
        <v>Kísérleti fejlesztés</v>
      </c>
      <c r="D366" s="138" t="s">
        <v>123</v>
      </c>
      <c r="E366" s="95" t="str">
        <f>VLOOKUP($F366,Admin!$D$11:$F$19,3,FALSE)</f>
        <v>54. Bérköltség - Kutató-fejlesztő munkatárs</v>
      </c>
      <c r="F366" s="139" t="s">
        <v>213</v>
      </c>
      <c r="G366" s="100" t="s">
        <v>179</v>
      </c>
      <c r="H366" s="100" t="s">
        <v>228</v>
      </c>
      <c r="I366" s="139" t="str">
        <f>VLOOKUP($F366,Admin!$D$11:$G$19,4,FALSE)</f>
        <v>K+F munkatárs</v>
      </c>
      <c r="J366" s="100" t="s">
        <v>40</v>
      </c>
      <c r="K366" s="95" t="str">
        <f t="shared" si="582"/>
        <v>2021.10</v>
      </c>
      <c r="L366" s="101" t="s">
        <v>6</v>
      </c>
      <c r="M366" s="96" t="s">
        <v>70</v>
      </c>
      <c r="N366" s="102">
        <v>637300</v>
      </c>
      <c r="O366" s="97">
        <f t="shared" si="583"/>
        <v>98782</v>
      </c>
      <c r="P366" s="104">
        <v>174</v>
      </c>
      <c r="Q366" s="104">
        <v>174</v>
      </c>
      <c r="R366" s="215">
        <f t="shared" si="580"/>
        <v>1</v>
      </c>
      <c r="S366" s="105">
        <f t="shared" si="5"/>
        <v>637300</v>
      </c>
      <c r="T366" s="98">
        <f t="shared" si="584"/>
        <v>98782</v>
      </c>
      <c r="U366" s="70">
        <f t="shared" si="581"/>
        <v>0</v>
      </c>
      <c r="V366" s="140">
        <v>0.155</v>
      </c>
      <c r="W366" s="209"/>
      <c r="X366" s="17">
        <v>44546</v>
      </c>
      <c r="Y366" s="12" t="s">
        <v>66</v>
      </c>
      <c r="Z366" s="12"/>
      <c r="AA366" s="12"/>
      <c r="AB366" s="3">
        <v>1</v>
      </c>
    </row>
    <row r="367" spans="1:31" s="3" customFormat="1" ht="14.45" customHeight="1" x14ac:dyDescent="0.25">
      <c r="A367" s="141">
        <v>2</v>
      </c>
      <c r="B367" s="99" t="s">
        <v>193</v>
      </c>
      <c r="C367" s="95" t="str">
        <f>VLOOKUP($F367,Admin!$D$11:$F$19,2,FALSE)</f>
        <v>Kísérleti fejlesztés</v>
      </c>
      <c r="D367" s="138" t="s">
        <v>123</v>
      </c>
      <c r="E367" s="95" t="str">
        <f>VLOOKUP($F367,Admin!$D$11:$F$19,3,FALSE)</f>
        <v>54. Bérköltség - Kutató-fejlesztő munkatárs</v>
      </c>
      <c r="F367" s="139" t="s">
        <v>213</v>
      </c>
      <c r="G367" s="100" t="s">
        <v>179</v>
      </c>
      <c r="H367" s="100" t="s">
        <v>228</v>
      </c>
      <c r="I367" s="139" t="str">
        <f>VLOOKUP($F367,Admin!$D$11:$G$19,4,FALSE)</f>
        <v>K+F munkatárs</v>
      </c>
      <c r="J367" s="100" t="s">
        <v>41</v>
      </c>
      <c r="K367" s="95" t="str">
        <f t="shared" si="582"/>
        <v>2021.11</v>
      </c>
      <c r="L367" s="101" t="s">
        <v>6</v>
      </c>
      <c r="M367" s="96" t="s">
        <v>70</v>
      </c>
      <c r="N367" s="102">
        <v>637300</v>
      </c>
      <c r="O367" s="97">
        <f t="shared" si="583"/>
        <v>98782</v>
      </c>
      <c r="P367" s="104">
        <v>174</v>
      </c>
      <c r="Q367" s="104">
        <v>174</v>
      </c>
      <c r="R367" s="215">
        <f t="shared" si="580"/>
        <v>1</v>
      </c>
      <c r="S367" s="105">
        <f t="shared" si="5"/>
        <v>637300</v>
      </c>
      <c r="T367" s="98">
        <f t="shared" si="584"/>
        <v>98782</v>
      </c>
      <c r="U367" s="70">
        <f t="shared" si="581"/>
        <v>0</v>
      </c>
      <c r="V367" s="140">
        <v>0.155</v>
      </c>
      <c r="W367" s="209"/>
      <c r="X367" s="17">
        <v>44546</v>
      </c>
      <c r="Y367" s="12" t="s">
        <v>66</v>
      </c>
      <c r="Z367" s="12"/>
      <c r="AA367" s="12"/>
      <c r="AB367" s="3">
        <v>1</v>
      </c>
    </row>
    <row r="368" spans="1:31" s="3" customFormat="1" ht="14.45" customHeight="1" x14ac:dyDescent="0.25">
      <c r="A368" s="141">
        <v>2</v>
      </c>
      <c r="B368" s="99" t="s">
        <v>193</v>
      </c>
      <c r="C368" s="95" t="str">
        <f>VLOOKUP($F368,Admin!$D$11:$F$19,2,FALSE)</f>
        <v>Kísérleti fejlesztés</v>
      </c>
      <c r="D368" s="138" t="s">
        <v>123</v>
      </c>
      <c r="E368" s="95" t="str">
        <f>VLOOKUP($F368,Admin!$D$11:$F$19,3,FALSE)</f>
        <v>54. Bérköltség - Kutató-fejlesztő munkatárs</v>
      </c>
      <c r="F368" s="139" t="s">
        <v>213</v>
      </c>
      <c r="G368" s="100" t="s">
        <v>179</v>
      </c>
      <c r="H368" s="100" t="s">
        <v>228</v>
      </c>
      <c r="I368" s="139" t="str">
        <f>VLOOKUP($F368,Admin!$D$11:$G$19,4,FALSE)</f>
        <v>K+F munkatárs</v>
      </c>
      <c r="J368" s="100" t="s">
        <v>42</v>
      </c>
      <c r="K368" s="95" t="str">
        <f t="shared" si="582"/>
        <v>2021.12</v>
      </c>
      <c r="L368" s="101" t="s">
        <v>6</v>
      </c>
      <c r="M368" s="96" t="s">
        <v>70</v>
      </c>
      <c r="N368" s="102">
        <v>637300</v>
      </c>
      <c r="O368" s="97">
        <f t="shared" si="583"/>
        <v>98782</v>
      </c>
      <c r="P368" s="104">
        <v>174</v>
      </c>
      <c r="Q368" s="104">
        <v>174</v>
      </c>
      <c r="R368" s="215">
        <f t="shared" si="580"/>
        <v>1</v>
      </c>
      <c r="S368" s="105">
        <f t="shared" si="5"/>
        <v>637300</v>
      </c>
      <c r="T368" s="98">
        <f t="shared" si="584"/>
        <v>98782</v>
      </c>
      <c r="U368" s="70">
        <f t="shared" si="581"/>
        <v>0</v>
      </c>
      <c r="V368" s="140">
        <v>0.155</v>
      </c>
      <c r="W368" s="209"/>
      <c r="X368" s="17">
        <v>44546</v>
      </c>
      <c r="Y368" s="12" t="s">
        <v>66</v>
      </c>
      <c r="Z368" s="12"/>
      <c r="AA368" s="12"/>
      <c r="AB368" s="3">
        <v>1</v>
      </c>
    </row>
    <row r="369" spans="1:31" s="3" customFormat="1" ht="14.45" customHeight="1" x14ac:dyDescent="0.25">
      <c r="A369" s="141">
        <v>2</v>
      </c>
      <c r="B369" s="99" t="s">
        <v>193</v>
      </c>
      <c r="C369" s="95" t="str">
        <f>VLOOKUP($F369,Admin!$D$11:$F$19,2,FALSE)</f>
        <v>Kísérleti fejlesztés</v>
      </c>
      <c r="D369" s="138" t="s">
        <v>123</v>
      </c>
      <c r="E369" s="95" t="str">
        <f>VLOOKUP($F369,Admin!$D$11:$F$19,3,FALSE)</f>
        <v>54. Bérköltség - Kutató-fejlesztő munkatárs</v>
      </c>
      <c r="F369" s="139" t="s">
        <v>213</v>
      </c>
      <c r="G369" s="100" t="s">
        <v>179</v>
      </c>
      <c r="H369" s="100" t="s">
        <v>228</v>
      </c>
      <c r="I369" s="139" t="str">
        <f>VLOOKUP($F369,Admin!$D$11:$G$19,4,FALSE)</f>
        <v>K+F munkatárs</v>
      </c>
      <c r="J369" s="100" t="s">
        <v>43</v>
      </c>
      <c r="K369" s="95" t="str">
        <f t="shared" si="582"/>
        <v>2022.01</v>
      </c>
      <c r="L369" s="101" t="s">
        <v>6</v>
      </c>
      <c r="M369" s="96" t="s">
        <v>70</v>
      </c>
      <c r="N369" s="102">
        <v>677000</v>
      </c>
      <c r="O369" s="97">
        <f t="shared" si="583"/>
        <v>88010</v>
      </c>
      <c r="P369" s="104">
        <v>174</v>
      </c>
      <c r="Q369" s="104">
        <v>174</v>
      </c>
      <c r="R369" s="215">
        <f t="shared" si="580"/>
        <v>1</v>
      </c>
      <c r="S369" s="105">
        <f t="shared" si="5"/>
        <v>677000</v>
      </c>
      <c r="T369" s="98">
        <f t="shared" si="584"/>
        <v>88010</v>
      </c>
      <c r="U369" s="70">
        <f t="shared" si="581"/>
        <v>0</v>
      </c>
      <c r="V369" s="140">
        <v>0.13</v>
      </c>
      <c r="W369" s="209"/>
      <c r="X369" s="17">
        <v>44546</v>
      </c>
      <c r="Y369" s="12" t="s">
        <v>66</v>
      </c>
      <c r="Z369" s="12"/>
      <c r="AA369" s="12"/>
      <c r="AB369" s="3">
        <v>1</v>
      </c>
    </row>
    <row r="370" spans="1:31" s="3" customFormat="1" ht="14.45" customHeight="1" x14ac:dyDescent="0.25">
      <c r="A370" s="141">
        <v>3</v>
      </c>
      <c r="B370" s="99" t="s">
        <v>193</v>
      </c>
      <c r="C370" s="95" t="str">
        <f>VLOOKUP($F370,Admin!$D$11:$F$19,2,FALSE)</f>
        <v>Kísérleti fejlesztés</v>
      </c>
      <c r="D370" s="138" t="s">
        <v>123</v>
      </c>
      <c r="E370" s="95" t="str">
        <f>VLOOKUP($F370,Admin!$D$11:$F$19,3,FALSE)</f>
        <v>54. Bérköltség - Kutató-fejlesztő munkatárs</v>
      </c>
      <c r="F370" s="139" t="s">
        <v>213</v>
      </c>
      <c r="G370" s="100" t="s">
        <v>179</v>
      </c>
      <c r="H370" s="100" t="s">
        <v>228</v>
      </c>
      <c r="I370" s="139" t="str">
        <f>VLOOKUP($F370,Admin!$D$11:$G$19,4,FALSE)</f>
        <v>K+F munkatárs</v>
      </c>
      <c r="J370" s="100" t="s">
        <v>44</v>
      </c>
      <c r="K370" s="95" t="str">
        <f t="shared" si="582"/>
        <v>2022.02</v>
      </c>
      <c r="L370" s="101" t="s">
        <v>6</v>
      </c>
      <c r="M370" s="96" t="s">
        <v>70</v>
      </c>
      <c r="N370" s="102">
        <v>770000</v>
      </c>
      <c r="O370" s="97">
        <f t="shared" si="583"/>
        <v>100100</v>
      </c>
      <c r="P370" s="104">
        <v>174</v>
      </c>
      <c r="Q370" s="104">
        <v>85</v>
      </c>
      <c r="R370" s="215">
        <f t="shared" si="580"/>
        <v>0.4885057471264368</v>
      </c>
      <c r="S370" s="105">
        <f t="shared" si="5"/>
        <v>376149</v>
      </c>
      <c r="T370" s="98">
        <f t="shared" si="584"/>
        <v>48899</v>
      </c>
      <c r="U370" s="70">
        <f t="shared" si="581"/>
        <v>5.5232124196447074E-7</v>
      </c>
      <c r="V370" s="140">
        <v>0.13</v>
      </c>
      <c r="W370" s="209"/>
      <c r="X370" s="17">
        <v>44588</v>
      </c>
      <c r="Y370" s="12" t="s">
        <v>66</v>
      </c>
      <c r="Z370" s="12"/>
      <c r="AA370" s="12"/>
      <c r="AB370" s="3">
        <v>1</v>
      </c>
    </row>
    <row r="371" spans="1:31" s="3" customFormat="1" ht="14.45" customHeight="1" x14ac:dyDescent="0.25">
      <c r="A371" s="141">
        <v>3</v>
      </c>
      <c r="B371" s="99" t="s">
        <v>193</v>
      </c>
      <c r="C371" s="95" t="str">
        <f>VLOOKUP($F371,Admin!$D$11:$F$19,2,FALSE)</f>
        <v>Kísérleti fejlesztés</v>
      </c>
      <c r="D371" s="138" t="s">
        <v>123</v>
      </c>
      <c r="E371" s="95" t="str">
        <f>VLOOKUP($F371,Admin!$D$11:$F$19,3,FALSE)</f>
        <v>54. Bérköltség - Kutató-fejlesztő munkatárs</v>
      </c>
      <c r="F371" s="139" t="s">
        <v>213</v>
      </c>
      <c r="G371" s="100" t="s">
        <v>179</v>
      </c>
      <c r="H371" s="100" t="s">
        <v>228</v>
      </c>
      <c r="I371" s="139" t="str">
        <f>VLOOKUP($F371,Admin!$D$11:$G$19,4,FALSE)</f>
        <v>K+F munkatárs</v>
      </c>
      <c r="J371" s="100" t="s">
        <v>45</v>
      </c>
      <c r="K371" s="95" t="str">
        <f t="shared" si="582"/>
        <v>2022.03</v>
      </c>
      <c r="L371" s="101" t="s">
        <v>6</v>
      </c>
      <c r="M371" s="96" t="s">
        <v>70</v>
      </c>
      <c r="N371" s="102">
        <v>770000</v>
      </c>
      <c r="O371" s="97">
        <f t="shared" si="583"/>
        <v>100100</v>
      </c>
      <c r="P371" s="104">
        <v>174</v>
      </c>
      <c r="Q371" s="104">
        <v>85</v>
      </c>
      <c r="R371" s="215">
        <f t="shared" si="580"/>
        <v>0.4885057471264368</v>
      </c>
      <c r="S371" s="105">
        <f t="shared" si="5"/>
        <v>376149</v>
      </c>
      <c r="T371" s="98">
        <f t="shared" si="584"/>
        <v>48899</v>
      </c>
      <c r="U371" s="70">
        <f t="shared" si="581"/>
        <v>5.5232124196447074E-7</v>
      </c>
      <c r="V371" s="140">
        <v>0.13</v>
      </c>
      <c r="W371" s="209"/>
      <c r="X371" s="17">
        <v>44588</v>
      </c>
      <c r="Y371" s="12" t="s">
        <v>66</v>
      </c>
      <c r="Z371" s="12"/>
      <c r="AA371" s="12"/>
      <c r="AB371" s="3">
        <v>1</v>
      </c>
    </row>
    <row r="372" spans="1:31" s="3" customFormat="1" ht="14.45" customHeight="1" x14ac:dyDescent="0.25">
      <c r="A372" s="141">
        <v>3</v>
      </c>
      <c r="B372" s="99" t="s">
        <v>193</v>
      </c>
      <c r="C372" s="95" t="str">
        <f>VLOOKUP($F372,Admin!$D$11:$F$19,2,FALSE)</f>
        <v>Kísérleti fejlesztés</v>
      </c>
      <c r="D372" s="138" t="s">
        <v>123</v>
      </c>
      <c r="E372" s="95" t="str">
        <f>VLOOKUP($F372,Admin!$D$11:$F$19,3,FALSE)</f>
        <v>54. Bérköltség - Kutató-fejlesztő munkatárs</v>
      </c>
      <c r="F372" s="139" t="s">
        <v>213</v>
      </c>
      <c r="G372" s="100" t="s">
        <v>179</v>
      </c>
      <c r="H372" s="100" t="s">
        <v>228</v>
      </c>
      <c r="I372" s="139" t="str">
        <f>VLOOKUP($F372,Admin!$D$11:$G$19,4,FALSE)</f>
        <v>K+F munkatárs</v>
      </c>
      <c r="J372" s="100" t="s">
        <v>46</v>
      </c>
      <c r="K372" s="95" t="str">
        <f t="shared" si="582"/>
        <v>2022.04</v>
      </c>
      <c r="L372" s="101" t="s">
        <v>6</v>
      </c>
      <c r="M372" s="96" t="s">
        <v>70</v>
      </c>
      <c r="N372" s="102">
        <v>770000</v>
      </c>
      <c r="O372" s="97">
        <f t="shared" si="583"/>
        <v>100100</v>
      </c>
      <c r="P372" s="104">
        <v>174</v>
      </c>
      <c r="Q372" s="104">
        <v>85</v>
      </c>
      <c r="R372" s="215">
        <f t="shared" si="580"/>
        <v>0.4885057471264368</v>
      </c>
      <c r="S372" s="105">
        <f t="shared" si="5"/>
        <v>376149</v>
      </c>
      <c r="T372" s="98">
        <f t="shared" si="584"/>
        <v>48899</v>
      </c>
      <c r="U372" s="70">
        <f t="shared" si="581"/>
        <v>5.5232124196447074E-7</v>
      </c>
      <c r="V372" s="140">
        <v>0.13</v>
      </c>
      <c r="W372" s="209"/>
      <c r="X372" s="17">
        <v>44588</v>
      </c>
      <c r="Y372" s="12" t="s">
        <v>66</v>
      </c>
      <c r="Z372" s="12"/>
      <c r="AA372" s="12"/>
      <c r="AB372" s="3">
        <v>1</v>
      </c>
    </row>
    <row r="373" spans="1:31" s="3" customFormat="1" ht="14.45" customHeight="1" x14ac:dyDescent="0.25">
      <c r="A373" s="141">
        <v>3</v>
      </c>
      <c r="B373" s="99" t="s">
        <v>193</v>
      </c>
      <c r="C373" s="95" t="str">
        <f>VLOOKUP($F373,Admin!$D$11:$F$19,2,FALSE)</f>
        <v>Kísérleti fejlesztés</v>
      </c>
      <c r="D373" s="138" t="s">
        <v>123</v>
      </c>
      <c r="E373" s="95" t="str">
        <f>VLOOKUP($F373,Admin!$D$11:$F$19,3,FALSE)</f>
        <v>54. Bérköltség - Kutató-fejlesztő munkatárs</v>
      </c>
      <c r="F373" s="139" t="s">
        <v>213</v>
      </c>
      <c r="G373" s="100" t="s">
        <v>179</v>
      </c>
      <c r="H373" s="100" t="s">
        <v>228</v>
      </c>
      <c r="I373" s="139" t="str">
        <f>VLOOKUP($F373,Admin!$D$11:$G$19,4,FALSE)</f>
        <v>K+F munkatárs</v>
      </c>
      <c r="J373" s="100" t="s">
        <v>47</v>
      </c>
      <c r="K373" s="95" t="str">
        <f t="shared" si="582"/>
        <v>2022.05</v>
      </c>
      <c r="L373" s="101" t="s">
        <v>6</v>
      </c>
      <c r="M373" s="96" t="s">
        <v>70</v>
      </c>
      <c r="N373" s="102">
        <v>1145000</v>
      </c>
      <c r="O373" s="97">
        <f t="shared" si="583"/>
        <v>148850</v>
      </c>
      <c r="P373" s="104">
        <v>174</v>
      </c>
      <c r="Q373" s="104">
        <v>57</v>
      </c>
      <c r="R373" s="215">
        <f t="shared" si="580"/>
        <v>0.32758620689655171</v>
      </c>
      <c r="S373" s="105">
        <f t="shared" si="5"/>
        <v>375086</v>
      </c>
      <c r="T373" s="98">
        <f t="shared" si="584"/>
        <v>48761</v>
      </c>
      <c r="U373" s="70">
        <f t="shared" si="581"/>
        <v>1.806956783645397E-7</v>
      </c>
      <c r="V373" s="140">
        <v>0.13</v>
      </c>
      <c r="W373" s="209"/>
      <c r="X373" s="17">
        <v>44665</v>
      </c>
      <c r="Y373" s="12" t="s">
        <v>66</v>
      </c>
      <c r="Z373" s="12"/>
      <c r="AA373" s="12"/>
      <c r="AB373" s="3">
        <v>1</v>
      </c>
    </row>
    <row r="374" spans="1:31" s="3" customFormat="1" ht="14.45" customHeight="1" x14ac:dyDescent="0.25">
      <c r="A374" s="141">
        <v>3</v>
      </c>
      <c r="B374" s="99" t="s">
        <v>193</v>
      </c>
      <c r="C374" s="95" t="str">
        <f>VLOOKUP($F374,Admin!$D$11:$F$19,2,FALSE)</f>
        <v>Kísérleti fejlesztés</v>
      </c>
      <c r="D374" s="138" t="s">
        <v>123</v>
      </c>
      <c r="E374" s="95" t="str">
        <f>VLOOKUP($F374,Admin!$D$11:$F$19,3,FALSE)</f>
        <v>54. Bérköltség - Kutató-fejlesztő munkatárs</v>
      </c>
      <c r="F374" s="139" t="s">
        <v>213</v>
      </c>
      <c r="G374" s="100" t="s">
        <v>179</v>
      </c>
      <c r="H374" s="100" t="s">
        <v>228</v>
      </c>
      <c r="I374" s="139" t="str">
        <f>VLOOKUP($F374,Admin!$D$11:$G$19,4,FALSE)</f>
        <v>K+F munkatárs</v>
      </c>
      <c r="J374" s="100" t="s">
        <v>48</v>
      </c>
      <c r="K374" s="95" t="str">
        <f t="shared" si="582"/>
        <v>2022.06</v>
      </c>
      <c r="L374" s="101" t="s">
        <v>6</v>
      </c>
      <c r="M374" s="96" t="s">
        <v>70</v>
      </c>
      <c r="N374" s="102">
        <v>1145000</v>
      </c>
      <c r="O374" s="97">
        <f t="shared" ref="O374" si="585">ROUND(N374*V374,0)</f>
        <v>148850</v>
      </c>
      <c r="P374" s="104">
        <v>174</v>
      </c>
      <c r="Q374" s="104">
        <v>57</v>
      </c>
      <c r="R374" s="215">
        <f t="shared" ref="R374" si="586">Q374/P374</f>
        <v>0.32758620689655171</v>
      </c>
      <c r="S374" s="105">
        <f t="shared" ref="S374" si="587">ROUND(N374*Q374/P374,0)</f>
        <v>375086</v>
      </c>
      <c r="T374" s="98">
        <f t="shared" ref="T374" si="588">ROUND(S374*V374,0)</f>
        <v>48761</v>
      </c>
      <c r="U374" s="70">
        <f t="shared" ref="U374" si="589">Q374/P374-S374/N374</f>
        <v>1.806956783645397E-7</v>
      </c>
      <c r="V374" s="140">
        <v>0.13</v>
      </c>
      <c r="W374" s="209"/>
      <c r="X374" s="17">
        <v>44665</v>
      </c>
      <c r="Y374" s="12" t="s">
        <v>66</v>
      </c>
      <c r="Z374" s="12"/>
      <c r="AA374" s="12"/>
      <c r="AB374" s="3">
        <v>1</v>
      </c>
    </row>
    <row r="375" spans="1:31" s="3" customFormat="1" ht="14.45" customHeight="1" x14ac:dyDescent="0.25">
      <c r="A375" s="141">
        <v>3</v>
      </c>
      <c r="B375" s="99" t="s">
        <v>193</v>
      </c>
      <c r="C375" s="95" t="str">
        <f>VLOOKUP($F375,Admin!$D$11:$F$19,2,FALSE)</f>
        <v>Kísérleti fejlesztés</v>
      </c>
      <c r="D375" s="138" t="s">
        <v>123</v>
      </c>
      <c r="E375" s="95" t="str">
        <f>VLOOKUP($F375,Admin!$D$11:$F$19,3,FALSE)</f>
        <v>54. Bérköltség - Kutató-fejlesztő munkatárs</v>
      </c>
      <c r="F375" s="139" t="s">
        <v>213</v>
      </c>
      <c r="G375" s="100" t="s">
        <v>179</v>
      </c>
      <c r="H375" s="100" t="s">
        <v>228</v>
      </c>
      <c r="I375" s="139" t="str">
        <f>VLOOKUP($F375,Admin!$D$11:$G$19,4,FALSE)</f>
        <v>K+F munkatárs</v>
      </c>
      <c r="J375" s="100" t="s">
        <v>49</v>
      </c>
      <c r="K375" s="95" t="str">
        <f t="shared" ref="K375:K376" si="590">J375</f>
        <v>2022.07</v>
      </c>
      <c r="L375" s="101" t="s">
        <v>6</v>
      </c>
      <c r="M375" s="96" t="s">
        <v>70</v>
      </c>
      <c r="N375" s="102">
        <v>1125000</v>
      </c>
      <c r="O375" s="97">
        <f t="shared" ref="O375" si="591">ROUND(N375*V375,0)</f>
        <v>146250</v>
      </c>
      <c r="P375" s="104">
        <v>174</v>
      </c>
      <c r="Q375" s="104">
        <v>58</v>
      </c>
      <c r="R375" s="215">
        <f t="shared" ref="R375" si="592">Q375/P375</f>
        <v>0.33333333333333331</v>
      </c>
      <c r="S375" s="105">
        <f t="shared" ref="S375" si="593">ROUND(N375*Q375/P375,0)</f>
        <v>375000</v>
      </c>
      <c r="T375" s="98">
        <f t="shared" ref="T375" si="594">ROUND(S375*V375,0)</f>
        <v>48750</v>
      </c>
      <c r="U375" s="70">
        <f t="shared" ref="U375" si="595">Q375/P375-S375/N375</f>
        <v>0</v>
      </c>
      <c r="V375" s="140">
        <v>0.13</v>
      </c>
      <c r="W375" s="209"/>
      <c r="X375" s="17">
        <v>44734</v>
      </c>
      <c r="Y375" s="12" t="s">
        <v>66</v>
      </c>
      <c r="Z375" s="12"/>
      <c r="AA375" s="12"/>
      <c r="AB375" s="3">
        <v>1</v>
      </c>
    </row>
    <row r="376" spans="1:31" s="3" customFormat="1" ht="14.45" customHeight="1" x14ac:dyDescent="0.25">
      <c r="A376" s="141">
        <v>3</v>
      </c>
      <c r="B376" s="99" t="s">
        <v>193</v>
      </c>
      <c r="C376" s="95" t="str">
        <f>VLOOKUP($F376,Admin!$D$11:$F$19,2,FALSE)</f>
        <v>Kísérleti fejlesztés</v>
      </c>
      <c r="D376" s="138" t="s">
        <v>123</v>
      </c>
      <c r="E376" s="95" t="str">
        <f>VLOOKUP($F376,Admin!$D$11:$F$19,3,FALSE)</f>
        <v>54. Bérköltség - Kutató-fejlesztő munkatárs</v>
      </c>
      <c r="F376" s="139" t="s">
        <v>213</v>
      </c>
      <c r="G376" s="100" t="s">
        <v>179</v>
      </c>
      <c r="H376" s="100" t="s">
        <v>228</v>
      </c>
      <c r="I376" s="139" t="str">
        <f>VLOOKUP($F376,Admin!$D$11:$G$19,4,FALSE)</f>
        <v>K+F munkatárs</v>
      </c>
      <c r="J376" s="100" t="s">
        <v>50</v>
      </c>
      <c r="K376" s="95" t="str">
        <f t="shared" si="590"/>
        <v>2022.08</v>
      </c>
      <c r="L376" s="101" t="s">
        <v>6</v>
      </c>
      <c r="M376" s="96" t="s">
        <v>70</v>
      </c>
      <c r="N376" s="102">
        <v>880435</v>
      </c>
      <c r="O376" s="97">
        <f t="shared" ref="O376:O377" si="596">ROUND(N376*V376,0)</f>
        <v>114457</v>
      </c>
      <c r="P376" s="104">
        <v>174</v>
      </c>
      <c r="Q376" s="104">
        <v>58</v>
      </c>
      <c r="R376" s="215">
        <f t="shared" ref="R376:R377" si="597">Q376/P376</f>
        <v>0.33333333333333331</v>
      </c>
      <c r="S376" s="105">
        <f t="shared" ref="S376:S377" si="598">ROUND(N376*Q376/P376,0)</f>
        <v>293478</v>
      </c>
      <c r="T376" s="98">
        <f t="shared" ref="T376:T377" si="599">ROUND(S376*V376,0)</f>
        <v>38152</v>
      </c>
      <c r="U376" s="70">
        <f t="shared" ref="U376:U377" si="600">Q376/P376-S376/N376</f>
        <v>3.7860072954476465E-7</v>
      </c>
      <c r="V376" s="140">
        <v>0.13</v>
      </c>
      <c r="W376" s="209"/>
      <c r="X376" s="17">
        <v>44734</v>
      </c>
      <c r="Y376" s="12" t="s">
        <v>66</v>
      </c>
      <c r="Z376" s="12"/>
      <c r="AA376" s="12"/>
      <c r="AB376" s="3">
        <v>1</v>
      </c>
    </row>
    <row r="377" spans="1:31" s="3" customFormat="1" ht="14.45" customHeight="1" x14ac:dyDescent="0.25">
      <c r="A377" s="141">
        <v>3</v>
      </c>
      <c r="B377" s="99" t="s">
        <v>193</v>
      </c>
      <c r="C377" s="95" t="str">
        <f>VLOOKUP($F377,Admin!$D$11:$F$19,2,FALSE)</f>
        <v>Kísérleti fejlesztés</v>
      </c>
      <c r="D377" s="138" t="s">
        <v>123</v>
      </c>
      <c r="E377" s="95" t="str">
        <f>VLOOKUP($F377,Admin!$D$11:$F$19,3,FALSE)</f>
        <v>54. Bérköltség - Kutató-fejlesztő munkatárs</v>
      </c>
      <c r="F377" s="139" t="s">
        <v>213</v>
      </c>
      <c r="G377" s="100" t="s">
        <v>179</v>
      </c>
      <c r="H377" s="100" t="s">
        <v>228</v>
      </c>
      <c r="I377" s="139" t="str">
        <f>VLOOKUP($F377,Admin!$D$11:$G$19,4,FALSE)</f>
        <v>K+F munkatárs</v>
      </c>
      <c r="J377" s="192" t="s">
        <v>254</v>
      </c>
      <c r="K377" s="192" t="s">
        <v>255</v>
      </c>
      <c r="L377" s="101" t="s">
        <v>6</v>
      </c>
      <c r="M377" s="96" t="s">
        <v>70</v>
      </c>
      <c r="N377" s="102">
        <v>63843</v>
      </c>
      <c r="O377" s="97">
        <f t="shared" si="596"/>
        <v>8300</v>
      </c>
      <c r="P377" s="104">
        <v>174</v>
      </c>
      <c r="Q377" s="104">
        <v>101</v>
      </c>
      <c r="R377" s="215">
        <f t="shared" si="597"/>
        <v>0.58045977011494254</v>
      </c>
      <c r="S377" s="105">
        <f t="shared" si="598"/>
        <v>37058</v>
      </c>
      <c r="T377" s="98">
        <f t="shared" si="599"/>
        <v>4818</v>
      </c>
      <c r="U377" s="70">
        <f t="shared" si="600"/>
        <v>4.5910036852170322E-6</v>
      </c>
      <c r="V377" s="140">
        <v>0.13</v>
      </c>
      <c r="W377" s="209"/>
      <c r="X377" s="17">
        <v>44798</v>
      </c>
      <c r="Y377" s="12" t="s">
        <v>66</v>
      </c>
      <c r="Z377" s="12"/>
      <c r="AA377" s="12"/>
      <c r="AB377" s="3">
        <v>1</v>
      </c>
    </row>
    <row r="378" spans="1:31" s="3" customFormat="1" ht="14.45" customHeight="1" x14ac:dyDescent="0.25">
      <c r="A378" s="141">
        <v>3</v>
      </c>
      <c r="B378" s="99" t="s">
        <v>193</v>
      </c>
      <c r="C378" s="95" t="str">
        <f>VLOOKUP($F378,Admin!$D$11:$F$19,2,FALSE)</f>
        <v>Kísérleti fejlesztés</v>
      </c>
      <c r="D378" s="138" t="s">
        <v>123</v>
      </c>
      <c r="E378" s="95" t="str">
        <f>VLOOKUP($F378,Admin!$D$11:$F$19,3,FALSE)</f>
        <v>54. Bérköltség - Kutató-fejlesztő munkatárs</v>
      </c>
      <c r="F378" s="139" t="s">
        <v>213</v>
      </c>
      <c r="G378" s="100" t="s">
        <v>179</v>
      </c>
      <c r="H378" s="100" t="s">
        <v>228</v>
      </c>
      <c r="I378" s="139" t="str">
        <f>VLOOKUP($F378,Admin!$D$11:$G$19,4,FALSE)</f>
        <v>K+F munkatárs</v>
      </c>
      <c r="J378" s="100" t="s">
        <v>52</v>
      </c>
      <c r="K378" s="95" t="str">
        <f t="shared" ref="K378" si="601">J378</f>
        <v>2022.10</v>
      </c>
      <c r="L378" s="101" t="s">
        <v>6</v>
      </c>
      <c r="M378" s="96" t="s">
        <v>70</v>
      </c>
      <c r="N378" s="102">
        <v>1200000</v>
      </c>
      <c r="O378" s="97">
        <f t="shared" ref="O378" si="602">ROUND(N378*V378,0)</f>
        <v>156000</v>
      </c>
      <c r="P378" s="104">
        <v>174</v>
      </c>
      <c r="Q378" s="104">
        <v>76</v>
      </c>
      <c r="R378" s="215">
        <f t="shared" ref="R378" si="603">Q378/P378</f>
        <v>0.43678160919540232</v>
      </c>
      <c r="S378" s="105">
        <f t="shared" ref="S378" si="604">ROUND(N378*Q378/P378,0)</f>
        <v>524138</v>
      </c>
      <c r="T378" s="98">
        <f t="shared" ref="T378" si="605">ROUND(S378*V378,0)</f>
        <v>68138</v>
      </c>
      <c r="U378" s="70">
        <f t="shared" ref="U378" si="606">Q378/P378-S378/N378</f>
        <v>-5.747126435862171E-8</v>
      </c>
      <c r="V378" s="140">
        <v>0.13</v>
      </c>
      <c r="W378" s="209"/>
      <c r="X378" s="17">
        <v>44839</v>
      </c>
      <c r="Y378" s="12" t="s">
        <v>66</v>
      </c>
      <c r="Z378" s="12"/>
      <c r="AA378" s="12"/>
      <c r="AB378" s="3">
        <v>1</v>
      </c>
    </row>
    <row r="379" spans="1:31" s="3" customFormat="1" ht="14.45" customHeight="1" x14ac:dyDescent="0.25">
      <c r="A379" s="141">
        <v>3</v>
      </c>
      <c r="B379" s="99" t="s">
        <v>193</v>
      </c>
      <c r="C379" s="95" t="str">
        <f>VLOOKUP($F379,Admin!$D$11:$F$19,2,FALSE)</f>
        <v>Kísérleti fejlesztés</v>
      </c>
      <c r="D379" s="138" t="s">
        <v>123</v>
      </c>
      <c r="E379" s="95" t="str">
        <f>VLOOKUP($F379,Admin!$D$11:$F$19,3,FALSE)</f>
        <v>54. Bérköltség - Kutató-fejlesztő munkatárs</v>
      </c>
      <c r="F379" s="139" t="s">
        <v>213</v>
      </c>
      <c r="G379" s="100" t="s">
        <v>179</v>
      </c>
      <c r="H379" s="100" t="s">
        <v>228</v>
      </c>
      <c r="I379" s="139" t="str">
        <f>VLOOKUP($F379,Admin!$D$11:$G$19,4,FALSE)</f>
        <v>K+F munkatárs</v>
      </c>
      <c r="J379" s="100" t="s">
        <v>53</v>
      </c>
      <c r="K379" s="95" t="str">
        <f t="shared" ref="K379:K381" si="607">J379</f>
        <v>2022.11</v>
      </c>
      <c r="L379" s="101" t="s">
        <v>6</v>
      </c>
      <c r="M379" s="96" t="s">
        <v>70</v>
      </c>
      <c r="N379" s="102">
        <v>899999</v>
      </c>
      <c r="O379" s="97">
        <f t="shared" ref="O379" si="608">ROUND(N379*V379,0)</f>
        <v>117000</v>
      </c>
      <c r="P379" s="104">
        <v>174</v>
      </c>
      <c r="Q379" s="104">
        <v>101</v>
      </c>
      <c r="R379" s="215">
        <f t="shared" ref="R379" si="609">Q379/P379</f>
        <v>0.58045977011494254</v>
      </c>
      <c r="S379" s="105">
        <f t="shared" ref="S379" si="610">ROUND(N379*Q379/P379,0)</f>
        <v>522413</v>
      </c>
      <c r="T379" s="98">
        <f t="shared" ref="T379" si="611">ROUND(S379*V379,0)</f>
        <v>67914</v>
      </c>
      <c r="U379" s="70">
        <f t="shared" ref="U379" si="612">Q379/P379-S379/N379</f>
        <v>2.3627101608525436E-7</v>
      </c>
      <c r="V379" s="140">
        <v>0.13</v>
      </c>
      <c r="W379" s="209" t="s">
        <v>281</v>
      </c>
      <c r="X379" s="17">
        <v>44849</v>
      </c>
      <c r="Y379" s="12" t="s">
        <v>66</v>
      </c>
      <c r="Z379" s="12"/>
      <c r="AA379" s="12"/>
      <c r="AB379" s="3">
        <v>1</v>
      </c>
    </row>
    <row r="380" spans="1:31" s="3" customFormat="1" ht="14.45" customHeight="1" x14ac:dyDescent="0.25">
      <c r="A380" s="141">
        <v>3</v>
      </c>
      <c r="B380" s="99" t="s">
        <v>193</v>
      </c>
      <c r="C380" s="95" t="str">
        <f>VLOOKUP($F380,Admin!$D$11:$F$19,2,FALSE)</f>
        <v>Kísérleti fejlesztés</v>
      </c>
      <c r="D380" s="138" t="s">
        <v>123</v>
      </c>
      <c r="E380" s="95" t="str">
        <f>VLOOKUP($F380,Admin!$D$11:$F$19,3,FALSE)</f>
        <v>54. Bérköltség - Kutató-fejlesztő munkatárs</v>
      </c>
      <c r="F380" s="139" t="s">
        <v>213</v>
      </c>
      <c r="G380" s="100" t="s">
        <v>179</v>
      </c>
      <c r="H380" s="100" t="s">
        <v>228</v>
      </c>
      <c r="I380" s="139" t="str">
        <f>VLOOKUP($F380,Admin!$D$11:$G$19,4,FALSE)</f>
        <v>K+F munkatárs</v>
      </c>
      <c r="J380" s="100" t="s">
        <v>54</v>
      </c>
      <c r="K380" s="95" t="str">
        <f t="shared" si="607"/>
        <v>2022.12</v>
      </c>
      <c r="L380" s="101" t="s">
        <v>6</v>
      </c>
      <c r="M380" s="96" t="s">
        <v>70</v>
      </c>
      <c r="N380" s="102">
        <v>899999</v>
      </c>
      <c r="O380" s="97">
        <f t="shared" ref="O380:O381" si="613">ROUND(N380*V380,0)</f>
        <v>117000</v>
      </c>
      <c r="P380" s="104">
        <v>174</v>
      </c>
      <c r="Q380" s="104">
        <v>101</v>
      </c>
      <c r="R380" s="215">
        <f t="shared" ref="R380:R381" si="614">Q380/P380</f>
        <v>0.58045977011494254</v>
      </c>
      <c r="S380" s="105">
        <f t="shared" ref="S380:S381" si="615">ROUND(N380*Q380/P380,0)</f>
        <v>522413</v>
      </c>
      <c r="T380" s="98">
        <f t="shared" ref="T380:T381" si="616">ROUND(S380*V380,0)</f>
        <v>67914</v>
      </c>
      <c r="U380" s="70">
        <f t="shared" ref="U380:U381" si="617">Q380/P380-S380/N380</f>
        <v>2.3627101608525436E-7</v>
      </c>
      <c r="V380" s="140">
        <v>0.13</v>
      </c>
      <c r="W380" s="209" t="s">
        <v>281</v>
      </c>
      <c r="X380" s="17">
        <v>44849</v>
      </c>
      <c r="Y380" s="12" t="s">
        <v>66</v>
      </c>
      <c r="Z380" s="12"/>
      <c r="AA380" s="12"/>
      <c r="AB380" s="3">
        <v>1</v>
      </c>
      <c r="AC380" s="204" t="s">
        <v>315</v>
      </c>
      <c r="AD380" s="204" t="s">
        <v>315</v>
      </c>
      <c r="AE380" s="204" t="s">
        <v>315</v>
      </c>
    </row>
    <row r="381" spans="1:31" s="3" customFormat="1" ht="14.45" customHeight="1" x14ac:dyDescent="0.25">
      <c r="A381" s="141">
        <v>3</v>
      </c>
      <c r="B381" s="99" t="s">
        <v>193</v>
      </c>
      <c r="C381" s="95" t="str">
        <f>VLOOKUP($F381,Admin!$D$11:$F$19,2,FALSE)</f>
        <v>Kísérleti fejlesztés</v>
      </c>
      <c r="D381" s="138" t="s">
        <v>123</v>
      </c>
      <c r="E381" s="95" t="str">
        <f>VLOOKUP($F381,Admin!$D$11:$F$19,3,FALSE)</f>
        <v>54. Bérköltség - Kutató-fejlesztő munkatárs</v>
      </c>
      <c r="F381" s="139" t="s">
        <v>213</v>
      </c>
      <c r="G381" s="100" t="s">
        <v>179</v>
      </c>
      <c r="H381" s="100" t="s">
        <v>228</v>
      </c>
      <c r="I381" s="139" t="str">
        <f>VLOOKUP($F381,Admin!$D$11:$G$19,4,FALSE)</f>
        <v>K+F munkatárs</v>
      </c>
      <c r="J381" s="100" t="s">
        <v>257</v>
      </c>
      <c r="K381" s="95" t="str">
        <f t="shared" si="607"/>
        <v>2023.01</v>
      </c>
      <c r="L381" s="101" t="s">
        <v>6</v>
      </c>
      <c r="M381" s="96" t="s">
        <v>70</v>
      </c>
      <c r="N381" s="102">
        <v>900000</v>
      </c>
      <c r="O381" s="97">
        <f t="shared" si="613"/>
        <v>117000</v>
      </c>
      <c r="P381" s="104">
        <v>174</v>
      </c>
      <c r="Q381" s="104">
        <v>101</v>
      </c>
      <c r="R381" s="215">
        <f t="shared" si="614"/>
        <v>0.58045977011494254</v>
      </c>
      <c r="S381" s="105">
        <f t="shared" si="615"/>
        <v>522414</v>
      </c>
      <c r="T381" s="98">
        <f t="shared" si="616"/>
        <v>67914</v>
      </c>
      <c r="U381" s="70">
        <f t="shared" si="617"/>
        <v>-2.2988505743448684E-7</v>
      </c>
      <c r="V381" s="140">
        <v>0.13</v>
      </c>
      <c r="W381" s="209" t="s">
        <v>281</v>
      </c>
      <c r="X381" s="17">
        <v>44936</v>
      </c>
      <c r="Y381" s="12" t="s">
        <v>66</v>
      </c>
      <c r="Z381" s="12"/>
      <c r="AA381" s="12"/>
      <c r="AB381" s="3">
        <v>1</v>
      </c>
      <c r="AC381" s="204" t="s">
        <v>315</v>
      </c>
      <c r="AD381" s="216">
        <v>0</v>
      </c>
      <c r="AE381" s="216">
        <v>0</v>
      </c>
    </row>
    <row r="382" spans="1:31" s="3" customFormat="1" ht="14.45" customHeight="1" x14ac:dyDescent="0.25">
      <c r="A382" s="141"/>
      <c r="B382" s="99" t="s">
        <v>193</v>
      </c>
      <c r="C382" s="95" t="str">
        <f>VLOOKUP($F382,Admin!$D$11:$F$19,2,FALSE)</f>
        <v>Kísérleti fejlesztés</v>
      </c>
      <c r="D382" s="138" t="s">
        <v>123</v>
      </c>
      <c r="E382" s="95" t="str">
        <f>VLOOKUP($F382,Admin!$D$11:$F$19,3,FALSE)</f>
        <v>54. Bérköltség - Kutató-fejlesztő munkatárs</v>
      </c>
      <c r="F382" s="139" t="s">
        <v>213</v>
      </c>
      <c r="G382" s="100" t="s">
        <v>179</v>
      </c>
      <c r="H382" s="100" t="s">
        <v>228</v>
      </c>
      <c r="I382" s="139" t="str">
        <f>VLOOKUP($F382,Admin!$D$11:$G$19,4,FALSE)</f>
        <v>K+F munkatárs</v>
      </c>
      <c r="J382" s="100" t="s">
        <v>295</v>
      </c>
      <c r="K382" s="95" t="str">
        <f t="shared" ref="K382:K384" si="618">J382</f>
        <v>2023.02</v>
      </c>
      <c r="L382" s="101" t="s">
        <v>6</v>
      </c>
      <c r="M382" s="96" t="s">
        <v>70</v>
      </c>
      <c r="N382" s="102">
        <v>900000</v>
      </c>
      <c r="O382" s="97">
        <f t="shared" ref="O382:O384" si="619">ROUND(N382*V382,0)</f>
        <v>117000</v>
      </c>
      <c r="P382" s="104">
        <v>174</v>
      </c>
      <c r="Q382" s="104">
        <v>101</v>
      </c>
      <c r="R382" s="215">
        <f t="shared" ref="R382:R384" si="620">Q382/P382</f>
        <v>0.58045977011494254</v>
      </c>
      <c r="S382" s="105">
        <f t="shared" ref="S382:S384" si="621">ROUND(N382*Q382/P382,0)</f>
        <v>522414</v>
      </c>
      <c r="T382" s="98">
        <f t="shared" ref="T382:T384" si="622">ROUND(S382*V382,0)</f>
        <v>67914</v>
      </c>
      <c r="U382" s="70">
        <f t="shared" ref="U382:U384" si="623">Q382/P382-S382/N382</f>
        <v>-2.2988505743448684E-7</v>
      </c>
      <c r="V382" s="140">
        <v>0.13</v>
      </c>
      <c r="W382" s="209" t="s">
        <v>281</v>
      </c>
      <c r="X382" s="17">
        <v>44936</v>
      </c>
      <c r="Y382" s="12" t="s">
        <v>66</v>
      </c>
      <c r="Z382" s="12"/>
      <c r="AA382" s="12"/>
      <c r="AB382" s="3">
        <v>1</v>
      </c>
      <c r="AC382" s="3" t="s">
        <v>315</v>
      </c>
      <c r="AD382" s="3">
        <v>0</v>
      </c>
      <c r="AE382" s="3">
        <v>0</v>
      </c>
    </row>
    <row r="383" spans="1:31" s="3" customFormat="1" ht="14.45" customHeight="1" x14ac:dyDescent="0.25">
      <c r="A383" s="141"/>
      <c r="B383" s="99" t="s">
        <v>193</v>
      </c>
      <c r="C383" s="95" t="str">
        <f>VLOOKUP($F383,Admin!$D$11:$F$19,2,FALSE)</f>
        <v>Kísérleti fejlesztés</v>
      </c>
      <c r="D383" s="138" t="s">
        <v>123</v>
      </c>
      <c r="E383" s="95" t="str">
        <f>VLOOKUP($F383,Admin!$D$11:$F$19,3,FALSE)</f>
        <v>54. Bérköltség - Kutató-fejlesztő munkatárs</v>
      </c>
      <c r="F383" s="139" t="s">
        <v>213</v>
      </c>
      <c r="G383" s="100" t="s">
        <v>179</v>
      </c>
      <c r="H383" s="100" t="s">
        <v>228</v>
      </c>
      <c r="I383" s="139" t="str">
        <f>VLOOKUP($F383,Admin!$D$11:$G$19,4,FALSE)</f>
        <v>K+F munkatárs</v>
      </c>
      <c r="J383" s="100" t="s">
        <v>296</v>
      </c>
      <c r="K383" s="95" t="str">
        <f t="shared" si="618"/>
        <v>2023.03</v>
      </c>
      <c r="L383" s="101" t="s">
        <v>6</v>
      </c>
      <c r="M383" s="96" t="s">
        <v>70</v>
      </c>
      <c r="N383" s="102">
        <v>900000</v>
      </c>
      <c r="O383" s="97">
        <f t="shared" si="619"/>
        <v>117000</v>
      </c>
      <c r="P383" s="104">
        <v>174</v>
      </c>
      <c r="Q383" s="104">
        <v>101</v>
      </c>
      <c r="R383" s="215">
        <f t="shared" si="620"/>
        <v>0.58045977011494254</v>
      </c>
      <c r="S383" s="105">
        <f t="shared" si="621"/>
        <v>522414</v>
      </c>
      <c r="T383" s="98">
        <f t="shared" si="622"/>
        <v>67914</v>
      </c>
      <c r="U383" s="70">
        <f t="shared" si="623"/>
        <v>-2.2988505743448684E-7</v>
      </c>
      <c r="V383" s="140">
        <v>0.13</v>
      </c>
      <c r="W383" s="209" t="s">
        <v>281</v>
      </c>
      <c r="X383" s="17">
        <v>44936</v>
      </c>
      <c r="Y383" s="12" t="s">
        <v>66</v>
      </c>
      <c r="Z383" s="12"/>
      <c r="AA383" s="12"/>
      <c r="AB383" s="3">
        <v>1</v>
      </c>
      <c r="AC383" s="3" t="s">
        <v>315</v>
      </c>
      <c r="AD383" s="3">
        <v>0</v>
      </c>
      <c r="AE383" s="3">
        <v>0</v>
      </c>
    </row>
    <row r="384" spans="1:31" s="3" customFormat="1" ht="14.45" customHeight="1" x14ac:dyDescent="0.25">
      <c r="A384" s="141"/>
      <c r="B384" s="99" t="s">
        <v>193</v>
      </c>
      <c r="C384" s="95" t="str">
        <f>VLOOKUP($F384,Admin!$D$11:$F$19,2,FALSE)</f>
        <v>Kísérleti fejlesztés</v>
      </c>
      <c r="D384" s="138" t="s">
        <v>123</v>
      </c>
      <c r="E384" s="95" t="str">
        <f>VLOOKUP($F384,Admin!$D$11:$F$19,3,FALSE)</f>
        <v>54. Bérköltség - Kutató-fejlesztő munkatárs</v>
      </c>
      <c r="F384" s="139" t="s">
        <v>213</v>
      </c>
      <c r="G384" s="100" t="s">
        <v>179</v>
      </c>
      <c r="H384" s="100" t="s">
        <v>228</v>
      </c>
      <c r="I384" s="139" t="str">
        <f>VLOOKUP($F384,Admin!$D$11:$G$19,4,FALSE)</f>
        <v>K+F munkatárs</v>
      </c>
      <c r="J384" s="100" t="s">
        <v>297</v>
      </c>
      <c r="K384" s="95" t="str">
        <f t="shared" si="618"/>
        <v>2023.04</v>
      </c>
      <c r="L384" s="101" t="s">
        <v>7</v>
      </c>
      <c r="M384" s="96" t="s">
        <v>70</v>
      </c>
      <c r="N384" s="102">
        <v>900000</v>
      </c>
      <c r="O384" s="97">
        <f t="shared" si="619"/>
        <v>117000</v>
      </c>
      <c r="P384" s="104">
        <v>174</v>
      </c>
      <c r="Q384" s="104">
        <v>101</v>
      </c>
      <c r="R384" s="215">
        <f t="shared" si="620"/>
        <v>0.58045977011494254</v>
      </c>
      <c r="S384" s="105">
        <f t="shared" si="621"/>
        <v>522414</v>
      </c>
      <c r="T384" s="98">
        <f t="shared" si="622"/>
        <v>67914</v>
      </c>
      <c r="U384" s="70">
        <f t="shared" si="623"/>
        <v>-2.2988505743448684E-7</v>
      </c>
      <c r="V384" s="140">
        <v>0.13</v>
      </c>
      <c r="W384" s="209" t="s">
        <v>281</v>
      </c>
      <c r="X384" s="17">
        <v>44936</v>
      </c>
      <c r="Y384" s="12" t="s">
        <v>66</v>
      </c>
      <c r="Z384" s="12"/>
      <c r="AA384" s="12"/>
    </row>
    <row r="385" spans="1:31" s="3" customFormat="1" ht="14.45" customHeight="1" x14ac:dyDescent="0.25">
      <c r="A385" s="141">
        <v>3</v>
      </c>
      <c r="B385" s="99" t="s">
        <v>247</v>
      </c>
      <c r="C385" s="95" t="str">
        <f>VLOOKUP($F385,Admin!$D$11:$F$19,2,FALSE)</f>
        <v>Kísérleti fejlesztés</v>
      </c>
      <c r="D385" s="138" t="s">
        <v>123</v>
      </c>
      <c r="E385" s="95" t="str">
        <f>VLOOKUP($F385,Admin!$D$11:$F$19,3,FALSE)</f>
        <v>54. Bérköltség - Kutató-fejlesztő munkatárs</v>
      </c>
      <c r="F385" s="139" t="s">
        <v>213</v>
      </c>
      <c r="G385" s="100" t="s">
        <v>180</v>
      </c>
      <c r="H385" s="100" t="s">
        <v>248</v>
      </c>
      <c r="I385" s="139" t="str">
        <f>VLOOKUP($F385,Admin!$D$11:$G$19,4,FALSE)</f>
        <v>K+F munkatárs</v>
      </c>
      <c r="J385" s="100" t="s">
        <v>49</v>
      </c>
      <c r="K385" s="95" t="str">
        <f t="shared" ref="K385" si="624">J385</f>
        <v>2022.07</v>
      </c>
      <c r="L385" s="101" t="s">
        <v>6</v>
      </c>
      <c r="M385" s="96" t="s">
        <v>70</v>
      </c>
      <c r="N385" s="102">
        <v>1038300</v>
      </c>
      <c r="O385" s="97">
        <f t="shared" ref="O385" si="625">ROUND(N385*V385,0)</f>
        <v>134979</v>
      </c>
      <c r="P385" s="104">
        <v>174</v>
      </c>
      <c r="Q385" s="104">
        <v>50</v>
      </c>
      <c r="R385" s="215">
        <f t="shared" ref="R385" si="626">Q385/P385</f>
        <v>0.28735632183908044</v>
      </c>
      <c r="S385" s="105">
        <f t="shared" ref="S385" si="627">ROUND(N385*Q385/P385,0)</f>
        <v>298362</v>
      </c>
      <c r="T385" s="98">
        <f t="shared" ref="T385" si="628">ROUND(S385*V385,0)</f>
        <v>38787</v>
      </c>
      <c r="U385" s="70">
        <f t="shared" ref="U385" si="629">Q385/P385-S385/N385</f>
        <v>6.6421571076613617E-8</v>
      </c>
      <c r="V385" s="140">
        <v>0.13</v>
      </c>
      <c r="W385" s="209"/>
      <c r="X385" s="17">
        <v>44735</v>
      </c>
      <c r="Y385" s="12" t="s">
        <v>66</v>
      </c>
      <c r="Z385" s="12"/>
      <c r="AA385" s="12"/>
      <c r="AB385" s="3">
        <v>1</v>
      </c>
    </row>
    <row r="386" spans="1:31" s="3" customFormat="1" ht="14.45" customHeight="1" x14ac:dyDescent="0.25">
      <c r="A386" s="141">
        <v>3</v>
      </c>
      <c r="B386" s="99" t="s">
        <v>247</v>
      </c>
      <c r="C386" s="95" t="str">
        <f>VLOOKUP($F386,Admin!$D$11:$F$19,2,FALSE)</f>
        <v>Kísérleti fejlesztés</v>
      </c>
      <c r="D386" s="138" t="s">
        <v>123</v>
      </c>
      <c r="E386" s="95" t="str">
        <f>VLOOKUP($F386,Admin!$D$11:$F$19,3,FALSE)</f>
        <v>54. Bérköltség - Kutató-fejlesztő munkatárs</v>
      </c>
      <c r="F386" s="139" t="s">
        <v>213</v>
      </c>
      <c r="G386" s="100" t="s">
        <v>180</v>
      </c>
      <c r="H386" s="100" t="s">
        <v>248</v>
      </c>
      <c r="I386" s="139" t="str">
        <f>VLOOKUP($F386,Admin!$D$11:$G$19,4,FALSE)</f>
        <v>K+F munkatárs</v>
      </c>
      <c r="J386" s="100" t="s">
        <v>50</v>
      </c>
      <c r="K386" s="95" t="str">
        <f t="shared" ref="K386" si="630">J386</f>
        <v>2022.08</v>
      </c>
      <c r="L386" s="101" t="s">
        <v>6</v>
      </c>
      <c r="M386" s="96" t="s">
        <v>70</v>
      </c>
      <c r="N386" s="102">
        <v>1038298</v>
      </c>
      <c r="O386" s="97">
        <f t="shared" ref="O386" si="631">ROUND(N386*V386,0)</f>
        <v>134979</v>
      </c>
      <c r="P386" s="104">
        <v>174</v>
      </c>
      <c r="Q386" s="104">
        <v>50</v>
      </c>
      <c r="R386" s="215">
        <f t="shared" ref="R386" si="632">Q386/P386</f>
        <v>0.28735632183908044</v>
      </c>
      <c r="S386" s="105">
        <f t="shared" ref="S386" si="633">ROUND(N386*Q386/P386,0)</f>
        <v>298361</v>
      </c>
      <c r="T386" s="98">
        <f t="shared" ref="T386" si="634">ROUND(S386*V386,0)</f>
        <v>38787</v>
      </c>
      <c r="U386" s="70">
        <f t="shared" ref="U386" si="635">Q386/P386-S386/N386</f>
        <v>4.760221762323269E-7</v>
      </c>
      <c r="V386" s="140">
        <v>0.13</v>
      </c>
      <c r="W386" s="209"/>
      <c r="X386" s="17">
        <v>44767</v>
      </c>
      <c r="Y386" s="12" t="s">
        <v>66</v>
      </c>
      <c r="Z386" s="12"/>
      <c r="AA386" s="12"/>
      <c r="AB386" s="3">
        <v>1</v>
      </c>
    </row>
    <row r="387" spans="1:31" s="3" customFormat="1" ht="14.45" customHeight="1" x14ac:dyDescent="0.25">
      <c r="A387" s="141">
        <v>3</v>
      </c>
      <c r="B387" s="99" t="s">
        <v>247</v>
      </c>
      <c r="C387" s="95" t="str">
        <f>VLOOKUP($F387,Admin!$D$11:$F$19,2,FALSE)</f>
        <v>Kísérleti fejlesztés</v>
      </c>
      <c r="D387" s="138" t="s">
        <v>123</v>
      </c>
      <c r="E387" s="95" t="str">
        <f>VLOOKUP($F387,Admin!$D$11:$F$19,3,FALSE)</f>
        <v>54. Bérköltség - Kutató-fejlesztő munkatárs</v>
      </c>
      <c r="F387" s="139" t="s">
        <v>213</v>
      </c>
      <c r="G387" s="100" t="s">
        <v>180</v>
      </c>
      <c r="H387" s="100" t="s">
        <v>248</v>
      </c>
      <c r="I387" s="139" t="str">
        <f>VLOOKUP($F387,Admin!$D$11:$G$19,4,FALSE)</f>
        <v>K+F munkatárs</v>
      </c>
      <c r="J387" s="100" t="s">
        <v>51</v>
      </c>
      <c r="K387" s="95" t="str">
        <f t="shared" ref="K387:K388" si="636">J387</f>
        <v>2022.09</v>
      </c>
      <c r="L387" s="101" t="s">
        <v>6</v>
      </c>
      <c r="M387" s="96" t="s">
        <v>70</v>
      </c>
      <c r="N387" s="102">
        <v>1388300</v>
      </c>
      <c r="O387" s="97">
        <f t="shared" ref="O387" si="637">ROUND(N387*V387,0)</f>
        <v>180479</v>
      </c>
      <c r="P387" s="104">
        <v>174</v>
      </c>
      <c r="Q387" s="104">
        <v>37</v>
      </c>
      <c r="R387" s="215">
        <f t="shared" ref="R387" si="638">Q387/P387</f>
        <v>0.21264367816091953</v>
      </c>
      <c r="S387" s="105">
        <f t="shared" ref="S387" si="639">ROUND(N387*Q387/P387,0)</f>
        <v>295213</v>
      </c>
      <c r="T387" s="98">
        <f t="shared" ref="T387" si="640">ROUND(S387*V387,0)</f>
        <v>38378</v>
      </c>
      <c r="U387" s="70">
        <f t="shared" ref="U387" si="641">Q387/P387-S387/N387</f>
        <v>1.5730807792491142E-7</v>
      </c>
      <c r="V387" s="140">
        <v>0.13</v>
      </c>
      <c r="W387" s="209"/>
      <c r="X387" s="17">
        <v>44796</v>
      </c>
      <c r="Y387" s="12" t="s">
        <v>66</v>
      </c>
      <c r="Z387" s="12"/>
      <c r="AA387" s="12"/>
      <c r="AB387" s="3">
        <v>1</v>
      </c>
    </row>
    <row r="388" spans="1:31" s="3" customFormat="1" ht="14.45" customHeight="1" x14ac:dyDescent="0.25">
      <c r="A388" s="141">
        <v>3</v>
      </c>
      <c r="B388" s="99" t="s">
        <v>247</v>
      </c>
      <c r="C388" s="95" t="str">
        <f>VLOOKUP($F388,Admin!$D$11:$F$19,2,FALSE)</f>
        <v>Kísérleti fejlesztés</v>
      </c>
      <c r="D388" s="138" t="s">
        <v>123</v>
      </c>
      <c r="E388" s="95" t="str">
        <f>VLOOKUP($F388,Admin!$D$11:$F$19,3,FALSE)</f>
        <v>54. Bérköltség - Kutató-fejlesztő munkatárs</v>
      </c>
      <c r="F388" s="139" t="s">
        <v>213</v>
      </c>
      <c r="G388" s="100" t="s">
        <v>180</v>
      </c>
      <c r="H388" s="100" t="s">
        <v>248</v>
      </c>
      <c r="I388" s="139" t="str">
        <f>VLOOKUP($F388,Admin!$D$11:$G$19,4,FALSE)</f>
        <v>K+F munkatárs</v>
      </c>
      <c r="J388" s="100" t="s">
        <v>52</v>
      </c>
      <c r="K388" s="95" t="str">
        <f t="shared" si="636"/>
        <v>2022.10</v>
      </c>
      <c r="L388" s="101" t="s">
        <v>6</v>
      </c>
      <c r="M388" s="96" t="s">
        <v>70</v>
      </c>
      <c r="N388" s="102">
        <v>1388300</v>
      </c>
      <c r="O388" s="97">
        <f t="shared" ref="O388" si="642">ROUND(N388*V388,0)</f>
        <v>180479</v>
      </c>
      <c r="P388" s="104">
        <v>174</v>
      </c>
      <c r="Q388" s="104">
        <v>37</v>
      </c>
      <c r="R388" s="215">
        <f t="shared" ref="R388" si="643">Q388/P388</f>
        <v>0.21264367816091953</v>
      </c>
      <c r="S388" s="105">
        <f t="shared" ref="S388" si="644">ROUND(N388*Q388/P388,0)</f>
        <v>295213</v>
      </c>
      <c r="T388" s="98">
        <f t="shared" ref="T388" si="645">ROUND(S388*V388,0)</f>
        <v>38378</v>
      </c>
      <c r="U388" s="70">
        <f t="shared" ref="U388" si="646">Q388/P388-S388/N388</f>
        <v>1.5730807792491142E-7</v>
      </c>
      <c r="V388" s="140">
        <v>0.13</v>
      </c>
      <c r="W388" s="209"/>
      <c r="X388" s="17">
        <v>44796</v>
      </c>
      <c r="Y388" s="12" t="s">
        <v>66</v>
      </c>
      <c r="Z388" s="12"/>
      <c r="AA388" s="12"/>
      <c r="AB388" s="3">
        <v>1</v>
      </c>
    </row>
    <row r="389" spans="1:31" s="3" customFormat="1" ht="14.45" customHeight="1" x14ac:dyDescent="0.25">
      <c r="A389" s="141">
        <v>3</v>
      </c>
      <c r="B389" s="99" t="s">
        <v>247</v>
      </c>
      <c r="C389" s="95" t="str">
        <f>VLOOKUP($F389,Admin!$D$11:$F$19,2,FALSE)</f>
        <v>Kísérleti fejlesztés</v>
      </c>
      <c r="D389" s="138" t="s">
        <v>123</v>
      </c>
      <c r="E389" s="95" t="str">
        <f>VLOOKUP($F389,Admin!$D$11:$F$19,3,FALSE)</f>
        <v>54. Bérköltség - Kutató-fejlesztő munkatárs</v>
      </c>
      <c r="F389" s="139" t="s">
        <v>213</v>
      </c>
      <c r="G389" s="100" t="s">
        <v>180</v>
      </c>
      <c r="H389" s="100" t="s">
        <v>248</v>
      </c>
      <c r="I389" s="139" t="str">
        <f>VLOOKUP($F389,Admin!$D$11:$G$19,4,FALSE)</f>
        <v>K+F munkatárs</v>
      </c>
      <c r="J389" s="100" t="s">
        <v>53</v>
      </c>
      <c r="K389" s="95" t="str">
        <f t="shared" ref="K389:K390" si="647">J389</f>
        <v>2022.11</v>
      </c>
      <c r="L389" s="101" t="s">
        <v>6</v>
      </c>
      <c r="M389" s="96" t="s">
        <v>70</v>
      </c>
      <c r="N389" s="102">
        <v>1094300</v>
      </c>
      <c r="O389" s="97">
        <f t="shared" ref="O389" si="648">ROUND(N389*V389,0)</f>
        <v>142259</v>
      </c>
      <c r="P389" s="104">
        <v>174</v>
      </c>
      <c r="Q389" s="104">
        <v>47</v>
      </c>
      <c r="R389" s="215">
        <f t="shared" ref="R389" si="649">Q389/P389</f>
        <v>0.27011494252873564</v>
      </c>
      <c r="S389" s="105">
        <f t="shared" ref="S389" si="650">ROUND(N389*Q389/P389,0)</f>
        <v>295587</v>
      </c>
      <c r="T389" s="98">
        <f t="shared" ref="T389" si="651">ROUND(S389*V389,0)</f>
        <v>38426</v>
      </c>
      <c r="U389" s="70">
        <f t="shared" ref="U389" si="652">Q389/P389-S389/N389</f>
        <v>-1.9957123692515566E-7</v>
      </c>
      <c r="V389" s="140">
        <v>0.13</v>
      </c>
      <c r="W389" s="209" t="s">
        <v>292</v>
      </c>
      <c r="X389" s="17">
        <v>44852</v>
      </c>
      <c r="Y389" s="12" t="s">
        <v>66</v>
      </c>
      <c r="Z389" s="12"/>
      <c r="AA389" s="12"/>
      <c r="AB389" s="3">
        <v>1</v>
      </c>
    </row>
    <row r="390" spans="1:31" s="3" customFormat="1" ht="14.45" customHeight="1" x14ac:dyDescent="0.25">
      <c r="A390" s="141">
        <v>3</v>
      </c>
      <c r="B390" s="99" t="s">
        <v>247</v>
      </c>
      <c r="C390" s="95" t="str">
        <f>VLOOKUP($F390,Admin!$D$11:$F$19,2,FALSE)</f>
        <v>Kísérleti fejlesztés</v>
      </c>
      <c r="D390" s="138" t="s">
        <v>123</v>
      </c>
      <c r="E390" s="95" t="str">
        <f>VLOOKUP($F390,Admin!$D$11:$F$19,3,FALSE)</f>
        <v>54. Bérköltség - Kutató-fejlesztő munkatárs</v>
      </c>
      <c r="F390" s="139" t="s">
        <v>213</v>
      </c>
      <c r="G390" s="100" t="s">
        <v>180</v>
      </c>
      <c r="H390" s="100" t="s">
        <v>248</v>
      </c>
      <c r="I390" s="139" t="str">
        <f>VLOOKUP($F390,Admin!$D$11:$G$19,4,FALSE)</f>
        <v>K+F munkatárs</v>
      </c>
      <c r="J390" s="100" t="s">
        <v>54</v>
      </c>
      <c r="K390" s="95" t="str">
        <f t="shared" si="647"/>
        <v>2022.12</v>
      </c>
      <c r="L390" s="101" t="s">
        <v>6</v>
      </c>
      <c r="M390" s="96" t="s">
        <v>70</v>
      </c>
      <c r="N390" s="102">
        <v>1094300</v>
      </c>
      <c r="O390" s="97">
        <f t="shared" ref="O390" si="653">ROUND(N390*V390,0)</f>
        <v>142259</v>
      </c>
      <c r="P390" s="104">
        <v>174</v>
      </c>
      <c r="Q390" s="104">
        <v>47</v>
      </c>
      <c r="R390" s="215">
        <f t="shared" ref="R390" si="654">Q390/P390</f>
        <v>0.27011494252873564</v>
      </c>
      <c r="S390" s="105">
        <f t="shared" ref="S390" si="655">ROUND(N390*Q390/P390,0)</f>
        <v>295587</v>
      </c>
      <c r="T390" s="98">
        <f t="shared" ref="T390" si="656">ROUND(S390*V390,0)</f>
        <v>38426</v>
      </c>
      <c r="U390" s="70">
        <f t="shared" ref="U390" si="657">Q390/P390-S390/N390</f>
        <v>-1.9957123692515566E-7</v>
      </c>
      <c r="V390" s="140">
        <v>0.13</v>
      </c>
      <c r="W390" s="209" t="s">
        <v>292</v>
      </c>
      <c r="X390" s="17">
        <v>44852</v>
      </c>
      <c r="Y390" s="12" t="s">
        <v>66</v>
      </c>
      <c r="Z390" s="12"/>
      <c r="AA390" s="12"/>
      <c r="AB390" s="3">
        <v>1</v>
      </c>
      <c r="AC390" s="204" t="s">
        <v>315</v>
      </c>
      <c r="AD390" s="205" t="s">
        <v>316</v>
      </c>
      <c r="AE390" s="205" t="s">
        <v>316</v>
      </c>
    </row>
    <row r="391" spans="1:31" s="3" customFormat="1" ht="14.45" customHeight="1" x14ac:dyDescent="0.25">
      <c r="A391" s="141">
        <v>3</v>
      </c>
      <c r="B391" s="99" t="s">
        <v>247</v>
      </c>
      <c r="C391" s="95" t="str">
        <f>VLOOKUP($F391,Admin!$D$11:$F$19,2,FALSE)</f>
        <v>Kísérleti fejlesztés</v>
      </c>
      <c r="D391" s="138" t="s">
        <v>123</v>
      </c>
      <c r="E391" s="95" t="str">
        <f>VLOOKUP($F391,Admin!$D$11:$F$19,3,FALSE)</f>
        <v>54. Bérköltség - Kutató-fejlesztő munkatárs</v>
      </c>
      <c r="F391" s="139" t="s">
        <v>213</v>
      </c>
      <c r="G391" s="100" t="s">
        <v>180</v>
      </c>
      <c r="H391" s="100" t="s">
        <v>248</v>
      </c>
      <c r="I391" s="139" t="str">
        <f>VLOOKUP($F391,Admin!$D$11:$G$19,4,FALSE)</f>
        <v>K+F munkatárs</v>
      </c>
      <c r="J391" s="100" t="s">
        <v>257</v>
      </c>
      <c r="K391" s="95" t="str">
        <f t="shared" ref="K391" si="658">J391</f>
        <v>2023.01</v>
      </c>
      <c r="L391" s="101" t="s">
        <v>6</v>
      </c>
      <c r="M391" s="96" t="s">
        <v>70</v>
      </c>
      <c r="N391" s="102">
        <v>1180000</v>
      </c>
      <c r="O391" s="97">
        <f t="shared" ref="O391" si="659">ROUND(N391*V391,0)</f>
        <v>153400</v>
      </c>
      <c r="P391" s="104">
        <v>174</v>
      </c>
      <c r="Q391" s="104">
        <v>45</v>
      </c>
      <c r="R391" s="215">
        <f t="shared" ref="R391" si="660">Q391/P391</f>
        <v>0.25862068965517243</v>
      </c>
      <c r="S391" s="105">
        <f t="shared" ref="S391" si="661">ROUND(N391*Q391/P391,0)</f>
        <v>305172</v>
      </c>
      <c r="T391" s="98">
        <f t="shared" ref="T391" si="662">ROUND(S391*V391,0)</f>
        <v>39672</v>
      </c>
      <c r="U391" s="70">
        <f t="shared" ref="U391" si="663">Q391/P391-S391/N391</f>
        <v>3.5067212156292271E-7</v>
      </c>
      <c r="V391" s="140">
        <v>0.13</v>
      </c>
      <c r="W391" s="209" t="s">
        <v>292</v>
      </c>
      <c r="X391" s="17">
        <v>44938</v>
      </c>
      <c r="Y391" s="12" t="s">
        <v>66</v>
      </c>
      <c r="Z391" s="12"/>
      <c r="AA391" s="12"/>
      <c r="AB391" s="3">
        <v>1</v>
      </c>
      <c r="AC391" s="204" t="s">
        <v>315</v>
      </c>
      <c r="AD391" s="216">
        <v>0</v>
      </c>
      <c r="AE391" s="216">
        <v>0</v>
      </c>
    </row>
    <row r="392" spans="1:31" s="3" customFormat="1" ht="14.45" customHeight="1" x14ac:dyDescent="0.25">
      <c r="A392" s="141"/>
      <c r="B392" s="99" t="s">
        <v>247</v>
      </c>
      <c r="C392" s="95" t="str">
        <f>VLOOKUP($F392,Admin!$D$11:$F$19,2,FALSE)</f>
        <v>Kísérleti fejlesztés</v>
      </c>
      <c r="D392" s="138" t="s">
        <v>123</v>
      </c>
      <c r="E392" s="95" t="str">
        <f>VLOOKUP($F392,Admin!$D$11:$F$19,3,FALSE)</f>
        <v>54. Bérköltség - Kutató-fejlesztő munkatárs</v>
      </c>
      <c r="F392" s="139" t="s">
        <v>213</v>
      </c>
      <c r="G392" s="100" t="s">
        <v>180</v>
      </c>
      <c r="H392" s="100" t="s">
        <v>248</v>
      </c>
      <c r="I392" s="139" t="str">
        <f>VLOOKUP($F392,Admin!$D$11:$G$19,4,FALSE)</f>
        <v>K+F munkatárs</v>
      </c>
      <c r="J392" s="100" t="s">
        <v>295</v>
      </c>
      <c r="K392" s="95" t="str">
        <f t="shared" ref="K392:K394" si="664">J392</f>
        <v>2023.02</v>
      </c>
      <c r="L392" s="101" t="s">
        <v>6</v>
      </c>
      <c r="M392" s="96" t="s">
        <v>70</v>
      </c>
      <c r="N392" s="102">
        <v>1180000</v>
      </c>
      <c r="O392" s="97">
        <f t="shared" ref="O392" si="665">ROUND(N392*V392,0)</f>
        <v>153400</v>
      </c>
      <c r="P392" s="104">
        <v>174</v>
      </c>
      <c r="Q392" s="104">
        <v>45</v>
      </c>
      <c r="R392" s="215">
        <f t="shared" ref="R392" si="666">Q392/P392</f>
        <v>0.25862068965517243</v>
      </c>
      <c r="S392" s="105">
        <f t="shared" ref="S392" si="667">ROUND(N392*Q392/P392,0)</f>
        <v>305172</v>
      </c>
      <c r="T392" s="98">
        <f t="shared" ref="T392" si="668">ROUND(S392*V392,0)</f>
        <v>39672</v>
      </c>
      <c r="U392" s="70">
        <f t="shared" ref="U392" si="669">Q392/P392-S392/N392</f>
        <v>3.5067212156292271E-7</v>
      </c>
      <c r="V392" s="140">
        <v>0.13</v>
      </c>
      <c r="W392" s="209" t="s">
        <v>292</v>
      </c>
      <c r="X392" s="17">
        <v>44951</v>
      </c>
      <c r="Y392" s="12" t="s">
        <v>66</v>
      </c>
      <c r="Z392" s="12"/>
      <c r="AA392" s="12"/>
      <c r="AB392" s="3">
        <v>1</v>
      </c>
      <c r="AC392" s="3" t="s">
        <v>315</v>
      </c>
      <c r="AD392" s="3">
        <v>0</v>
      </c>
      <c r="AE392" s="3">
        <v>0</v>
      </c>
    </row>
    <row r="393" spans="1:31" s="3" customFormat="1" ht="14.45" customHeight="1" x14ac:dyDescent="0.25">
      <c r="A393" s="141"/>
      <c r="B393" s="99" t="s">
        <v>247</v>
      </c>
      <c r="C393" s="95" t="str">
        <f>VLOOKUP($F393,Admin!$D$11:$F$19,2,FALSE)</f>
        <v>Kísérleti fejlesztés</v>
      </c>
      <c r="D393" s="138" t="s">
        <v>123</v>
      </c>
      <c r="E393" s="95" t="str">
        <f>VLOOKUP($F393,Admin!$D$11:$F$19,3,FALSE)</f>
        <v>54. Bérköltség - Kutató-fejlesztő munkatárs</v>
      </c>
      <c r="F393" s="139" t="s">
        <v>213</v>
      </c>
      <c r="G393" s="100" t="s">
        <v>180</v>
      </c>
      <c r="H393" s="100" t="s">
        <v>248</v>
      </c>
      <c r="I393" s="139" t="str">
        <f>VLOOKUP($F393,Admin!$D$11:$G$19,4,FALSE)</f>
        <v>K+F munkatárs</v>
      </c>
      <c r="J393" s="100" t="s">
        <v>296</v>
      </c>
      <c r="K393" s="95" t="str">
        <f t="shared" si="664"/>
        <v>2023.03</v>
      </c>
      <c r="L393" s="101" t="s">
        <v>6</v>
      </c>
      <c r="M393" s="96" t="s">
        <v>70</v>
      </c>
      <c r="N393" s="102">
        <v>1180000</v>
      </c>
      <c r="O393" s="97">
        <f t="shared" ref="O393:O394" si="670">ROUND(N393*V393,0)</f>
        <v>153400</v>
      </c>
      <c r="P393" s="104">
        <v>174</v>
      </c>
      <c r="Q393" s="104">
        <v>45</v>
      </c>
      <c r="R393" s="215">
        <f t="shared" ref="R393:R394" si="671">Q393/P393</f>
        <v>0.25862068965517243</v>
      </c>
      <c r="S393" s="105">
        <f t="shared" ref="S393:S394" si="672">ROUND(N393*Q393/P393,0)</f>
        <v>305172</v>
      </c>
      <c r="T393" s="98">
        <f t="shared" ref="T393:T394" si="673">ROUND(S393*V393,0)</f>
        <v>39672</v>
      </c>
      <c r="U393" s="70">
        <f t="shared" ref="U393:U394" si="674">Q393/P393-S393/N393</f>
        <v>3.5067212156292271E-7</v>
      </c>
      <c r="V393" s="140">
        <v>0.13</v>
      </c>
      <c r="W393" s="209" t="s">
        <v>292</v>
      </c>
      <c r="X393" s="17">
        <v>44951</v>
      </c>
      <c r="Y393" s="12" t="s">
        <v>66</v>
      </c>
      <c r="Z393" s="12"/>
      <c r="AA393" s="12"/>
      <c r="AB393" s="3">
        <v>1</v>
      </c>
      <c r="AC393" s="3" t="s">
        <v>315</v>
      </c>
      <c r="AD393" s="3">
        <v>0</v>
      </c>
      <c r="AE393" s="3">
        <v>0</v>
      </c>
    </row>
    <row r="394" spans="1:31" s="3" customFormat="1" ht="14.45" customHeight="1" x14ac:dyDescent="0.25">
      <c r="A394" s="141"/>
      <c r="B394" s="99" t="s">
        <v>247</v>
      </c>
      <c r="C394" s="95" t="str">
        <f>VLOOKUP($F394,Admin!$D$11:$F$19,2,FALSE)</f>
        <v>Kísérleti fejlesztés</v>
      </c>
      <c r="D394" s="138" t="s">
        <v>123</v>
      </c>
      <c r="E394" s="95" t="str">
        <f>VLOOKUP($F394,Admin!$D$11:$F$19,3,FALSE)</f>
        <v>54. Bérköltség - Kutató-fejlesztő munkatárs</v>
      </c>
      <c r="F394" s="139" t="s">
        <v>213</v>
      </c>
      <c r="G394" s="100" t="s">
        <v>180</v>
      </c>
      <c r="H394" s="100" t="s">
        <v>248</v>
      </c>
      <c r="I394" s="139" t="str">
        <f>VLOOKUP($F394,Admin!$D$11:$G$19,4,FALSE)</f>
        <v>K+F munkatárs</v>
      </c>
      <c r="J394" s="100" t="s">
        <v>297</v>
      </c>
      <c r="K394" s="95" t="str">
        <f t="shared" si="664"/>
        <v>2023.04</v>
      </c>
      <c r="L394" s="101" t="s">
        <v>7</v>
      </c>
      <c r="M394" s="96" t="s">
        <v>70</v>
      </c>
      <c r="N394" s="102">
        <v>1180000</v>
      </c>
      <c r="O394" s="97">
        <f t="shared" si="670"/>
        <v>153400</v>
      </c>
      <c r="P394" s="104">
        <v>174</v>
      </c>
      <c r="Q394" s="104">
        <v>45</v>
      </c>
      <c r="R394" s="215">
        <f t="shared" si="671"/>
        <v>0.25862068965517243</v>
      </c>
      <c r="S394" s="105">
        <f t="shared" si="672"/>
        <v>305172</v>
      </c>
      <c r="T394" s="98">
        <f t="shared" si="673"/>
        <v>39672</v>
      </c>
      <c r="U394" s="70">
        <f t="shared" si="674"/>
        <v>3.5067212156292271E-7</v>
      </c>
      <c r="V394" s="140">
        <v>0.13</v>
      </c>
      <c r="W394" s="209" t="s">
        <v>292</v>
      </c>
      <c r="X394" s="17">
        <v>44951</v>
      </c>
      <c r="Y394" s="12" t="s">
        <v>66</v>
      </c>
      <c r="Z394" s="12"/>
      <c r="AA394" s="12"/>
    </row>
    <row r="395" spans="1:31" s="3" customFormat="1" ht="14.45" customHeight="1" x14ac:dyDescent="0.25">
      <c r="A395" s="141">
        <v>1</v>
      </c>
      <c r="B395" s="99" t="s">
        <v>138</v>
      </c>
      <c r="C395" s="95" t="str">
        <f>VLOOKUP($F395,Admin!$D$11:$F$19,2,FALSE)</f>
        <v>Alkalmazott (ipari) kutatás</v>
      </c>
      <c r="D395" s="138" t="s">
        <v>123</v>
      </c>
      <c r="E395" s="95" t="str">
        <f>VLOOKUP($F395,Admin!$D$11:$F$19,3,FALSE)</f>
        <v>54. Bérköltség - Kutató-fejlesztő munkatárs</v>
      </c>
      <c r="F395" s="139" t="s">
        <v>212</v>
      </c>
      <c r="G395" s="100" t="s">
        <v>180</v>
      </c>
      <c r="H395" s="100" t="s">
        <v>141</v>
      </c>
      <c r="I395" s="139" t="str">
        <f>VLOOKUP($F395,Admin!$D$11:$G$19,4,FALSE)</f>
        <v>K+F munkatárs</v>
      </c>
      <c r="J395" s="100" t="s">
        <v>219</v>
      </c>
      <c r="K395" s="95" t="str">
        <f t="shared" si="582"/>
        <v>2020.04</v>
      </c>
      <c r="L395" s="101" t="s">
        <v>6</v>
      </c>
      <c r="M395" s="96" t="s">
        <v>70</v>
      </c>
      <c r="N395" s="102">
        <v>502000</v>
      </c>
      <c r="O395" s="97">
        <f t="shared" si="583"/>
        <v>87850</v>
      </c>
      <c r="P395" s="104">
        <v>174</v>
      </c>
      <c r="Q395" s="104">
        <v>26</v>
      </c>
      <c r="R395" s="215">
        <f t="shared" si="580"/>
        <v>0.14942528735632185</v>
      </c>
      <c r="S395" s="105">
        <f t="shared" si="5"/>
        <v>75011</v>
      </c>
      <c r="T395" s="98">
        <f t="shared" si="584"/>
        <v>13127</v>
      </c>
      <c r="U395" s="70">
        <f t="shared" si="581"/>
        <v>9.8456747724129379E-7</v>
      </c>
      <c r="V395" s="181">
        <v>0.17499999999999999</v>
      </c>
      <c r="W395" s="210"/>
      <c r="X395" s="17">
        <v>43900</v>
      </c>
      <c r="Y395" s="12" t="s">
        <v>66</v>
      </c>
      <c r="Z395" s="12"/>
      <c r="AA395" s="12"/>
      <c r="AB395" s="3">
        <v>1</v>
      </c>
    </row>
    <row r="396" spans="1:31" s="3" customFormat="1" ht="14.45" customHeight="1" x14ac:dyDescent="0.25">
      <c r="A396" s="141">
        <v>1</v>
      </c>
      <c r="B396" s="99" t="s">
        <v>138</v>
      </c>
      <c r="C396" s="95" t="str">
        <f>VLOOKUP($F396,Admin!$D$11:$F$19,2,FALSE)</f>
        <v>Alkalmazott (ipari) kutatás</v>
      </c>
      <c r="D396" s="138" t="s">
        <v>123</v>
      </c>
      <c r="E396" s="95" t="str">
        <f>VLOOKUP($F396,Admin!$D$11:$F$19,3,FALSE)</f>
        <v>54. Bérköltség - Kutató-fejlesztő munkatárs</v>
      </c>
      <c r="F396" s="139" t="s">
        <v>212</v>
      </c>
      <c r="G396" s="100" t="s">
        <v>180</v>
      </c>
      <c r="H396" s="100" t="s">
        <v>141</v>
      </c>
      <c r="I396" s="139" t="str">
        <f>VLOOKUP($F396,Admin!$D$11:$G$19,4,FALSE)</f>
        <v>K+F munkatárs</v>
      </c>
      <c r="J396" s="100" t="s">
        <v>220</v>
      </c>
      <c r="K396" s="95" t="str">
        <f t="shared" si="582"/>
        <v>2020.05</v>
      </c>
      <c r="L396" s="101" t="s">
        <v>6</v>
      </c>
      <c r="M396" s="96" t="s">
        <v>70</v>
      </c>
      <c r="N396" s="102">
        <v>502000</v>
      </c>
      <c r="O396" s="97">
        <f t="shared" si="583"/>
        <v>87850</v>
      </c>
      <c r="P396" s="104">
        <v>174</v>
      </c>
      <c r="Q396" s="104">
        <v>26</v>
      </c>
      <c r="R396" s="215">
        <f t="shared" si="580"/>
        <v>0.14942528735632185</v>
      </c>
      <c r="S396" s="105">
        <f t="shared" si="5"/>
        <v>75011</v>
      </c>
      <c r="T396" s="98">
        <f t="shared" si="584"/>
        <v>13127</v>
      </c>
      <c r="U396" s="70">
        <f t="shared" si="581"/>
        <v>9.8456747724129379E-7</v>
      </c>
      <c r="V396" s="181">
        <v>0.17499999999999999</v>
      </c>
      <c r="W396" s="210"/>
      <c r="X396" s="17">
        <v>43900</v>
      </c>
      <c r="Y396" s="12" t="s">
        <v>66</v>
      </c>
      <c r="Z396" s="12"/>
      <c r="AA396" s="12"/>
      <c r="AB396" s="3">
        <v>1</v>
      </c>
    </row>
    <row r="397" spans="1:31" s="3" customFormat="1" ht="14.45" customHeight="1" x14ac:dyDescent="0.25">
      <c r="A397" s="141">
        <v>1</v>
      </c>
      <c r="B397" s="99" t="s">
        <v>138</v>
      </c>
      <c r="C397" s="95" t="str">
        <f>VLOOKUP($F397,Admin!$D$11:$F$19,2,FALSE)</f>
        <v>Alkalmazott (ipari) kutatás</v>
      </c>
      <c r="D397" s="138" t="s">
        <v>123</v>
      </c>
      <c r="E397" s="95" t="str">
        <f>VLOOKUP($F397,Admin!$D$11:$F$19,3,FALSE)</f>
        <v>54. Bérköltség - Kutató-fejlesztő munkatárs</v>
      </c>
      <c r="F397" s="139" t="s">
        <v>212</v>
      </c>
      <c r="G397" s="100" t="s">
        <v>180</v>
      </c>
      <c r="H397" s="100" t="s">
        <v>141</v>
      </c>
      <c r="I397" s="139" t="str">
        <f>VLOOKUP($F397,Admin!$D$11:$G$19,4,FALSE)</f>
        <v>K+F munkatárs</v>
      </c>
      <c r="J397" s="100" t="s">
        <v>221</v>
      </c>
      <c r="K397" s="95" t="str">
        <f t="shared" si="582"/>
        <v>2020.06</v>
      </c>
      <c r="L397" s="101" t="s">
        <v>6</v>
      </c>
      <c r="M397" s="96" t="s">
        <v>70</v>
      </c>
      <c r="N397" s="102">
        <v>502000</v>
      </c>
      <c r="O397" s="97">
        <f t="shared" si="583"/>
        <v>87850</v>
      </c>
      <c r="P397" s="104">
        <v>174</v>
      </c>
      <c r="Q397" s="104">
        <v>95</v>
      </c>
      <c r="R397" s="215">
        <f t="shared" si="580"/>
        <v>0.54597701149425293</v>
      </c>
      <c r="S397" s="105">
        <f t="shared" si="5"/>
        <v>274080</v>
      </c>
      <c r="T397" s="98">
        <f t="shared" si="584"/>
        <v>47964</v>
      </c>
      <c r="U397" s="70">
        <f t="shared" si="581"/>
        <v>9.1587672301773893E-7</v>
      </c>
      <c r="V397" s="181">
        <v>0.17499999999999999</v>
      </c>
      <c r="W397" s="210"/>
      <c r="X397" s="17">
        <v>43958</v>
      </c>
      <c r="Y397" s="12" t="s">
        <v>66</v>
      </c>
      <c r="Z397" s="12"/>
      <c r="AA397" s="12"/>
      <c r="AB397" s="3">
        <v>1</v>
      </c>
    </row>
    <row r="398" spans="1:31" s="3" customFormat="1" ht="14.45" customHeight="1" x14ac:dyDescent="0.25">
      <c r="A398" s="141">
        <v>1</v>
      </c>
      <c r="B398" s="99" t="s">
        <v>138</v>
      </c>
      <c r="C398" s="95" t="str">
        <f>VLOOKUP($F398,Admin!$D$11:$F$19,2,FALSE)</f>
        <v>Alkalmazott (ipari) kutatás</v>
      </c>
      <c r="D398" s="138" t="s">
        <v>123</v>
      </c>
      <c r="E398" s="95" t="str">
        <f>VLOOKUP($F398,Admin!$D$11:$F$19,3,FALSE)</f>
        <v>54. Bérköltség - Kutató-fejlesztő munkatárs</v>
      </c>
      <c r="F398" s="139" t="s">
        <v>212</v>
      </c>
      <c r="G398" s="100" t="s">
        <v>180</v>
      </c>
      <c r="H398" s="100" t="s">
        <v>141</v>
      </c>
      <c r="I398" s="139" t="str">
        <f>VLOOKUP($F398,Admin!$D$11:$G$19,4,FALSE)</f>
        <v>K+F munkatárs</v>
      </c>
      <c r="J398" s="100" t="s">
        <v>222</v>
      </c>
      <c r="K398" s="95" t="str">
        <f t="shared" si="582"/>
        <v>2020.07</v>
      </c>
      <c r="L398" s="101" t="s">
        <v>6</v>
      </c>
      <c r="M398" s="96" t="s">
        <v>70</v>
      </c>
      <c r="N398" s="102">
        <v>502000</v>
      </c>
      <c r="O398" s="97">
        <f t="shared" si="583"/>
        <v>77810</v>
      </c>
      <c r="P398" s="104">
        <v>174</v>
      </c>
      <c r="Q398" s="104">
        <v>95</v>
      </c>
      <c r="R398" s="215">
        <f t="shared" si="580"/>
        <v>0.54597701149425293</v>
      </c>
      <c r="S398" s="105">
        <f t="shared" si="5"/>
        <v>274080</v>
      </c>
      <c r="T398" s="98">
        <f t="shared" si="584"/>
        <v>42482</v>
      </c>
      <c r="U398" s="70">
        <f t="shared" si="581"/>
        <v>9.1587672301773893E-7</v>
      </c>
      <c r="V398" s="181">
        <v>0.155</v>
      </c>
      <c r="W398" s="210"/>
      <c r="X398" s="17">
        <v>43958</v>
      </c>
      <c r="Y398" s="12" t="s">
        <v>66</v>
      </c>
      <c r="Z398" s="12"/>
      <c r="AA398" s="12"/>
      <c r="AB398" s="3">
        <v>1</v>
      </c>
    </row>
    <row r="399" spans="1:31" s="3" customFormat="1" ht="14.45" customHeight="1" x14ac:dyDescent="0.25">
      <c r="A399" s="141">
        <v>1</v>
      </c>
      <c r="B399" s="99" t="s">
        <v>138</v>
      </c>
      <c r="C399" s="95" t="str">
        <f>VLOOKUP($F399,Admin!$D$11:$F$19,2,FALSE)</f>
        <v>Alkalmazott (ipari) kutatás</v>
      </c>
      <c r="D399" s="138" t="s">
        <v>123</v>
      </c>
      <c r="E399" s="95" t="str">
        <f>VLOOKUP($F399,Admin!$D$11:$F$19,3,FALSE)</f>
        <v>54. Bérköltség - Kutató-fejlesztő munkatárs</v>
      </c>
      <c r="F399" s="139" t="s">
        <v>212</v>
      </c>
      <c r="G399" s="100" t="s">
        <v>180</v>
      </c>
      <c r="H399" s="100" t="s">
        <v>141</v>
      </c>
      <c r="I399" s="139" t="str">
        <f>VLOOKUP($F399,Admin!$D$11:$G$19,4,FALSE)</f>
        <v>K+F munkatárs</v>
      </c>
      <c r="J399" s="100" t="s">
        <v>223</v>
      </c>
      <c r="K399" s="95" t="str">
        <f t="shared" si="582"/>
        <v>2020.08</v>
      </c>
      <c r="L399" s="101" t="s">
        <v>6</v>
      </c>
      <c r="M399" s="96" t="s">
        <v>70</v>
      </c>
      <c r="N399" s="102">
        <v>502000</v>
      </c>
      <c r="O399" s="97">
        <f t="shared" si="583"/>
        <v>77810</v>
      </c>
      <c r="P399" s="104">
        <v>174</v>
      </c>
      <c r="Q399" s="104">
        <v>95</v>
      </c>
      <c r="R399" s="215">
        <f t="shared" si="580"/>
        <v>0.54597701149425293</v>
      </c>
      <c r="S399" s="105">
        <f t="shared" si="5"/>
        <v>274080</v>
      </c>
      <c r="T399" s="98">
        <f t="shared" si="584"/>
        <v>42482</v>
      </c>
      <c r="U399" s="70">
        <f t="shared" si="581"/>
        <v>9.1587672301773893E-7</v>
      </c>
      <c r="V399" s="181">
        <v>0.155</v>
      </c>
      <c r="W399" s="210"/>
      <c r="X399" s="17">
        <v>43958</v>
      </c>
      <c r="Y399" s="12" t="s">
        <v>66</v>
      </c>
      <c r="Z399" s="12"/>
      <c r="AA399" s="12"/>
      <c r="AB399" s="3">
        <v>1</v>
      </c>
    </row>
    <row r="400" spans="1:31" s="3" customFormat="1" ht="14.45" customHeight="1" x14ac:dyDescent="0.25">
      <c r="A400" s="141">
        <v>1</v>
      </c>
      <c r="B400" s="99" t="s">
        <v>138</v>
      </c>
      <c r="C400" s="95" t="str">
        <f>VLOOKUP($F400,Admin!$D$11:$F$19,2,FALSE)</f>
        <v>Alkalmazott (ipari) kutatás</v>
      </c>
      <c r="D400" s="138" t="s">
        <v>123</v>
      </c>
      <c r="E400" s="95" t="str">
        <f>VLOOKUP($F400,Admin!$D$11:$F$19,3,FALSE)</f>
        <v>54. Bérköltség - Kutató-fejlesztő munkatárs</v>
      </c>
      <c r="F400" s="139" t="s">
        <v>212</v>
      </c>
      <c r="G400" s="100" t="s">
        <v>180</v>
      </c>
      <c r="H400" s="100" t="s">
        <v>141</v>
      </c>
      <c r="I400" s="139" t="str">
        <f>VLOOKUP($F400,Admin!$D$11:$G$19,4,FALSE)</f>
        <v>K+F munkatárs</v>
      </c>
      <c r="J400" s="100" t="s">
        <v>224</v>
      </c>
      <c r="K400" s="95" t="str">
        <f t="shared" si="582"/>
        <v>2020.09</v>
      </c>
      <c r="L400" s="101" t="s">
        <v>6</v>
      </c>
      <c r="M400" s="96" t="s">
        <v>70</v>
      </c>
      <c r="N400" s="102">
        <v>502000</v>
      </c>
      <c r="O400" s="97">
        <f t="shared" si="583"/>
        <v>77810</v>
      </c>
      <c r="P400" s="104">
        <v>174</v>
      </c>
      <c r="Q400" s="104">
        <v>95</v>
      </c>
      <c r="R400" s="215">
        <f t="shared" si="580"/>
        <v>0.54597701149425293</v>
      </c>
      <c r="S400" s="105">
        <f t="shared" si="5"/>
        <v>274080</v>
      </c>
      <c r="T400" s="98">
        <f t="shared" si="584"/>
        <v>42482</v>
      </c>
      <c r="U400" s="70">
        <f t="shared" si="581"/>
        <v>9.1587672301773893E-7</v>
      </c>
      <c r="V400" s="181">
        <v>0.155</v>
      </c>
      <c r="W400" s="210"/>
      <c r="X400" s="17">
        <v>44067</v>
      </c>
      <c r="Y400" s="12" t="s">
        <v>66</v>
      </c>
      <c r="Z400" s="12"/>
      <c r="AA400" s="12"/>
      <c r="AB400" s="3">
        <v>1</v>
      </c>
    </row>
    <row r="401" spans="1:28" s="3" customFormat="1" ht="14.45" customHeight="1" x14ac:dyDescent="0.25">
      <c r="A401" s="141">
        <v>1</v>
      </c>
      <c r="B401" s="99" t="s">
        <v>138</v>
      </c>
      <c r="C401" s="95" t="str">
        <f>VLOOKUP($F401,Admin!$D$11:$F$19,2,FALSE)</f>
        <v>Alkalmazott (ipari) kutatás</v>
      </c>
      <c r="D401" s="138" t="s">
        <v>123</v>
      </c>
      <c r="E401" s="95" t="str">
        <f>VLOOKUP($F401,Admin!$D$11:$F$19,3,FALSE)</f>
        <v>54. Bérköltség - Kutató-fejlesztő munkatárs</v>
      </c>
      <c r="F401" s="139" t="s">
        <v>212</v>
      </c>
      <c r="G401" s="100" t="s">
        <v>180</v>
      </c>
      <c r="H401" s="100" t="s">
        <v>141</v>
      </c>
      <c r="I401" s="139" t="str">
        <f>VLOOKUP($F401,Admin!$D$11:$G$19,4,FALSE)</f>
        <v>K+F munkatárs</v>
      </c>
      <c r="J401" s="100" t="s">
        <v>225</v>
      </c>
      <c r="K401" s="95" t="str">
        <f t="shared" si="582"/>
        <v>2020.10</v>
      </c>
      <c r="L401" s="101" t="s">
        <v>6</v>
      </c>
      <c r="M401" s="96" t="s">
        <v>70</v>
      </c>
      <c r="N401" s="102">
        <v>582200</v>
      </c>
      <c r="O401" s="97">
        <f t="shared" si="583"/>
        <v>90241</v>
      </c>
      <c r="P401" s="104">
        <v>174</v>
      </c>
      <c r="Q401" s="104">
        <v>82</v>
      </c>
      <c r="R401" s="215">
        <f t="shared" si="580"/>
        <v>0.47126436781609193</v>
      </c>
      <c r="S401" s="105">
        <f t="shared" si="5"/>
        <v>274370</v>
      </c>
      <c r="T401" s="98">
        <f t="shared" si="584"/>
        <v>42527</v>
      </c>
      <c r="U401" s="70">
        <f t="shared" si="581"/>
        <v>1.9742790918764186E-7</v>
      </c>
      <c r="V401" s="181">
        <v>0.155</v>
      </c>
      <c r="W401" s="210"/>
      <c r="X401" s="17">
        <v>44067</v>
      </c>
      <c r="Y401" s="12" t="s">
        <v>66</v>
      </c>
      <c r="Z401" s="12"/>
      <c r="AA401" s="12"/>
      <c r="AB401" s="3">
        <v>1</v>
      </c>
    </row>
    <row r="402" spans="1:28" s="3" customFormat="1" ht="14.45" customHeight="1" x14ac:dyDescent="0.25">
      <c r="A402" s="141">
        <v>1</v>
      </c>
      <c r="B402" s="99" t="s">
        <v>138</v>
      </c>
      <c r="C402" s="95" t="str">
        <f>VLOOKUP($F402,Admin!$D$11:$F$19,2,FALSE)</f>
        <v>Alkalmazott (ipari) kutatás</v>
      </c>
      <c r="D402" s="138" t="s">
        <v>123</v>
      </c>
      <c r="E402" s="95" t="str">
        <f>VLOOKUP($F402,Admin!$D$11:$F$19,3,FALSE)</f>
        <v>54. Bérköltség - Kutató-fejlesztő munkatárs</v>
      </c>
      <c r="F402" s="139" t="s">
        <v>212</v>
      </c>
      <c r="G402" s="100" t="s">
        <v>180</v>
      </c>
      <c r="H402" s="100" t="s">
        <v>141</v>
      </c>
      <c r="I402" s="139" t="str">
        <f>VLOOKUP($F402,Admin!$D$11:$G$19,4,FALSE)</f>
        <v>K+F munkatárs</v>
      </c>
      <c r="J402" s="100" t="s">
        <v>226</v>
      </c>
      <c r="K402" s="95" t="str">
        <f t="shared" si="582"/>
        <v>2020.11</v>
      </c>
      <c r="L402" s="101" t="s">
        <v>6</v>
      </c>
      <c r="M402" s="96" t="s">
        <v>70</v>
      </c>
      <c r="N402" s="102">
        <v>582200</v>
      </c>
      <c r="O402" s="97">
        <f t="shared" si="583"/>
        <v>90241</v>
      </c>
      <c r="P402" s="104">
        <v>174</v>
      </c>
      <c r="Q402" s="104">
        <v>82</v>
      </c>
      <c r="R402" s="215">
        <f t="shared" si="580"/>
        <v>0.47126436781609193</v>
      </c>
      <c r="S402" s="105">
        <f t="shared" si="5"/>
        <v>274370</v>
      </c>
      <c r="T402" s="98">
        <f t="shared" si="584"/>
        <v>42527</v>
      </c>
      <c r="U402" s="70">
        <f t="shared" si="581"/>
        <v>1.9742790918764186E-7</v>
      </c>
      <c r="V402" s="181">
        <v>0.155</v>
      </c>
      <c r="W402" s="210"/>
      <c r="X402" s="17">
        <v>44067</v>
      </c>
      <c r="Y402" s="12" t="s">
        <v>66</v>
      </c>
      <c r="Z402" s="12"/>
      <c r="AA402" s="12"/>
      <c r="AB402" s="3">
        <v>1</v>
      </c>
    </row>
    <row r="403" spans="1:28" s="3" customFormat="1" ht="14.45" customHeight="1" x14ac:dyDescent="0.25">
      <c r="A403" s="141">
        <v>1</v>
      </c>
      <c r="B403" s="99" t="s">
        <v>138</v>
      </c>
      <c r="C403" s="95" t="str">
        <f>VLOOKUP($F403,Admin!$D$11:$F$19,2,FALSE)</f>
        <v>Alkalmazott (ipari) kutatás</v>
      </c>
      <c r="D403" s="138" t="s">
        <v>123</v>
      </c>
      <c r="E403" s="95" t="str">
        <f>VLOOKUP($F403,Admin!$D$11:$F$19,3,FALSE)</f>
        <v>54. Bérköltség - Kutató-fejlesztő munkatárs</v>
      </c>
      <c r="F403" s="139" t="s">
        <v>212</v>
      </c>
      <c r="G403" s="100" t="s">
        <v>180</v>
      </c>
      <c r="H403" s="100" t="s">
        <v>141</v>
      </c>
      <c r="I403" s="139" t="str">
        <f>VLOOKUP($F403,Admin!$D$11:$G$19,4,FALSE)</f>
        <v>K+F munkatárs</v>
      </c>
      <c r="J403" s="100" t="s">
        <v>30</v>
      </c>
      <c r="K403" s="95" t="str">
        <f t="shared" si="582"/>
        <v>2020.12</v>
      </c>
      <c r="L403" s="101" t="s">
        <v>6</v>
      </c>
      <c r="M403" s="96" t="s">
        <v>70</v>
      </c>
      <c r="N403" s="102">
        <v>582200</v>
      </c>
      <c r="O403" s="97">
        <f t="shared" si="583"/>
        <v>90241</v>
      </c>
      <c r="P403" s="104">
        <v>174</v>
      </c>
      <c r="Q403" s="104">
        <v>82</v>
      </c>
      <c r="R403" s="215">
        <f t="shared" si="580"/>
        <v>0.47126436781609193</v>
      </c>
      <c r="S403" s="105">
        <f t="shared" si="5"/>
        <v>274370</v>
      </c>
      <c r="T403" s="98">
        <f t="shared" si="584"/>
        <v>42527</v>
      </c>
      <c r="U403" s="70">
        <f t="shared" si="581"/>
        <v>1.9742790918764186E-7</v>
      </c>
      <c r="V403" s="181">
        <v>0.155</v>
      </c>
      <c r="W403" s="210"/>
      <c r="X403" s="17">
        <v>44160</v>
      </c>
      <c r="Y403" s="12" t="s">
        <v>66</v>
      </c>
      <c r="Z403" s="12"/>
      <c r="AA403" s="12"/>
      <c r="AB403" s="3">
        <v>1</v>
      </c>
    </row>
    <row r="404" spans="1:28" s="3" customFormat="1" ht="14.45" customHeight="1" x14ac:dyDescent="0.25">
      <c r="A404" s="141">
        <v>1</v>
      </c>
      <c r="B404" s="99" t="s">
        <v>138</v>
      </c>
      <c r="C404" s="95" t="str">
        <f>VLOOKUP($F404,Admin!$D$11:$F$19,2,FALSE)</f>
        <v>Alkalmazott (ipari) kutatás</v>
      </c>
      <c r="D404" s="138" t="s">
        <v>123</v>
      </c>
      <c r="E404" s="95" t="str">
        <f>VLOOKUP($F404,Admin!$D$11:$F$19,3,FALSE)</f>
        <v>54. Bérköltség - Kutató-fejlesztő munkatárs</v>
      </c>
      <c r="F404" s="139" t="s">
        <v>212</v>
      </c>
      <c r="G404" s="100" t="s">
        <v>180</v>
      </c>
      <c r="H404" s="100" t="s">
        <v>141</v>
      </c>
      <c r="I404" s="139" t="str">
        <f>VLOOKUP($F404,Admin!$D$11:$G$19,4,FALSE)</f>
        <v>K+F munkatárs</v>
      </c>
      <c r="J404" s="100" t="s">
        <v>31</v>
      </c>
      <c r="K404" s="95" t="str">
        <f t="shared" si="582"/>
        <v>2021.01</v>
      </c>
      <c r="L404" s="101" t="s">
        <v>6</v>
      </c>
      <c r="M404" s="96" t="s">
        <v>70</v>
      </c>
      <c r="N404" s="102">
        <v>582200</v>
      </c>
      <c r="O404" s="97">
        <f t="shared" si="583"/>
        <v>90241</v>
      </c>
      <c r="P404" s="104">
        <v>174</v>
      </c>
      <c r="Q404" s="104">
        <v>82</v>
      </c>
      <c r="R404" s="215">
        <f t="shared" si="580"/>
        <v>0.47126436781609193</v>
      </c>
      <c r="S404" s="105">
        <f t="shared" si="5"/>
        <v>274370</v>
      </c>
      <c r="T404" s="98">
        <f t="shared" si="584"/>
        <v>42527</v>
      </c>
      <c r="U404" s="70">
        <f t="shared" si="581"/>
        <v>1.9742790918764186E-7</v>
      </c>
      <c r="V404" s="181">
        <v>0.155</v>
      </c>
      <c r="W404" s="210"/>
      <c r="X404" s="17">
        <v>44188</v>
      </c>
      <c r="Y404" s="12" t="s">
        <v>66</v>
      </c>
      <c r="Z404" s="12"/>
      <c r="AA404" s="12"/>
      <c r="AB404" s="3">
        <v>1</v>
      </c>
    </row>
    <row r="405" spans="1:28" s="3" customFormat="1" ht="14.45" customHeight="1" x14ac:dyDescent="0.25">
      <c r="A405" s="141">
        <v>2</v>
      </c>
      <c r="B405" s="99" t="s">
        <v>138</v>
      </c>
      <c r="C405" s="95" t="str">
        <f>VLOOKUP($F405,Admin!$D$11:$F$19,2,FALSE)</f>
        <v>Kísérleti fejlesztés</v>
      </c>
      <c r="D405" s="138" t="s">
        <v>123</v>
      </c>
      <c r="E405" s="95" t="str">
        <f>VLOOKUP($F405,Admin!$D$11:$F$19,3,FALSE)</f>
        <v>54. Bérköltség - Kutató-fejlesztő munkatárs</v>
      </c>
      <c r="F405" s="139" t="s">
        <v>213</v>
      </c>
      <c r="G405" s="100" t="s">
        <v>180</v>
      </c>
      <c r="H405" s="100" t="s">
        <v>141</v>
      </c>
      <c r="I405" s="139" t="str">
        <f>VLOOKUP($F405,Admin!$D$11:$G$19,4,FALSE)</f>
        <v>K+F munkatárs</v>
      </c>
      <c r="J405" s="100" t="s">
        <v>32</v>
      </c>
      <c r="K405" s="95" t="str">
        <f t="shared" si="582"/>
        <v>2021.02</v>
      </c>
      <c r="L405" s="101" t="s">
        <v>6</v>
      </c>
      <c r="M405" s="96" t="s">
        <v>70</v>
      </c>
      <c r="N405" s="102">
        <v>582200</v>
      </c>
      <c r="O405" s="97">
        <f t="shared" si="583"/>
        <v>90241</v>
      </c>
      <c r="P405" s="104">
        <v>174</v>
      </c>
      <c r="Q405" s="104">
        <v>37</v>
      </c>
      <c r="R405" s="215">
        <f t="shared" si="580"/>
        <v>0.21264367816091953</v>
      </c>
      <c r="S405" s="105">
        <f t="shared" si="5"/>
        <v>123801</v>
      </c>
      <c r="T405" s="98">
        <f t="shared" si="584"/>
        <v>19189</v>
      </c>
      <c r="U405" s="70">
        <f t="shared" si="581"/>
        <v>2.5665628194948553E-7</v>
      </c>
      <c r="V405" s="181">
        <v>0.155</v>
      </c>
      <c r="W405" s="210"/>
      <c r="X405" s="17">
        <v>44224</v>
      </c>
      <c r="Y405" s="12" t="s">
        <v>66</v>
      </c>
      <c r="Z405" s="12"/>
      <c r="AA405" s="12"/>
      <c r="AB405" s="3">
        <v>1</v>
      </c>
    </row>
    <row r="406" spans="1:28" s="3" customFormat="1" ht="14.45" customHeight="1" x14ac:dyDescent="0.25">
      <c r="A406" s="141">
        <v>2</v>
      </c>
      <c r="B406" s="99" t="s">
        <v>138</v>
      </c>
      <c r="C406" s="95" t="str">
        <f>VLOOKUP($F406,Admin!$D$11:$F$19,2,FALSE)</f>
        <v>Kísérleti fejlesztés</v>
      </c>
      <c r="D406" s="138" t="s">
        <v>123</v>
      </c>
      <c r="E406" s="95" t="str">
        <f>VLOOKUP($F406,Admin!$D$11:$F$19,3,FALSE)</f>
        <v>54. Bérköltség - Kutató-fejlesztő munkatárs</v>
      </c>
      <c r="F406" s="139" t="s">
        <v>213</v>
      </c>
      <c r="G406" s="100" t="s">
        <v>180</v>
      </c>
      <c r="H406" s="100" t="s">
        <v>141</v>
      </c>
      <c r="I406" s="139" t="str">
        <f>VLOOKUP($F406,Admin!$D$11:$G$19,4,FALSE)</f>
        <v>K+F munkatárs</v>
      </c>
      <c r="J406" s="100" t="s">
        <v>33</v>
      </c>
      <c r="K406" s="95" t="str">
        <f t="shared" si="582"/>
        <v>2021.03</v>
      </c>
      <c r="L406" s="101" t="s">
        <v>6</v>
      </c>
      <c r="M406" s="96" t="s">
        <v>70</v>
      </c>
      <c r="N406" s="102">
        <v>582200</v>
      </c>
      <c r="O406" s="97">
        <f t="shared" si="583"/>
        <v>90241</v>
      </c>
      <c r="P406" s="104">
        <v>174</v>
      </c>
      <c r="Q406" s="104">
        <v>51</v>
      </c>
      <c r="R406" s="215">
        <f t="shared" si="580"/>
        <v>0.29310344827586204</v>
      </c>
      <c r="S406" s="105">
        <f t="shared" si="5"/>
        <v>170645</v>
      </c>
      <c r="T406" s="98">
        <f t="shared" si="584"/>
        <v>26450</v>
      </c>
      <c r="U406" s="70">
        <f t="shared" si="581"/>
        <v>-2.9614186380921836E-7</v>
      </c>
      <c r="V406" s="181">
        <v>0.155</v>
      </c>
      <c r="W406" s="210"/>
      <c r="X406" s="17">
        <v>44251</v>
      </c>
      <c r="Y406" s="12" t="s">
        <v>66</v>
      </c>
      <c r="Z406" s="12"/>
      <c r="AA406" s="12"/>
      <c r="AB406" s="3">
        <v>1</v>
      </c>
    </row>
    <row r="407" spans="1:28" s="3" customFormat="1" ht="14.45" customHeight="1" x14ac:dyDescent="0.25">
      <c r="A407" s="141">
        <v>2</v>
      </c>
      <c r="B407" s="99" t="s">
        <v>138</v>
      </c>
      <c r="C407" s="95" t="str">
        <f>VLOOKUP($F407,Admin!$D$11:$F$19,2,FALSE)</f>
        <v>Kísérleti fejlesztés</v>
      </c>
      <c r="D407" s="138" t="s">
        <v>123</v>
      </c>
      <c r="E407" s="95" t="str">
        <f>VLOOKUP($F407,Admin!$D$11:$F$19,3,FALSE)</f>
        <v>54. Bérköltség - Kutató-fejlesztő munkatárs</v>
      </c>
      <c r="F407" s="139" t="s">
        <v>213</v>
      </c>
      <c r="G407" s="100" t="s">
        <v>180</v>
      </c>
      <c r="H407" s="100" t="s">
        <v>141</v>
      </c>
      <c r="I407" s="139" t="str">
        <f>VLOOKUP($F407,Admin!$D$11:$G$19,4,FALSE)</f>
        <v>K+F munkatárs</v>
      </c>
      <c r="J407" s="100" t="s">
        <v>34</v>
      </c>
      <c r="K407" s="95" t="str">
        <f t="shared" si="582"/>
        <v>2021.04</v>
      </c>
      <c r="L407" s="101" t="s">
        <v>6</v>
      </c>
      <c r="M407" s="96" t="s">
        <v>70</v>
      </c>
      <c r="N407" s="102">
        <v>582200</v>
      </c>
      <c r="O407" s="97">
        <f t="shared" si="583"/>
        <v>90241</v>
      </c>
      <c r="P407" s="104">
        <v>174</v>
      </c>
      <c r="Q407" s="104">
        <v>51</v>
      </c>
      <c r="R407" s="215">
        <f t="shared" si="580"/>
        <v>0.29310344827586204</v>
      </c>
      <c r="S407" s="105">
        <f t="shared" si="5"/>
        <v>170645</v>
      </c>
      <c r="T407" s="98">
        <f t="shared" si="584"/>
        <v>26450</v>
      </c>
      <c r="U407" s="70">
        <f t="shared" si="581"/>
        <v>-2.9614186380921836E-7</v>
      </c>
      <c r="V407" s="181">
        <v>0.155</v>
      </c>
      <c r="W407" s="210"/>
      <c r="X407" s="17">
        <v>44251</v>
      </c>
      <c r="Y407" s="12" t="s">
        <v>66</v>
      </c>
      <c r="Z407" s="12"/>
      <c r="AA407" s="12"/>
      <c r="AB407" s="3">
        <v>1</v>
      </c>
    </row>
    <row r="408" spans="1:28" s="3" customFormat="1" ht="14.45" customHeight="1" x14ac:dyDescent="0.25">
      <c r="A408" s="141">
        <v>2</v>
      </c>
      <c r="B408" s="99" t="s">
        <v>138</v>
      </c>
      <c r="C408" s="95" t="str">
        <f>VLOOKUP($F408,Admin!$D$11:$F$19,2,FALSE)</f>
        <v>Kísérleti fejlesztés</v>
      </c>
      <c r="D408" s="138" t="s">
        <v>123</v>
      </c>
      <c r="E408" s="95" t="str">
        <f>VLOOKUP($F408,Admin!$D$11:$F$19,3,FALSE)</f>
        <v>54. Bérköltség - Kutató-fejlesztő munkatárs</v>
      </c>
      <c r="F408" s="139" t="s">
        <v>213</v>
      </c>
      <c r="G408" s="100" t="s">
        <v>180</v>
      </c>
      <c r="H408" s="100" t="s">
        <v>141</v>
      </c>
      <c r="I408" s="139" t="str">
        <f>VLOOKUP($F408,Admin!$D$11:$G$19,4,FALSE)</f>
        <v>K+F munkatárs</v>
      </c>
      <c r="J408" s="100" t="s">
        <v>35</v>
      </c>
      <c r="K408" s="95" t="str">
        <f t="shared" si="582"/>
        <v>2021.05</v>
      </c>
      <c r="L408" s="101" t="s">
        <v>6</v>
      </c>
      <c r="M408" s="96" t="s">
        <v>70</v>
      </c>
      <c r="N408" s="102">
        <v>630200</v>
      </c>
      <c r="O408" s="97">
        <f t="shared" si="583"/>
        <v>97681</v>
      </c>
      <c r="P408" s="104">
        <v>174</v>
      </c>
      <c r="Q408" s="104">
        <v>47</v>
      </c>
      <c r="R408" s="215">
        <f t="shared" si="580"/>
        <v>0.27011494252873564</v>
      </c>
      <c r="S408" s="105">
        <f t="shared" si="5"/>
        <v>170226</v>
      </c>
      <c r="T408" s="98">
        <f t="shared" si="584"/>
        <v>26385</v>
      </c>
      <c r="U408" s="70">
        <f t="shared" si="581"/>
        <v>6.9308411487778443E-7</v>
      </c>
      <c r="V408" s="181">
        <v>0.155</v>
      </c>
      <c r="W408" s="210"/>
      <c r="X408" s="17">
        <v>44309</v>
      </c>
      <c r="Y408" s="12" t="s">
        <v>66</v>
      </c>
      <c r="Z408" s="12"/>
      <c r="AA408" s="12"/>
      <c r="AB408" s="3">
        <v>1</v>
      </c>
    </row>
    <row r="409" spans="1:28" s="3" customFormat="1" ht="14.45" customHeight="1" x14ac:dyDescent="0.25">
      <c r="A409" s="141">
        <v>2</v>
      </c>
      <c r="B409" s="99" t="s">
        <v>138</v>
      </c>
      <c r="C409" s="95" t="str">
        <f>VLOOKUP($F409,Admin!$D$11:$F$19,2,FALSE)</f>
        <v>Kísérleti fejlesztés</v>
      </c>
      <c r="D409" s="138" t="s">
        <v>123</v>
      </c>
      <c r="E409" s="95" t="str">
        <f>VLOOKUP($F409,Admin!$D$11:$F$19,3,FALSE)</f>
        <v>54. Bérköltség - Kutató-fejlesztő munkatárs</v>
      </c>
      <c r="F409" s="139" t="s">
        <v>213</v>
      </c>
      <c r="G409" s="100" t="s">
        <v>180</v>
      </c>
      <c r="H409" s="100" t="s">
        <v>141</v>
      </c>
      <c r="I409" s="139" t="str">
        <f>VLOOKUP($F409,Admin!$D$11:$G$19,4,FALSE)</f>
        <v>K+F munkatárs</v>
      </c>
      <c r="J409" s="100" t="s">
        <v>36</v>
      </c>
      <c r="K409" s="95" t="str">
        <f t="shared" si="582"/>
        <v>2021.06</v>
      </c>
      <c r="L409" s="101" t="s">
        <v>6</v>
      </c>
      <c r="M409" s="96" t="s">
        <v>70</v>
      </c>
      <c r="N409" s="102">
        <v>630200</v>
      </c>
      <c r="O409" s="97">
        <f t="shared" si="583"/>
        <v>97681</v>
      </c>
      <c r="P409" s="104">
        <v>174</v>
      </c>
      <c r="Q409" s="104">
        <v>47</v>
      </c>
      <c r="R409" s="215">
        <f t="shared" si="580"/>
        <v>0.27011494252873564</v>
      </c>
      <c r="S409" s="105">
        <f t="shared" si="5"/>
        <v>170226</v>
      </c>
      <c r="T409" s="98">
        <f t="shared" si="584"/>
        <v>26385</v>
      </c>
      <c r="U409" s="70">
        <f t="shared" si="581"/>
        <v>6.9308411487778443E-7</v>
      </c>
      <c r="V409" s="181">
        <v>0.155</v>
      </c>
      <c r="W409" s="210"/>
      <c r="X409" s="17">
        <v>44309</v>
      </c>
      <c r="Y409" s="12" t="s">
        <v>66</v>
      </c>
      <c r="Z409" s="12"/>
      <c r="AA409" s="12"/>
      <c r="AB409" s="3">
        <v>1</v>
      </c>
    </row>
    <row r="410" spans="1:28" s="3" customFormat="1" ht="14.45" customHeight="1" x14ac:dyDescent="0.25">
      <c r="A410" s="141">
        <v>2</v>
      </c>
      <c r="B410" s="99" t="s">
        <v>138</v>
      </c>
      <c r="C410" s="95" t="str">
        <f>VLOOKUP($F410,Admin!$D$11:$F$19,2,FALSE)</f>
        <v>Kísérleti fejlesztés</v>
      </c>
      <c r="D410" s="138" t="s">
        <v>123</v>
      </c>
      <c r="E410" s="95" t="str">
        <f>VLOOKUP($F410,Admin!$D$11:$F$19,3,FALSE)</f>
        <v>54. Bérköltség - Kutató-fejlesztő munkatárs</v>
      </c>
      <c r="F410" s="139" t="s">
        <v>213</v>
      </c>
      <c r="G410" s="100" t="s">
        <v>180</v>
      </c>
      <c r="H410" s="100" t="s">
        <v>141</v>
      </c>
      <c r="I410" s="139" t="str">
        <f>VLOOKUP($F410,Admin!$D$11:$G$19,4,FALSE)</f>
        <v>K+F munkatárs</v>
      </c>
      <c r="J410" s="100" t="s">
        <v>37</v>
      </c>
      <c r="K410" s="95" t="str">
        <f t="shared" si="582"/>
        <v>2021.07</v>
      </c>
      <c r="L410" s="101" t="s">
        <v>6</v>
      </c>
      <c r="M410" s="96" t="s">
        <v>70</v>
      </c>
      <c r="N410" s="102">
        <v>582200</v>
      </c>
      <c r="O410" s="97">
        <f t="shared" si="583"/>
        <v>90241</v>
      </c>
      <c r="P410" s="104">
        <v>174</v>
      </c>
      <c r="Q410" s="104">
        <v>51</v>
      </c>
      <c r="R410" s="215">
        <f t="shared" si="580"/>
        <v>0.29310344827586204</v>
      </c>
      <c r="S410" s="105">
        <f t="shared" si="5"/>
        <v>170645</v>
      </c>
      <c r="T410" s="98">
        <f t="shared" si="584"/>
        <v>26450</v>
      </c>
      <c r="U410" s="70">
        <f t="shared" si="581"/>
        <v>-2.9614186380921836E-7</v>
      </c>
      <c r="V410" s="181">
        <v>0.155</v>
      </c>
      <c r="W410" s="210"/>
      <c r="X410" s="17">
        <v>44362</v>
      </c>
      <c r="Y410" s="12" t="s">
        <v>66</v>
      </c>
      <c r="Z410" s="12"/>
      <c r="AA410" s="12"/>
      <c r="AB410" s="3">
        <v>1</v>
      </c>
    </row>
    <row r="411" spans="1:28" s="3" customFormat="1" ht="14.45" customHeight="1" x14ac:dyDescent="0.25">
      <c r="A411" s="141">
        <v>2</v>
      </c>
      <c r="B411" s="99" t="s">
        <v>138</v>
      </c>
      <c r="C411" s="95" t="str">
        <f>VLOOKUP($F411,Admin!$D$11:$F$19,2,FALSE)</f>
        <v>Kísérleti fejlesztés</v>
      </c>
      <c r="D411" s="138" t="s">
        <v>123</v>
      </c>
      <c r="E411" s="95" t="str">
        <f>VLOOKUP($F411,Admin!$D$11:$F$19,3,FALSE)</f>
        <v>54. Bérköltség - Kutató-fejlesztő munkatárs</v>
      </c>
      <c r="F411" s="139" t="s">
        <v>213</v>
      </c>
      <c r="G411" s="100" t="s">
        <v>180</v>
      </c>
      <c r="H411" s="100" t="s">
        <v>141</v>
      </c>
      <c r="I411" s="139" t="str">
        <f>VLOOKUP($F411,Admin!$D$11:$G$19,4,FALSE)</f>
        <v>K+F munkatárs</v>
      </c>
      <c r="J411" s="100" t="s">
        <v>38</v>
      </c>
      <c r="K411" s="95" t="str">
        <f t="shared" si="582"/>
        <v>2021.08</v>
      </c>
      <c r="L411" s="101" t="s">
        <v>6</v>
      </c>
      <c r="M411" s="96" t="s">
        <v>70</v>
      </c>
      <c r="N411" s="102">
        <v>582200</v>
      </c>
      <c r="O411" s="97">
        <f t="shared" si="583"/>
        <v>90241</v>
      </c>
      <c r="P411" s="104">
        <v>174</v>
      </c>
      <c r="Q411" s="104">
        <v>51</v>
      </c>
      <c r="R411" s="215">
        <f t="shared" si="580"/>
        <v>0.29310344827586204</v>
      </c>
      <c r="S411" s="105">
        <f t="shared" si="5"/>
        <v>170645</v>
      </c>
      <c r="T411" s="98">
        <f t="shared" si="584"/>
        <v>26450</v>
      </c>
      <c r="U411" s="70">
        <f t="shared" si="581"/>
        <v>-2.9614186380921836E-7</v>
      </c>
      <c r="V411" s="181">
        <v>0.155</v>
      </c>
      <c r="W411" s="210"/>
      <c r="X411" s="17">
        <v>44362</v>
      </c>
      <c r="Y411" s="12" t="s">
        <v>66</v>
      </c>
      <c r="Z411" s="12"/>
      <c r="AA411" s="12"/>
      <c r="AB411" s="3">
        <v>1</v>
      </c>
    </row>
    <row r="412" spans="1:28" s="3" customFormat="1" ht="14.45" customHeight="1" x14ac:dyDescent="0.25">
      <c r="A412" s="141">
        <v>2</v>
      </c>
      <c r="B412" s="99" t="s">
        <v>138</v>
      </c>
      <c r="C412" s="95" t="str">
        <f>VLOOKUP($F412,Admin!$D$11:$F$19,2,FALSE)</f>
        <v>Kísérleti fejlesztés</v>
      </c>
      <c r="D412" s="138" t="s">
        <v>123</v>
      </c>
      <c r="E412" s="95" t="str">
        <f>VLOOKUP($F412,Admin!$D$11:$F$19,3,FALSE)</f>
        <v>54. Bérköltség - Kutató-fejlesztő munkatárs</v>
      </c>
      <c r="F412" s="139" t="s">
        <v>213</v>
      </c>
      <c r="G412" s="100" t="s">
        <v>180</v>
      </c>
      <c r="H412" s="100" t="s">
        <v>141</v>
      </c>
      <c r="I412" s="139" t="str">
        <f>VLOOKUP($F412,Admin!$D$11:$G$19,4,FALSE)</f>
        <v>K+F munkatárs</v>
      </c>
      <c r="J412" s="100" t="s">
        <v>39</v>
      </c>
      <c r="K412" s="95" t="str">
        <f t="shared" si="582"/>
        <v>2021.09</v>
      </c>
      <c r="L412" s="101" t="s">
        <v>6</v>
      </c>
      <c r="M412" s="96" t="s">
        <v>70</v>
      </c>
      <c r="N412" s="102">
        <v>582200</v>
      </c>
      <c r="O412" s="97">
        <f t="shared" si="583"/>
        <v>90241</v>
      </c>
      <c r="P412" s="104">
        <v>174</v>
      </c>
      <c r="Q412" s="104">
        <v>51</v>
      </c>
      <c r="R412" s="215">
        <f t="shared" si="580"/>
        <v>0.29310344827586204</v>
      </c>
      <c r="S412" s="105">
        <f t="shared" si="5"/>
        <v>170645</v>
      </c>
      <c r="T412" s="98">
        <f t="shared" si="584"/>
        <v>26450</v>
      </c>
      <c r="U412" s="70">
        <f t="shared" si="581"/>
        <v>-2.9614186380921836E-7</v>
      </c>
      <c r="V412" s="181">
        <v>0.155</v>
      </c>
      <c r="W412" s="210"/>
      <c r="X412" s="17">
        <v>44362</v>
      </c>
      <c r="Y412" s="12" t="s">
        <v>66</v>
      </c>
      <c r="Z412" s="12"/>
      <c r="AA412" s="12"/>
      <c r="AB412" s="3">
        <v>1</v>
      </c>
    </row>
    <row r="413" spans="1:28" s="3" customFormat="1" ht="14.45" customHeight="1" x14ac:dyDescent="0.25">
      <c r="A413" s="141">
        <v>2</v>
      </c>
      <c r="B413" s="99" t="s">
        <v>138</v>
      </c>
      <c r="C413" s="95" t="str">
        <f>VLOOKUP($F413,Admin!$D$11:$F$19,2,FALSE)</f>
        <v>Kísérleti fejlesztés</v>
      </c>
      <c r="D413" s="138" t="s">
        <v>123</v>
      </c>
      <c r="E413" s="95" t="str">
        <f>VLOOKUP($F413,Admin!$D$11:$F$19,3,FALSE)</f>
        <v>54. Bérköltség - Kutató-fejlesztő munkatárs</v>
      </c>
      <c r="F413" s="139" t="s">
        <v>213</v>
      </c>
      <c r="G413" s="100" t="s">
        <v>180</v>
      </c>
      <c r="H413" s="100" t="s">
        <v>141</v>
      </c>
      <c r="I413" s="139" t="str">
        <f>VLOOKUP($F413,Admin!$D$11:$G$19,4,FALSE)</f>
        <v>K+F munkatárs</v>
      </c>
      <c r="J413" s="100" t="s">
        <v>40</v>
      </c>
      <c r="K413" s="95" t="str">
        <f t="shared" si="582"/>
        <v>2021.10</v>
      </c>
      <c r="L413" s="101" t="s">
        <v>6</v>
      </c>
      <c r="M413" s="96" t="s">
        <v>70</v>
      </c>
      <c r="N413" s="102">
        <v>669500</v>
      </c>
      <c r="O413" s="97">
        <f t="shared" si="583"/>
        <v>103773</v>
      </c>
      <c r="P413" s="104">
        <v>174</v>
      </c>
      <c r="Q413" s="104">
        <v>51</v>
      </c>
      <c r="R413" s="215">
        <f t="shared" si="580"/>
        <v>0.29310344827586204</v>
      </c>
      <c r="S413" s="105">
        <f t="shared" si="5"/>
        <v>196233</v>
      </c>
      <c r="T413" s="98">
        <f t="shared" si="584"/>
        <v>30416</v>
      </c>
      <c r="U413" s="70">
        <f t="shared" si="581"/>
        <v>-3.6053668461821786E-7</v>
      </c>
      <c r="V413" s="181">
        <v>0.155</v>
      </c>
      <c r="W413" s="210"/>
      <c r="X413" s="17">
        <v>44362</v>
      </c>
      <c r="Y413" s="12" t="s">
        <v>66</v>
      </c>
      <c r="Z413" s="12"/>
      <c r="AA413" s="12"/>
      <c r="AB413" s="3">
        <v>1</v>
      </c>
    </row>
    <row r="414" spans="1:28" s="3" customFormat="1" ht="14.45" customHeight="1" x14ac:dyDescent="0.25">
      <c r="A414" s="141">
        <v>2</v>
      </c>
      <c r="B414" s="99" t="s">
        <v>138</v>
      </c>
      <c r="C414" s="95" t="str">
        <f>VLOOKUP($F414,Admin!$D$11:$F$19,2,FALSE)</f>
        <v>Kísérleti fejlesztés</v>
      </c>
      <c r="D414" s="138" t="s">
        <v>123</v>
      </c>
      <c r="E414" s="95" t="str">
        <f>VLOOKUP($F414,Admin!$D$11:$F$19,3,FALSE)</f>
        <v>54. Bérköltség - Kutató-fejlesztő munkatárs</v>
      </c>
      <c r="F414" s="139" t="s">
        <v>213</v>
      </c>
      <c r="G414" s="100" t="s">
        <v>180</v>
      </c>
      <c r="H414" s="100" t="s">
        <v>141</v>
      </c>
      <c r="I414" s="139" t="str">
        <f>VLOOKUP($F414,Admin!$D$11:$G$19,4,FALSE)</f>
        <v>K+F munkatárs</v>
      </c>
      <c r="J414" s="100" t="s">
        <v>41</v>
      </c>
      <c r="K414" s="95" t="str">
        <f t="shared" si="582"/>
        <v>2021.11</v>
      </c>
      <c r="L414" s="101" t="s">
        <v>6</v>
      </c>
      <c r="M414" s="96" t="s">
        <v>70</v>
      </c>
      <c r="N414" s="102">
        <v>724500</v>
      </c>
      <c r="O414" s="97">
        <f t="shared" si="583"/>
        <v>112298</v>
      </c>
      <c r="P414" s="104">
        <v>174</v>
      </c>
      <c r="Q414" s="104">
        <v>51</v>
      </c>
      <c r="R414" s="215">
        <f t="shared" si="580"/>
        <v>0.29310344827586204</v>
      </c>
      <c r="S414" s="105">
        <v>170645</v>
      </c>
      <c r="T414" s="98">
        <f t="shared" si="584"/>
        <v>26450</v>
      </c>
      <c r="U414" s="70">
        <f t="shared" si="581"/>
        <v>5.7568596654053894E-2</v>
      </c>
      <c r="V414" s="181">
        <v>0.155</v>
      </c>
      <c r="W414" s="210"/>
      <c r="X414" s="17">
        <v>44510</v>
      </c>
      <c r="Y414" s="12" t="s">
        <v>66</v>
      </c>
      <c r="Z414" s="12"/>
      <c r="AA414" s="12"/>
      <c r="AB414" s="3">
        <v>1</v>
      </c>
    </row>
    <row r="415" spans="1:28" s="3" customFormat="1" ht="14.45" customHeight="1" x14ac:dyDescent="0.25">
      <c r="A415" s="141">
        <v>2</v>
      </c>
      <c r="B415" s="99" t="s">
        <v>138</v>
      </c>
      <c r="C415" s="95" t="str">
        <f>VLOOKUP($F415,Admin!$D$11:$F$19,2,FALSE)</f>
        <v>Kísérleti fejlesztés</v>
      </c>
      <c r="D415" s="138" t="s">
        <v>123</v>
      </c>
      <c r="E415" s="95" t="str">
        <f>VLOOKUP($F415,Admin!$D$11:$F$19,3,FALSE)</f>
        <v>54. Bérköltség - Kutató-fejlesztő munkatárs</v>
      </c>
      <c r="F415" s="139" t="s">
        <v>213</v>
      </c>
      <c r="G415" s="100" t="s">
        <v>180</v>
      </c>
      <c r="H415" s="100" t="s">
        <v>141</v>
      </c>
      <c r="I415" s="139" t="str">
        <f>VLOOKUP($F415,Admin!$D$11:$G$19,4,FALSE)</f>
        <v>K+F munkatárs</v>
      </c>
      <c r="J415" s="100" t="s">
        <v>42</v>
      </c>
      <c r="K415" s="95" t="str">
        <f t="shared" si="582"/>
        <v>2021.12</v>
      </c>
      <c r="L415" s="101" t="s">
        <v>6</v>
      </c>
      <c r="M415" s="96" t="s">
        <v>70</v>
      </c>
      <c r="N415" s="102">
        <v>724500</v>
      </c>
      <c r="O415" s="97">
        <f t="shared" si="583"/>
        <v>112298</v>
      </c>
      <c r="P415" s="104">
        <v>174</v>
      </c>
      <c r="Q415" s="104">
        <v>51</v>
      </c>
      <c r="R415" s="215">
        <f t="shared" si="580"/>
        <v>0.29310344827586204</v>
      </c>
      <c r="S415" s="105">
        <v>170645</v>
      </c>
      <c r="T415" s="98">
        <f t="shared" si="584"/>
        <v>26450</v>
      </c>
      <c r="U415" s="70">
        <f t="shared" si="581"/>
        <v>5.7568596654053894E-2</v>
      </c>
      <c r="V415" s="181">
        <v>0.155</v>
      </c>
      <c r="W415" s="210"/>
      <c r="X415" s="17">
        <v>44510</v>
      </c>
      <c r="Y415" s="12" t="s">
        <v>66</v>
      </c>
      <c r="Z415" s="12"/>
      <c r="AA415" s="12"/>
      <c r="AB415" s="3">
        <v>1</v>
      </c>
    </row>
    <row r="416" spans="1:28" s="3" customFormat="1" ht="14.45" customHeight="1" x14ac:dyDescent="0.25">
      <c r="A416" s="141">
        <v>2</v>
      </c>
      <c r="B416" s="99" t="s">
        <v>138</v>
      </c>
      <c r="C416" s="95" t="str">
        <f>VLOOKUP($F416,Admin!$D$11:$F$19,2,FALSE)</f>
        <v>Kísérleti fejlesztés</v>
      </c>
      <c r="D416" s="138" t="s">
        <v>123</v>
      </c>
      <c r="E416" s="95" t="str">
        <f>VLOOKUP($F416,Admin!$D$11:$F$19,3,FALSE)</f>
        <v>54. Bérköltség - Kutató-fejlesztő munkatárs</v>
      </c>
      <c r="F416" s="139" t="s">
        <v>213</v>
      </c>
      <c r="G416" s="100" t="s">
        <v>180</v>
      </c>
      <c r="H416" s="100" t="s">
        <v>141</v>
      </c>
      <c r="I416" s="139" t="str">
        <f>VLOOKUP($F416,Admin!$D$11:$G$19,4,FALSE)</f>
        <v>K+F munkatárs</v>
      </c>
      <c r="J416" s="100" t="s">
        <v>43</v>
      </c>
      <c r="K416" s="95" t="str">
        <f t="shared" si="582"/>
        <v>2022.01</v>
      </c>
      <c r="L416" s="101" t="s">
        <v>6</v>
      </c>
      <c r="M416" s="96" t="s">
        <v>70</v>
      </c>
      <c r="N416" s="102">
        <v>742500</v>
      </c>
      <c r="O416" s="97">
        <f t="shared" si="583"/>
        <v>96525</v>
      </c>
      <c r="P416" s="104">
        <v>174</v>
      </c>
      <c r="Q416" s="104">
        <v>51</v>
      </c>
      <c r="R416" s="215">
        <f t="shared" si="580"/>
        <v>0.29310344827586204</v>
      </c>
      <c r="S416" s="105">
        <f t="shared" si="5"/>
        <v>217629</v>
      </c>
      <c r="T416" s="98">
        <f t="shared" si="584"/>
        <v>28292</v>
      </c>
      <c r="U416" s="70">
        <f t="shared" si="581"/>
        <v>4.1797283173439226E-7</v>
      </c>
      <c r="V416" s="140">
        <v>0.13</v>
      </c>
      <c r="W416" s="209"/>
      <c r="X416" s="17">
        <v>44199</v>
      </c>
      <c r="Y416" s="12" t="s">
        <v>66</v>
      </c>
      <c r="Z416" s="12"/>
      <c r="AA416" s="12"/>
      <c r="AB416" s="3">
        <v>1</v>
      </c>
    </row>
    <row r="417" spans="1:28" s="3" customFormat="1" ht="14.45" customHeight="1" x14ac:dyDescent="0.25">
      <c r="A417" s="141">
        <v>1</v>
      </c>
      <c r="B417" s="99" t="s">
        <v>194</v>
      </c>
      <c r="C417" s="95" t="str">
        <f>VLOOKUP($F417,Admin!$D$11:$F$19,2,FALSE)</f>
        <v>Alkalmazott (ipari) kutatás</v>
      </c>
      <c r="D417" s="138" t="s">
        <v>123</v>
      </c>
      <c r="E417" s="95" t="str">
        <f>VLOOKUP($F417,Admin!$D$11:$F$19,3,FALSE)</f>
        <v>54. Bérköltség - Kutató-fejlesztő munkatárs</v>
      </c>
      <c r="F417" s="139" t="s">
        <v>212</v>
      </c>
      <c r="G417" s="100" t="s">
        <v>180</v>
      </c>
      <c r="H417" s="100" t="s">
        <v>142</v>
      </c>
      <c r="I417" s="139" t="str">
        <f>VLOOKUP($F417,Admin!$D$11:$G$19,4,FALSE)</f>
        <v>K+F munkatárs</v>
      </c>
      <c r="J417" s="100" t="s">
        <v>219</v>
      </c>
      <c r="K417" s="95" t="str">
        <f t="shared" si="582"/>
        <v>2020.04</v>
      </c>
      <c r="L417" s="101" t="s">
        <v>6</v>
      </c>
      <c r="M417" s="96" t="s">
        <v>70</v>
      </c>
      <c r="N417" s="102">
        <v>570000</v>
      </c>
      <c r="O417" s="97">
        <f t="shared" si="583"/>
        <v>99750</v>
      </c>
      <c r="P417" s="104">
        <v>174</v>
      </c>
      <c r="Q417" s="104">
        <v>58</v>
      </c>
      <c r="R417" s="215">
        <f t="shared" si="580"/>
        <v>0.33333333333333331</v>
      </c>
      <c r="S417" s="105">
        <f t="shared" si="5"/>
        <v>190000</v>
      </c>
      <c r="T417" s="98">
        <f t="shared" si="584"/>
        <v>33250</v>
      </c>
      <c r="U417" s="70">
        <f t="shared" si="581"/>
        <v>0</v>
      </c>
      <c r="V417" s="181">
        <v>0.17499999999999999</v>
      </c>
      <c r="W417" s="210"/>
      <c r="X417" s="17">
        <v>43901</v>
      </c>
      <c r="Y417" s="12" t="s">
        <v>66</v>
      </c>
      <c r="Z417" s="12"/>
      <c r="AA417" s="12"/>
      <c r="AB417" s="3">
        <v>1</v>
      </c>
    </row>
    <row r="418" spans="1:28" s="3" customFormat="1" ht="14.45" customHeight="1" x14ac:dyDescent="0.25">
      <c r="A418" s="141">
        <v>1</v>
      </c>
      <c r="B418" s="99" t="s">
        <v>194</v>
      </c>
      <c r="C418" s="95" t="str">
        <f>VLOOKUP($F418,Admin!$D$11:$F$19,2,FALSE)</f>
        <v>Alkalmazott (ipari) kutatás</v>
      </c>
      <c r="D418" s="138" t="s">
        <v>123</v>
      </c>
      <c r="E418" s="95" t="str">
        <f>VLOOKUP($F418,Admin!$D$11:$F$19,3,FALSE)</f>
        <v>54. Bérköltség - Kutató-fejlesztő munkatárs</v>
      </c>
      <c r="F418" s="139" t="s">
        <v>212</v>
      </c>
      <c r="G418" s="100" t="s">
        <v>180</v>
      </c>
      <c r="H418" s="100" t="s">
        <v>142</v>
      </c>
      <c r="I418" s="139" t="str">
        <f>VLOOKUP($F418,Admin!$D$11:$G$19,4,FALSE)</f>
        <v>K+F munkatárs</v>
      </c>
      <c r="J418" s="100" t="s">
        <v>220</v>
      </c>
      <c r="K418" s="95" t="str">
        <f t="shared" si="582"/>
        <v>2020.05</v>
      </c>
      <c r="L418" s="101" t="s">
        <v>6</v>
      </c>
      <c r="M418" s="96" t="s">
        <v>70</v>
      </c>
      <c r="N418" s="102">
        <v>570000</v>
      </c>
      <c r="O418" s="97">
        <f t="shared" si="583"/>
        <v>99750</v>
      </c>
      <c r="P418" s="104">
        <v>174</v>
      </c>
      <c r="Q418" s="104">
        <v>58</v>
      </c>
      <c r="R418" s="215">
        <f t="shared" si="580"/>
        <v>0.33333333333333331</v>
      </c>
      <c r="S418" s="105">
        <f t="shared" si="5"/>
        <v>190000</v>
      </c>
      <c r="T418" s="98">
        <f t="shared" si="584"/>
        <v>33250</v>
      </c>
      <c r="U418" s="70">
        <f t="shared" si="581"/>
        <v>0</v>
      </c>
      <c r="V418" s="181">
        <v>0.17499999999999999</v>
      </c>
      <c r="W418" s="210"/>
      <c r="X418" s="17">
        <v>43901</v>
      </c>
      <c r="Y418" s="12" t="s">
        <v>66</v>
      </c>
      <c r="Z418" s="12"/>
      <c r="AA418" s="12"/>
      <c r="AB418" s="3">
        <v>1</v>
      </c>
    </row>
    <row r="419" spans="1:28" s="3" customFormat="1" ht="14.45" customHeight="1" x14ac:dyDescent="0.25">
      <c r="A419" s="141">
        <v>1</v>
      </c>
      <c r="B419" s="99" t="s">
        <v>194</v>
      </c>
      <c r="C419" s="95" t="str">
        <f>VLOOKUP($F419,Admin!$D$11:$F$19,2,FALSE)</f>
        <v>Alkalmazott (ipari) kutatás</v>
      </c>
      <c r="D419" s="138" t="s">
        <v>123</v>
      </c>
      <c r="E419" s="95" t="str">
        <f>VLOOKUP($F419,Admin!$D$11:$F$19,3,FALSE)</f>
        <v>54. Bérköltség - Kutató-fejlesztő munkatárs</v>
      </c>
      <c r="F419" s="139" t="s">
        <v>212</v>
      </c>
      <c r="G419" s="100" t="s">
        <v>180</v>
      </c>
      <c r="H419" s="100" t="s">
        <v>142</v>
      </c>
      <c r="I419" s="139" t="str">
        <f>VLOOKUP($F419,Admin!$D$11:$G$19,4,FALSE)</f>
        <v>K+F munkatárs</v>
      </c>
      <c r="J419" s="100" t="s">
        <v>221</v>
      </c>
      <c r="K419" s="95" t="str">
        <f t="shared" si="582"/>
        <v>2020.06</v>
      </c>
      <c r="L419" s="101" t="s">
        <v>6</v>
      </c>
      <c r="M419" s="96" t="s">
        <v>70</v>
      </c>
      <c r="N419" s="102">
        <v>570000</v>
      </c>
      <c r="O419" s="97">
        <f t="shared" si="583"/>
        <v>99750</v>
      </c>
      <c r="P419" s="104">
        <v>174</v>
      </c>
      <c r="Q419" s="104">
        <v>58</v>
      </c>
      <c r="R419" s="215">
        <f t="shared" si="580"/>
        <v>0.33333333333333331</v>
      </c>
      <c r="S419" s="105">
        <f t="shared" si="5"/>
        <v>190000</v>
      </c>
      <c r="T419" s="98">
        <f t="shared" si="584"/>
        <v>33250</v>
      </c>
      <c r="U419" s="70">
        <f t="shared" si="581"/>
        <v>0</v>
      </c>
      <c r="V419" s="181">
        <v>0.17499999999999999</v>
      </c>
      <c r="W419" s="210"/>
      <c r="X419" s="17">
        <v>43901</v>
      </c>
      <c r="Y419" s="12" t="s">
        <v>66</v>
      </c>
      <c r="Z419" s="12"/>
      <c r="AA419" s="12"/>
      <c r="AB419" s="3">
        <v>1</v>
      </c>
    </row>
    <row r="420" spans="1:28" s="3" customFormat="1" ht="14.45" customHeight="1" x14ac:dyDescent="0.25">
      <c r="A420" s="141">
        <v>1</v>
      </c>
      <c r="B420" s="99" t="s">
        <v>194</v>
      </c>
      <c r="C420" s="95" t="str">
        <f>VLOOKUP($F420,Admin!$D$11:$F$19,2,FALSE)</f>
        <v>Alkalmazott (ipari) kutatás</v>
      </c>
      <c r="D420" s="138" t="s">
        <v>123</v>
      </c>
      <c r="E420" s="95" t="str">
        <f>VLOOKUP($F420,Admin!$D$11:$F$19,3,FALSE)</f>
        <v>54. Bérköltség - Kutató-fejlesztő munkatárs</v>
      </c>
      <c r="F420" s="139" t="s">
        <v>212</v>
      </c>
      <c r="G420" s="100" t="s">
        <v>180</v>
      </c>
      <c r="H420" s="100" t="s">
        <v>142</v>
      </c>
      <c r="I420" s="139" t="str">
        <f>VLOOKUP($F420,Admin!$D$11:$G$19,4,FALSE)</f>
        <v>K+F munkatárs</v>
      </c>
      <c r="J420" s="100" t="s">
        <v>222</v>
      </c>
      <c r="K420" s="95" t="str">
        <f t="shared" si="582"/>
        <v>2020.07</v>
      </c>
      <c r="L420" s="101" t="s">
        <v>6</v>
      </c>
      <c r="M420" s="96" t="s">
        <v>70</v>
      </c>
      <c r="N420" s="102">
        <v>570000</v>
      </c>
      <c r="O420" s="97">
        <f t="shared" si="583"/>
        <v>88350</v>
      </c>
      <c r="P420" s="104">
        <v>174</v>
      </c>
      <c r="Q420" s="104">
        <v>58</v>
      </c>
      <c r="R420" s="215">
        <f t="shared" si="580"/>
        <v>0.33333333333333331</v>
      </c>
      <c r="S420" s="105">
        <f t="shared" si="5"/>
        <v>190000</v>
      </c>
      <c r="T420" s="98">
        <f t="shared" si="584"/>
        <v>29450</v>
      </c>
      <c r="U420" s="70">
        <f t="shared" si="581"/>
        <v>0</v>
      </c>
      <c r="V420" s="181">
        <v>0.155</v>
      </c>
      <c r="W420" s="210"/>
      <c r="X420" s="17">
        <v>43973</v>
      </c>
      <c r="Y420" s="12" t="s">
        <v>66</v>
      </c>
      <c r="Z420" s="12"/>
      <c r="AA420" s="12"/>
      <c r="AB420" s="3">
        <v>1</v>
      </c>
    </row>
    <row r="421" spans="1:28" s="3" customFormat="1" ht="14.45" customHeight="1" x14ac:dyDescent="0.25">
      <c r="A421" s="141">
        <v>1</v>
      </c>
      <c r="B421" s="99" t="s">
        <v>194</v>
      </c>
      <c r="C421" s="95" t="str">
        <f>VLOOKUP($F421,Admin!$D$11:$F$19,2,FALSE)</f>
        <v>Alkalmazott (ipari) kutatás</v>
      </c>
      <c r="D421" s="138" t="s">
        <v>123</v>
      </c>
      <c r="E421" s="95" t="str">
        <f>VLOOKUP($F421,Admin!$D$11:$F$19,3,FALSE)</f>
        <v>54. Bérköltség - Kutató-fejlesztő munkatárs</v>
      </c>
      <c r="F421" s="139" t="s">
        <v>212</v>
      </c>
      <c r="G421" s="100" t="s">
        <v>180</v>
      </c>
      <c r="H421" s="100" t="s">
        <v>142</v>
      </c>
      <c r="I421" s="139" t="str">
        <f>VLOOKUP($F421,Admin!$D$11:$G$19,4,FALSE)</f>
        <v>K+F munkatárs</v>
      </c>
      <c r="J421" s="100" t="s">
        <v>223</v>
      </c>
      <c r="K421" s="95" t="str">
        <f t="shared" si="582"/>
        <v>2020.08</v>
      </c>
      <c r="L421" s="101" t="s">
        <v>6</v>
      </c>
      <c r="M421" s="96" t="s">
        <v>70</v>
      </c>
      <c r="N421" s="102">
        <v>570000</v>
      </c>
      <c r="O421" s="97">
        <f t="shared" si="583"/>
        <v>88350</v>
      </c>
      <c r="P421" s="104">
        <v>174</v>
      </c>
      <c r="Q421" s="104">
        <v>58</v>
      </c>
      <c r="R421" s="215">
        <f t="shared" si="580"/>
        <v>0.33333333333333331</v>
      </c>
      <c r="S421" s="105">
        <f t="shared" si="5"/>
        <v>190000</v>
      </c>
      <c r="T421" s="98">
        <f t="shared" si="584"/>
        <v>29450</v>
      </c>
      <c r="U421" s="70">
        <f t="shared" si="581"/>
        <v>0</v>
      </c>
      <c r="V421" s="181">
        <v>0.155</v>
      </c>
      <c r="W421" s="210"/>
      <c r="X421" s="17">
        <v>43973</v>
      </c>
      <c r="Y421" s="12" t="s">
        <v>66</v>
      </c>
      <c r="Z421" s="12"/>
      <c r="AA421" s="12"/>
      <c r="AB421" s="3">
        <v>1</v>
      </c>
    </row>
    <row r="422" spans="1:28" s="3" customFormat="1" ht="14.45" customHeight="1" x14ac:dyDescent="0.25">
      <c r="A422" s="141">
        <v>1</v>
      </c>
      <c r="B422" s="99" t="s">
        <v>195</v>
      </c>
      <c r="C422" s="95" t="str">
        <f>VLOOKUP($F422,Admin!$D$11:$F$19,2,FALSE)</f>
        <v>Alkalmazott (ipari) kutatás</v>
      </c>
      <c r="D422" s="138" t="s">
        <v>123</v>
      </c>
      <c r="E422" s="95" t="str">
        <f>VLOOKUP($F422,Admin!$D$11:$F$19,3,FALSE)</f>
        <v>54. Bérköltség - Kutató-fejlesztő munkatárs</v>
      </c>
      <c r="F422" s="139" t="s">
        <v>212</v>
      </c>
      <c r="G422" s="100" t="s">
        <v>179</v>
      </c>
      <c r="H422" s="100" t="s">
        <v>232</v>
      </c>
      <c r="I422" s="139" t="str">
        <f>VLOOKUP($F422,Admin!$D$11:$G$19,4,FALSE)</f>
        <v>K+F munkatárs</v>
      </c>
      <c r="J422" s="100" t="s">
        <v>224</v>
      </c>
      <c r="K422" s="95" t="str">
        <f t="shared" si="582"/>
        <v>2020.09</v>
      </c>
      <c r="L422" s="101" t="s">
        <v>6</v>
      </c>
      <c r="M422" s="96" t="s">
        <v>70</v>
      </c>
      <c r="N422" s="102">
        <v>477200</v>
      </c>
      <c r="O422" s="97">
        <f t="shared" si="583"/>
        <v>73966</v>
      </c>
      <c r="P422" s="104">
        <v>174</v>
      </c>
      <c r="Q422" s="104">
        <v>150</v>
      </c>
      <c r="R422" s="215">
        <f t="shared" si="580"/>
        <v>0.86206896551724133</v>
      </c>
      <c r="S422" s="105">
        <f t="shared" si="5"/>
        <v>411379</v>
      </c>
      <c r="T422" s="98">
        <f t="shared" si="584"/>
        <v>63764</v>
      </c>
      <c r="U422" s="70">
        <f t="shared" si="581"/>
        <v>6.5034540563946308E-7</v>
      </c>
      <c r="V422" s="181">
        <v>0.155</v>
      </c>
      <c r="W422" s="210"/>
      <c r="X422" s="17">
        <v>44034</v>
      </c>
      <c r="Y422" s="12" t="s">
        <v>66</v>
      </c>
      <c r="Z422" s="12"/>
      <c r="AA422" s="12"/>
      <c r="AB422" s="3">
        <v>1</v>
      </c>
    </row>
    <row r="423" spans="1:28" s="3" customFormat="1" ht="14.45" customHeight="1" x14ac:dyDescent="0.25">
      <c r="A423" s="141">
        <v>1</v>
      </c>
      <c r="B423" s="99" t="s">
        <v>195</v>
      </c>
      <c r="C423" s="95" t="str">
        <f>VLOOKUP($F423,Admin!$D$11:$F$19,2,FALSE)</f>
        <v>Alkalmazott (ipari) kutatás</v>
      </c>
      <c r="D423" s="138" t="s">
        <v>123</v>
      </c>
      <c r="E423" s="95" t="str">
        <f>VLOOKUP($F423,Admin!$D$11:$F$19,3,FALSE)</f>
        <v>54. Bérköltség - Kutató-fejlesztő munkatárs</v>
      </c>
      <c r="F423" s="139" t="s">
        <v>212</v>
      </c>
      <c r="G423" s="100" t="s">
        <v>179</v>
      </c>
      <c r="H423" s="100" t="s">
        <v>232</v>
      </c>
      <c r="I423" s="139" t="str">
        <f>VLOOKUP($F423,Admin!$D$11:$G$19,4,FALSE)</f>
        <v>K+F munkatárs</v>
      </c>
      <c r="J423" s="100" t="s">
        <v>225</v>
      </c>
      <c r="K423" s="95" t="str">
        <f t="shared" si="582"/>
        <v>2020.10</v>
      </c>
      <c r="L423" s="101" t="s">
        <v>6</v>
      </c>
      <c r="M423" s="96" t="s">
        <v>70</v>
      </c>
      <c r="N423" s="102">
        <v>477200</v>
      </c>
      <c r="O423" s="97">
        <f t="shared" si="583"/>
        <v>73966</v>
      </c>
      <c r="P423" s="104">
        <v>174</v>
      </c>
      <c r="Q423" s="104">
        <v>150</v>
      </c>
      <c r="R423" s="215">
        <f t="shared" si="580"/>
        <v>0.86206896551724133</v>
      </c>
      <c r="S423" s="105">
        <f t="shared" si="5"/>
        <v>411379</v>
      </c>
      <c r="T423" s="98">
        <f t="shared" si="584"/>
        <v>63764</v>
      </c>
      <c r="U423" s="70">
        <f t="shared" si="581"/>
        <v>6.5034540563946308E-7</v>
      </c>
      <c r="V423" s="181">
        <v>0.155</v>
      </c>
      <c r="W423" s="210"/>
      <c r="X423" s="17">
        <v>44034</v>
      </c>
      <c r="Y423" s="12" t="s">
        <v>66</v>
      </c>
      <c r="Z423" s="12"/>
      <c r="AA423" s="12"/>
      <c r="AB423" s="3">
        <v>1</v>
      </c>
    </row>
    <row r="424" spans="1:28" s="3" customFormat="1" ht="14.45" customHeight="1" x14ac:dyDescent="0.25">
      <c r="A424" s="141">
        <v>1</v>
      </c>
      <c r="B424" s="99" t="s">
        <v>195</v>
      </c>
      <c r="C424" s="95" t="str">
        <f>VLOOKUP($F424,Admin!$D$11:$F$19,2,FALSE)</f>
        <v>Alkalmazott (ipari) kutatás</v>
      </c>
      <c r="D424" s="138" t="s">
        <v>123</v>
      </c>
      <c r="E424" s="95" t="str">
        <f>VLOOKUP($F424,Admin!$D$11:$F$19,3,FALSE)</f>
        <v>54. Bérköltség - Kutató-fejlesztő munkatárs</v>
      </c>
      <c r="F424" s="139" t="s">
        <v>212</v>
      </c>
      <c r="G424" s="100" t="s">
        <v>179</v>
      </c>
      <c r="H424" s="100" t="s">
        <v>232</v>
      </c>
      <c r="I424" s="139" t="str">
        <f>VLOOKUP($F424,Admin!$D$11:$G$19,4,FALSE)</f>
        <v>K+F munkatárs</v>
      </c>
      <c r="J424" s="100" t="s">
        <v>226</v>
      </c>
      <c r="K424" s="95" t="str">
        <f t="shared" si="582"/>
        <v>2020.11</v>
      </c>
      <c r="L424" s="101" t="s">
        <v>6</v>
      </c>
      <c r="M424" s="96" t="s">
        <v>70</v>
      </c>
      <c r="N424" s="102">
        <v>527200</v>
      </c>
      <c r="O424" s="97">
        <f t="shared" si="583"/>
        <v>81716</v>
      </c>
      <c r="P424" s="104">
        <v>174</v>
      </c>
      <c r="Q424" s="104">
        <v>136</v>
      </c>
      <c r="R424" s="215">
        <f t="shared" si="580"/>
        <v>0.7816091954022989</v>
      </c>
      <c r="S424" s="105">
        <f t="shared" si="5"/>
        <v>412064</v>
      </c>
      <c r="T424" s="98">
        <f t="shared" si="584"/>
        <v>63870</v>
      </c>
      <c r="U424" s="70">
        <f t="shared" si="581"/>
        <v>6.9767847488133583E-7</v>
      </c>
      <c r="V424" s="181">
        <v>0.155</v>
      </c>
      <c r="W424" s="210"/>
      <c r="X424" s="17">
        <v>44132</v>
      </c>
      <c r="Y424" s="12" t="s">
        <v>66</v>
      </c>
      <c r="Z424" s="12"/>
      <c r="AA424" s="12"/>
      <c r="AB424" s="3">
        <v>1</v>
      </c>
    </row>
    <row r="425" spans="1:28" s="3" customFormat="1" ht="14.45" customHeight="1" x14ac:dyDescent="0.25">
      <c r="A425" s="141">
        <v>1</v>
      </c>
      <c r="B425" s="99" t="s">
        <v>195</v>
      </c>
      <c r="C425" s="95" t="str">
        <f>VLOOKUP($F425,Admin!$D$11:$F$19,2,FALSE)</f>
        <v>Alkalmazott (ipari) kutatás</v>
      </c>
      <c r="D425" s="138" t="s">
        <v>123</v>
      </c>
      <c r="E425" s="95" t="str">
        <f>VLOOKUP($F425,Admin!$D$11:$F$19,3,FALSE)</f>
        <v>54. Bérköltség - Kutató-fejlesztő munkatárs</v>
      </c>
      <c r="F425" s="139" t="s">
        <v>212</v>
      </c>
      <c r="G425" s="100" t="s">
        <v>179</v>
      </c>
      <c r="H425" s="100" t="s">
        <v>232</v>
      </c>
      <c r="I425" s="139" t="str">
        <f>VLOOKUP($F425,Admin!$D$11:$G$19,4,FALSE)</f>
        <v>K+F munkatárs</v>
      </c>
      <c r="J425" s="100" t="s">
        <v>30</v>
      </c>
      <c r="K425" s="95" t="str">
        <f t="shared" si="582"/>
        <v>2020.12</v>
      </c>
      <c r="L425" s="101" t="s">
        <v>6</v>
      </c>
      <c r="M425" s="96" t="s">
        <v>70</v>
      </c>
      <c r="N425" s="102">
        <v>477200</v>
      </c>
      <c r="O425" s="97">
        <f t="shared" si="583"/>
        <v>73966</v>
      </c>
      <c r="P425" s="104">
        <v>174</v>
      </c>
      <c r="Q425" s="104">
        <v>150</v>
      </c>
      <c r="R425" s="215">
        <f t="shared" si="580"/>
        <v>0.86206896551724133</v>
      </c>
      <c r="S425" s="105">
        <f t="shared" si="5"/>
        <v>411379</v>
      </c>
      <c r="T425" s="98">
        <f t="shared" si="584"/>
        <v>63764</v>
      </c>
      <c r="U425" s="70">
        <f t="shared" si="581"/>
        <v>6.5034540563946308E-7</v>
      </c>
      <c r="V425" s="181">
        <v>0.155</v>
      </c>
      <c r="W425" s="210"/>
      <c r="X425" s="17">
        <v>44144</v>
      </c>
      <c r="Y425" s="12" t="s">
        <v>66</v>
      </c>
      <c r="Z425" s="12"/>
      <c r="AA425" s="12"/>
      <c r="AB425" s="3">
        <v>1</v>
      </c>
    </row>
    <row r="426" spans="1:28" s="3" customFormat="1" ht="14.45" customHeight="1" x14ac:dyDescent="0.25">
      <c r="A426" s="141">
        <v>1</v>
      </c>
      <c r="B426" s="99" t="s">
        <v>195</v>
      </c>
      <c r="C426" s="95" t="str">
        <f>VLOOKUP($F426,Admin!$D$11:$F$19,2,FALSE)</f>
        <v>Alkalmazott (ipari) kutatás</v>
      </c>
      <c r="D426" s="138" t="s">
        <v>123</v>
      </c>
      <c r="E426" s="95" t="str">
        <f>VLOOKUP($F426,Admin!$D$11:$F$19,3,FALSE)</f>
        <v>54. Bérköltség - Kutató-fejlesztő munkatárs</v>
      </c>
      <c r="F426" s="139" t="s">
        <v>212</v>
      </c>
      <c r="G426" s="100" t="s">
        <v>179</v>
      </c>
      <c r="H426" s="100" t="s">
        <v>232</v>
      </c>
      <c r="I426" s="139" t="str">
        <f>VLOOKUP($F426,Admin!$D$11:$G$19,4,FALSE)</f>
        <v>K+F munkatárs</v>
      </c>
      <c r="J426" s="100" t="s">
        <v>31</v>
      </c>
      <c r="K426" s="95" t="str">
        <f t="shared" si="582"/>
        <v>2021.01</v>
      </c>
      <c r="L426" s="101" t="s">
        <v>6</v>
      </c>
      <c r="M426" s="96" t="s">
        <v>70</v>
      </c>
      <c r="N426" s="102">
        <v>477200</v>
      </c>
      <c r="O426" s="97">
        <f t="shared" si="583"/>
        <v>73966</v>
      </c>
      <c r="P426" s="104">
        <v>174</v>
      </c>
      <c r="Q426" s="104">
        <v>150</v>
      </c>
      <c r="R426" s="215">
        <f t="shared" si="580"/>
        <v>0.86206896551724133</v>
      </c>
      <c r="S426" s="105">
        <f t="shared" si="5"/>
        <v>411379</v>
      </c>
      <c r="T426" s="98">
        <f t="shared" si="584"/>
        <v>63764</v>
      </c>
      <c r="U426" s="70">
        <f t="shared" si="581"/>
        <v>6.5034540563946308E-7</v>
      </c>
      <c r="V426" s="181">
        <v>0.155</v>
      </c>
      <c r="W426" s="210"/>
      <c r="X426" s="17">
        <v>44144</v>
      </c>
      <c r="Y426" s="12" t="s">
        <v>66</v>
      </c>
      <c r="Z426" s="12"/>
      <c r="AA426" s="12"/>
      <c r="AB426" s="3">
        <v>1</v>
      </c>
    </row>
    <row r="427" spans="1:28" s="3" customFormat="1" ht="14.45" customHeight="1" x14ac:dyDescent="0.25">
      <c r="A427" s="141">
        <v>2</v>
      </c>
      <c r="B427" s="99" t="s">
        <v>195</v>
      </c>
      <c r="C427" s="95" t="str">
        <f>VLOOKUP($F427,Admin!$D$11:$F$19,2,FALSE)</f>
        <v>Kísérleti fejlesztés</v>
      </c>
      <c r="D427" s="138" t="s">
        <v>123</v>
      </c>
      <c r="E427" s="95" t="str">
        <f>VLOOKUP($F427,Admin!$D$11:$F$19,3,FALSE)</f>
        <v>54. Bérköltség - Kutató-fejlesztő munkatárs</v>
      </c>
      <c r="F427" s="139" t="s">
        <v>213</v>
      </c>
      <c r="G427" s="100" t="s">
        <v>179</v>
      </c>
      <c r="H427" s="100" t="s">
        <v>232</v>
      </c>
      <c r="I427" s="139" t="str">
        <f>VLOOKUP($F427,Admin!$D$11:$G$19,4,FALSE)</f>
        <v>K+F munkatárs</v>
      </c>
      <c r="J427" s="100" t="s">
        <v>32</v>
      </c>
      <c r="K427" s="95" t="str">
        <f t="shared" si="582"/>
        <v>2021.02</v>
      </c>
      <c r="L427" s="101" t="s">
        <v>6</v>
      </c>
      <c r="M427" s="96" t="s">
        <v>70</v>
      </c>
      <c r="N427" s="102">
        <v>477200</v>
      </c>
      <c r="O427" s="97">
        <f t="shared" si="583"/>
        <v>73966</v>
      </c>
      <c r="P427" s="104">
        <v>174</v>
      </c>
      <c r="Q427" s="104">
        <v>150</v>
      </c>
      <c r="R427" s="215">
        <f t="shared" si="580"/>
        <v>0.86206896551724133</v>
      </c>
      <c r="S427" s="105">
        <f t="shared" si="5"/>
        <v>411379</v>
      </c>
      <c r="T427" s="98">
        <f t="shared" si="584"/>
        <v>63764</v>
      </c>
      <c r="U427" s="70">
        <f t="shared" si="581"/>
        <v>6.5034540563946308E-7</v>
      </c>
      <c r="V427" s="181">
        <v>0.155</v>
      </c>
      <c r="W427" s="210"/>
      <c r="X427" s="17">
        <v>44144</v>
      </c>
      <c r="Y427" s="12" t="s">
        <v>66</v>
      </c>
      <c r="Z427" s="12"/>
      <c r="AA427" s="12"/>
      <c r="AB427" s="3">
        <v>1</v>
      </c>
    </row>
    <row r="428" spans="1:28" s="3" customFormat="1" ht="14.45" customHeight="1" x14ac:dyDescent="0.25">
      <c r="A428" s="141">
        <v>2</v>
      </c>
      <c r="B428" s="99" t="s">
        <v>195</v>
      </c>
      <c r="C428" s="95" t="str">
        <f>VLOOKUP($F428,Admin!$D$11:$F$19,2,FALSE)</f>
        <v>Kísérleti fejlesztés</v>
      </c>
      <c r="D428" s="138" t="s">
        <v>123</v>
      </c>
      <c r="E428" s="95" t="str">
        <f>VLOOKUP($F428,Admin!$D$11:$F$19,3,FALSE)</f>
        <v>54. Bérköltség - Kutató-fejlesztő munkatárs</v>
      </c>
      <c r="F428" s="139" t="s">
        <v>213</v>
      </c>
      <c r="G428" s="100" t="s">
        <v>179</v>
      </c>
      <c r="H428" s="100" t="s">
        <v>232</v>
      </c>
      <c r="I428" s="139" t="str">
        <f>VLOOKUP($F428,Admin!$D$11:$G$19,4,FALSE)</f>
        <v>K+F munkatárs</v>
      </c>
      <c r="J428" s="100" t="s">
        <v>33</v>
      </c>
      <c r="K428" s="95" t="str">
        <f t="shared" si="582"/>
        <v>2021.03</v>
      </c>
      <c r="L428" s="101" t="s">
        <v>6</v>
      </c>
      <c r="M428" s="96" t="s">
        <v>70</v>
      </c>
      <c r="N428" s="102">
        <v>477200</v>
      </c>
      <c r="O428" s="97">
        <f t="shared" si="583"/>
        <v>73966</v>
      </c>
      <c r="P428" s="104">
        <v>174</v>
      </c>
      <c r="Q428" s="104">
        <v>150</v>
      </c>
      <c r="R428" s="215">
        <f t="shared" si="580"/>
        <v>0.86206896551724133</v>
      </c>
      <c r="S428" s="105">
        <f t="shared" si="5"/>
        <v>411379</v>
      </c>
      <c r="T428" s="98">
        <f t="shared" si="584"/>
        <v>63764</v>
      </c>
      <c r="U428" s="70">
        <f t="shared" si="581"/>
        <v>6.5034540563946308E-7</v>
      </c>
      <c r="V428" s="181">
        <v>0.155</v>
      </c>
      <c r="W428" s="210"/>
      <c r="X428" s="17">
        <v>40955</v>
      </c>
      <c r="Y428" s="12" t="s">
        <v>66</v>
      </c>
      <c r="Z428" s="12"/>
      <c r="AA428" s="12"/>
      <c r="AB428" s="3">
        <v>1</v>
      </c>
    </row>
    <row r="429" spans="1:28" s="3" customFormat="1" ht="14.45" customHeight="1" x14ac:dyDescent="0.25">
      <c r="A429" s="141">
        <v>2</v>
      </c>
      <c r="B429" s="99" t="s">
        <v>195</v>
      </c>
      <c r="C429" s="95" t="str">
        <f>VLOOKUP($F429,Admin!$D$11:$F$19,2,FALSE)</f>
        <v>Kísérleti fejlesztés</v>
      </c>
      <c r="D429" s="138" t="s">
        <v>123</v>
      </c>
      <c r="E429" s="95" t="str">
        <f>VLOOKUP($F429,Admin!$D$11:$F$19,3,FALSE)</f>
        <v>54. Bérköltség - Kutató-fejlesztő munkatárs</v>
      </c>
      <c r="F429" s="139" t="s">
        <v>213</v>
      </c>
      <c r="G429" s="100" t="s">
        <v>179</v>
      </c>
      <c r="H429" s="100" t="s">
        <v>232</v>
      </c>
      <c r="I429" s="139" t="str">
        <f>VLOOKUP($F429,Admin!$D$11:$G$19,4,FALSE)</f>
        <v>K+F munkatárs</v>
      </c>
      <c r="J429" s="100" t="s">
        <v>34</v>
      </c>
      <c r="K429" s="95" t="str">
        <f t="shared" si="582"/>
        <v>2021.04</v>
      </c>
      <c r="L429" s="101" t="s">
        <v>6</v>
      </c>
      <c r="M429" s="96" t="s">
        <v>70</v>
      </c>
      <c r="N429" s="102">
        <v>477200</v>
      </c>
      <c r="O429" s="97">
        <f t="shared" si="583"/>
        <v>73966</v>
      </c>
      <c r="P429" s="104">
        <v>174</v>
      </c>
      <c r="Q429" s="104">
        <v>150</v>
      </c>
      <c r="R429" s="215">
        <f t="shared" si="580"/>
        <v>0.86206896551724133</v>
      </c>
      <c r="S429" s="105">
        <f t="shared" si="5"/>
        <v>411379</v>
      </c>
      <c r="T429" s="98">
        <f t="shared" si="584"/>
        <v>63764</v>
      </c>
      <c r="U429" s="70">
        <f t="shared" si="581"/>
        <v>6.5034540563946308E-7</v>
      </c>
      <c r="V429" s="181">
        <v>0.155</v>
      </c>
      <c r="W429" s="210"/>
      <c r="X429" s="17">
        <v>40955</v>
      </c>
      <c r="Y429" s="12" t="s">
        <v>66</v>
      </c>
      <c r="Z429" s="12"/>
      <c r="AA429" s="12"/>
      <c r="AB429" s="3">
        <v>1</v>
      </c>
    </row>
    <row r="430" spans="1:28" s="3" customFormat="1" ht="14.45" customHeight="1" x14ac:dyDescent="0.25">
      <c r="A430" s="141">
        <v>2</v>
      </c>
      <c r="B430" s="99" t="s">
        <v>195</v>
      </c>
      <c r="C430" s="95" t="str">
        <f>VLOOKUP($F430,Admin!$D$11:$F$19,2,FALSE)</f>
        <v>Kísérleti fejlesztés</v>
      </c>
      <c r="D430" s="138" t="s">
        <v>123</v>
      </c>
      <c r="E430" s="95" t="str">
        <f>VLOOKUP($F430,Admin!$D$11:$F$19,3,FALSE)</f>
        <v>54. Bérköltség - Kutató-fejlesztő munkatárs</v>
      </c>
      <c r="F430" s="139" t="s">
        <v>213</v>
      </c>
      <c r="G430" s="100" t="s">
        <v>179</v>
      </c>
      <c r="H430" s="100" t="s">
        <v>232</v>
      </c>
      <c r="I430" s="139" t="str">
        <f>VLOOKUP($F430,Admin!$D$11:$G$19,4,FALSE)</f>
        <v>K+F munkatárs</v>
      </c>
      <c r="J430" s="100" t="s">
        <v>35</v>
      </c>
      <c r="K430" s="95" t="str">
        <f t="shared" si="582"/>
        <v>2021.05</v>
      </c>
      <c r="L430" s="101" t="s">
        <v>6</v>
      </c>
      <c r="M430" s="96" t="s">
        <v>70</v>
      </c>
      <c r="N430" s="102">
        <v>477200</v>
      </c>
      <c r="O430" s="97">
        <f t="shared" si="583"/>
        <v>73966</v>
      </c>
      <c r="P430" s="104">
        <v>174</v>
      </c>
      <c r="Q430" s="104">
        <v>150</v>
      </c>
      <c r="R430" s="215">
        <f t="shared" si="580"/>
        <v>0.86206896551724133</v>
      </c>
      <c r="S430" s="105">
        <f t="shared" si="5"/>
        <v>411379</v>
      </c>
      <c r="T430" s="98">
        <f t="shared" si="584"/>
        <v>63764</v>
      </c>
      <c r="U430" s="70">
        <f t="shared" si="581"/>
        <v>6.5034540563946308E-7</v>
      </c>
      <c r="V430" s="181">
        <v>0.155</v>
      </c>
      <c r="W430" s="210"/>
      <c r="X430" s="17">
        <v>40955</v>
      </c>
      <c r="Y430" s="12" t="s">
        <v>66</v>
      </c>
      <c r="Z430" s="12"/>
      <c r="AA430" s="12"/>
      <c r="AB430" s="3">
        <v>1</v>
      </c>
    </row>
    <row r="431" spans="1:28" s="3" customFormat="1" ht="14.45" customHeight="1" x14ac:dyDescent="0.25">
      <c r="A431" s="141">
        <v>2</v>
      </c>
      <c r="B431" s="99" t="s">
        <v>195</v>
      </c>
      <c r="C431" s="95" t="str">
        <f>VLOOKUP($F431,Admin!$D$11:$F$19,2,FALSE)</f>
        <v>Kísérleti fejlesztés</v>
      </c>
      <c r="D431" s="138" t="s">
        <v>123</v>
      </c>
      <c r="E431" s="95" t="str">
        <f>VLOOKUP($F431,Admin!$D$11:$F$19,3,FALSE)</f>
        <v>54. Bérköltség - Kutató-fejlesztő munkatárs</v>
      </c>
      <c r="F431" s="139" t="s">
        <v>213</v>
      </c>
      <c r="G431" s="100" t="s">
        <v>179</v>
      </c>
      <c r="H431" s="100" t="s">
        <v>232</v>
      </c>
      <c r="I431" s="139" t="str">
        <f>VLOOKUP($F431,Admin!$D$11:$G$19,4,FALSE)</f>
        <v>K+F munkatárs</v>
      </c>
      <c r="J431" s="100" t="s">
        <v>36</v>
      </c>
      <c r="K431" s="95" t="str">
        <f t="shared" si="582"/>
        <v>2021.06</v>
      </c>
      <c r="L431" s="101" t="s">
        <v>6</v>
      </c>
      <c r="M431" s="96" t="s">
        <v>70</v>
      </c>
      <c r="N431" s="102">
        <v>477200</v>
      </c>
      <c r="O431" s="97">
        <f t="shared" si="583"/>
        <v>73966</v>
      </c>
      <c r="P431" s="104">
        <v>174</v>
      </c>
      <c r="Q431" s="104">
        <v>150</v>
      </c>
      <c r="R431" s="215">
        <f t="shared" si="580"/>
        <v>0.86206896551724133</v>
      </c>
      <c r="S431" s="105">
        <f t="shared" si="5"/>
        <v>411379</v>
      </c>
      <c r="T431" s="98">
        <f t="shared" si="584"/>
        <v>63764</v>
      </c>
      <c r="U431" s="70">
        <f t="shared" si="581"/>
        <v>6.5034540563946308E-7</v>
      </c>
      <c r="V431" s="181">
        <v>0.155</v>
      </c>
      <c r="W431" s="210"/>
      <c r="X431" s="17">
        <v>40955</v>
      </c>
      <c r="Y431" s="12" t="s">
        <v>66</v>
      </c>
      <c r="Z431" s="12"/>
      <c r="AA431" s="12"/>
      <c r="AB431" s="3">
        <v>1</v>
      </c>
    </row>
    <row r="432" spans="1:28" s="3" customFormat="1" ht="14.45" customHeight="1" x14ac:dyDescent="0.25">
      <c r="A432" s="141">
        <v>2</v>
      </c>
      <c r="B432" s="99" t="s">
        <v>195</v>
      </c>
      <c r="C432" s="95" t="str">
        <f>VLOOKUP($F432,Admin!$D$11:$F$19,2,FALSE)</f>
        <v>Kísérleti fejlesztés</v>
      </c>
      <c r="D432" s="138" t="s">
        <v>123</v>
      </c>
      <c r="E432" s="95" t="str">
        <f>VLOOKUP($F432,Admin!$D$11:$F$19,3,FALSE)</f>
        <v>54. Bérköltség - Kutató-fejlesztő munkatárs</v>
      </c>
      <c r="F432" s="139" t="s">
        <v>213</v>
      </c>
      <c r="G432" s="100" t="s">
        <v>179</v>
      </c>
      <c r="H432" s="100" t="s">
        <v>232</v>
      </c>
      <c r="I432" s="139" t="str">
        <f>VLOOKUP($F432,Admin!$D$11:$G$19,4,FALSE)</f>
        <v>K+F munkatárs</v>
      </c>
      <c r="J432" s="100" t="s">
        <v>37</v>
      </c>
      <c r="K432" s="95" t="str">
        <f t="shared" si="582"/>
        <v>2021.07</v>
      </c>
      <c r="L432" s="101" t="s">
        <v>6</v>
      </c>
      <c r="M432" s="96" t="s">
        <v>70</v>
      </c>
      <c r="N432" s="102">
        <v>477200</v>
      </c>
      <c r="O432" s="97">
        <f t="shared" si="583"/>
        <v>73966</v>
      </c>
      <c r="P432" s="104">
        <v>174</v>
      </c>
      <c r="Q432" s="104">
        <v>150</v>
      </c>
      <c r="R432" s="215">
        <f t="shared" si="580"/>
        <v>0.86206896551724133</v>
      </c>
      <c r="S432" s="105">
        <f t="shared" si="5"/>
        <v>411379</v>
      </c>
      <c r="T432" s="98">
        <f t="shared" si="584"/>
        <v>63764</v>
      </c>
      <c r="U432" s="70">
        <f t="shared" si="581"/>
        <v>6.5034540563946308E-7</v>
      </c>
      <c r="V432" s="181">
        <v>0.155</v>
      </c>
      <c r="W432" s="210"/>
      <c r="X432" s="17">
        <v>40955</v>
      </c>
      <c r="Y432" s="12" t="s">
        <v>66</v>
      </c>
      <c r="Z432" s="12"/>
      <c r="AA432" s="12"/>
      <c r="AB432" s="3">
        <v>1</v>
      </c>
    </row>
    <row r="433" spans="1:28" s="3" customFormat="1" ht="14.45" customHeight="1" x14ac:dyDescent="0.25">
      <c r="A433" s="141">
        <v>2</v>
      </c>
      <c r="B433" s="99" t="s">
        <v>195</v>
      </c>
      <c r="C433" s="95" t="str">
        <f>VLOOKUP($F433,Admin!$D$11:$F$19,2,FALSE)</f>
        <v>Kísérleti fejlesztés</v>
      </c>
      <c r="D433" s="138" t="s">
        <v>123</v>
      </c>
      <c r="E433" s="95" t="str">
        <f>VLOOKUP($F433,Admin!$D$11:$F$19,3,FALSE)</f>
        <v>54. Bérköltség - Kutató-fejlesztő munkatárs</v>
      </c>
      <c r="F433" s="139" t="s">
        <v>213</v>
      </c>
      <c r="G433" s="100" t="s">
        <v>179</v>
      </c>
      <c r="H433" s="100" t="s">
        <v>232</v>
      </c>
      <c r="I433" s="139" t="str">
        <f>VLOOKUP($F433,Admin!$D$11:$G$19,4,FALSE)</f>
        <v>K+F munkatárs</v>
      </c>
      <c r="J433" s="100" t="s">
        <v>38</v>
      </c>
      <c r="K433" s="95" t="str">
        <f t="shared" si="582"/>
        <v>2021.08</v>
      </c>
      <c r="L433" s="101" t="s">
        <v>6</v>
      </c>
      <c r="M433" s="96" t="s">
        <v>70</v>
      </c>
      <c r="N433" s="102">
        <v>477200</v>
      </c>
      <c r="O433" s="97">
        <f t="shared" si="583"/>
        <v>73966</v>
      </c>
      <c r="P433" s="104">
        <v>174</v>
      </c>
      <c r="Q433" s="104">
        <v>150</v>
      </c>
      <c r="R433" s="215">
        <f t="shared" si="580"/>
        <v>0.86206896551724133</v>
      </c>
      <c r="S433" s="105">
        <f t="shared" si="5"/>
        <v>411379</v>
      </c>
      <c r="T433" s="98">
        <f t="shared" si="584"/>
        <v>63764</v>
      </c>
      <c r="U433" s="70">
        <f t="shared" si="581"/>
        <v>6.5034540563946308E-7</v>
      </c>
      <c r="V433" s="181">
        <v>0.155</v>
      </c>
      <c r="W433" s="210"/>
      <c r="X433" s="17">
        <v>40955</v>
      </c>
      <c r="Y433" s="12" t="s">
        <v>66</v>
      </c>
      <c r="Z433" s="12"/>
      <c r="AA433" s="12"/>
      <c r="AB433" s="3">
        <v>1</v>
      </c>
    </row>
    <row r="434" spans="1:28" s="3" customFormat="1" ht="14.45" customHeight="1" x14ac:dyDescent="0.25">
      <c r="A434" s="141">
        <v>2</v>
      </c>
      <c r="B434" s="99" t="s">
        <v>195</v>
      </c>
      <c r="C434" s="95" t="str">
        <f>VLOOKUP($F434,Admin!$D$11:$F$19,2,FALSE)</f>
        <v>Kísérleti fejlesztés</v>
      </c>
      <c r="D434" s="138" t="s">
        <v>123</v>
      </c>
      <c r="E434" s="95" t="str">
        <f>VLOOKUP($F434,Admin!$D$11:$F$19,3,FALSE)</f>
        <v>54. Bérköltség - Kutató-fejlesztő munkatárs</v>
      </c>
      <c r="F434" s="139" t="s">
        <v>213</v>
      </c>
      <c r="G434" s="100" t="s">
        <v>179</v>
      </c>
      <c r="H434" s="100" t="s">
        <v>232</v>
      </c>
      <c r="I434" s="139" t="str">
        <f>VLOOKUP($F434,Admin!$D$11:$G$19,4,FALSE)</f>
        <v>K+F munkatárs</v>
      </c>
      <c r="J434" s="100" t="s">
        <v>39</v>
      </c>
      <c r="K434" s="95" t="str">
        <f t="shared" si="582"/>
        <v>2021.09</v>
      </c>
      <c r="L434" s="101" t="s">
        <v>6</v>
      </c>
      <c r="M434" s="96" t="s">
        <v>70</v>
      </c>
      <c r="N434" s="102">
        <v>577200</v>
      </c>
      <c r="O434" s="97">
        <f t="shared" si="583"/>
        <v>89466</v>
      </c>
      <c r="P434" s="104">
        <v>174</v>
      </c>
      <c r="Q434" s="104">
        <v>120</v>
      </c>
      <c r="R434" s="215">
        <f t="shared" si="580"/>
        <v>0.68965517241379315</v>
      </c>
      <c r="S434" s="105">
        <f t="shared" si="5"/>
        <v>398069</v>
      </c>
      <c r="T434" s="98">
        <f t="shared" si="584"/>
        <v>61701</v>
      </c>
      <c r="U434" s="70">
        <f t="shared" si="581"/>
        <v>-5.9741439017990672E-8</v>
      </c>
      <c r="V434" s="181">
        <v>0.155</v>
      </c>
      <c r="W434" s="210"/>
      <c r="X434" s="17">
        <v>44378</v>
      </c>
      <c r="Y434" s="12" t="s">
        <v>66</v>
      </c>
      <c r="Z434" s="12"/>
      <c r="AA434" s="12"/>
      <c r="AB434" s="3">
        <v>1</v>
      </c>
    </row>
    <row r="435" spans="1:28" s="3" customFormat="1" ht="14.45" customHeight="1" x14ac:dyDescent="0.25">
      <c r="A435" s="141">
        <v>2</v>
      </c>
      <c r="B435" s="99" t="s">
        <v>195</v>
      </c>
      <c r="C435" s="95" t="str">
        <f>VLOOKUP($F435,Admin!$D$11:$F$19,2,FALSE)</f>
        <v>Kísérleti fejlesztés</v>
      </c>
      <c r="D435" s="138" t="s">
        <v>123</v>
      </c>
      <c r="E435" s="95" t="str">
        <f>VLOOKUP($F435,Admin!$D$11:$F$19,3,FALSE)</f>
        <v>54. Bérköltség - Kutató-fejlesztő munkatárs</v>
      </c>
      <c r="F435" s="139" t="s">
        <v>213</v>
      </c>
      <c r="G435" s="100" t="s">
        <v>179</v>
      </c>
      <c r="H435" s="100" t="s">
        <v>232</v>
      </c>
      <c r="I435" s="139" t="str">
        <f>VLOOKUP($F435,Admin!$D$11:$G$19,4,FALSE)</f>
        <v>K+F munkatárs</v>
      </c>
      <c r="J435" s="100" t="s">
        <v>40</v>
      </c>
      <c r="K435" s="95" t="str">
        <f t="shared" si="582"/>
        <v>2021.10</v>
      </c>
      <c r="L435" s="101" t="s">
        <v>6</v>
      </c>
      <c r="M435" s="96" t="s">
        <v>70</v>
      </c>
      <c r="N435" s="102">
        <v>663800</v>
      </c>
      <c r="O435" s="97">
        <f t="shared" si="583"/>
        <v>102889</v>
      </c>
      <c r="P435" s="104">
        <v>174</v>
      </c>
      <c r="Q435" s="104">
        <v>120</v>
      </c>
      <c r="R435" s="215">
        <f t="shared" si="580"/>
        <v>0.68965517241379315</v>
      </c>
      <c r="S435" s="105">
        <f t="shared" si="5"/>
        <v>457793</v>
      </c>
      <c r="T435" s="98">
        <f t="shared" si="584"/>
        <v>70958</v>
      </c>
      <c r="U435" s="70">
        <f t="shared" si="581"/>
        <v>1.558425367642613E-7</v>
      </c>
      <c r="V435" s="181">
        <v>0.155</v>
      </c>
      <c r="W435" s="210"/>
      <c r="X435" s="17">
        <v>44378</v>
      </c>
      <c r="Y435" s="12" t="s">
        <v>66</v>
      </c>
      <c r="Z435" s="12"/>
      <c r="AA435" s="12"/>
      <c r="AB435" s="3">
        <v>1</v>
      </c>
    </row>
    <row r="436" spans="1:28" s="3" customFormat="1" ht="14.45" customHeight="1" x14ac:dyDescent="0.25">
      <c r="A436" s="141">
        <v>2</v>
      </c>
      <c r="B436" s="99" t="s">
        <v>195</v>
      </c>
      <c r="C436" s="95" t="str">
        <f>VLOOKUP($F436,Admin!$D$11:$F$19,2,FALSE)</f>
        <v>Kísérleti fejlesztés</v>
      </c>
      <c r="D436" s="138" t="s">
        <v>123</v>
      </c>
      <c r="E436" s="95" t="str">
        <f>VLOOKUP($F436,Admin!$D$11:$F$19,3,FALSE)</f>
        <v>54. Bérköltség - Kutató-fejlesztő munkatárs</v>
      </c>
      <c r="F436" s="139" t="s">
        <v>213</v>
      </c>
      <c r="G436" s="100" t="s">
        <v>179</v>
      </c>
      <c r="H436" s="100" t="s">
        <v>232</v>
      </c>
      <c r="I436" s="139" t="str">
        <f>VLOOKUP($F436,Admin!$D$11:$G$19,4,FALSE)</f>
        <v>K+F munkatárs</v>
      </c>
      <c r="J436" s="100" t="s">
        <v>41</v>
      </c>
      <c r="K436" s="95" t="str">
        <f t="shared" si="582"/>
        <v>2021.11</v>
      </c>
      <c r="L436" s="101" t="s">
        <v>6</v>
      </c>
      <c r="M436" s="96" t="s">
        <v>70</v>
      </c>
      <c r="N436" s="102">
        <v>663800</v>
      </c>
      <c r="O436" s="97">
        <f t="shared" si="583"/>
        <v>102889</v>
      </c>
      <c r="P436" s="104">
        <v>174</v>
      </c>
      <c r="Q436" s="104">
        <v>120</v>
      </c>
      <c r="R436" s="215">
        <f t="shared" si="580"/>
        <v>0.68965517241379315</v>
      </c>
      <c r="S436" s="105">
        <f t="shared" si="5"/>
        <v>457793</v>
      </c>
      <c r="T436" s="98">
        <f t="shared" si="584"/>
        <v>70958</v>
      </c>
      <c r="U436" s="70">
        <f t="shared" si="581"/>
        <v>1.558425367642613E-7</v>
      </c>
      <c r="V436" s="181">
        <v>0.155</v>
      </c>
      <c r="W436" s="210"/>
      <c r="X436" s="17">
        <v>44378</v>
      </c>
      <c r="Y436" s="12" t="s">
        <v>66</v>
      </c>
      <c r="Z436" s="12"/>
      <c r="AA436" s="12"/>
      <c r="AB436" s="3">
        <v>1</v>
      </c>
    </row>
    <row r="437" spans="1:28" s="3" customFormat="1" ht="14.45" customHeight="1" x14ac:dyDescent="0.25">
      <c r="A437" s="141">
        <v>2</v>
      </c>
      <c r="B437" s="99" t="s">
        <v>195</v>
      </c>
      <c r="C437" s="95" t="str">
        <f>VLOOKUP($F437,Admin!$D$11:$F$19,2,FALSE)</f>
        <v>Kísérleti fejlesztés</v>
      </c>
      <c r="D437" s="138" t="s">
        <v>123</v>
      </c>
      <c r="E437" s="95" t="str">
        <f>VLOOKUP($F437,Admin!$D$11:$F$19,3,FALSE)</f>
        <v>54. Bérköltség - Kutató-fejlesztő munkatárs</v>
      </c>
      <c r="F437" s="139" t="s">
        <v>213</v>
      </c>
      <c r="G437" s="100" t="s">
        <v>179</v>
      </c>
      <c r="H437" s="100" t="s">
        <v>232</v>
      </c>
      <c r="I437" s="139" t="str">
        <f>VLOOKUP($F437,Admin!$D$11:$G$19,4,FALSE)</f>
        <v>K+F munkatárs</v>
      </c>
      <c r="J437" s="100" t="s">
        <v>42</v>
      </c>
      <c r="K437" s="95" t="str">
        <f t="shared" si="582"/>
        <v>2021.12</v>
      </c>
      <c r="L437" s="101" t="s">
        <v>6</v>
      </c>
      <c r="M437" s="96" t="s">
        <v>70</v>
      </c>
      <c r="N437" s="102">
        <v>663800</v>
      </c>
      <c r="O437" s="97">
        <f t="shared" si="583"/>
        <v>102889</v>
      </c>
      <c r="P437" s="104">
        <v>174</v>
      </c>
      <c r="Q437" s="104">
        <v>120</v>
      </c>
      <c r="R437" s="215">
        <f t="shared" si="580"/>
        <v>0.68965517241379315</v>
      </c>
      <c r="S437" s="105">
        <f t="shared" si="5"/>
        <v>457793</v>
      </c>
      <c r="T437" s="98">
        <f t="shared" si="584"/>
        <v>70958</v>
      </c>
      <c r="U437" s="70">
        <f t="shared" si="581"/>
        <v>1.558425367642613E-7</v>
      </c>
      <c r="V437" s="181">
        <v>0.155</v>
      </c>
      <c r="W437" s="210"/>
      <c r="X437" s="17">
        <v>44378</v>
      </c>
      <c r="Y437" s="12" t="s">
        <v>66</v>
      </c>
      <c r="Z437" s="12"/>
      <c r="AA437" s="12"/>
      <c r="AB437" s="3">
        <v>1</v>
      </c>
    </row>
    <row r="438" spans="1:28" s="3" customFormat="1" ht="14.45" customHeight="1" x14ac:dyDescent="0.25">
      <c r="A438" s="141">
        <v>2</v>
      </c>
      <c r="B438" s="99" t="s">
        <v>195</v>
      </c>
      <c r="C438" s="95" t="str">
        <f>VLOOKUP($F438,Admin!$D$11:$F$19,2,FALSE)</f>
        <v>Kísérleti fejlesztés</v>
      </c>
      <c r="D438" s="138" t="s">
        <v>123</v>
      </c>
      <c r="E438" s="95" t="str">
        <f>VLOOKUP($F438,Admin!$D$11:$F$19,3,FALSE)</f>
        <v>54. Bérköltség - Kutató-fejlesztő munkatárs</v>
      </c>
      <c r="F438" s="139" t="s">
        <v>213</v>
      </c>
      <c r="G438" s="100" t="s">
        <v>179</v>
      </c>
      <c r="H438" s="100" t="s">
        <v>232</v>
      </c>
      <c r="I438" s="139" t="str">
        <f>VLOOKUP($F438,Admin!$D$11:$G$19,4,FALSE)</f>
        <v>K+F munkatárs</v>
      </c>
      <c r="J438" s="100" t="s">
        <v>43</v>
      </c>
      <c r="K438" s="95" t="str">
        <f t="shared" si="582"/>
        <v>2022.01</v>
      </c>
      <c r="L438" s="101" t="s">
        <v>6</v>
      </c>
      <c r="M438" s="96" t="s">
        <v>70</v>
      </c>
      <c r="N438" s="102">
        <v>793600</v>
      </c>
      <c r="O438" s="97">
        <f t="shared" si="583"/>
        <v>103168</v>
      </c>
      <c r="P438" s="104">
        <v>174</v>
      </c>
      <c r="Q438" s="104">
        <v>97</v>
      </c>
      <c r="R438" s="215">
        <f t="shared" si="580"/>
        <v>0.55747126436781613</v>
      </c>
      <c r="S438" s="105">
        <f t="shared" si="5"/>
        <v>442409</v>
      </c>
      <c r="T438" s="98">
        <f t="shared" si="584"/>
        <v>57513</v>
      </c>
      <c r="U438" s="70">
        <f t="shared" si="581"/>
        <v>2.4622265482054928E-7</v>
      </c>
      <c r="V438" s="140">
        <v>0.13</v>
      </c>
      <c r="W438" s="209"/>
      <c r="X438" s="17">
        <v>44553</v>
      </c>
      <c r="Y438" s="12" t="s">
        <v>66</v>
      </c>
      <c r="Z438" s="12"/>
      <c r="AA438" s="12"/>
      <c r="AB438" s="3">
        <v>1</v>
      </c>
    </row>
    <row r="439" spans="1:28" s="3" customFormat="1" ht="14.45" customHeight="1" x14ac:dyDescent="0.25">
      <c r="A439" s="141">
        <v>3</v>
      </c>
      <c r="B439" s="99" t="s">
        <v>195</v>
      </c>
      <c r="C439" s="95" t="str">
        <f>VLOOKUP($F439,Admin!$D$11:$F$19,2,FALSE)</f>
        <v>Kísérleti fejlesztés</v>
      </c>
      <c r="D439" s="138" t="s">
        <v>123</v>
      </c>
      <c r="E439" s="95" t="str">
        <f>VLOOKUP($F439,Admin!$D$11:$F$19,3,FALSE)</f>
        <v>54. Bérköltség - Kutató-fejlesztő munkatárs</v>
      </c>
      <c r="F439" s="139" t="s">
        <v>213</v>
      </c>
      <c r="G439" s="100" t="s">
        <v>179</v>
      </c>
      <c r="H439" s="100" t="s">
        <v>232</v>
      </c>
      <c r="I439" s="139" t="str">
        <f>VLOOKUP($F439,Admin!$D$11:$G$19,4,FALSE)</f>
        <v>K+F munkatárs</v>
      </c>
      <c r="J439" s="100" t="s">
        <v>44</v>
      </c>
      <c r="K439" s="95" t="str">
        <f t="shared" si="582"/>
        <v>2022.02</v>
      </c>
      <c r="L439" s="101" t="s">
        <v>6</v>
      </c>
      <c r="M439" s="96" t="s">
        <v>70</v>
      </c>
      <c r="N439" s="102">
        <v>740000</v>
      </c>
      <c r="O439" s="97">
        <f t="shared" si="583"/>
        <v>96200</v>
      </c>
      <c r="P439" s="104">
        <v>174</v>
      </c>
      <c r="Q439" s="104">
        <v>91</v>
      </c>
      <c r="R439" s="215">
        <f t="shared" ref="R439:R532" si="675">Q439/P439</f>
        <v>0.52298850574712641</v>
      </c>
      <c r="S439" s="105">
        <f t="shared" si="5"/>
        <v>387011</v>
      </c>
      <c r="T439" s="98">
        <f t="shared" si="584"/>
        <v>50311</v>
      </c>
      <c r="U439" s="70">
        <f t="shared" si="581"/>
        <v>6.6790928854310039E-7</v>
      </c>
      <c r="V439" s="140">
        <v>0.13</v>
      </c>
      <c r="W439" s="209"/>
      <c r="X439" s="17">
        <v>44594</v>
      </c>
      <c r="Y439" s="12" t="s">
        <v>66</v>
      </c>
      <c r="Z439" s="12"/>
      <c r="AA439" s="12"/>
      <c r="AB439" s="3">
        <v>1</v>
      </c>
    </row>
    <row r="440" spans="1:28" s="3" customFormat="1" ht="14.45" customHeight="1" x14ac:dyDescent="0.25">
      <c r="A440" s="141">
        <v>3</v>
      </c>
      <c r="B440" s="99" t="s">
        <v>195</v>
      </c>
      <c r="C440" s="95" t="str">
        <f>VLOOKUP($F440,Admin!$D$11:$F$19,2,FALSE)</f>
        <v>Kísérleti fejlesztés</v>
      </c>
      <c r="D440" s="138" t="s">
        <v>123</v>
      </c>
      <c r="E440" s="95" t="str">
        <f>VLOOKUP($F440,Admin!$D$11:$F$19,3,FALSE)</f>
        <v>54. Bérköltség - Kutató-fejlesztő munkatárs</v>
      </c>
      <c r="F440" s="139" t="s">
        <v>213</v>
      </c>
      <c r="G440" s="100" t="s">
        <v>179</v>
      </c>
      <c r="H440" s="100" t="s">
        <v>232</v>
      </c>
      <c r="I440" s="139" t="str">
        <f>VLOOKUP($F440,Admin!$D$11:$G$19,4,FALSE)</f>
        <v>K+F munkatárs</v>
      </c>
      <c r="J440" s="100" t="s">
        <v>45</v>
      </c>
      <c r="K440" s="95" t="str">
        <f t="shared" si="582"/>
        <v>2022.03</v>
      </c>
      <c r="L440" s="101" t="s">
        <v>6</v>
      </c>
      <c r="M440" s="96" t="s">
        <v>70</v>
      </c>
      <c r="N440" s="102">
        <v>740000</v>
      </c>
      <c r="O440" s="97">
        <f t="shared" si="583"/>
        <v>96200</v>
      </c>
      <c r="P440" s="104">
        <v>174</v>
      </c>
      <c r="Q440" s="104">
        <v>91</v>
      </c>
      <c r="R440" s="215">
        <f t="shared" si="675"/>
        <v>0.52298850574712641</v>
      </c>
      <c r="S440" s="105">
        <f t="shared" si="5"/>
        <v>387011</v>
      </c>
      <c r="T440" s="98">
        <f t="shared" si="584"/>
        <v>50311</v>
      </c>
      <c r="U440" s="70">
        <f t="shared" ref="U440:U533" si="676">Q440/P440-S440/N440</f>
        <v>6.6790928854310039E-7</v>
      </c>
      <c r="V440" s="140">
        <v>0.13</v>
      </c>
      <c r="W440" s="209"/>
      <c r="X440" s="17">
        <v>44594</v>
      </c>
      <c r="Y440" s="12" t="s">
        <v>66</v>
      </c>
      <c r="Z440" s="12"/>
      <c r="AA440" s="12"/>
      <c r="AB440" s="3">
        <v>1</v>
      </c>
    </row>
    <row r="441" spans="1:28" s="3" customFormat="1" ht="14.45" customHeight="1" x14ac:dyDescent="0.25">
      <c r="A441" s="141">
        <v>3</v>
      </c>
      <c r="B441" s="99" t="s">
        <v>195</v>
      </c>
      <c r="C441" s="95" t="str">
        <f>VLOOKUP($F441,Admin!$D$11:$F$19,2,FALSE)</f>
        <v>Kísérleti fejlesztés</v>
      </c>
      <c r="D441" s="138" t="s">
        <v>123</v>
      </c>
      <c r="E441" s="95" t="str">
        <f>VLOOKUP($F441,Admin!$D$11:$F$19,3,FALSE)</f>
        <v>54. Bérköltség - Kutató-fejlesztő munkatárs</v>
      </c>
      <c r="F441" s="139" t="s">
        <v>213</v>
      </c>
      <c r="G441" s="100" t="s">
        <v>179</v>
      </c>
      <c r="H441" s="100" t="s">
        <v>232</v>
      </c>
      <c r="I441" s="139" t="str">
        <f>VLOOKUP($F441,Admin!$D$11:$G$19,4,FALSE)</f>
        <v>K+F munkatárs</v>
      </c>
      <c r="J441" s="100" t="s">
        <v>46</v>
      </c>
      <c r="K441" s="95" t="str">
        <f t="shared" ref="K441:K534" si="677">J441</f>
        <v>2022.04</v>
      </c>
      <c r="L441" s="101" t="s">
        <v>6</v>
      </c>
      <c r="M441" s="96" t="s">
        <v>70</v>
      </c>
      <c r="N441" s="102">
        <v>740000</v>
      </c>
      <c r="O441" s="97">
        <f t="shared" ref="O441:O534" si="678">ROUND(N441*V441,0)</f>
        <v>96200</v>
      </c>
      <c r="P441" s="104">
        <v>174</v>
      </c>
      <c r="Q441" s="104">
        <v>91</v>
      </c>
      <c r="R441" s="215">
        <f t="shared" si="675"/>
        <v>0.52298850574712641</v>
      </c>
      <c r="S441" s="105">
        <f t="shared" si="5"/>
        <v>387011</v>
      </c>
      <c r="T441" s="98">
        <f t="shared" ref="T441:T534" si="679">ROUND(S441*V441,0)</f>
        <v>50311</v>
      </c>
      <c r="U441" s="70">
        <f t="shared" si="676"/>
        <v>6.6790928854310039E-7</v>
      </c>
      <c r="V441" s="140">
        <v>0.13</v>
      </c>
      <c r="W441" s="209"/>
      <c r="X441" s="17">
        <v>44594</v>
      </c>
      <c r="Y441" s="12" t="s">
        <v>66</v>
      </c>
      <c r="Z441" s="12"/>
      <c r="AA441" s="12"/>
      <c r="AB441" s="3">
        <v>1</v>
      </c>
    </row>
    <row r="442" spans="1:28" s="3" customFormat="1" ht="14.45" customHeight="1" x14ac:dyDescent="0.25">
      <c r="A442" s="141">
        <v>3</v>
      </c>
      <c r="B442" s="99" t="s">
        <v>195</v>
      </c>
      <c r="C442" s="95" t="str">
        <f>VLOOKUP($F442,Admin!$D$11:$F$19,2,FALSE)</f>
        <v>Kísérleti fejlesztés</v>
      </c>
      <c r="D442" s="138" t="s">
        <v>123</v>
      </c>
      <c r="E442" s="95" t="str">
        <f>VLOOKUP($F442,Admin!$D$11:$F$19,3,FALSE)</f>
        <v>54. Bérköltség - Kutató-fejlesztő munkatárs</v>
      </c>
      <c r="F442" s="139" t="s">
        <v>213</v>
      </c>
      <c r="G442" s="100" t="s">
        <v>179</v>
      </c>
      <c r="H442" s="100" t="s">
        <v>232</v>
      </c>
      <c r="I442" s="139" t="str">
        <f>VLOOKUP($F442,Admin!$D$11:$G$19,4,FALSE)</f>
        <v>K+F munkatárs</v>
      </c>
      <c r="J442" s="100" t="s">
        <v>47</v>
      </c>
      <c r="K442" s="95" t="str">
        <f t="shared" si="677"/>
        <v>2022.05</v>
      </c>
      <c r="L442" s="101" t="s">
        <v>6</v>
      </c>
      <c r="M442" s="96" t="s">
        <v>70</v>
      </c>
      <c r="N442" s="102">
        <v>740000</v>
      </c>
      <c r="O442" s="97">
        <f t="shared" si="678"/>
        <v>96200</v>
      </c>
      <c r="P442" s="104">
        <v>174</v>
      </c>
      <c r="Q442" s="104">
        <v>44</v>
      </c>
      <c r="R442" s="215">
        <f t="shared" si="675"/>
        <v>0.25287356321839083</v>
      </c>
      <c r="S442" s="105">
        <f t="shared" si="5"/>
        <v>187126</v>
      </c>
      <c r="T442" s="98">
        <f t="shared" si="679"/>
        <v>24326</v>
      </c>
      <c r="U442" s="70">
        <f t="shared" si="676"/>
        <v>5.9024541787522367E-7</v>
      </c>
      <c r="V442" s="140">
        <v>0.13</v>
      </c>
      <c r="W442" s="209"/>
      <c r="X442" s="17">
        <v>44662</v>
      </c>
      <c r="Y442" s="12" t="s">
        <v>66</v>
      </c>
      <c r="Z442" s="12"/>
      <c r="AA442" s="12"/>
      <c r="AB442" s="3">
        <v>1</v>
      </c>
    </row>
    <row r="443" spans="1:28" s="3" customFormat="1" ht="14.45" customHeight="1" x14ac:dyDescent="0.25">
      <c r="A443" s="141">
        <v>3</v>
      </c>
      <c r="B443" s="99" t="s">
        <v>195</v>
      </c>
      <c r="C443" s="95" t="str">
        <f>VLOOKUP($F443,Admin!$D$11:$F$19,2,FALSE)</f>
        <v>Kísérleti fejlesztés</v>
      </c>
      <c r="D443" s="138" t="s">
        <v>123</v>
      </c>
      <c r="E443" s="95" t="str">
        <f>VLOOKUP($F443,Admin!$D$11:$F$19,3,FALSE)</f>
        <v>54. Bérköltség - Kutató-fejlesztő munkatárs</v>
      </c>
      <c r="F443" s="139" t="s">
        <v>213</v>
      </c>
      <c r="G443" s="100" t="s">
        <v>179</v>
      </c>
      <c r="H443" s="100" t="s">
        <v>232</v>
      </c>
      <c r="I443" s="139" t="str">
        <f>VLOOKUP($F443,Admin!$D$11:$G$19,4,FALSE)</f>
        <v>K+F munkatárs</v>
      </c>
      <c r="J443" s="100" t="s">
        <v>48</v>
      </c>
      <c r="K443" s="95" t="str">
        <f t="shared" si="677"/>
        <v>2022.06</v>
      </c>
      <c r="L443" s="101" t="s">
        <v>6</v>
      </c>
      <c r="M443" s="96" t="s">
        <v>70</v>
      </c>
      <c r="N443" s="102">
        <v>740000</v>
      </c>
      <c r="O443" s="97">
        <f t="shared" ref="O443" si="680">ROUND(N443*V443,0)</f>
        <v>96200</v>
      </c>
      <c r="P443" s="104">
        <v>174</v>
      </c>
      <c r="Q443" s="104">
        <v>44</v>
      </c>
      <c r="R443" s="215">
        <f t="shared" ref="R443" si="681">Q443/P443</f>
        <v>0.25287356321839083</v>
      </c>
      <c r="S443" s="105">
        <f t="shared" ref="S443" si="682">ROUND(N443*Q443/P443,0)</f>
        <v>187126</v>
      </c>
      <c r="T443" s="98">
        <f t="shared" ref="T443" si="683">ROUND(S443*V443,0)</f>
        <v>24326</v>
      </c>
      <c r="U443" s="70">
        <f t="shared" ref="U443" si="684">Q443/P443-S443/N443</f>
        <v>5.9024541787522367E-7</v>
      </c>
      <c r="V443" s="140">
        <v>0.13</v>
      </c>
      <c r="W443" s="209"/>
      <c r="X443" s="17">
        <v>44662</v>
      </c>
      <c r="Y443" s="12" t="s">
        <v>66</v>
      </c>
      <c r="Z443" s="12"/>
      <c r="AA443" s="12"/>
      <c r="AB443" s="3">
        <v>1</v>
      </c>
    </row>
    <row r="444" spans="1:28" s="3" customFormat="1" ht="14.45" customHeight="1" x14ac:dyDescent="0.25">
      <c r="A444" s="141">
        <v>3</v>
      </c>
      <c r="B444" s="99" t="s">
        <v>195</v>
      </c>
      <c r="C444" s="95" t="str">
        <f>VLOOKUP($F444,Admin!$D$11:$F$19,2,FALSE)</f>
        <v>Kísérleti fejlesztés</v>
      </c>
      <c r="D444" s="138" t="s">
        <v>123</v>
      </c>
      <c r="E444" s="95" t="str">
        <f>VLOOKUP($F444,Admin!$D$11:$F$19,3,FALSE)</f>
        <v>54. Bérköltség - Kutató-fejlesztő munkatárs</v>
      </c>
      <c r="F444" s="139" t="s">
        <v>213</v>
      </c>
      <c r="G444" s="100" t="s">
        <v>179</v>
      </c>
      <c r="H444" s="100" t="s">
        <v>232</v>
      </c>
      <c r="I444" s="139" t="str">
        <f>VLOOKUP($F444,Admin!$D$11:$G$19,4,FALSE)</f>
        <v>K+F munkatárs</v>
      </c>
      <c r="J444" s="100" t="s">
        <v>49</v>
      </c>
      <c r="K444" s="95" t="str">
        <f t="shared" ref="K444:K448" si="685">J444</f>
        <v>2022.07</v>
      </c>
      <c r="L444" s="101" t="s">
        <v>6</v>
      </c>
      <c r="M444" s="96" t="s">
        <v>70</v>
      </c>
      <c r="N444" s="102">
        <v>760000</v>
      </c>
      <c r="O444" s="97">
        <f t="shared" ref="O444" si="686">ROUND(N444*V444,0)</f>
        <v>98800</v>
      </c>
      <c r="P444" s="104">
        <v>174</v>
      </c>
      <c r="Q444" s="104">
        <v>44</v>
      </c>
      <c r="R444" s="215">
        <f t="shared" ref="R444" si="687">Q444/P444</f>
        <v>0.25287356321839083</v>
      </c>
      <c r="S444" s="105">
        <v>187126</v>
      </c>
      <c r="T444" s="98">
        <f t="shared" ref="T444" si="688">ROUND(S444*V444,0)</f>
        <v>24326</v>
      </c>
      <c r="U444" s="70">
        <f t="shared" ref="U444" si="689">Q444/P444-S444/N444</f>
        <v>6.6551421657592424E-3</v>
      </c>
      <c r="V444" s="140">
        <v>0.13</v>
      </c>
      <c r="W444" s="209"/>
      <c r="X444" s="17">
        <v>44721</v>
      </c>
      <c r="Y444" s="12" t="s">
        <v>66</v>
      </c>
      <c r="Z444" s="12"/>
      <c r="AA444" s="12"/>
      <c r="AB444" s="3">
        <v>1</v>
      </c>
    </row>
    <row r="445" spans="1:28" s="3" customFormat="1" ht="14.45" customHeight="1" x14ac:dyDescent="0.25">
      <c r="A445" s="141">
        <v>3</v>
      </c>
      <c r="B445" s="99" t="s">
        <v>195</v>
      </c>
      <c r="C445" s="95" t="str">
        <f>VLOOKUP($F445,Admin!$D$11:$F$19,2,FALSE)</f>
        <v>Kísérleti fejlesztés</v>
      </c>
      <c r="D445" s="138" t="s">
        <v>123</v>
      </c>
      <c r="E445" s="95" t="str">
        <f>VLOOKUP($F445,Admin!$D$11:$F$19,3,FALSE)</f>
        <v>54. Bérköltség - Kutató-fejlesztő munkatárs</v>
      </c>
      <c r="F445" s="139" t="s">
        <v>213</v>
      </c>
      <c r="G445" s="100" t="s">
        <v>179</v>
      </c>
      <c r="H445" s="100" t="s">
        <v>232</v>
      </c>
      <c r="I445" s="139" t="str">
        <f>VLOOKUP($F445,Admin!$D$11:$G$19,4,FALSE)</f>
        <v>K+F munkatárs</v>
      </c>
      <c r="J445" s="100" t="s">
        <v>50</v>
      </c>
      <c r="K445" s="95" t="str">
        <f t="shared" si="685"/>
        <v>2022.08</v>
      </c>
      <c r="L445" s="101" t="s">
        <v>6</v>
      </c>
      <c r="M445" s="96" t="s">
        <v>70</v>
      </c>
      <c r="N445" s="102">
        <v>760000</v>
      </c>
      <c r="O445" s="97">
        <f t="shared" ref="O445:O448" si="690">ROUND(N445*V445,0)</f>
        <v>98800</v>
      </c>
      <c r="P445" s="104">
        <v>174</v>
      </c>
      <c r="Q445" s="104">
        <v>44</v>
      </c>
      <c r="R445" s="215">
        <f t="shared" ref="R445:R448" si="691">Q445/P445</f>
        <v>0.25287356321839083</v>
      </c>
      <c r="S445" s="105">
        <v>187126</v>
      </c>
      <c r="T445" s="98">
        <f t="shared" ref="T445:T448" si="692">ROUND(S445*V445,0)</f>
        <v>24326</v>
      </c>
      <c r="U445" s="70">
        <f t="shared" ref="U445:U448" si="693">Q445/P445-S445/N445</f>
        <v>6.6551421657592424E-3</v>
      </c>
      <c r="V445" s="140">
        <v>0.13</v>
      </c>
      <c r="W445" s="209"/>
      <c r="X445" s="17">
        <v>44721</v>
      </c>
      <c r="Y445" s="12" t="s">
        <v>66</v>
      </c>
      <c r="Z445" s="12"/>
      <c r="AA445" s="12"/>
      <c r="AB445" s="3">
        <v>1</v>
      </c>
    </row>
    <row r="446" spans="1:28" s="3" customFormat="1" ht="14.45" customHeight="1" x14ac:dyDescent="0.25">
      <c r="A446" s="141">
        <v>3</v>
      </c>
      <c r="B446" s="99" t="s">
        <v>195</v>
      </c>
      <c r="C446" s="95" t="str">
        <f>VLOOKUP($F446,Admin!$D$11:$F$19,2,FALSE)</f>
        <v>Kísérleti fejlesztés</v>
      </c>
      <c r="D446" s="138" t="s">
        <v>123</v>
      </c>
      <c r="E446" s="95" t="str">
        <f>VLOOKUP($F446,Admin!$D$11:$F$19,3,FALSE)</f>
        <v>54. Bérköltség - Kutató-fejlesztő munkatárs</v>
      </c>
      <c r="F446" s="139" t="s">
        <v>213</v>
      </c>
      <c r="G446" s="100" t="s">
        <v>179</v>
      </c>
      <c r="H446" s="100" t="s">
        <v>232</v>
      </c>
      <c r="I446" s="139" t="str">
        <f>VLOOKUP($F446,Admin!$D$11:$G$19,4,FALSE)</f>
        <v>K+F munkatárs</v>
      </c>
      <c r="J446" s="100" t="s">
        <v>51</v>
      </c>
      <c r="K446" s="95" t="str">
        <f t="shared" si="685"/>
        <v>2022.09</v>
      </c>
      <c r="L446" s="101" t="s">
        <v>6</v>
      </c>
      <c r="M446" s="96" t="s">
        <v>70</v>
      </c>
      <c r="N446" s="102">
        <v>760000</v>
      </c>
      <c r="O446" s="97">
        <f t="shared" si="690"/>
        <v>98800</v>
      </c>
      <c r="P446" s="104">
        <v>174</v>
      </c>
      <c r="Q446" s="104">
        <v>44</v>
      </c>
      <c r="R446" s="215">
        <f t="shared" si="691"/>
        <v>0.25287356321839083</v>
      </c>
      <c r="S446" s="105">
        <v>187126</v>
      </c>
      <c r="T446" s="98">
        <f t="shared" si="692"/>
        <v>24326</v>
      </c>
      <c r="U446" s="70">
        <f t="shared" si="693"/>
        <v>6.6551421657592424E-3</v>
      </c>
      <c r="V446" s="140">
        <v>0.13</v>
      </c>
      <c r="W446" s="209"/>
      <c r="X446" s="17">
        <v>44721</v>
      </c>
      <c r="Y446" s="12" t="s">
        <v>66</v>
      </c>
      <c r="Z446" s="12"/>
      <c r="AA446" s="12"/>
      <c r="AB446" s="3">
        <v>1</v>
      </c>
    </row>
    <row r="447" spans="1:28" s="3" customFormat="1" ht="14.45" customHeight="1" x14ac:dyDescent="0.25">
      <c r="A447" s="141">
        <v>3</v>
      </c>
      <c r="B447" s="99" t="s">
        <v>195</v>
      </c>
      <c r="C447" s="95" t="str">
        <f>VLOOKUP($F447,Admin!$D$11:$F$19,2,FALSE)</f>
        <v>Kísérleti fejlesztés</v>
      </c>
      <c r="D447" s="138" t="s">
        <v>123</v>
      </c>
      <c r="E447" s="95" t="str">
        <f>VLOOKUP($F447,Admin!$D$11:$F$19,3,FALSE)</f>
        <v>54. Bérköltség - Kutató-fejlesztő munkatárs</v>
      </c>
      <c r="F447" s="139" t="s">
        <v>213</v>
      </c>
      <c r="G447" s="100" t="s">
        <v>179</v>
      </c>
      <c r="H447" s="100" t="s">
        <v>232</v>
      </c>
      <c r="I447" s="139" t="str">
        <f>VLOOKUP($F447,Admin!$D$11:$G$19,4,FALSE)</f>
        <v>K+F munkatárs</v>
      </c>
      <c r="J447" s="100" t="s">
        <v>52</v>
      </c>
      <c r="K447" s="95" t="str">
        <f t="shared" si="685"/>
        <v>2022.10</v>
      </c>
      <c r="L447" s="101" t="s">
        <v>6</v>
      </c>
      <c r="M447" s="96" t="s">
        <v>70</v>
      </c>
      <c r="N447" s="102">
        <v>760000</v>
      </c>
      <c r="O447" s="97">
        <f t="shared" si="690"/>
        <v>98800</v>
      </c>
      <c r="P447" s="104">
        <v>174</v>
      </c>
      <c r="Q447" s="104">
        <v>44</v>
      </c>
      <c r="R447" s="215">
        <f t="shared" si="691"/>
        <v>0.25287356321839083</v>
      </c>
      <c r="S447" s="105">
        <v>187126</v>
      </c>
      <c r="T447" s="98">
        <f t="shared" si="692"/>
        <v>24326</v>
      </c>
      <c r="U447" s="70">
        <f t="shared" si="693"/>
        <v>6.6551421657592424E-3</v>
      </c>
      <c r="V447" s="140">
        <v>0.13</v>
      </c>
      <c r="W447" s="209"/>
      <c r="X447" s="17">
        <v>44721</v>
      </c>
      <c r="Y447" s="12" t="s">
        <v>66</v>
      </c>
      <c r="Z447" s="12"/>
      <c r="AA447" s="12"/>
      <c r="AB447" s="3">
        <v>1</v>
      </c>
    </row>
    <row r="448" spans="1:28" s="3" customFormat="1" ht="14.45" customHeight="1" x14ac:dyDescent="0.25">
      <c r="A448" s="141">
        <v>3</v>
      </c>
      <c r="B448" s="99" t="s">
        <v>195</v>
      </c>
      <c r="C448" s="95" t="str">
        <f>VLOOKUP($F448,Admin!$D$11:$F$19,2,FALSE)</f>
        <v>Kísérleti fejlesztés</v>
      </c>
      <c r="D448" s="138" t="s">
        <v>123</v>
      </c>
      <c r="E448" s="95" t="str">
        <f>VLOOKUP($F448,Admin!$D$11:$F$19,3,FALSE)</f>
        <v>54. Bérköltség - Kutató-fejlesztő munkatárs</v>
      </c>
      <c r="F448" s="139" t="s">
        <v>213</v>
      </c>
      <c r="G448" s="100" t="s">
        <v>179</v>
      </c>
      <c r="H448" s="100" t="s">
        <v>232</v>
      </c>
      <c r="I448" s="139" t="str">
        <f>VLOOKUP($F448,Admin!$D$11:$G$19,4,FALSE)</f>
        <v>K+F munkatárs</v>
      </c>
      <c r="J448" s="100" t="s">
        <v>53</v>
      </c>
      <c r="K448" s="95" t="str">
        <f t="shared" si="685"/>
        <v>2022.11</v>
      </c>
      <c r="L448" s="101" t="s">
        <v>6</v>
      </c>
      <c r="M448" s="96" t="s">
        <v>70</v>
      </c>
      <c r="N448" s="102">
        <v>759999</v>
      </c>
      <c r="O448" s="97">
        <f t="shared" si="690"/>
        <v>98800</v>
      </c>
      <c r="P448" s="104">
        <v>174</v>
      </c>
      <c r="Q448" s="104">
        <v>44</v>
      </c>
      <c r="R448" s="215">
        <f t="shared" si="691"/>
        <v>0.25287356321839083</v>
      </c>
      <c r="S448" s="105">
        <v>187126</v>
      </c>
      <c r="T448" s="98">
        <f t="shared" si="692"/>
        <v>24326</v>
      </c>
      <c r="U448" s="70">
        <f t="shared" si="693"/>
        <v>6.6548181937263196E-3</v>
      </c>
      <c r="V448" s="140">
        <v>0.13</v>
      </c>
      <c r="W448" s="209" t="s">
        <v>282</v>
      </c>
      <c r="X448" s="17">
        <v>44721</v>
      </c>
      <c r="Y448" s="12" t="s">
        <v>66</v>
      </c>
      <c r="Z448" s="12"/>
      <c r="AA448" s="12"/>
      <c r="AB448" s="3">
        <v>1</v>
      </c>
    </row>
    <row r="449" spans="1:31" s="3" customFormat="1" ht="14.45" customHeight="1" x14ac:dyDescent="0.25">
      <c r="A449" s="141">
        <v>3</v>
      </c>
      <c r="B449" s="99" t="s">
        <v>195</v>
      </c>
      <c r="C449" s="95" t="str">
        <f>VLOOKUP($F449,Admin!$D$11:$F$19,2,FALSE)</f>
        <v>Kísérleti fejlesztés</v>
      </c>
      <c r="D449" s="138" t="s">
        <v>123</v>
      </c>
      <c r="E449" s="95" t="str">
        <f>VLOOKUP($F449,Admin!$D$11:$F$19,3,FALSE)</f>
        <v>54. Bérköltség - Kutató-fejlesztő munkatárs</v>
      </c>
      <c r="F449" s="139" t="s">
        <v>213</v>
      </c>
      <c r="G449" s="100" t="s">
        <v>179</v>
      </c>
      <c r="H449" s="100" t="s">
        <v>232</v>
      </c>
      <c r="I449" s="139" t="str">
        <f>VLOOKUP($F449,Admin!$D$11:$G$19,4,FALSE)</f>
        <v>K+F munkatárs</v>
      </c>
      <c r="J449" s="100" t="s">
        <v>54</v>
      </c>
      <c r="K449" s="95" t="str">
        <f t="shared" ref="K449:K450" si="694">J449</f>
        <v>2022.12</v>
      </c>
      <c r="L449" s="101" t="s">
        <v>6</v>
      </c>
      <c r="M449" s="96" t="s">
        <v>70</v>
      </c>
      <c r="N449" s="102">
        <v>759999</v>
      </c>
      <c r="O449" s="97">
        <f t="shared" ref="O449" si="695">ROUND(N449*V449,0)</f>
        <v>98800</v>
      </c>
      <c r="P449" s="104">
        <v>174</v>
      </c>
      <c r="Q449" s="104">
        <v>90</v>
      </c>
      <c r="R449" s="215">
        <f t="shared" ref="R449" si="696">Q449/P449</f>
        <v>0.51724137931034486</v>
      </c>
      <c r="S449" s="105">
        <f t="shared" si="5"/>
        <v>393103</v>
      </c>
      <c r="T449" s="98">
        <f t="shared" ref="T449" si="697">ROUND(S449*V449,0)</f>
        <v>51103</v>
      </c>
      <c r="U449" s="70">
        <f t="shared" ref="U449" si="698">Q449/P449-S449/N449</f>
        <v>-9.0744221026284322E-8</v>
      </c>
      <c r="V449" s="140">
        <v>0.13</v>
      </c>
      <c r="W449" s="209" t="s">
        <v>282</v>
      </c>
      <c r="X449" s="17">
        <v>44890</v>
      </c>
      <c r="Y449" s="12" t="s">
        <v>66</v>
      </c>
      <c r="Z449" s="12"/>
      <c r="AA449" s="12"/>
      <c r="AB449" s="3">
        <v>1</v>
      </c>
      <c r="AC449" s="204" t="s">
        <v>315</v>
      </c>
      <c r="AD449" s="204" t="s">
        <v>315</v>
      </c>
      <c r="AE449" s="204" t="s">
        <v>315</v>
      </c>
    </row>
    <row r="450" spans="1:31" s="3" customFormat="1" ht="14.45" customHeight="1" x14ac:dyDescent="0.25">
      <c r="A450" s="141">
        <v>3</v>
      </c>
      <c r="B450" s="99" t="s">
        <v>195</v>
      </c>
      <c r="C450" s="95" t="str">
        <f>VLOOKUP($F450,Admin!$D$11:$F$19,2,FALSE)</f>
        <v>Kísérleti fejlesztés</v>
      </c>
      <c r="D450" s="138" t="s">
        <v>123</v>
      </c>
      <c r="E450" s="95" t="str">
        <f>VLOOKUP($F450,Admin!$D$11:$F$19,3,FALSE)</f>
        <v>54. Bérköltség - Kutató-fejlesztő munkatárs</v>
      </c>
      <c r="F450" s="139" t="s">
        <v>213</v>
      </c>
      <c r="G450" s="100" t="s">
        <v>179</v>
      </c>
      <c r="H450" s="100" t="s">
        <v>232</v>
      </c>
      <c r="I450" s="139" t="str">
        <f>VLOOKUP($F450,Admin!$D$11:$G$19,4,FALSE)</f>
        <v>K+F munkatárs</v>
      </c>
      <c r="J450" s="100" t="s">
        <v>257</v>
      </c>
      <c r="K450" s="95" t="str">
        <f t="shared" si="694"/>
        <v>2023.01</v>
      </c>
      <c r="L450" s="101" t="s">
        <v>6</v>
      </c>
      <c r="M450" s="96" t="s">
        <v>70</v>
      </c>
      <c r="N450" s="102">
        <v>805600</v>
      </c>
      <c r="O450" s="97">
        <f t="shared" ref="O450" si="699">ROUND(N450*V450,0)</f>
        <v>104728</v>
      </c>
      <c r="P450" s="104">
        <v>174</v>
      </c>
      <c r="Q450" s="104">
        <v>90</v>
      </c>
      <c r="R450" s="215">
        <f t="shared" ref="R450" si="700">Q450/P450</f>
        <v>0.51724137931034486</v>
      </c>
      <c r="S450" s="105">
        <f t="shared" ref="S450" si="701">ROUND(N450*Q450/P450,0)</f>
        <v>416690</v>
      </c>
      <c r="T450" s="98">
        <f t="shared" ref="T450" si="702">ROUND(S450*V450,0)</f>
        <v>54170</v>
      </c>
      <c r="U450" s="70">
        <f t="shared" ref="U450" si="703">Q450/P450-S450/N450</f>
        <v>-4.2803821520553953E-7</v>
      </c>
      <c r="V450" s="140">
        <v>0.13</v>
      </c>
      <c r="W450" s="209" t="s">
        <v>282</v>
      </c>
      <c r="X450" s="17">
        <v>44890</v>
      </c>
      <c r="Y450" s="12" t="s">
        <v>66</v>
      </c>
      <c r="Z450" s="12"/>
      <c r="AA450" s="12"/>
      <c r="AB450" s="3">
        <v>1</v>
      </c>
      <c r="AC450" s="204" t="s">
        <v>315</v>
      </c>
      <c r="AD450" s="216">
        <v>0</v>
      </c>
      <c r="AE450" s="216">
        <v>0</v>
      </c>
    </row>
    <row r="451" spans="1:31" s="3" customFormat="1" ht="14.45" customHeight="1" x14ac:dyDescent="0.25">
      <c r="A451" s="141"/>
      <c r="B451" s="99" t="s">
        <v>195</v>
      </c>
      <c r="C451" s="95" t="str">
        <f>VLOOKUP($F451,Admin!$D$11:$F$19,2,FALSE)</f>
        <v>Kísérleti fejlesztés</v>
      </c>
      <c r="D451" s="138" t="s">
        <v>123</v>
      </c>
      <c r="E451" s="95" t="str">
        <f>VLOOKUP($F451,Admin!$D$11:$F$19,3,FALSE)</f>
        <v>54. Bérköltség - Kutató-fejlesztő munkatárs</v>
      </c>
      <c r="F451" s="139" t="s">
        <v>213</v>
      </c>
      <c r="G451" s="100" t="s">
        <v>179</v>
      </c>
      <c r="H451" s="100" t="s">
        <v>232</v>
      </c>
      <c r="I451" s="139" t="str">
        <f>VLOOKUP($F451,Admin!$D$11:$G$19,4,FALSE)</f>
        <v>K+F munkatárs</v>
      </c>
      <c r="J451" s="100" t="s">
        <v>295</v>
      </c>
      <c r="K451" s="95" t="str">
        <f t="shared" ref="K451:K453" si="704">J451</f>
        <v>2023.02</v>
      </c>
      <c r="L451" s="101" t="s">
        <v>6</v>
      </c>
      <c r="M451" s="96" t="s">
        <v>70</v>
      </c>
      <c r="N451" s="102">
        <v>805600</v>
      </c>
      <c r="O451" s="97">
        <f t="shared" ref="O451" si="705">ROUND(N451*V451,0)</f>
        <v>104728</v>
      </c>
      <c r="P451" s="104">
        <v>174</v>
      </c>
      <c r="Q451" s="104">
        <v>96</v>
      </c>
      <c r="R451" s="215">
        <f t="shared" ref="R451" si="706">Q451/P451</f>
        <v>0.55172413793103448</v>
      </c>
      <c r="S451" s="105">
        <f t="shared" ref="S451" si="707">ROUND(N451*Q451/P451,0)</f>
        <v>444469</v>
      </c>
      <c r="T451" s="98">
        <f t="shared" ref="T451" si="708">ROUND(S451*V451,0)</f>
        <v>57781</v>
      </c>
      <c r="U451" s="70">
        <f t="shared" ref="U451" si="709">Q451/P451-S451/N451</f>
        <v>-4.2803821487247262E-8</v>
      </c>
      <c r="V451" s="140">
        <v>0.13</v>
      </c>
      <c r="W451" s="209" t="s">
        <v>282</v>
      </c>
      <c r="X451" s="17">
        <v>44949</v>
      </c>
      <c r="Y451" s="12" t="s">
        <v>66</v>
      </c>
      <c r="Z451" s="12"/>
      <c r="AA451" s="12"/>
      <c r="AB451" s="3">
        <v>1</v>
      </c>
      <c r="AC451" s="3" t="s">
        <v>315</v>
      </c>
      <c r="AD451" s="3">
        <v>0</v>
      </c>
      <c r="AE451" s="3">
        <v>0</v>
      </c>
    </row>
    <row r="452" spans="1:31" s="3" customFormat="1" ht="14.45" customHeight="1" x14ac:dyDescent="0.25">
      <c r="A452" s="141"/>
      <c r="B452" s="99" t="s">
        <v>195</v>
      </c>
      <c r="C452" s="95" t="str">
        <f>VLOOKUP($F452,Admin!$D$11:$F$19,2,FALSE)</f>
        <v>Kísérleti fejlesztés</v>
      </c>
      <c r="D452" s="138" t="s">
        <v>123</v>
      </c>
      <c r="E452" s="95" t="str">
        <f>VLOOKUP($F452,Admin!$D$11:$F$19,3,FALSE)</f>
        <v>54. Bérköltség - Kutató-fejlesztő munkatárs</v>
      </c>
      <c r="F452" s="139" t="s">
        <v>213</v>
      </c>
      <c r="G452" s="100" t="s">
        <v>179</v>
      </c>
      <c r="H452" s="100" t="s">
        <v>232</v>
      </c>
      <c r="I452" s="139" t="str">
        <f>VLOOKUP($F452,Admin!$D$11:$G$19,4,FALSE)</f>
        <v>K+F munkatárs</v>
      </c>
      <c r="J452" s="100" t="s">
        <v>296</v>
      </c>
      <c r="K452" s="95" t="str">
        <f t="shared" si="704"/>
        <v>2023.03</v>
      </c>
      <c r="L452" s="101" t="s">
        <v>6</v>
      </c>
      <c r="M452" s="96" t="s">
        <v>70</v>
      </c>
      <c r="N452" s="102">
        <v>805600</v>
      </c>
      <c r="O452" s="97">
        <f t="shared" ref="O452:O453" si="710">ROUND(N452*V452,0)</f>
        <v>104728</v>
      </c>
      <c r="P452" s="104">
        <v>174</v>
      </c>
      <c r="Q452" s="104">
        <v>96</v>
      </c>
      <c r="R452" s="215">
        <f t="shared" ref="R452:R453" si="711">Q452/P452</f>
        <v>0.55172413793103448</v>
      </c>
      <c r="S452" s="105">
        <f t="shared" ref="S452:S453" si="712">ROUND(N452*Q452/P452,0)</f>
        <v>444469</v>
      </c>
      <c r="T452" s="98">
        <f t="shared" ref="T452:T453" si="713">ROUND(S452*V452,0)</f>
        <v>57781</v>
      </c>
      <c r="U452" s="70">
        <f t="shared" ref="U452:U453" si="714">Q452/P452-S452/N452</f>
        <v>-4.2803821487247262E-8</v>
      </c>
      <c r="V452" s="140">
        <v>0.13</v>
      </c>
      <c r="W452" s="209" t="s">
        <v>282</v>
      </c>
      <c r="X452" s="17">
        <v>44949</v>
      </c>
      <c r="Y452" s="12" t="s">
        <v>66</v>
      </c>
      <c r="Z452" s="12"/>
      <c r="AA452" s="12"/>
      <c r="AB452" s="3">
        <v>1</v>
      </c>
      <c r="AC452" s="3" t="s">
        <v>315</v>
      </c>
      <c r="AD452" s="3">
        <v>0</v>
      </c>
      <c r="AE452" s="3">
        <v>0</v>
      </c>
    </row>
    <row r="453" spans="1:31" s="3" customFormat="1" ht="14.45" customHeight="1" x14ac:dyDescent="0.25">
      <c r="A453" s="141"/>
      <c r="B453" s="99" t="s">
        <v>195</v>
      </c>
      <c r="C453" s="95" t="str">
        <f>VLOOKUP($F453,Admin!$D$11:$F$19,2,FALSE)</f>
        <v>Kísérleti fejlesztés</v>
      </c>
      <c r="D453" s="138" t="s">
        <v>123</v>
      </c>
      <c r="E453" s="95" t="str">
        <f>VLOOKUP($F453,Admin!$D$11:$F$19,3,FALSE)</f>
        <v>54. Bérköltség - Kutató-fejlesztő munkatárs</v>
      </c>
      <c r="F453" s="139" t="s">
        <v>213</v>
      </c>
      <c r="G453" s="100" t="s">
        <v>179</v>
      </c>
      <c r="H453" s="100" t="s">
        <v>232</v>
      </c>
      <c r="I453" s="139" t="str">
        <f>VLOOKUP($F453,Admin!$D$11:$G$19,4,FALSE)</f>
        <v>K+F munkatárs</v>
      </c>
      <c r="J453" s="100" t="s">
        <v>297</v>
      </c>
      <c r="K453" s="95" t="str">
        <f t="shared" si="704"/>
        <v>2023.04</v>
      </c>
      <c r="L453" s="101" t="s">
        <v>7</v>
      </c>
      <c r="M453" s="96" t="s">
        <v>70</v>
      </c>
      <c r="N453" s="102">
        <v>805600</v>
      </c>
      <c r="O453" s="97">
        <f t="shared" si="710"/>
        <v>104728</v>
      </c>
      <c r="P453" s="104">
        <v>174</v>
      </c>
      <c r="Q453" s="104">
        <v>96</v>
      </c>
      <c r="R453" s="215">
        <f t="shared" si="711"/>
        <v>0.55172413793103448</v>
      </c>
      <c r="S453" s="105">
        <f t="shared" si="712"/>
        <v>444469</v>
      </c>
      <c r="T453" s="98">
        <f t="shared" si="713"/>
        <v>57781</v>
      </c>
      <c r="U453" s="70">
        <f t="shared" si="714"/>
        <v>-4.2803821487247262E-8</v>
      </c>
      <c r="V453" s="140">
        <v>0.13</v>
      </c>
      <c r="W453" s="209" t="s">
        <v>282</v>
      </c>
      <c r="X453" s="17">
        <v>44949</v>
      </c>
      <c r="Y453" s="12" t="s">
        <v>66</v>
      </c>
      <c r="Z453" s="12"/>
      <c r="AA453" s="12"/>
    </row>
    <row r="454" spans="1:31" s="3" customFormat="1" ht="14.45" customHeight="1" x14ac:dyDescent="0.25">
      <c r="A454" s="141">
        <v>1</v>
      </c>
      <c r="B454" s="99" t="s">
        <v>196</v>
      </c>
      <c r="C454" s="95" t="str">
        <f>VLOOKUP($F454,Admin!$D$11:$F$19,2,FALSE)</f>
        <v>Koordináció</v>
      </c>
      <c r="D454" s="138" t="s">
        <v>123</v>
      </c>
      <c r="E454" s="95" t="str">
        <f>VLOOKUP($F454,Admin!$D$11:$F$19,3,FALSE)</f>
        <v>54. Bérköltség - Projektmenedzser</v>
      </c>
      <c r="F454" s="139" t="s">
        <v>173</v>
      </c>
      <c r="G454" s="100" t="s">
        <v>181</v>
      </c>
      <c r="H454" s="100" t="s">
        <v>143</v>
      </c>
      <c r="I454" s="139" t="str">
        <f>VLOOKUP($F454,Admin!$D$11:$G$19,4,FALSE)</f>
        <v>Projektmenedzsment</v>
      </c>
      <c r="J454" s="100" t="s">
        <v>219</v>
      </c>
      <c r="K454" s="95" t="str">
        <f t="shared" si="677"/>
        <v>2020.04</v>
      </c>
      <c r="L454" s="101" t="s">
        <v>6</v>
      </c>
      <c r="M454" s="96" t="s">
        <v>70</v>
      </c>
      <c r="N454" s="103">
        <v>400000</v>
      </c>
      <c r="O454" s="97">
        <f t="shared" si="678"/>
        <v>70000</v>
      </c>
      <c r="P454" s="104">
        <v>174</v>
      </c>
      <c r="Q454" s="104">
        <v>43</v>
      </c>
      <c r="R454" s="215">
        <f t="shared" si="675"/>
        <v>0.2471264367816092</v>
      </c>
      <c r="S454" s="105">
        <f t="shared" si="5"/>
        <v>98851</v>
      </c>
      <c r="T454" s="98">
        <f t="shared" si="679"/>
        <v>17299</v>
      </c>
      <c r="U454" s="70">
        <f t="shared" si="676"/>
        <v>-1.0632183908010351E-6</v>
      </c>
      <c r="V454" s="181">
        <v>0.17499999999999999</v>
      </c>
      <c r="W454" s="210"/>
      <c r="X454" s="17">
        <v>43900</v>
      </c>
      <c r="Y454" s="12" t="s">
        <v>66</v>
      </c>
      <c r="Z454" s="12"/>
      <c r="AA454" s="12"/>
      <c r="AB454" s="3">
        <v>2</v>
      </c>
    </row>
    <row r="455" spans="1:31" s="3" customFormat="1" ht="14.45" customHeight="1" x14ac:dyDescent="0.25">
      <c r="A455" s="141">
        <v>1</v>
      </c>
      <c r="B455" s="99" t="s">
        <v>196</v>
      </c>
      <c r="C455" s="95" t="str">
        <f>VLOOKUP($F455,Admin!$D$11:$F$19,2,FALSE)</f>
        <v>Koordináció</v>
      </c>
      <c r="D455" s="138" t="s">
        <v>123</v>
      </c>
      <c r="E455" s="95" t="str">
        <f>VLOOKUP($F455,Admin!$D$11:$F$19,3,FALSE)</f>
        <v>54. Bérköltség - Projektmenedzser</v>
      </c>
      <c r="F455" s="139" t="s">
        <v>173</v>
      </c>
      <c r="G455" s="100" t="s">
        <v>181</v>
      </c>
      <c r="H455" s="100" t="s">
        <v>143</v>
      </c>
      <c r="I455" s="139" t="str">
        <f>VLOOKUP($F455,Admin!$D$11:$G$19,4,FALSE)</f>
        <v>Projektmenedzsment</v>
      </c>
      <c r="J455" s="100" t="s">
        <v>220</v>
      </c>
      <c r="K455" s="95" t="str">
        <f t="shared" si="677"/>
        <v>2020.05</v>
      </c>
      <c r="L455" s="101" t="s">
        <v>6</v>
      </c>
      <c r="M455" s="96" t="s">
        <v>70</v>
      </c>
      <c r="N455" s="103">
        <v>400000</v>
      </c>
      <c r="O455" s="97">
        <f t="shared" si="678"/>
        <v>70000</v>
      </c>
      <c r="P455" s="104">
        <v>174</v>
      </c>
      <c r="Q455" s="104">
        <v>43</v>
      </c>
      <c r="R455" s="215">
        <f t="shared" si="675"/>
        <v>0.2471264367816092</v>
      </c>
      <c r="S455" s="105">
        <f t="shared" si="5"/>
        <v>98851</v>
      </c>
      <c r="T455" s="98">
        <f t="shared" si="679"/>
        <v>17299</v>
      </c>
      <c r="U455" s="70">
        <f t="shared" si="676"/>
        <v>-1.0632183908010351E-6</v>
      </c>
      <c r="V455" s="181">
        <v>0.17499999999999999</v>
      </c>
      <c r="W455" s="210"/>
      <c r="X455" s="17">
        <v>43900</v>
      </c>
      <c r="Y455" s="12" t="s">
        <v>66</v>
      </c>
      <c r="Z455" s="12"/>
      <c r="AA455" s="12"/>
      <c r="AB455" s="3">
        <v>2</v>
      </c>
    </row>
    <row r="456" spans="1:31" s="3" customFormat="1" ht="14.45" customHeight="1" x14ac:dyDescent="0.25">
      <c r="A456" s="141">
        <v>1</v>
      </c>
      <c r="B456" s="99" t="s">
        <v>196</v>
      </c>
      <c r="C456" s="95" t="str">
        <f>VLOOKUP($F456,Admin!$D$11:$F$19,2,FALSE)</f>
        <v>Koordináció</v>
      </c>
      <c r="D456" s="138" t="s">
        <v>123</v>
      </c>
      <c r="E456" s="95" t="str">
        <f>VLOOKUP($F456,Admin!$D$11:$F$19,3,FALSE)</f>
        <v>54. Bérköltség - Projektmenedzser</v>
      </c>
      <c r="F456" s="139" t="s">
        <v>173</v>
      </c>
      <c r="G456" s="100" t="s">
        <v>181</v>
      </c>
      <c r="H456" s="100" t="s">
        <v>143</v>
      </c>
      <c r="I456" s="139" t="str">
        <f>VLOOKUP($F456,Admin!$D$11:$G$19,4,FALSE)</f>
        <v>Projektmenedzsment</v>
      </c>
      <c r="J456" s="100" t="s">
        <v>221</v>
      </c>
      <c r="K456" s="95" t="str">
        <f t="shared" si="677"/>
        <v>2020.06</v>
      </c>
      <c r="L456" s="101" t="s">
        <v>6</v>
      </c>
      <c r="M456" s="96" t="s">
        <v>70</v>
      </c>
      <c r="N456" s="103">
        <v>400000</v>
      </c>
      <c r="O456" s="97">
        <f t="shared" si="678"/>
        <v>70000</v>
      </c>
      <c r="P456" s="104">
        <v>174</v>
      </c>
      <c r="Q456" s="104">
        <v>43</v>
      </c>
      <c r="R456" s="215">
        <f t="shared" si="675"/>
        <v>0.2471264367816092</v>
      </c>
      <c r="S456" s="105">
        <f t="shared" si="5"/>
        <v>98851</v>
      </c>
      <c r="T456" s="98">
        <f t="shared" si="679"/>
        <v>17299</v>
      </c>
      <c r="U456" s="70">
        <f t="shared" si="676"/>
        <v>-1.0632183908010351E-6</v>
      </c>
      <c r="V456" s="181">
        <v>0.17499999999999999</v>
      </c>
      <c r="W456" s="210"/>
      <c r="X456" s="17">
        <v>43900</v>
      </c>
      <c r="Y456" s="12" t="s">
        <v>66</v>
      </c>
      <c r="Z456" s="12"/>
      <c r="AA456" s="12"/>
      <c r="AB456" s="3">
        <v>2</v>
      </c>
    </row>
    <row r="457" spans="1:31" s="3" customFormat="1" ht="14.45" customHeight="1" x14ac:dyDescent="0.25">
      <c r="A457" s="141">
        <v>1</v>
      </c>
      <c r="B457" s="99" t="s">
        <v>196</v>
      </c>
      <c r="C457" s="95" t="str">
        <f>VLOOKUP($F457,Admin!$D$11:$F$19,2,FALSE)</f>
        <v>Koordináció</v>
      </c>
      <c r="D457" s="138" t="s">
        <v>123</v>
      </c>
      <c r="E457" s="95" t="str">
        <f>VLOOKUP($F457,Admin!$D$11:$F$19,3,FALSE)</f>
        <v>54. Bérköltség - Projektmenedzser</v>
      </c>
      <c r="F457" s="139" t="s">
        <v>173</v>
      </c>
      <c r="G457" s="100" t="s">
        <v>181</v>
      </c>
      <c r="H457" s="100" t="s">
        <v>143</v>
      </c>
      <c r="I457" s="139" t="str">
        <f>VLOOKUP($F457,Admin!$D$11:$G$19,4,FALSE)</f>
        <v>Projektmenedzsment</v>
      </c>
      <c r="J457" s="100" t="s">
        <v>222</v>
      </c>
      <c r="K457" s="95" t="str">
        <f t="shared" si="677"/>
        <v>2020.07</v>
      </c>
      <c r="L457" s="101" t="s">
        <v>6</v>
      </c>
      <c r="M457" s="96" t="s">
        <v>70</v>
      </c>
      <c r="N457" s="103">
        <v>400000</v>
      </c>
      <c r="O457" s="97">
        <f t="shared" si="678"/>
        <v>62000</v>
      </c>
      <c r="P457" s="104">
        <v>174</v>
      </c>
      <c r="Q457" s="104">
        <v>43</v>
      </c>
      <c r="R457" s="215">
        <f t="shared" si="675"/>
        <v>0.2471264367816092</v>
      </c>
      <c r="S457" s="105">
        <f t="shared" si="5"/>
        <v>98851</v>
      </c>
      <c r="T457" s="98">
        <f t="shared" si="679"/>
        <v>15322</v>
      </c>
      <c r="U457" s="70">
        <f t="shared" si="676"/>
        <v>-1.0632183908010351E-6</v>
      </c>
      <c r="V457" s="181">
        <v>0.155</v>
      </c>
      <c r="W457" s="210"/>
      <c r="X457" s="17">
        <v>43900</v>
      </c>
      <c r="Y457" s="12" t="s">
        <v>66</v>
      </c>
      <c r="Z457" s="12"/>
      <c r="AA457" s="12"/>
      <c r="AB457" s="3">
        <v>2</v>
      </c>
    </row>
    <row r="458" spans="1:31" s="3" customFormat="1" ht="14.45" customHeight="1" x14ac:dyDescent="0.25">
      <c r="A458" s="141">
        <v>1</v>
      </c>
      <c r="B458" s="99" t="s">
        <v>196</v>
      </c>
      <c r="C458" s="95" t="str">
        <f>VLOOKUP($F458,Admin!$D$11:$F$19,2,FALSE)</f>
        <v>Koordináció</v>
      </c>
      <c r="D458" s="138" t="s">
        <v>123</v>
      </c>
      <c r="E458" s="95" t="str">
        <f>VLOOKUP($F458,Admin!$D$11:$F$19,3,FALSE)</f>
        <v>54. Bérköltség - Projektmenedzser</v>
      </c>
      <c r="F458" s="139" t="s">
        <v>173</v>
      </c>
      <c r="G458" s="100" t="s">
        <v>181</v>
      </c>
      <c r="H458" s="100" t="s">
        <v>143</v>
      </c>
      <c r="I458" s="139" t="str">
        <f>VLOOKUP($F458,Admin!$D$11:$G$19,4,FALSE)</f>
        <v>Projektmenedzsment</v>
      </c>
      <c r="J458" s="100" t="s">
        <v>223</v>
      </c>
      <c r="K458" s="95" t="str">
        <f t="shared" si="677"/>
        <v>2020.08</v>
      </c>
      <c r="L458" s="101" t="s">
        <v>6</v>
      </c>
      <c r="M458" s="96" t="s">
        <v>70</v>
      </c>
      <c r="N458" s="103">
        <v>400000</v>
      </c>
      <c r="O458" s="97">
        <f t="shared" si="678"/>
        <v>62000</v>
      </c>
      <c r="P458" s="104">
        <v>174</v>
      </c>
      <c r="Q458" s="104">
        <v>43</v>
      </c>
      <c r="R458" s="215">
        <f t="shared" si="675"/>
        <v>0.2471264367816092</v>
      </c>
      <c r="S458" s="105">
        <f t="shared" si="5"/>
        <v>98851</v>
      </c>
      <c r="T458" s="98">
        <f t="shared" si="679"/>
        <v>15322</v>
      </c>
      <c r="U458" s="70">
        <f t="shared" si="676"/>
        <v>-1.0632183908010351E-6</v>
      </c>
      <c r="V458" s="181">
        <v>0.155</v>
      </c>
      <c r="W458" s="210"/>
      <c r="X458" s="17">
        <v>43900</v>
      </c>
      <c r="Y458" s="12" t="s">
        <v>66</v>
      </c>
      <c r="Z458" s="12"/>
      <c r="AA458" s="12"/>
      <c r="AB458" s="3">
        <v>2</v>
      </c>
    </row>
    <row r="459" spans="1:31" s="3" customFormat="1" ht="14.45" customHeight="1" x14ac:dyDescent="0.25">
      <c r="A459" s="141">
        <v>1</v>
      </c>
      <c r="B459" s="99" t="s">
        <v>196</v>
      </c>
      <c r="C459" s="95" t="str">
        <f>VLOOKUP($F459,Admin!$D$11:$F$19,2,FALSE)</f>
        <v>Koordináció</v>
      </c>
      <c r="D459" s="138" t="s">
        <v>123</v>
      </c>
      <c r="E459" s="95" t="str">
        <f>VLOOKUP($F459,Admin!$D$11:$F$19,3,FALSE)</f>
        <v>54. Bérköltség - Projektmenedzser</v>
      </c>
      <c r="F459" s="139" t="s">
        <v>173</v>
      </c>
      <c r="G459" s="100" t="s">
        <v>181</v>
      </c>
      <c r="H459" s="100" t="s">
        <v>143</v>
      </c>
      <c r="I459" s="139" t="str">
        <f>VLOOKUP($F459,Admin!$D$11:$G$19,4,FALSE)</f>
        <v>Projektmenedzsment</v>
      </c>
      <c r="J459" s="100" t="s">
        <v>224</v>
      </c>
      <c r="K459" s="95" t="str">
        <f t="shared" si="677"/>
        <v>2020.09</v>
      </c>
      <c r="L459" s="101" t="s">
        <v>6</v>
      </c>
      <c r="M459" s="96" t="s">
        <v>70</v>
      </c>
      <c r="N459" s="103">
        <v>400000</v>
      </c>
      <c r="O459" s="97">
        <f t="shared" si="678"/>
        <v>62000</v>
      </c>
      <c r="P459" s="104">
        <v>174</v>
      </c>
      <c r="Q459" s="104">
        <v>43</v>
      </c>
      <c r="R459" s="215">
        <f t="shared" si="675"/>
        <v>0.2471264367816092</v>
      </c>
      <c r="S459" s="105">
        <f t="shared" si="5"/>
        <v>98851</v>
      </c>
      <c r="T459" s="98">
        <f t="shared" si="679"/>
        <v>15322</v>
      </c>
      <c r="U459" s="70">
        <f t="shared" si="676"/>
        <v>-1.0632183908010351E-6</v>
      </c>
      <c r="V459" s="181">
        <v>0.155</v>
      </c>
      <c r="W459" s="210"/>
      <c r="X459" s="17">
        <v>43900</v>
      </c>
      <c r="Y459" s="12" t="s">
        <v>66</v>
      </c>
      <c r="Z459" s="12"/>
      <c r="AA459" s="12"/>
      <c r="AB459" s="3">
        <v>2</v>
      </c>
    </row>
    <row r="460" spans="1:31" s="3" customFormat="1" ht="14.45" customHeight="1" x14ac:dyDescent="0.25">
      <c r="A460" s="141">
        <v>1</v>
      </c>
      <c r="B460" s="99" t="s">
        <v>196</v>
      </c>
      <c r="C460" s="95" t="str">
        <f>VLOOKUP($F460,Admin!$D$11:$F$19,2,FALSE)</f>
        <v>Koordináció</v>
      </c>
      <c r="D460" s="138" t="s">
        <v>123</v>
      </c>
      <c r="E460" s="95" t="str">
        <f>VLOOKUP($F460,Admin!$D$11:$F$19,3,FALSE)</f>
        <v>54. Bérköltség - Projektmenedzser</v>
      </c>
      <c r="F460" s="139" t="s">
        <v>173</v>
      </c>
      <c r="G460" s="100" t="s">
        <v>181</v>
      </c>
      <c r="H460" s="100" t="s">
        <v>143</v>
      </c>
      <c r="I460" s="139" t="str">
        <f>VLOOKUP($F460,Admin!$D$11:$G$19,4,FALSE)</f>
        <v>Projektmenedzsment</v>
      </c>
      <c r="J460" s="100" t="s">
        <v>225</v>
      </c>
      <c r="K460" s="95" t="str">
        <f t="shared" si="677"/>
        <v>2020.10</v>
      </c>
      <c r="L460" s="101" t="s">
        <v>6</v>
      </c>
      <c r="M460" s="96" t="s">
        <v>70</v>
      </c>
      <c r="N460" s="103">
        <v>400000</v>
      </c>
      <c r="O460" s="97">
        <f t="shared" si="678"/>
        <v>62000</v>
      </c>
      <c r="P460" s="104">
        <v>174</v>
      </c>
      <c r="Q460" s="104">
        <v>43</v>
      </c>
      <c r="R460" s="215">
        <f t="shared" si="675"/>
        <v>0.2471264367816092</v>
      </c>
      <c r="S460" s="105">
        <f t="shared" si="5"/>
        <v>98851</v>
      </c>
      <c r="T460" s="98">
        <f t="shared" si="679"/>
        <v>15322</v>
      </c>
      <c r="U460" s="70">
        <f t="shared" si="676"/>
        <v>-1.0632183908010351E-6</v>
      </c>
      <c r="V460" s="181">
        <v>0.155</v>
      </c>
      <c r="W460" s="210"/>
      <c r="X460" s="17">
        <v>44088</v>
      </c>
      <c r="Y460" s="12" t="s">
        <v>66</v>
      </c>
      <c r="Z460" s="12"/>
      <c r="AA460" s="12"/>
      <c r="AB460" s="3">
        <v>2</v>
      </c>
    </row>
    <row r="461" spans="1:31" s="3" customFormat="1" ht="14.45" customHeight="1" x14ac:dyDescent="0.25">
      <c r="A461" s="141">
        <v>1</v>
      </c>
      <c r="B461" s="99" t="s">
        <v>196</v>
      </c>
      <c r="C461" s="95" t="str">
        <f>VLOOKUP($F461,Admin!$D$11:$F$19,2,FALSE)</f>
        <v>Koordináció</v>
      </c>
      <c r="D461" s="138" t="s">
        <v>123</v>
      </c>
      <c r="E461" s="95" t="str">
        <f>VLOOKUP($F461,Admin!$D$11:$F$19,3,FALSE)</f>
        <v>54. Bérköltség - Projektmenedzser</v>
      </c>
      <c r="F461" s="139" t="s">
        <v>173</v>
      </c>
      <c r="G461" s="100" t="s">
        <v>181</v>
      </c>
      <c r="H461" s="100" t="s">
        <v>143</v>
      </c>
      <c r="I461" s="139" t="str">
        <f>VLOOKUP($F461,Admin!$D$11:$G$19,4,FALSE)</f>
        <v>Projektmenedzsment</v>
      </c>
      <c r="J461" s="100" t="s">
        <v>226</v>
      </c>
      <c r="K461" s="95" t="str">
        <f t="shared" si="677"/>
        <v>2020.11</v>
      </c>
      <c r="L461" s="101" t="s">
        <v>6</v>
      </c>
      <c r="M461" s="96" t="s">
        <v>70</v>
      </c>
      <c r="N461" s="103">
        <v>400000</v>
      </c>
      <c r="O461" s="97">
        <f t="shared" si="678"/>
        <v>62000</v>
      </c>
      <c r="P461" s="104">
        <v>174</v>
      </c>
      <c r="Q461" s="104">
        <v>43</v>
      </c>
      <c r="R461" s="215">
        <f t="shared" si="675"/>
        <v>0.2471264367816092</v>
      </c>
      <c r="S461" s="105">
        <f t="shared" si="5"/>
        <v>98851</v>
      </c>
      <c r="T461" s="98">
        <f t="shared" si="679"/>
        <v>15322</v>
      </c>
      <c r="U461" s="70">
        <f t="shared" si="676"/>
        <v>-1.0632183908010351E-6</v>
      </c>
      <c r="V461" s="181">
        <v>0.155</v>
      </c>
      <c r="W461" s="210"/>
      <c r="X461" s="17">
        <v>44088</v>
      </c>
      <c r="Y461" s="12" t="s">
        <v>66</v>
      </c>
      <c r="Z461" s="12"/>
      <c r="AA461" s="12"/>
      <c r="AB461" s="3">
        <v>2</v>
      </c>
    </row>
    <row r="462" spans="1:31" s="3" customFormat="1" ht="14.45" customHeight="1" x14ac:dyDescent="0.25">
      <c r="A462" s="141">
        <v>1</v>
      </c>
      <c r="B462" s="99" t="s">
        <v>196</v>
      </c>
      <c r="C462" s="95" t="str">
        <f>VLOOKUP($F462,Admin!$D$11:$F$19,2,FALSE)</f>
        <v>Koordináció</v>
      </c>
      <c r="D462" s="138" t="s">
        <v>123</v>
      </c>
      <c r="E462" s="95" t="str">
        <f>VLOOKUP($F462,Admin!$D$11:$F$19,3,FALSE)</f>
        <v>54. Bérköltség - Projektmenedzser</v>
      </c>
      <c r="F462" s="139" t="s">
        <v>173</v>
      </c>
      <c r="G462" s="100" t="s">
        <v>181</v>
      </c>
      <c r="H462" s="100" t="s">
        <v>143</v>
      </c>
      <c r="I462" s="139" t="str">
        <f>VLOOKUP($F462,Admin!$D$11:$G$19,4,FALSE)</f>
        <v>Projektmenedzsment</v>
      </c>
      <c r="J462" s="100" t="s">
        <v>30</v>
      </c>
      <c r="K462" s="95" t="str">
        <f t="shared" si="677"/>
        <v>2020.12</v>
      </c>
      <c r="L462" s="101" t="s">
        <v>6</v>
      </c>
      <c r="M462" s="96" t="s">
        <v>70</v>
      </c>
      <c r="N462" s="103">
        <v>400000</v>
      </c>
      <c r="O462" s="97">
        <f t="shared" si="678"/>
        <v>62000</v>
      </c>
      <c r="P462" s="104">
        <v>174</v>
      </c>
      <c r="Q462" s="104">
        <v>43</v>
      </c>
      <c r="R462" s="215">
        <f t="shared" si="675"/>
        <v>0.2471264367816092</v>
      </c>
      <c r="S462" s="105">
        <f t="shared" si="5"/>
        <v>98851</v>
      </c>
      <c r="T462" s="98">
        <f t="shared" si="679"/>
        <v>15322</v>
      </c>
      <c r="U462" s="70">
        <f t="shared" si="676"/>
        <v>-1.0632183908010351E-6</v>
      </c>
      <c r="V462" s="181">
        <v>0.155</v>
      </c>
      <c r="W462" s="210"/>
      <c r="X462" s="17">
        <v>44088</v>
      </c>
      <c r="Y462" s="12" t="s">
        <v>66</v>
      </c>
      <c r="Z462" s="12"/>
      <c r="AA462" s="12"/>
      <c r="AB462" s="3">
        <v>2</v>
      </c>
    </row>
    <row r="463" spans="1:31" s="3" customFormat="1" ht="14.45" customHeight="1" x14ac:dyDescent="0.25">
      <c r="A463" s="141">
        <v>1</v>
      </c>
      <c r="B463" s="99" t="s">
        <v>196</v>
      </c>
      <c r="C463" s="95" t="str">
        <f>VLOOKUP($F463,Admin!$D$11:$F$19,2,FALSE)</f>
        <v>Koordináció</v>
      </c>
      <c r="D463" s="138" t="s">
        <v>123</v>
      </c>
      <c r="E463" s="95" t="str">
        <f>VLOOKUP($F463,Admin!$D$11:$F$19,3,FALSE)</f>
        <v>54. Bérköltség - Projektmenedzser</v>
      </c>
      <c r="F463" s="139" t="s">
        <v>173</v>
      </c>
      <c r="G463" s="100" t="s">
        <v>181</v>
      </c>
      <c r="H463" s="100" t="s">
        <v>143</v>
      </c>
      <c r="I463" s="139" t="str">
        <f>VLOOKUP($F463,Admin!$D$11:$G$19,4,FALSE)</f>
        <v>Projektmenedzsment</v>
      </c>
      <c r="J463" s="100" t="s">
        <v>31</v>
      </c>
      <c r="K463" s="95" t="str">
        <f t="shared" si="677"/>
        <v>2021.01</v>
      </c>
      <c r="L463" s="101" t="s">
        <v>6</v>
      </c>
      <c r="M463" s="96" t="s">
        <v>70</v>
      </c>
      <c r="N463" s="103">
        <v>400000</v>
      </c>
      <c r="O463" s="97">
        <f t="shared" si="678"/>
        <v>62000</v>
      </c>
      <c r="P463" s="104">
        <v>174</v>
      </c>
      <c r="Q463" s="104">
        <v>43</v>
      </c>
      <c r="R463" s="215">
        <f t="shared" si="675"/>
        <v>0.2471264367816092</v>
      </c>
      <c r="S463" s="105">
        <f t="shared" si="5"/>
        <v>98851</v>
      </c>
      <c r="T463" s="98">
        <f t="shared" si="679"/>
        <v>15322</v>
      </c>
      <c r="U463" s="70">
        <f t="shared" si="676"/>
        <v>-1.0632183908010351E-6</v>
      </c>
      <c r="V463" s="181">
        <v>0.155</v>
      </c>
      <c r="W463" s="210"/>
      <c r="X463" s="17">
        <v>44088</v>
      </c>
      <c r="Y463" s="12" t="s">
        <v>66</v>
      </c>
      <c r="Z463" s="12"/>
      <c r="AA463" s="12"/>
      <c r="AB463" s="3">
        <v>2</v>
      </c>
    </row>
    <row r="464" spans="1:31" s="3" customFormat="1" ht="14.45" customHeight="1" x14ac:dyDescent="0.25">
      <c r="A464" s="141">
        <v>2</v>
      </c>
      <c r="B464" s="99" t="s">
        <v>196</v>
      </c>
      <c r="C464" s="95" t="str">
        <f>VLOOKUP($F464,Admin!$D$11:$F$19,2,FALSE)</f>
        <v>Koordináció</v>
      </c>
      <c r="D464" s="138" t="s">
        <v>123</v>
      </c>
      <c r="E464" s="95" t="str">
        <f>VLOOKUP($F464,Admin!$D$11:$F$19,3,FALSE)</f>
        <v>54. Bérköltség - Projektmenedzser</v>
      </c>
      <c r="F464" s="139" t="s">
        <v>173</v>
      </c>
      <c r="G464" s="100" t="s">
        <v>181</v>
      </c>
      <c r="H464" s="100" t="s">
        <v>143</v>
      </c>
      <c r="I464" s="139" t="str">
        <f>VLOOKUP($F464,Admin!$D$11:$G$19,4,FALSE)</f>
        <v>Projektmenedzsment</v>
      </c>
      <c r="J464" s="100" t="s">
        <v>32</v>
      </c>
      <c r="K464" s="95" t="str">
        <f t="shared" si="677"/>
        <v>2021.02</v>
      </c>
      <c r="L464" s="101" t="s">
        <v>6</v>
      </c>
      <c r="M464" s="96" t="s">
        <v>70</v>
      </c>
      <c r="N464" s="103">
        <v>400000</v>
      </c>
      <c r="O464" s="97">
        <f t="shared" si="678"/>
        <v>62000</v>
      </c>
      <c r="P464" s="104">
        <v>174</v>
      </c>
      <c r="Q464" s="104">
        <v>43</v>
      </c>
      <c r="R464" s="215">
        <f t="shared" si="675"/>
        <v>0.2471264367816092</v>
      </c>
      <c r="S464" s="105">
        <f t="shared" si="5"/>
        <v>98851</v>
      </c>
      <c r="T464" s="98">
        <f t="shared" si="679"/>
        <v>15322</v>
      </c>
      <c r="U464" s="70">
        <f t="shared" si="676"/>
        <v>-1.0632183908010351E-6</v>
      </c>
      <c r="V464" s="181">
        <v>0.155</v>
      </c>
      <c r="W464" s="210"/>
      <c r="X464" s="17">
        <v>44088</v>
      </c>
      <c r="Y464" s="12" t="s">
        <v>66</v>
      </c>
      <c r="Z464" s="12"/>
      <c r="AA464" s="12"/>
      <c r="AB464" s="3">
        <v>2</v>
      </c>
    </row>
    <row r="465" spans="1:28" s="3" customFormat="1" ht="14.45" customHeight="1" x14ac:dyDescent="0.25">
      <c r="A465" s="141">
        <v>2</v>
      </c>
      <c r="B465" s="99" t="s">
        <v>196</v>
      </c>
      <c r="C465" s="95" t="str">
        <f>VLOOKUP($F465,Admin!$D$11:$F$19,2,FALSE)</f>
        <v>Koordináció</v>
      </c>
      <c r="D465" s="138" t="s">
        <v>123</v>
      </c>
      <c r="E465" s="95" t="str">
        <f>VLOOKUP($F465,Admin!$D$11:$F$19,3,FALSE)</f>
        <v>54. Bérköltség - Projektmenedzser</v>
      </c>
      <c r="F465" s="139" t="s">
        <v>173</v>
      </c>
      <c r="G465" s="100" t="s">
        <v>181</v>
      </c>
      <c r="H465" s="100" t="s">
        <v>143</v>
      </c>
      <c r="I465" s="139" t="str">
        <f>VLOOKUP($F465,Admin!$D$11:$G$19,4,FALSE)</f>
        <v>Projektmenedzsment</v>
      </c>
      <c r="J465" s="100" t="s">
        <v>33</v>
      </c>
      <c r="K465" s="95" t="str">
        <f t="shared" si="677"/>
        <v>2021.03</v>
      </c>
      <c r="L465" s="101" t="s">
        <v>6</v>
      </c>
      <c r="M465" s="96" t="s">
        <v>70</v>
      </c>
      <c r="N465" s="103">
        <v>400000</v>
      </c>
      <c r="O465" s="97">
        <f t="shared" si="678"/>
        <v>62000</v>
      </c>
      <c r="P465" s="104">
        <v>174</v>
      </c>
      <c r="Q465" s="104">
        <v>43</v>
      </c>
      <c r="R465" s="215">
        <f t="shared" si="675"/>
        <v>0.2471264367816092</v>
      </c>
      <c r="S465" s="105">
        <f t="shared" si="5"/>
        <v>98851</v>
      </c>
      <c r="T465" s="98">
        <f t="shared" si="679"/>
        <v>15322</v>
      </c>
      <c r="U465" s="70">
        <f t="shared" si="676"/>
        <v>-1.0632183908010351E-6</v>
      </c>
      <c r="V465" s="181">
        <v>0.155</v>
      </c>
      <c r="W465" s="210"/>
      <c r="X465" s="17">
        <v>44088</v>
      </c>
      <c r="Y465" s="12" t="s">
        <v>66</v>
      </c>
      <c r="Z465" s="12"/>
      <c r="AA465" s="12"/>
      <c r="AB465" s="3">
        <v>2</v>
      </c>
    </row>
    <row r="466" spans="1:28" s="3" customFormat="1" ht="14.45" customHeight="1" x14ac:dyDescent="0.25">
      <c r="A466" s="141">
        <v>2</v>
      </c>
      <c r="B466" s="99" t="s">
        <v>196</v>
      </c>
      <c r="C466" s="95" t="str">
        <f>VLOOKUP($F466,Admin!$D$11:$F$19,2,FALSE)</f>
        <v>Koordináció</v>
      </c>
      <c r="D466" s="138" t="s">
        <v>123</v>
      </c>
      <c r="E466" s="95" t="str">
        <f>VLOOKUP($F466,Admin!$D$11:$F$19,3,FALSE)</f>
        <v>54. Bérköltség - Projektmenedzser</v>
      </c>
      <c r="F466" s="139" t="s">
        <v>173</v>
      </c>
      <c r="G466" s="100" t="s">
        <v>181</v>
      </c>
      <c r="H466" s="100" t="s">
        <v>143</v>
      </c>
      <c r="I466" s="139" t="str">
        <f>VLOOKUP($F466,Admin!$D$11:$G$19,4,FALSE)</f>
        <v>Projektmenedzsment</v>
      </c>
      <c r="J466" s="100" t="s">
        <v>34</v>
      </c>
      <c r="K466" s="95" t="str">
        <f t="shared" si="677"/>
        <v>2021.04</v>
      </c>
      <c r="L466" s="101" t="s">
        <v>6</v>
      </c>
      <c r="M466" s="96" t="s">
        <v>70</v>
      </c>
      <c r="N466" s="103">
        <v>400000</v>
      </c>
      <c r="O466" s="97">
        <f t="shared" si="678"/>
        <v>62000</v>
      </c>
      <c r="P466" s="104">
        <v>174</v>
      </c>
      <c r="Q466" s="104">
        <v>43</v>
      </c>
      <c r="R466" s="215">
        <f t="shared" si="675"/>
        <v>0.2471264367816092</v>
      </c>
      <c r="S466" s="105">
        <f t="shared" si="5"/>
        <v>98851</v>
      </c>
      <c r="T466" s="98">
        <f t="shared" si="679"/>
        <v>15322</v>
      </c>
      <c r="U466" s="70">
        <f t="shared" si="676"/>
        <v>-1.0632183908010351E-6</v>
      </c>
      <c r="V466" s="181">
        <v>0.155</v>
      </c>
      <c r="W466" s="210"/>
      <c r="X466" s="17">
        <v>44274</v>
      </c>
      <c r="Y466" s="12" t="s">
        <v>66</v>
      </c>
      <c r="Z466" s="12"/>
      <c r="AA466" s="12"/>
      <c r="AB466" s="3">
        <v>2</v>
      </c>
    </row>
    <row r="467" spans="1:28" s="3" customFormat="1" ht="14.45" customHeight="1" x14ac:dyDescent="0.25">
      <c r="A467" s="141">
        <v>2</v>
      </c>
      <c r="B467" s="99" t="s">
        <v>196</v>
      </c>
      <c r="C467" s="95" t="str">
        <f>VLOOKUP($F467,Admin!$D$11:$F$19,2,FALSE)</f>
        <v>Koordináció</v>
      </c>
      <c r="D467" s="138" t="s">
        <v>123</v>
      </c>
      <c r="E467" s="95" t="str">
        <f>VLOOKUP($F467,Admin!$D$11:$F$19,3,FALSE)</f>
        <v>54. Bérköltség - Projektmenedzser</v>
      </c>
      <c r="F467" s="139" t="s">
        <v>173</v>
      </c>
      <c r="G467" s="100" t="s">
        <v>181</v>
      </c>
      <c r="H467" s="100" t="s">
        <v>143</v>
      </c>
      <c r="I467" s="139" t="str">
        <f>VLOOKUP($F467,Admin!$D$11:$G$19,4,FALSE)</f>
        <v>Projektmenedzsment</v>
      </c>
      <c r="J467" s="100" t="s">
        <v>35</v>
      </c>
      <c r="K467" s="95" t="str">
        <f t="shared" si="677"/>
        <v>2021.05</v>
      </c>
      <c r="L467" s="101" t="s">
        <v>6</v>
      </c>
      <c r="M467" s="96" t="s">
        <v>70</v>
      </c>
      <c r="N467" s="103">
        <v>400000</v>
      </c>
      <c r="O467" s="97">
        <f t="shared" si="678"/>
        <v>62000</v>
      </c>
      <c r="P467" s="104">
        <v>174</v>
      </c>
      <c r="Q467" s="104">
        <v>43</v>
      </c>
      <c r="R467" s="215">
        <f t="shared" si="675"/>
        <v>0.2471264367816092</v>
      </c>
      <c r="S467" s="105">
        <f t="shared" si="5"/>
        <v>98851</v>
      </c>
      <c r="T467" s="98">
        <f t="shared" si="679"/>
        <v>15322</v>
      </c>
      <c r="U467" s="70">
        <f t="shared" si="676"/>
        <v>-1.0632183908010351E-6</v>
      </c>
      <c r="V467" s="181">
        <v>0.155</v>
      </c>
      <c r="W467" s="210"/>
      <c r="X467" s="17">
        <v>44274</v>
      </c>
      <c r="Y467" s="12" t="s">
        <v>66</v>
      </c>
      <c r="Z467" s="12"/>
      <c r="AA467" s="12"/>
      <c r="AB467" s="3">
        <v>2</v>
      </c>
    </row>
    <row r="468" spans="1:28" s="3" customFormat="1" ht="14.45" customHeight="1" x14ac:dyDescent="0.25">
      <c r="A468" s="141">
        <v>2</v>
      </c>
      <c r="B468" s="99" t="s">
        <v>196</v>
      </c>
      <c r="C468" s="95" t="str">
        <f>VLOOKUP($F468,Admin!$D$11:$F$19,2,FALSE)</f>
        <v>Koordináció</v>
      </c>
      <c r="D468" s="138" t="s">
        <v>123</v>
      </c>
      <c r="E468" s="95" t="str">
        <f>VLOOKUP($F468,Admin!$D$11:$F$19,3,FALSE)</f>
        <v>54. Bérköltség - Projektmenedzser</v>
      </c>
      <c r="F468" s="139" t="s">
        <v>173</v>
      </c>
      <c r="G468" s="100" t="s">
        <v>181</v>
      </c>
      <c r="H468" s="100" t="s">
        <v>143</v>
      </c>
      <c r="I468" s="139" t="str">
        <f>VLOOKUP($F468,Admin!$D$11:$G$19,4,FALSE)</f>
        <v>Projektmenedzsment</v>
      </c>
      <c r="J468" s="100" t="s">
        <v>36</v>
      </c>
      <c r="K468" s="95" t="str">
        <f t="shared" si="677"/>
        <v>2021.06</v>
      </c>
      <c r="L468" s="101" t="s">
        <v>6</v>
      </c>
      <c r="M468" s="96" t="s">
        <v>70</v>
      </c>
      <c r="N468" s="103">
        <v>400000</v>
      </c>
      <c r="O468" s="97">
        <f t="shared" si="678"/>
        <v>62000</v>
      </c>
      <c r="P468" s="104">
        <v>174</v>
      </c>
      <c r="Q468" s="104">
        <v>43</v>
      </c>
      <c r="R468" s="215">
        <f t="shared" si="675"/>
        <v>0.2471264367816092</v>
      </c>
      <c r="S468" s="105">
        <f t="shared" si="5"/>
        <v>98851</v>
      </c>
      <c r="T468" s="98">
        <f t="shared" si="679"/>
        <v>15322</v>
      </c>
      <c r="U468" s="70">
        <f t="shared" si="676"/>
        <v>-1.0632183908010351E-6</v>
      </c>
      <c r="V468" s="181">
        <v>0.155</v>
      </c>
      <c r="W468" s="210"/>
      <c r="X468" s="17">
        <v>44274</v>
      </c>
      <c r="Y468" s="12" t="s">
        <v>66</v>
      </c>
      <c r="Z468" s="12"/>
      <c r="AA468" s="12"/>
      <c r="AB468" s="3">
        <v>2</v>
      </c>
    </row>
    <row r="469" spans="1:28" s="3" customFormat="1" ht="14.45" customHeight="1" x14ac:dyDescent="0.25">
      <c r="A469" s="141">
        <v>2</v>
      </c>
      <c r="B469" s="99" t="s">
        <v>196</v>
      </c>
      <c r="C469" s="95" t="str">
        <f>VLOOKUP($F469,Admin!$D$11:$F$19,2,FALSE)</f>
        <v>Koordináció</v>
      </c>
      <c r="D469" s="138" t="s">
        <v>123</v>
      </c>
      <c r="E469" s="95" t="str">
        <f>VLOOKUP($F469,Admin!$D$11:$F$19,3,FALSE)</f>
        <v>54. Bérköltség - Projektmenedzser</v>
      </c>
      <c r="F469" s="139" t="s">
        <v>173</v>
      </c>
      <c r="G469" s="100" t="s">
        <v>181</v>
      </c>
      <c r="H469" s="100" t="s">
        <v>143</v>
      </c>
      <c r="I469" s="139" t="str">
        <f>VLOOKUP($F469,Admin!$D$11:$G$19,4,FALSE)</f>
        <v>Projektmenedzsment</v>
      </c>
      <c r="J469" s="100" t="s">
        <v>37</v>
      </c>
      <c r="K469" s="95" t="str">
        <f t="shared" si="677"/>
        <v>2021.07</v>
      </c>
      <c r="L469" s="101" t="s">
        <v>6</v>
      </c>
      <c r="M469" s="96" t="s">
        <v>70</v>
      </c>
      <c r="N469" s="103">
        <v>400000</v>
      </c>
      <c r="O469" s="97">
        <f t="shared" si="678"/>
        <v>62000</v>
      </c>
      <c r="P469" s="104">
        <v>174</v>
      </c>
      <c r="Q469" s="104">
        <v>43</v>
      </c>
      <c r="R469" s="215">
        <f t="shared" si="675"/>
        <v>0.2471264367816092</v>
      </c>
      <c r="S469" s="105">
        <f t="shared" si="5"/>
        <v>98851</v>
      </c>
      <c r="T469" s="98">
        <f t="shared" si="679"/>
        <v>15322</v>
      </c>
      <c r="U469" s="70">
        <f t="shared" si="676"/>
        <v>-1.0632183908010351E-6</v>
      </c>
      <c r="V469" s="181">
        <v>0.155</v>
      </c>
      <c r="W469" s="210"/>
      <c r="X469" s="17">
        <v>44274</v>
      </c>
      <c r="Y469" s="12" t="s">
        <v>66</v>
      </c>
      <c r="Z469" s="12"/>
      <c r="AA469" s="12"/>
      <c r="AB469" s="3">
        <v>2</v>
      </c>
    </row>
    <row r="470" spans="1:28" s="3" customFormat="1" ht="14.45" customHeight="1" x14ac:dyDescent="0.25">
      <c r="A470" s="141">
        <v>2</v>
      </c>
      <c r="B470" s="99" t="s">
        <v>196</v>
      </c>
      <c r="C470" s="95" t="str">
        <f>VLOOKUP($F470,Admin!$D$11:$F$19,2,FALSE)</f>
        <v>Koordináció</v>
      </c>
      <c r="D470" s="138" t="s">
        <v>123</v>
      </c>
      <c r="E470" s="95" t="str">
        <f>VLOOKUP($F470,Admin!$D$11:$F$19,3,FALSE)</f>
        <v>54. Bérköltség - Projektmenedzser</v>
      </c>
      <c r="F470" s="139" t="s">
        <v>173</v>
      </c>
      <c r="G470" s="100" t="s">
        <v>181</v>
      </c>
      <c r="H470" s="100" t="s">
        <v>143</v>
      </c>
      <c r="I470" s="139" t="str">
        <f>VLOOKUP($F470,Admin!$D$11:$G$19,4,FALSE)</f>
        <v>Projektmenedzsment</v>
      </c>
      <c r="J470" s="100" t="s">
        <v>38</v>
      </c>
      <c r="K470" s="95" t="str">
        <f t="shared" si="677"/>
        <v>2021.08</v>
      </c>
      <c r="L470" s="101" t="s">
        <v>6</v>
      </c>
      <c r="M470" s="96" t="s">
        <v>70</v>
      </c>
      <c r="N470" s="103">
        <v>400000</v>
      </c>
      <c r="O470" s="97">
        <f t="shared" si="678"/>
        <v>62000</v>
      </c>
      <c r="P470" s="104">
        <v>174</v>
      </c>
      <c r="Q470" s="104">
        <v>43</v>
      </c>
      <c r="R470" s="215">
        <f t="shared" si="675"/>
        <v>0.2471264367816092</v>
      </c>
      <c r="S470" s="105">
        <f t="shared" si="5"/>
        <v>98851</v>
      </c>
      <c r="T470" s="98">
        <f t="shared" si="679"/>
        <v>15322</v>
      </c>
      <c r="U470" s="70">
        <f t="shared" si="676"/>
        <v>-1.0632183908010351E-6</v>
      </c>
      <c r="V470" s="181">
        <v>0.155</v>
      </c>
      <c r="W470" s="210"/>
      <c r="X470" s="17">
        <v>44274</v>
      </c>
      <c r="Y470" s="12" t="s">
        <v>66</v>
      </c>
      <c r="Z470" s="12"/>
      <c r="AA470" s="12"/>
      <c r="AB470" s="3">
        <v>2</v>
      </c>
    </row>
    <row r="471" spans="1:28" s="3" customFormat="1" ht="14.45" customHeight="1" x14ac:dyDescent="0.25">
      <c r="A471" s="141">
        <v>2</v>
      </c>
      <c r="B471" s="99" t="s">
        <v>196</v>
      </c>
      <c r="C471" s="95" t="str">
        <f>VLOOKUP($F471,Admin!$D$11:$F$19,2,FALSE)</f>
        <v>Koordináció</v>
      </c>
      <c r="D471" s="138" t="s">
        <v>123</v>
      </c>
      <c r="E471" s="95" t="str">
        <f>VLOOKUP($F471,Admin!$D$11:$F$19,3,FALSE)</f>
        <v>54. Bérköltség - Projektmenedzser</v>
      </c>
      <c r="F471" s="139" t="s">
        <v>173</v>
      </c>
      <c r="G471" s="100" t="s">
        <v>181</v>
      </c>
      <c r="H471" s="100" t="s">
        <v>143</v>
      </c>
      <c r="I471" s="139" t="str">
        <f>VLOOKUP($F471,Admin!$D$11:$G$19,4,FALSE)</f>
        <v>Projektmenedzsment</v>
      </c>
      <c r="J471" s="100" t="s">
        <v>39</v>
      </c>
      <c r="K471" s="95" t="str">
        <f t="shared" si="677"/>
        <v>2021.09</v>
      </c>
      <c r="L471" s="101" t="s">
        <v>6</v>
      </c>
      <c r="M471" s="96" t="s">
        <v>70</v>
      </c>
      <c r="N471" s="103">
        <v>400000</v>
      </c>
      <c r="O471" s="97">
        <f t="shared" si="678"/>
        <v>62000</v>
      </c>
      <c r="P471" s="104">
        <v>174</v>
      </c>
      <c r="Q471" s="104">
        <v>43</v>
      </c>
      <c r="R471" s="215">
        <f t="shared" si="675"/>
        <v>0.2471264367816092</v>
      </c>
      <c r="S471" s="105">
        <f t="shared" si="5"/>
        <v>98851</v>
      </c>
      <c r="T471" s="98">
        <f t="shared" si="679"/>
        <v>15322</v>
      </c>
      <c r="U471" s="70">
        <f t="shared" si="676"/>
        <v>-1.0632183908010351E-6</v>
      </c>
      <c r="V471" s="181">
        <v>0.155</v>
      </c>
      <c r="W471" s="210"/>
      <c r="X471" s="17">
        <v>44274</v>
      </c>
      <c r="Y471" s="12" t="s">
        <v>66</v>
      </c>
      <c r="Z471" s="12"/>
      <c r="AA471" s="12"/>
      <c r="AB471" s="3">
        <v>2</v>
      </c>
    </row>
    <row r="472" spans="1:28" s="3" customFormat="1" ht="14.45" customHeight="1" x14ac:dyDescent="0.25">
      <c r="A472" s="141">
        <v>2</v>
      </c>
      <c r="B472" s="99" t="s">
        <v>196</v>
      </c>
      <c r="C472" s="95" t="str">
        <f>VLOOKUP($F472,Admin!$D$11:$F$19,2,FALSE)</f>
        <v>Koordináció</v>
      </c>
      <c r="D472" s="138" t="s">
        <v>123</v>
      </c>
      <c r="E472" s="95" t="str">
        <f>VLOOKUP($F472,Admin!$D$11:$F$19,3,FALSE)</f>
        <v>54. Bérköltség - Projektmenedzser</v>
      </c>
      <c r="F472" s="139" t="s">
        <v>173</v>
      </c>
      <c r="G472" s="100" t="s">
        <v>181</v>
      </c>
      <c r="H472" s="100" t="s">
        <v>143</v>
      </c>
      <c r="I472" s="139" t="str">
        <f>VLOOKUP($F472,Admin!$D$11:$G$19,4,FALSE)</f>
        <v>Projektmenedzsment</v>
      </c>
      <c r="J472" s="100" t="s">
        <v>40</v>
      </c>
      <c r="K472" s="95" t="str">
        <f t="shared" si="677"/>
        <v>2021.10</v>
      </c>
      <c r="L472" s="101" t="s">
        <v>6</v>
      </c>
      <c r="M472" s="96" t="s">
        <v>70</v>
      </c>
      <c r="N472" s="103">
        <v>460000</v>
      </c>
      <c r="O472" s="97">
        <f t="shared" si="678"/>
        <v>71300</v>
      </c>
      <c r="P472" s="104">
        <v>174</v>
      </c>
      <c r="Q472" s="104">
        <v>43</v>
      </c>
      <c r="R472" s="215">
        <f t="shared" si="675"/>
        <v>0.2471264367816092</v>
      </c>
      <c r="S472" s="105">
        <f t="shared" si="5"/>
        <v>113678</v>
      </c>
      <c r="T472" s="98">
        <f t="shared" si="679"/>
        <v>17620</v>
      </c>
      <c r="U472" s="70">
        <f t="shared" si="676"/>
        <v>3.4982508745340368E-7</v>
      </c>
      <c r="V472" s="181">
        <v>0.155</v>
      </c>
      <c r="W472" s="210"/>
      <c r="X472" s="17">
        <v>44469</v>
      </c>
      <c r="Y472" s="12" t="s">
        <v>66</v>
      </c>
      <c r="Z472" s="12"/>
      <c r="AA472" s="12"/>
      <c r="AB472" s="3">
        <v>2</v>
      </c>
    </row>
    <row r="473" spans="1:28" s="3" customFormat="1" ht="14.45" customHeight="1" x14ac:dyDescent="0.25">
      <c r="A473" s="141">
        <v>2</v>
      </c>
      <c r="B473" s="99" t="s">
        <v>196</v>
      </c>
      <c r="C473" s="95" t="str">
        <f>VLOOKUP($F473,Admin!$D$11:$F$19,2,FALSE)</f>
        <v>Koordináció</v>
      </c>
      <c r="D473" s="138" t="s">
        <v>123</v>
      </c>
      <c r="E473" s="95" t="str">
        <f>VLOOKUP($F473,Admin!$D$11:$F$19,3,FALSE)</f>
        <v>54. Bérköltség - Projektmenedzser</v>
      </c>
      <c r="F473" s="139" t="s">
        <v>173</v>
      </c>
      <c r="G473" s="100" t="s">
        <v>181</v>
      </c>
      <c r="H473" s="100" t="s">
        <v>143</v>
      </c>
      <c r="I473" s="139" t="str">
        <f>VLOOKUP($F473,Admin!$D$11:$G$19,4,FALSE)</f>
        <v>Projektmenedzsment</v>
      </c>
      <c r="J473" s="100" t="s">
        <v>41</v>
      </c>
      <c r="K473" s="95" t="str">
        <f t="shared" si="677"/>
        <v>2021.11</v>
      </c>
      <c r="L473" s="101" t="s">
        <v>6</v>
      </c>
      <c r="M473" s="96" t="s">
        <v>70</v>
      </c>
      <c r="N473" s="103">
        <v>460000</v>
      </c>
      <c r="O473" s="97">
        <f t="shared" si="678"/>
        <v>71300</v>
      </c>
      <c r="P473" s="104">
        <v>174</v>
      </c>
      <c r="Q473" s="104">
        <v>43</v>
      </c>
      <c r="R473" s="215">
        <f t="shared" si="675"/>
        <v>0.2471264367816092</v>
      </c>
      <c r="S473" s="105">
        <f t="shared" si="5"/>
        <v>113678</v>
      </c>
      <c r="T473" s="98">
        <f t="shared" si="679"/>
        <v>17620</v>
      </c>
      <c r="U473" s="70">
        <f t="shared" si="676"/>
        <v>3.4982508745340368E-7</v>
      </c>
      <c r="V473" s="181">
        <v>0.155</v>
      </c>
      <c r="W473" s="210"/>
      <c r="X473" s="17">
        <v>44469</v>
      </c>
      <c r="Y473" s="12" t="s">
        <v>66</v>
      </c>
      <c r="Z473" s="12"/>
      <c r="AA473" s="12"/>
      <c r="AB473" s="3">
        <v>2</v>
      </c>
    </row>
    <row r="474" spans="1:28" s="3" customFormat="1" ht="14.45" customHeight="1" x14ac:dyDescent="0.25">
      <c r="A474" s="141">
        <v>2</v>
      </c>
      <c r="B474" s="99" t="s">
        <v>196</v>
      </c>
      <c r="C474" s="95" t="str">
        <f>VLOOKUP($F474,Admin!$D$11:$F$19,2,FALSE)</f>
        <v>Koordináció</v>
      </c>
      <c r="D474" s="138" t="s">
        <v>123</v>
      </c>
      <c r="E474" s="95" t="str">
        <f>VLOOKUP($F474,Admin!$D$11:$F$19,3,FALSE)</f>
        <v>54. Bérköltség - Projektmenedzser</v>
      </c>
      <c r="F474" s="139" t="s">
        <v>173</v>
      </c>
      <c r="G474" s="100" t="s">
        <v>181</v>
      </c>
      <c r="H474" s="100" t="s">
        <v>143</v>
      </c>
      <c r="I474" s="139" t="str">
        <f>VLOOKUP($F474,Admin!$D$11:$G$19,4,FALSE)</f>
        <v>Projektmenedzsment</v>
      </c>
      <c r="J474" s="100" t="s">
        <v>42</v>
      </c>
      <c r="K474" s="95" t="str">
        <f t="shared" si="677"/>
        <v>2021.12</v>
      </c>
      <c r="L474" s="101" t="s">
        <v>6</v>
      </c>
      <c r="M474" s="96" t="s">
        <v>70</v>
      </c>
      <c r="N474" s="103">
        <v>460000</v>
      </c>
      <c r="O474" s="97">
        <f t="shared" si="678"/>
        <v>71300</v>
      </c>
      <c r="P474" s="104">
        <v>174</v>
      </c>
      <c r="Q474" s="104">
        <v>43</v>
      </c>
      <c r="R474" s="215">
        <f t="shared" si="675"/>
        <v>0.2471264367816092</v>
      </c>
      <c r="S474" s="105">
        <f t="shared" si="5"/>
        <v>113678</v>
      </c>
      <c r="T474" s="98">
        <f t="shared" si="679"/>
        <v>17620</v>
      </c>
      <c r="U474" s="70">
        <f t="shared" si="676"/>
        <v>3.4982508745340368E-7</v>
      </c>
      <c r="V474" s="181">
        <v>0.155</v>
      </c>
      <c r="W474" s="210"/>
      <c r="X474" s="17">
        <v>44469</v>
      </c>
      <c r="Y474" s="12" t="s">
        <v>66</v>
      </c>
      <c r="Z474" s="12"/>
      <c r="AA474" s="12"/>
      <c r="AB474" s="3">
        <v>2</v>
      </c>
    </row>
    <row r="475" spans="1:28" s="3" customFormat="1" ht="14.45" customHeight="1" x14ac:dyDescent="0.25">
      <c r="A475" s="141">
        <v>2</v>
      </c>
      <c r="B475" s="99" t="s">
        <v>196</v>
      </c>
      <c r="C475" s="95" t="str">
        <f>VLOOKUP($F475,Admin!$D$11:$F$19,2,FALSE)</f>
        <v>Koordináció</v>
      </c>
      <c r="D475" s="138" t="s">
        <v>123</v>
      </c>
      <c r="E475" s="95" t="str">
        <f>VLOOKUP($F475,Admin!$D$11:$F$19,3,FALSE)</f>
        <v>54. Bérköltség - Projektmenedzser</v>
      </c>
      <c r="F475" s="139" t="s">
        <v>173</v>
      </c>
      <c r="G475" s="100" t="s">
        <v>181</v>
      </c>
      <c r="H475" s="100" t="s">
        <v>143</v>
      </c>
      <c r="I475" s="139" t="str">
        <f>VLOOKUP($F475,Admin!$D$11:$G$19,4,FALSE)</f>
        <v>Projektmenedzsment</v>
      </c>
      <c r="J475" s="100" t="s">
        <v>43</v>
      </c>
      <c r="K475" s="95" t="str">
        <f t="shared" si="677"/>
        <v>2022.01</v>
      </c>
      <c r="L475" s="101" t="s">
        <v>6</v>
      </c>
      <c r="M475" s="96" t="s">
        <v>70</v>
      </c>
      <c r="N475" s="103">
        <v>560000</v>
      </c>
      <c r="O475" s="97">
        <f t="shared" si="678"/>
        <v>72800</v>
      </c>
      <c r="P475" s="104">
        <v>174</v>
      </c>
      <c r="Q475" s="104">
        <v>43</v>
      </c>
      <c r="R475" s="215">
        <f t="shared" si="675"/>
        <v>0.2471264367816092</v>
      </c>
      <c r="S475" s="105">
        <f t="shared" si="5"/>
        <v>138391</v>
      </c>
      <c r="T475" s="98">
        <f t="shared" si="679"/>
        <v>17991</v>
      </c>
      <c r="U475" s="70">
        <f t="shared" si="676"/>
        <v>-3.489326765027112E-7</v>
      </c>
      <c r="V475" s="140">
        <v>0.13</v>
      </c>
      <c r="W475" s="209"/>
      <c r="X475" s="17">
        <v>44469</v>
      </c>
      <c r="Y475" s="12" t="s">
        <v>66</v>
      </c>
      <c r="Z475" s="12"/>
      <c r="AA475" s="12"/>
      <c r="AB475" s="3">
        <v>2</v>
      </c>
    </row>
    <row r="476" spans="1:28" s="3" customFormat="1" ht="14.45" customHeight="1" x14ac:dyDescent="0.25">
      <c r="A476" s="141">
        <v>3</v>
      </c>
      <c r="B476" s="99" t="s">
        <v>196</v>
      </c>
      <c r="C476" s="95" t="str">
        <f>VLOOKUP($F476,Admin!$D$11:$F$19,2,FALSE)</f>
        <v>Koordináció</v>
      </c>
      <c r="D476" s="138" t="s">
        <v>123</v>
      </c>
      <c r="E476" s="95" t="str">
        <f>VLOOKUP($F476,Admin!$D$11:$F$19,3,FALSE)</f>
        <v>54. Bérköltség - Projektmenedzser</v>
      </c>
      <c r="F476" s="139" t="s">
        <v>173</v>
      </c>
      <c r="G476" s="100" t="s">
        <v>181</v>
      </c>
      <c r="H476" s="100" t="s">
        <v>143</v>
      </c>
      <c r="I476" s="139" t="str">
        <f>VLOOKUP($F476,Admin!$D$11:$G$19,4,FALSE)</f>
        <v>Projektmenedzsment</v>
      </c>
      <c r="J476" s="100" t="s">
        <v>44</v>
      </c>
      <c r="K476" s="95" t="str">
        <f t="shared" si="677"/>
        <v>2022.02</v>
      </c>
      <c r="L476" s="101" t="s">
        <v>6</v>
      </c>
      <c r="M476" s="96" t="s">
        <v>70</v>
      </c>
      <c r="N476" s="103">
        <v>560000</v>
      </c>
      <c r="O476" s="97">
        <f t="shared" si="678"/>
        <v>72800</v>
      </c>
      <c r="P476" s="104">
        <v>174</v>
      </c>
      <c r="Q476" s="104">
        <v>62</v>
      </c>
      <c r="R476" s="215">
        <f t="shared" si="675"/>
        <v>0.35632183908045978</v>
      </c>
      <c r="S476" s="105">
        <f t="shared" si="5"/>
        <v>199540</v>
      </c>
      <c r="T476" s="98">
        <f t="shared" si="679"/>
        <v>25940</v>
      </c>
      <c r="U476" s="70">
        <f t="shared" si="676"/>
        <v>4.1050903121231386E-7</v>
      </c>
      <c r="V476" s="140">
        <v>0.13</v>
      </c>
      <c r="W476" s="209"/>
      <c r="X476" s="17">
        <v>44217</v>
      </c>
      <c r="Y476" s="12" t="s">
        <v>66</v>
      </c>
      <c r="Z476" s="12"/>
      <c r="AA476" s="12"/>
      <c r="AB476" s="3">
        <v>2</v>
      </c>
    </row>
    <row r="477" spans="1:28" s="3" customFormat="1" ht="14.45" customHeight="1" x14ac:dyDescent="0.25">
      <c r="A477" s="141">
        <v>3</v>
      </c>
      <c r="B477" s="99" t="s">
        <v>196</v>
      </c>
      <c r="C477" s="95" t="str">
        <f>VLOOKUP($F477,Admin!$D$11:$F$19,2,FALSE)</f>
        <v>Koordináció</v>
      </c>
      <c r="D477" s="138" t="s">
        <v>123</v>
      </c>
      <c r="E477" s="95" t="str">
        <f>VLOOKUP($F477,Admin!$D$11:$F$19,3,FALSE)</f>
        <v>54. Bérköltség - Projektmenedzser</v>
      </c>
      <c r="F477" s="139" t="s">
        <v>173</v>
      </c>
      <c r="G477" s="100" t="s">
        <v>181</v>
      </c>
      <c r="H477" s="100" t="s">
        <v>143</v>
      </c>
      <c r="I477" s="139" t="str">
        <f>VLOOKUP($F477,Admin!$D$11:$G$19,4,FALSE)</f>
        <v>Projektmenedzsment</v>
      </c>
      <c r="J477" s="100" t="s">
        <v>45</v>
      </c>
      <c r="K477" s="95" t="str">
        <f t="shared" si="677"/>
        <v>2022.03</v>
      </c>
      <c r="L477" s="101" t="s">
        <v>6</v>
      </c>
      <c r="M477" s="96" t="s">
        <v>70</v>
      </c>
      <c r="N477" s="103">
        <v>544726</v>
      </c>
      <c r="O477" s="97">
        <f t="shared" si="678"/>
        <v>70814</v>
      </c>
      <c r="P477" s="104">
        <v>174</v>
      </c>
      <c r="Q477" s="104">
        <v>62</v>
      </c>
      <c r="R477" s="215">
        <f t="shared" si="675"/>
        <v>0.35632183908045978</v>
      </c>
      <c r="S477" s="105">
        <f t="shared" si="5"/>
        <v>194098</v>
      </c>
      <c r="T477" s="98">
        <f t="shared" si="679"/>
        <v>25233</v>
      </c>
      <c r="U477" s="70">
        <f t="shared" si="676"/>
        <v>-4.2201961619747763E-7</v>
      </c>
      <c r="V477" s="140">
        <v>0.13</v>
      </c>
      <c r="W477" s="209"/>
      <c r="X477" s="17">
        <v>44609</v>
      </c>
      <c r="Y477" s="12" t="s">
        <v>66</v>
      </c>
      <c r="Z477" s="12"/>
      <c r="AA477" s="12"/>
      <c r="AB477" s="3">
        <v>2</v>
      </c>
    </row>
    <row r="478" spans="1:28" s="3" customFormat="1" ht="14.45" customHeight="1" x14ac:dyDescent="0.25">
      <c r="A478" s="141">
        <v>3</v>
      </c>
      <c r="B478" s="99" t="s">
        <v>196</v>
      </c>
      <c r="C478" s="95" t="str">
        <f>VLOOKUP($F478,Admin!$D$11:$F$19,2,FALSE)</f>
        <v>Koordináció</v>
      </c>
      <c r="D478" s="138" t="s">
        <v>123</v>
      </c>
      <c r="E478" s="95" t="str">
        <f>VLOOKUP($F478,Admin!$D$11:$F$19,3,FALSE)</f>
        <v>54. Bérköltség - Projektmenedzser</v>
      </c>
      <c r="F478" s="139" t="s">
        <v>173</v>
      </c>
      <c r="G478" s="100" t="s">
        <v>181</v>
      </c>
      <c r="H478" s="100" t="s">
        <v>143</v>
      </c>
      <c r="I478" s="139" t="str">
        <f>VLOOKUP($F478,Admin!$D$11:$G$19,4,FALSE)</f>
        <v>Projektmenedzsment</v>
      </c>
      <c r="J478" s="100" t="s">
        <v>46</v>
      </c>
      <c r="K478" s="95" t="str">
        <f t="shared" si="677"/>
        <v>2022.04</v>
      </c>
      <c r="L478" s="101" t="s">
        <v>6</v>
      </c>
      <c r="M478" s="96" t="s">
        <v>70</v>
      </c>
      <c r="N478" s="103">
        <v>551159</v>
      </c>
      <c r="O478" s="97">
        <f t="shared" si="678"/>
        <v>71651</v>
      </c>
      <c r="P478" s="104">
        <v>174</v>
      </c>
      <c r="Q478" s="104">
        <v>62</v>
      </c>
      <c r="R478" s="215">
        <f t="shared" si="675"/>
        <v>0.35632183908045978</v>
      </c>
      <c r="S478" s="105">
        <f t="shared" si="5"/>
        <v>196390</v>
      </c>
      <c r="T478" s="98">
        <f t="shared" si="679"/>
        <v>25531</v>
      </c>
      <c r="U478" s="70">
        <f t="shared" si="676"/>
        <v>-2.0854695026439884E-8</v>
      </c>
      <c r="V478" s="140">
        <v>0.13</v>
      </c>
      <c r="W478" s="209"/>
      <c r="X478" s="17">
        <v>44609</v>
      </c>
      <c r="Y478" s="12" t="s">
        <v>66</v>
      </c>
      <c r="Z478" s="12"/>
      <c r="AA478" s="12"/>
      <c r="AB478" s="3">
        <v>2</v>
      </c>
    </row>
    <row r="479" spans="1:28" s="3" customFormat="1" ht="14.45" customHeight="1" x14ac:dyDescent="0.25">
      <c r="A479" s="141">
        <v>3</v>
      </c>
      <c r="B479" s="99" t="s">
        <v>196</v>
      </c>
      <c r="C479" s="95" t="str">
        <f>VLOOKUP($F479,Admin!$D$11:$F$19,2,FALSE)</f>
        <v>Koordináció</v>
      </c>
      <c r="D479" s="138" t="s">
        <v>123</v>
      </c>
      <c r="E479" s="95" t="str">
        <f>VLOOKUP($F479,Admin!$D$11:$F$19,3,FALSE)</f>
        <v>54. Bérköltség - Projektmenedzser</v>
      </c>
      <c r="F479" s="139" t="s">
        <v>173</v>
      </c>
      <c r="G479" s="100" t="s">
        <v>181</v>
      </c>
      <c r="H479" s="100" t="s">
        <v>143</v>
      </c>
      <c r="I479" s="139" t="str">
        <f>VLOOKUP($F479,Admin!$D$11:$G$19,4,FALSE)</f>
        <v>Projektmenedzsment</v>
      </c>
      <c r="J479" s="100" t="s">
        <v>47</v>
      </c>
      <c r="K479" s="95" t="str">
        <f t="shared" si="677"/>
        <v>2022.05</v>
      </c>
      <c r="L479" s="101" t="s">
        <v>6</v>
      </c>
      <c r="M479" s="96" t="s">
        <v>70</v>
      </c>
      <c r="N479" s="103">
        <v>583000</v>
      </c>
      <c r="O479" s="97">
        <f t="shared" si="678"/>
        <v>75790</v>
      </c>
      <c r="P479" s="104">
        <v>174</v>
      </c>
      <c r="Q479" s="104">
        <v>61</v>
      </c>
      <c r="R479" s="215">
        <f t="shared" si="675"/>
        <v>0.35057471264367818</v>
      </c>
      <c r="S479" s="105">
        <f t="shared" si="5"/>
        <v>204385</v>
      </c>
      <c r="T479" s="98">
        <f t="shared" si="679"/>
        <v>26570</v>
      </c>
      <c r="U479" s="70">
        <f t="shared" si="676"/>
        <v>9.8578498086698829E-8</v>
      </c>
      <c r="V479" s="140">
        <v>0.13</v>
      </c>
      <c r="W479" s="209"/>
      <c r="X479" s="17">
        <v>44676</v>
      </c>
      <c r="Y479" s="12" t="s">
        <v>66</v>
      </c>
      <c r="Z479" s="12"/>
      <c r="AA479" s="12"/>
      <c r="AB479" s="3">
        <v>2</v>
      </c>
    </row>
    <row r="480" spans="1:28" s="3" customFormat="1" ht="14.45" customHeight="1" x14ac:dyDescent="0.25">
      <c r="A480" s="141">
        <v>3</v>
      </c>
      <c r="B480" s="99" t="s">
        <v>196</v>
      </c>
      <c r="C480" s="95" t="str">
        <f>VLOOKUP($F480,Admin!$D$11:$F$19,2,FALSE)</f>
        <v>Koordináció</v>
      </c>
      <c r="D480" s="138" t="s">
        <v>123</v>
      </c>
      <c r="E480" s="95" t="str">
        <f>VLOOKUP($F480,Admin!$D$11:$F$19,3,FALSE)</f>
        <v>54. Bérköltség - Projektmenedzser</v>
      </c>
      <c r="F480" s="139" t="s">
        <v>173</v>
      </c>
      <c r="G480" s="100" t="s">
        <v>181</v>
      </c>
      <c r="H480" s="100" t="s">
        <v>143</v>
      </c>
      <c r="I480" s="139" t="str">
        <f>VLOOKUP($F480,Admin!$D$11:$G$19,4,FALSE)</f>
        <v>Projektmenedzsment</v>
      </c>
      <c r="J480" s="100" t="s">
        <v>48</v>
      </c>
      <c r="K480" s="95" t="str">
        <f t="shared" si="677"/>
        <v>2022.06</v>
      </c>
      <c r="L480" s="101" t="s">
        <v>6</v>
      </c>
      <c r="M480" s="96" t="s">
        <v>70</v>
      </c>
      <c r="N480" s="103">
        <v>583000</v>
      </c>
      <c r="O480" s="97">
        <f t="shared" ref="O480" si="715">ROUND(N480*V480,0)</f>
        <v>75790</v>
      </c>
      <c r="P480" s="104">
        <v>174</v>
      </c>
      <c r="Q480" s="104">
        <v>61</v>
      </c>
      <c r="R480" s="215">
        <f t="shared" ref="R480" si="716">Q480/P480</f>
        <v>0.35057471264367818</v>
      </c>
      <c r="S480" s="105">
        <f t="shared" ref="S480" si="717">ROUND(N480*Q480/P480,0)</f>
        <v>204385</v>
      </c>
      <c r="T480" s="98">
        <f t="shared" ref="T480" si="718">ROUND(S480*V480,0)</f>
        <v>26570</v>
      </c>
      <c r="U480" s="70">
        <f t="shared" ref="U480" si="719">Q480/P480-S480/N480</f>
        <v>9.8578498086698829E-8</v>
      </c>
      <c r="V480" s="140">
        <v>0.13</v>
      </c>
      <c r="W480" s="209"/>
      <c r="X480" s="17">
        <v>44676</v>
      </c>
      <c r="Y480" s="12" t="s">
        <v>66</v>
      </c>
      <c r="Z480" s="12"/>
      <c r="AA480" s="12"/>
      <c r="AB480" s="3">
        <v>2</v>
      </c>
    </row>
    <row r="481" spans="1:31" s="3" customFormat="1" ht="14.45" customHeight="1" x14ac:dyDescent="0.25">
      <c r="A481" s="141">
        <v>3</v>
      </c>
      <c r="B481" s="99" t="s">
        <v>196</v>
      </c>
      <c r="C481" s="95" t="str">
        <f>VLOOKUP($F481,Admin!$D$11:$F$19,2,FALSE)</f>
        <v>Koordináció</v>
      </c>
      <c r="D481" s="138" t="s">
        <v>123</v>
      </c>
      <c r="E481" s="95" t="str">
        <f>VLOOKUP($F481,Admin!$D$11:$F$19,3,FALSE)</f>
        <v>54. Bérköltség - Projektmenedzser</v>
      </c>
      <c r="F481" s="139" t="s">
        <v>173</v>
      </c>
      <c r="G481" s="100" t="s">
        <v>181</v>
      </c>
      <c r="H481" s="100" t="s">
        <v>143</v>
      </c>
      <c r="I481" s="139" t="str">
        <f>VLOOKUP($F481,Admin!$D$11:$G$19,4,FALSE)</f>
        <v>Projektmenedzsment</v>
      </c>
      <c r="J481" s="100" t="s">
        <v>49</v>
      </c>
      <c r="K481" s="95" t="str">
        <f t="shared" ref="K481:K482" si="720">J481</f>
        <v>2022.07</v>
      </c>
      <c r="L481" s="101" t="s">
        <v>6</v>
      </c>
      <c r="M481" s="96" t="s">
        <v>70</v>
      </c>
      <c r="N481" s="103">
        <v>608185</v>
      </c>
      <c r="O481" s="97">
        <f t="shared" ref="O481" si="721">ROUND(N481*V481,0)</f>
        <v>79064</v>
      </c>
      <c r="P481" s="104">
        <v>174</v>
      </c>
      <c r="Q481" s="104">
        <v>58</v>
      </c>
      <c r="R481" s="215">
        <f t="shared" ref="R481" si="722">Q481/P481</f>
        <v>0.33333333333333331</v>
      </c>
      <c r="S481" s="105">
        <f t="shared" ref="S481" si="723">ROUND(N481*Q481/P481,0)</f>
        <v>202728</v>
      </c>
      <c r="T481" s="98">
        <f t="shared" ref="T481" si="724">ROUND(S481*V481,0)</f>
        <v>26355</v>
      </c>
      <c r="U481" s="70">
        <f t="shared" ref="U481" si="725">Q481/P481-S481/N481</f>
        <v>5.480788465850317E-7</v>
      </c>
      <c r="V481" s="140">
        <v>0.13</v>
      </c>
      <c r="W481" s="209"/>
      <c r="X481" s="17">
        <v>44729</v>
      </c>
      <c r="Y481" s="12" t="s">
        <v>66</v>
      </c>
      <c r="Z481" s="12"/>
      <c r="AA481" s="12"/>
      <c r="AB481" s="3">
        <v>2</v>
      </c>
    </row>
    <row r="482" spans="1:31" s="3" customFormat="1" ht="14.45" customHeight="1" x14ac:dyDescent="0.25">
      <c r="A482" s="141">
        <v>3</v>
      </c>
      <c r="B482" s="99" t="s">
        <v>196</v>
      </c>
      <c r="C482" s="95" t="str">
        <f>VLOOKUP($F482,Admin!$D$11:$F$19,2,FALSE)</f>
        <v>Koordináció</v>
      </c>
      <c r="D482" s="138" t="s">
        <v>123</v>
      </c>
      <c r="E482" s="95" t="str">
        <f>VLOOKUP($F482,Admin!$D$11:$F$19,3,FALSE)</f>
        <v>54. Bérköltség - Projektmenedzser</v>
      </c>
      <c r="F482" s="139" t="s">
        <v>173</v>
      </c>
      <c r="G482" s="100" t="s">
        <v>181</v>
      </c>
      <c r="H482" s="100" t="s">
        <v>143</v>
      </c>
      <c r="I482" s="139" t="str">
        <f>VLOOKUP($F482,Admin!$D$11:$G$19,4,FALSE)</f>
        <v>Projektmenedzsment</v>
      </c>
      <c r="J482" s="100" t="s">
        <v>50</v>
      </c>
      <c r="K482" s="95" t="str">
        <f t="shared" si="720"/>
        <v>2022.08</v>
      </c>
      <c r="L482" s="101" t="s">
        <v>6</v>
      </c>
      <c r="M482" s="96" t="s">
        <v>70</v>
      </c>
      <c r="N482" s="103">
        <v>475971</v>
      </c>
      <c r="O482" s="97">
        <f t="shared" ref="O482:O483" si="726">ROUND(N482*V482,0)</f>
        <v>61876</v>
      </c>
      <c r="P482" s="104">
        <v>174</v>
      </c>
      <c r="Q482" s="104">
        <v>58</v>
      </c>
      <c r="R482" s="215">
        <f t="shared" ref="R482:R483" si="727">Q482/P482</f>
        <v>0.33333333333333331</v>
      </c>
      <c r="S482" s="105">
        <f t="shared" ref="S482:S483" si="728">ROUND(N482*Q482/P482,0)</f>
        <v>158657</v>
      </c>
      <c r="T482" s="98">
        <f t="shared" ref="T482:T483" si="729">ROUND(S482*V482,0)</f>
        <v>20625</v>
      </c>
      <c r="U482" s="70">
        <f t="shared" ref="U482:U483" si="730">Q482/P482-S482/N482</f>
        <v>0</v>
      </c>
      <c r="V482" s="140">
        <v>0.13</v>
      </c>
      <c r="W482" s="209"/>
      <c r="X482" s="17">
        <v>44729</v>
      </c>
      <c r="Y482" s="12" t="s">
        <v>66</v>
      </c>
      <c r="Z482" s="12"/>
      <c r="AA482" s="12"/>
      <c r="AB482" s="3">
        <v>2</v>
      </c>
    </row>
    <row r="483" spans="1:31" s="3" customFormat="1" ht="14.45" customHeight="1" x14ac:dyDescent="0.25">
      <c r="A483" s="141">
        <v>3</v>
      </c>
      <c r="B483" s="99" t="s">
        <v>196</v>
      </c>
      <c r="C483" s="95" t="str">
        <f>VLOOKUP($F483,Admin!$D$11:$F$19,2,FALSE)</f>
        <v>Koordináció</v>
      </c>
      <c r="D483" s="138" t="s">
        <v>123</v>
      </c>
      <c r="E483" s="95" t="str">
        <f>VLOOKUP($F483,Admin!$D$11:$F$19,3,FALSE)</f>
        <v>54. Bérköltség - Projektmenedzser</v>
      </c>
      <c r="F483" s="139" t="s">
        <v>173</v>
      </c>
      <c r="G483" s="100" t="s">
        <v>181</v>
      </c>
      <c r="H483" s="100" t="s">
        <v>143</v>
      </c>
      <c r="I483" s="139" t="str">
        <f>VLOOKUP($F483,Admin!$D$11:$G$19,4,FALSE)</f>
        <v>Projektmenedzsment</v>
      </c>
      <c r="J483" s="100" t="s">
        <v>51</v>
      </c>
      <c r="K483" s="95" t="str">
        <f t="shared" ref="K483" si="731">J483</f>
        <v>2022.09</v>
      </c>
      <c r="L483" s="101" t="s">
        <v>6</v>
      </c>
      <c r="M483" s="96" t="s">
        <v>70</v>
      </c>
      <c r="N483" s="103">
        <v>608184</v>
      </c>
      <c r="O483" s="97">
        <f t="shared" si="726"/>
        <v>79064</v>
      </c>
      <c r="P483" s="104">
        <v>174</v>
      </c>
      <c r="Q483" s="104">
        <v>58</v>
      </c>
      <c r="R483" s="215">
        <f t="shared" si="727"/>
        <v>0.33333333333333331</v>
      </c>
      <c r="S483" s="105">
        <f t="shared" si="728"/>
        <v>202728</v>
      </c>
      <c r="T483" s="98">
        <f t="shared" si="729"/>
        <v>26355</v>
      </c>
      <c r="U483" s="70">
        <f t="shared" si="730"/>
        <v>0</v>
      </c>
      <c r="V483" s="140">
        <v>0.13</v>
      </c>
      <c r="W483" s="209"/>
      <c r="X483" s="17">
        <v>44729</v>
      </c>
      <c r="Y483" s="12" t="s">
        <v>66</v>
      </c>
      <c r="Z483" s="12"/>
      <c r="AA483" s="12"/>
      <c r="AB483" s="3">
        <v>2</v>
      </c>
    </row>
    <row r="484" spans="1:31" s="3" customFormat="1" ht="14.45" customHeight="1" x14ac:dyDescent="0.25">
      <c r="A484" s="141">
        <v>3</v>
      </c>
      <c r="B484" s="99" t="s">
        <v>196</v>
      </c>
      <c r="C484" s="95" t="str">
        <f>VLOOKUP($F484,Admin!$D$11:$F$19,2,FALSE)</f>
        <v>Koordináció</v>
      </c>
      <c r="D484" s="138" t="s">
        <v>123</v>
      </c>
      <c r="E484" s="95" t="str">
        <f>VLOOKUP($F484,Admin!$D$11:$F$19,3,FALSE)</f>
        <v>54. Bérköltség - Projektmenedzser</v>
      </c>
      <c r="F484" s="139" t="s">
        <v>173</v>
      </c>
      <c r="G484" s="100" t="s">
        <v>181</v>
      </c>
      <c r="H484" s="100" t="s">
        <v>143</v>
      </c>
      <c r="I484" s="139" t="str">
        <f>VLOOKUP($F484,Admin!$D$11:$G$19,4,FALSE)</f>
        <v>Projektmenedzsment</v>
      </c>
      <c r="J484" s="100" t="s">
        <v>52</v>
      </c>
      <c r="K484" s="95" t="str">
        <f t="shared" ref="K484:K487" si="732">J484</f>
        <v>2022.10</v>
      </c>
      <c r="L484" s="101" t="s">
        <v>6</v>
      </c>
      <c r="M484" s="96" t="s">
        <v>70</v>
      </c>
      <c r="N484" s="103">
        <v>547367</v>
      </c>
      <c r="O484" s="97">
        <f t="shared" ref="O484" si="733">ROUND(N484*V484,0)</f>
        <v>71158</v>
      </c>
      <c r="P484" s="104">
        <v>174</v>
      </c>
      <c r="Q484" s="104">
        <v>58</v>
      </c>
      <c r="R484" s="215">
        <f t="shared" ref="R484" si="734">Q484/P484</f>
        <v>0.33333333333333331</v>
      </c>
      <c r="S484" s="105">
        <f t="shared" ref="S484" si="735">ROUND(N484*Q484/P484,0)</f>
        <v>182456</v>
      </c>
      <c r="T484" s="98">
        <f t="shared" ref="T484" si="736">ROUND(S484*V484,0)</f>
        <v>23719</v>
      </c>
      <c r="U484" s="70">
        <f t="shared" ref="U484" si="737">Q484/P484-S484/N484</f>
        <v>-6.0897594000852706E-7</v>
      </c>
      <c r="V484" s="140">
        <v>0.13</v>
      </c>
      <c r="W484" s="209"/>
      <c r="X484" s="17">
        <v>44830</v>
      </c>
      <c r="Y484" s="12" t="s">
        <v>66</v>
      </c>
      <c r="Z484" s="12"/>
      <c r="AA484" s="12"/>
      <c r="AB484" s="3">
        <v>2</v>
      </c>
    </row>
    <row r="485" spans="1:31" s="3" customFormat="1" ht="14.45" customHeight="1" x14ac:dyDescent="0.25">
      <c r="A485" s="141">
        <v>3</v>
      </c>
      <c r="B485" s="99" t="s">
        <v>196</v>
      </c>
      <c r="C485" s="95" t="str">
        <f>VLOOKUP($F485,Admin!$D$11:$F$19,2,FALSE)</f>
        <v>Koordináció</v>
      </c>
      <c r="D485" s="138" t="s">
        <v>123</v>
      </c>
      <c r="E485" s="95" t="str">
        <f>VLOOKUP($F485,Admin!$D$11:$F$19,3,FALSE)</f>
        <v>54. Bérköltség - Projektmenedzser</v>
      </c>
      <c r="F485" s="139" t="s">
        <v>173</v>
      </c>
      <c r="G485" s="100" t="s">
        <v>181</v>
      </c>
      <c r="H485" s="100" t="s">
        <v>143</v>
      </c>
      <c r="I485" s="139" t="str">
        <f>VLOOKUP($F485,Admin!$D$11:$G$19,4,FALSE)</f>
        <v>Projektmenedzsment</v>
      </c>
      <c r="J485" s="100" t="s">
        <v>53</v>
      </c>
      <c r="K485" s="95" t="str">
        <f t="shared" si="732"/>
        <v>2022.11</v>
      </c>
      <c r="L485" s="101" t="s">
        <v>6</v>
      </c>
      <c r="M485" s="96" t="s">
        <v>70</v>
      </c>
      <c r="N485" s="103">
        <v>608184</v>
      </c>
      <c r="O485" s="97">
        <f t="shared" ref="O485:O487" si="738">ROUND(N485*V485,0)</f>
        <v>79064</v>
      </c>
      <c r="P485" s="104">
        <v>174</v>
      </c>
      <c r="Q485" s="104">
        <v>58</v>
      </c>
      <c r="R485" s="215">
        <f t="shared" ref="R485:R487" si="739">Q485/P485</f>
        <v>0.33333333333333331</v>
      </c>
      <c r="S485" s="105">
        <f t="shared" ref="S485:S487" si="740">ROUND(N485*Q485/P485,0)</f>
        <v>202728</v>
      </c>
      <c r="T485" s="98">
        <f t="shared" ref="T485:T487" si="741">ROUND(S485*V485,0)</f>
        <v>26355</v>
      </c>
      <c r="U485" s="70">
        <f t="shared" ref="U485:U487" si="742">Q485/P485-S485/N485</f>
        <v>0</v>
      </c>
      <c r="V485" s="140">
        <v>0.13</v>
      </c>
      <c r="W485" s="209" t="s">
        <v>283</v>
      </c>
      <c r="X485" s="17">
        <v>44830</v>
      </c>
      <c r="Y485" s="12" t="s">
        <v>66</v>
      </c>
      <c r="Z485" s="12"/>
      <c r="AA485" s="12"/>
      <c r="AB485" s="3">
        <v>2</v>
      </c>
    </row>
    <row r="486" spans="1:31" s="3" customFormat="1" ht="14.45" customHeight="1" x14ac:dyDescent="0.25">
      <c r="A486" s="141">
        <v>3</v>
      </c>
      <c r="B486" s="99" t="s">
        <v>196</v>
      </c>
      <c r="C486" s="95" t="str">
        <f>VLOOKUP($F486,Admin!$D$11:$F$19,2,FALSE)</f>
        <v>Koordináció</v>
      </c>
      <c r="D486" s="138" t="s">
        <v>123</v>
      </c>
      <c r="E486" s="95" t="str">
        <f>VLOOKUP($F486,Admin!$D$11:$F$19,3,FALSE)</f>
        <v>54. Bérköltség - Projektmenedzser</v>
      </c>
      <c r="F486" s="139" t="s">
        <v>173</v>
      </c>
      <c r="G486" s="100" t="s">
        <v>181</v>
      </c>
      <c r="H486" s="100" t="s">
        <v>143</v>
      </c>
      <c r="I486" s="139" t="str">
        <f>VLOOKUP($F486,Admin!$D$11:$G$19,4,FALSE)</f>
        <v>Projektmenedzsment</v>
      </c>
      <c r="J486" s="100" t="s">
        <v>54</v>
      </c>
      <c r="K486" s="95" t="str">
        <f t="shared" si="732"/>
        <v>2022.12</v>
      </c>
      <c r="L486" s="101" t="s">
        <v>6</v>
      </c>
      <c r="M486" s="96" t="s">
        <v>70</v>
      </c>
      <c r="N486" s="103">
        <v>608184</v>
      </c>
      <c r="O486" s="97">
        <f t="shared" si="738"/>
        <v>79064</v>
      </c>
      <c r="P486" s="104">
        <v>174</v>
      </c>
      <c r="Q486" s="104">
        <v>58</v>
      </c>
      <c r="R486" s="215">
        <f t="shared" si="739"/>
        <v>0.33333333333333331</v>
      </c>
      <c r="S486" s="105">
        <f t="shared" si="740"/>
        <v>202728</v>
      </c>
      <c r="T486" s="98">
        <f t="shared" si="741"/>
        <v>26355</v>
      </c>
      <c r="U486" s="70">
        <f t="shared" si="742"/>
        <v>0</v>
      </c>
      <c r="V486" s="140">
        <v>0.13</v>
      </c>
      <c r="W486" s="209" t="s">
        <v>283</v>
      </c>
      <c r="X486" s="17">
        <v>44830</v>
      </c>
      <c r="Y486" s="12" t="s">
        <v>66</v>
      </c>
      <c r="Z486" s="12"/>
      <c r="AA486" s="12"/>
      <c r="AB486" s="3">
        <v>2</v>
      </c>
      <c r="AC486" s="204" t="s">
        <v>315</v>
      </c>
      <c r="AD486" s="204" t="s">
        <v>315</v>
      </c>
      <c r="AE486" s="204" t="s">
        <v>315</v>
      </c>
    </row>
    <row r="487" spans="1:31" s="3" customFormat="1" ht="14.45" customHeight="1" x14ac:dyDescent="0.25">
      <c r="A487" s="141">
        <v>3</v>
      </c>
      <c r="B487" s="99" t="s">
        <v>196</v>
      </c>
      <c r="C487" s="95" t="str">
        <f>VLOOKUP($F487,Admin!$D$11:$F$19,2,FALSE)</f>
        <v>Koordináció</v>
      </c>
      <c r="D487" s="138" t="s">
        <v>123</v>
      </c>
      <c r="E487" s="95" t="str">
        <f>VLOOKUP($F487,Admin!$D$11:$F$19,3,FALSE)</f>
        <v>54. Bérköltség - Projektmenedzser</v>
      </c>
      <c r="F487" s="139" t="s">
        <v>173</v>
      </c>
      <c r="G487" s="100" t="s">
        <v>181</v>
      </c>
      <c r="H487" s="100" t="s">
        <v>143</v>
      </c>
      <c r="I487" s="139" t="str">
        <f>VLOOKUP($F487,Admin!$D$11:$G$19,4,FALSE)</f>
        <v>Projektmenedzsment</v>
      </c>
      <c r="J487" s="100" t="s">
        <v>257</v>
      </c>
      <c r="K487" s="95" t="str">
        <f t="shared" si="732"/>
        <v>2023.01</v>
      </c>
      <c r="L487" s="101" t="s">
        <v>6</v>
      </c>
      <c r="M487" s="96" t="s">
        <v>70</v>
      </c>
      <c r="N487" s="103">
        <v>631257</v>
      </c>
      <c r="O487" s="97">
        <f t="shared" si="738"/>
        <v>82063</v>
      </c>
      <c r="P487" s="104">
        <v>174</v>
      </c>
      <c r="Q487" s="104">
        <v>58</v>
      </c>
      <c r="R487" s="215">
        <f t="shared" si="739"/>
        <v>0.33333333333333331</v>
      </c>
      <c r="S487" s="105">
        <f t="shared" si="740"/>
        <v>210419</v>
      </c>
      <c r="T487" s="98">
        <f t="shared" si="741"/>
        <v>27354</v>
      </c>
      <c r="U487" s="70">
        <f t="shared" si="742"/>
        <v>0</v>
      </c>
      <c r="V487" s="140">
        <v>0.13</v>
      </c>
      <c r="W487" s="209" t="s">
        <v>283</v>
      </c>
      <c r="X487" s="17">
        <v>44830</v>
      </c>
      <c r="Y487" s="12" t="s">
        <v>66</v>
      </c>
      <c r="Z487" s="12"/>
      <c r="AA487" s="12"/>
      <c r="AB487" s="3">
        <v>2</v>
      </c>
      <c r="AC487" s="204" t="s">
        <v>315</v>
      </c>
      <c r="AD487" s="216">
        <v>0</v>
      </c>
      <c r="AE487" s="216">
        <v>0</v>
      </c>
    </row>
    <row r="488" spans="1:31" s="3" customFormat="1" ht="14.45" customHeight="1" x14ac:dyDescent="0.25">
      <c r="A488" s="141"/>
      <c r="B488" s="99" t="s">
        <v>196</v>
      </c>
      <c r="C488" s="95" t="str">
        <f>VLOOKUP($F488,Admin!$D$11:$F$19,2,FALSE)</f>
        <v>Koordináció</v>
      </c>
      <c r="D488" s="138" t="s">
        <v>123</v>
      </c>
      <c r="E488" s="95" t="str">
        <f>VLOOKUP($F488,Admin!$D$11:$F$19,3,FALSE)</f>
        <v>54. Bérköltség - Projektmenedzser</v>
      </c>
      <c r="F488" s="139" t="s">
        <v>173</v>
      </c>
      <c r="G488" s="100" t="s">
        <v>181</v>
      </c>
      <c r="H488" s="100" t="s">
        <v>320</v>
      </c>
      <c r="I488" s="139" t="str">
        <f>VLOOKUP($F488,Admin!$D$11:$G$19,4,FALSE)</f>
        <v>Projektmenedzsment</v>
      </c>
      <c r="J488" s="100" t="s">
        <v>295</v>
      </c>
      <c r="K488" s="95" t="str">
        <f t="shared" ref="K488:K489" si="743">J488</f>
        <v>2023.02</v>
      </c>
      <c r="L488" s="101" t="s">
        <v>6</v>
      </c>
      <c r="M488" s="96" t="s">
        <v>70</v>
      </c>
      <c r="N488" s="103">
        <v>640000</v>
      </c>
      <c r="O488" s="97">
        <f t="shared" ref="O488" si="744">ROUND(N488*V488,0)</f>
        <v>83200</v>
      </c>
      <c r="P488" s="104">
        <v>174</v>
      </c>
      <c r="Q488" s="104">
        <v>70</v>
      </c>
      <c r="R488" s="215">
        <f t="shared" ref="R488" si="745">Q488/P488</f>
        <v>0.40229885057471265</v>
      </c>
      <c r="S488" s="105">
        <f t="shared" ref="S488" si="746">ROUND(N488*Q488/P488,0)</f>
        <v>257471</v>
      </c>
      <c r="T488" s="98">
        <f t="shared" ref="T488" si="747">ROUND(S488*V488,0)</f>
        <v>33471</v>
      </c>
      <c r="U488" s="70">
        <f t="shared" ref="U488" si="748">Q488/P488-S488/N488</f>
        <v>4.1307471265739082E-7</v>
      </c>
      <c r="V488" s="140">
        <v>0.13</v>
      </c>
      <c r="W488" s="209" t="s">
        <v>283</v>
      </c>
      <c r="X488" s="17">
        <v>44945</v>
      </c>
      <c r="Y488" s="12" t="s">
        <v>66</v>
      </c>
      <c r="Z488" s="12"/>
      <c r="AA488" s="12"/>
      <c r="AB488" s="3">
        <v>2</v>
      </c>
      <c r="AC488" s="3" t="s">
        <v>315</v>
      </c>
      <c r="AD488" s="3">
        <v>-320000</v>
      </c>
      <c r="AE488" s="3">
        <v>-41600</v>
      </c>
    </row>
    <row r="489" spans="1:31" s="3" customFormat="1" ht="14.45" customHeight="1" x14ac:dyDescent="0.25">
      <c r="A489" s="141"/>
      <c r="B489" s="99" t="s">
        <v>196</v>
      </c>
      <c r="C489" s="95" t="str">
        <f>VLOOKUP($F489,Admin!$D$11:$F$19,2,FALSE)</f>
        <v>Koordináció</v>
      </c>
      <c r="D489" s="138" t="s">
        <v>123</v>
      </c>
      <c r="E489" s="95" t="str">
        <f>VLOOKUP($F489,Admin!$D$11:$F$19,3,FALSE)</f>
        <v>54. Bérköltség - Projektmenedzser</v>
      </c>
      <c r="F489" s="139" t="s">
        <v>173</v>
      </c>
      <c r="G489" s="100" t="s">
        <v>181</v>
      </c>
      <c r="H489" s="100" t="s">
        <v>320</v>
      </c>
      <c r="I489" s="139" t="str">
        <f>VLOOKUP($F489,Admin!$D$11:$G$19,4,FALSE)</f>
        <v>Projektmenedzsment</v>
      </c>
      <c r="J489" s="100" t="s">
        <v>296</v>
      </c>
      <c r="K489" s="95" t="str">
        <f t="shared" si="743"/>
        <v>2023.03</v>
      </c>
      <c r="L489" s="101" t="s">
        <v>6</v>
      </c>
      <c r="M489" s="96" t="s">
        <v>70</v>
      </c>
      <c r="N489" s="103">
        <v>320000</v>
      </c>
      <c r="O489" s="97">
        <f t="shared" ref="O489" si="749">ROUND(N489*V489,0)</f>
        <v>41600</v>
      </c>
      <c r="P489" s="104">
        <v>174</v>
      </c>
      <c r="Q489" s="104">
        <v>70</v>
      </c>
      <c r="R489" s="215">
        <f t="shared" ref="R489" si="750">Q489/P489</f>
        <v>0.40229885057471265</v>
      </c>
      <c r="S489" s="105">
        <f t="shared" ref="S489" si="751">ROUND(N489*Q489/P489,0)</f>
        <v>128736</v>
      </c>
      <c r="T489" s="98">
        <f t="shared" ref="T489" si="752">ROUND(S489*V489,0)</f>
        <v>16736</v>
      </c>
      <c r="U489" s="70">
        <f t="shared" ref="U489" si="753">Q489/P489-S489/N489</f>
        <v>-1.1494252873389676E-6</v>
      </c>
      <c r="V489" s="140">
        <v>0.13</v>
      </c>
      <c r="W489" s="209" t="s">
        <v>283</v>
      </c>
      <c r="X489" s="17">
        <v>44945</v>
      </c>
      <c r="Y489" s="12" t="s">
        <v>66</v>
      </c>
      <c r="Z489" s="12"/>
      <c r="AA489" s="12"/>
      <c r="AB489" s="3">
        <v>2</v>
      </c>
      <c r="AC489" s="3" t="s">
        <v>315</v>
      </c>
      <c r="AD489" s="3">
        <v>0</v>
      </c>
      <c r="AE489" s="3">
        <v>0</v>
      </c>
    </row>
    <row r="490" spans="1:31" s="3" customFormat="1" ht="14.45" customHeight="1" x14ac:dyDescent="0.25">
      <c r="A490" s="141">
        <v>1</v>
      </c>
      <c r="B490" s="99" t="s">
        <v>197</v>
      </c>
      <c r="C490" s="95" t="str">
        <f>VLOOKUP($F490,Admin!$D$11:$F$19,2,FALSE)</f>
        <v>Alkalmazott (ipari) kutatás</v>
      </c>
      <c r="D490" s="138" t="s">
        <v>123</v>
      </c>
      <c r="E490" s="95" t="str">
        <f>VLOOKUP($F490,Admin!$D$11:$F$19,3,FALSE)</f>
        <v>54. Bérköltség - Kutató-fejlesztő munkatárs</v>
      </c>
      <c r="F490" s="139" t="s">
        <v>212</v>
      </c>
      <c r="G490" s="100" t="s">
        <v>179</v>
      </c>
      <c r="H490" s="100" t="s">
        <v>229</v>
      </c>
      <c r="I490" s="139" t="str">
        <f>VLOOKUP($F490,Admin!$D$11:$G$19,4,FALSE)</f>
        <v>K+F munkatárs</v>
      </c>
      <c r="J490" s="100" t="s">
        <v>223</v>
      </c>
      <c r="K490" s="95" t="str">
        <f t="shared" si="677"/>
        <v>2020.08</v>
      </c>
      <c r="L490" s="101" t="s">
        <v>6</v>
      </c>
      <c r="M490" s="96" t="s">
        <v>70</v>
      </c>
      <c r="N490" s="103">
        <v>150000</v>
      </c>
      <c r="O490" s="97">
        <f t="shared" si="678"/>
        <v>23250</v>
      </c>
      <c r="P490" s="104">
        <v>87</v>
      </c>
      <c r="Q490" s="104">
        <v>87</v>
      </c>
      <c r="R490" s="215">
        <f t="shared" si="675"/>
        <v>1</v>
      </c>
      <c r="S490" s="105">
        <f t="shared" si="5"/>
        <v>150000</v>
      </c>
      <c r="T490" s="98">
        <f t="shared" si="679"/>
        <v>23250</v>
      </c>
      <c r="U490" s="70">
        <f t="shared" si="676"/>
        <v>0</v>
      </c>
      <c r="V490" s="181">
        <v>0.155</v>
      </c>
      <c r="W490" s="210"/>
      <c r="X490" s="17">
        <v>43992</v>
      </c>
      <c r="Y490" s="12" t="s">
        <v>66</v>
      </c>
      <c r="Z490" s="12"/>
      <c r="AA490" s="12"/>
      <c r="AB490" s="3">
        <v>1</v>
      </c>
    </row>
    <row r="491" spans="1:31" s="3" customFormat="1" ht="14.45" customHeight="1" x14ac:dyDescent="0.25">
      <c r="A491" s="141">
        <v>1</v>
      </c>
      <c r="B491" s="99" t="s">
        <v>197</v>
      </c>
      <c r="C491" s="95" t="str">
        <f>VLOOKUP($F491,Admin!$D$11:$F$19,2,FALSE)</f>
        <v>Alkalmazott (ipari) kutatás</v>
      </c>
      <c r="D491" s="138" t="s">
        <v>123</v>
      </c>
      <c r="E491" s="95" t="str">
        <f>VLOOKUP($F491,Admin!$D$11:$F$19,3,FALSE)</f>
        <v>54. Bérköltség - Kutató-fejlesztő munkatárs</v>
      </c>
      <c r="F491" s="139" t="s">
        <v>212</v>
      </c>
      <c r="G491" s="100" t="s">
        <v>179</v>
      </c>
      <c r="H491" s="100" t="s">
        <v>229</v>
      </c>
      <c r="I491" s="139" t="str">
        <f>VLOOKUP($F491,Admin!$D$11:$G$19,4,FALSE)</f>
        <v>K+F munkatárs</v>
      </c>
      <c r="J491" s="100" t="s">
        <v>224</v>
      </c>
      <c r="K491" s="95" t="str">
        <f t="shared" si="677"/>
        <v>2020.09</v>
      </c>
      <c r="L491" s="101" t="s">
        <v>6</v>
      </c>
      <c r="M491" s="96" t="s">
        <v>70</v>
      </c>
      <c r="N491" s="103">
        <v>150000</v>
      </c>
      <c r="O491" s="97">
        <f t="shared" si="678"/>
        <v>23250</v>
      </c>
      <c r="P491" s="104">
        <v>87</v>
      </c>
      <c r="Q491" s="104">
        <v>87</v>
      </c>
      <c r="R491" s="215">
        <f t="shared" si="675"/>
        <v>1</v>
      </c>
      <c r="S491" s="105">
        <f t="shared" si="5"/>
        <v>150000</v>
      </c>
      <c r="T491" s="98">
        <f t="shared" si="679"/>
        <v>23250</v>
      </c>
      <c r="U491" s="70">
        <f t="shared" si="676"/>
        <v>0</v>
      </c>
      <c r="V491" s="181">
        <v>0.155</v>
      </c>
      <c r="W491" s="210"/>
      <c r="X491" s="17">
        <v>43992</v>
      </c>
      <c r="Y491" s="12" t="s">
        <v>66</v>
      </c>
      <c r="Z491" s="12"/>
      <c r="AA491" s="12"/>
      <c r="AB491" s="3">
        <v>1</v>
      </c>
    </row>
    <row r="492" spans="1:31" s="3" customFormat="1" ht="14.45" customHeight="1" x14ac:dyDescent="0.25">
      <c r="A492" s="141">
        <v>1</v>
      </c>
      <c r="B492" s="99" t="s">
        <v>197</v>
      </c>
      <c r="C492" s="95" t="str">
        <f>VLOOKUP($F492,Admin!$D$11:$F$19,2,FALSE)</f>
        <v>Alkalmazott (ipari) kutatás</v>
      </c>
      <c r="D492" s="138" t="s">
        <v>123</v>
      </c>
      <c r="E492" s="95" t="str">
        <f>VLOOKUP($F492,Admin!$D$11:$F$19,3,FALSE)</f>
        <v>54. Bérköltség - Kutató-fejlesztő munkatárs</v>
      </c>
      <c r="F492" s="139" t="s">
        <v>212</v>
      </c>
      <c r="G492" s="100" t="s">
        <v>179</v>
      </c>
      <c r="H492" s="100" t="s">
        <v>229</v>
      </c>
      <c r="I492" s="139" t="str">
        <f>VLOOKUP($F492,Admin!$D$11:$G$19,4,FALSE)</f>
        <v>K+F munkatárs</v>
      </c>
      <c r="J492" s="100" t="s">
        <v>225</v>
      </c>
      <c r="K492" s="95" t="str">
        <f t="shared" si="677"/>
        <v>2020.10</v>
      </c>
      <c r="L492" s="101" t="s">
        <v>6</v>
      </c>
      <c r="M492" s="96" t="s">
        <v>70</v>
      </c>
      <c r="N492" s="103">
        <v>150000</v>
      </c>
      <c r="O492" s="97">
        <f t="shared" si="678"/>
        <v>23250</v>
      </c>
      <c r="P492" s="104">
        <v>87</v>
      </c>
      <c r="Q492" s="104">
        <v>87</v>
      </c>
      <c r="R492" s="215">
        <f t="shared" si="675"/>
        <v>1</v>
      </c>
      <c r="S492" s="105">
        <f t="shared" si="5"/>
        <v>150000</v>
      </c>
      <c r="T492" s="98">
        <f t="shared" si="679"/>
        <v>23250</v>
      </c>
      <c r="U492" s="70">
        <f t="shared" si="676"/>
        <v>0</v>
      </c>
      <c r="V492" s="181">
        <v>0.155</v>
      </c>
      <c r="W492" s="210"/>
      <c r="X492" s="17">
        <v>44061</v>
      </c>
      <c r="Y492" s="12" t="s">
        <v>66</v>
      </c>
      <c r="Z492" s="12"/>
      <c r="AA492" s="12"/>
      <c r="AB492" s="3">
        <v>1</v>
      </c>
    </row>
    <row r="493" spans="1:31" s="3" customFormat="1" ht="14.45" customHeight="1" x14ac:dyDescent="0.25">
      <c r="A493" s="141">
        <v>1</v>
      </c>
      <c r="B493" s="99" t="s">
        <v>197</v>
      </c>
      <c r="C493" s="95" t="str">
        <f>VLOOKUP($F493,Admin!$D$11:$F$19,2,FALSE)</f>
        <v>Alkalmazott (ipari) kutatás</v>
      </c>
      <c r="D493" s="138" t="s">
        <v>123</v>
      </c>
      <c r="E493" s="95" t="str">
        <f>VLOOKUP($F493,Admin!$D$11:$F$19,3,FALSE)</f>
        <v>54. Bérköltség - Kutató-fejlesztő munkatárs</v>
      </c>
      <c r="F493" s="139" t="s">
        <v>212</v>
      </c>
      <c r="G493" s="100" t="s">
        <v>179</v>
      </c>
      <c r="H493" s="100" t="s">
        <v>229</v>
      </c>
      <c r="I493" s="139" t="str">
        <f>VLOOKUP($F493,Admin!$D$11:$G$19,4,FALSE)</f>
        <v>K+F munkatárs</v>
      </c>
      <c r="J493" s="100" t="s">
        <v>226</v>
      </c>
      <c r="K493" s="95" t="str">
        <f t="shared" si="677"/>
        <v>2020.11</v>
      </c>
      <c r="L493" s="101" t="s">
        <v>6</v>
      </c>
      <c r="M493" s="96" t="s">
        <v>70</v>
      </c>
      <c r="N493" s="103">
        <v>150000</v>
      </c>
      <c r="O493" s="97">
        <f t="shared" si="678"/>
        <v>23250</v>
      </c>
      <c r="P493" s="104">
        <v>87</v>
      </c>
      <c r="Q493" s="104">
        <v>87</v>
      </c>
      <c r="R493" s="215">
        <f t="shared" si="675"/>
        <v>1</v>
      </c>
      <c r="S493" s="105">
        <f t="shared" si="5"/>
        <v>150000</v>
      </c>
      <c r="T493" s="98">
        <f t="shared" si="679"/>
        <v>23250</v>
      </c>
      <c r="U493" s="70">
        <f t="shared" si="676"/>
        <v>0</v>
      </c>
      <c r="V493" s="181">
        <v>0.155</v>
      </c>
      <c r="W493" s="210"/>
      <c r="X493" s="17">
        <v>44061</v>
      </c>
      <c r="Y493" s="12" t="s">
        <v>66</v>
      </c>
      <c r="Z493" s="12"/>
      <c r="AA493" s="12"/>
      <c r="AB493" s="3">
        <v>1</v>
      </c>
    </row>
    <row r="494" spans="1:31" s="3" customFormat="1" ht="14.45" customHeight="1" x14ac:dyDescent="0.25">
      <c r="A494" s="141">
        <v>1</v>
      </c>
      <c r="B494" s="99" t="s">
        <v>197</v>
      </c>
      <c r="C494" s="95" t="str">
        <f>VLOOKUP($F494,Admin!$D$11:$F$19,2,FALSE)</f>
        <v>Alkalmazott (ipari) kutatás</v>
      </c>
      <c r="D494" s="138" t="s">
        <v>123</v>
      </c>
      <c r="E494" s="95" t="str">
        <f>VLOOKUP($F494,Admin!$D$11:$F$19,3,FALSE)</f>
        <v>54. Bérköltség - Kutató-fejlesztő munkatárs</v>
      </c>
      <c r="F494" s="139" t="s">
        <v>212</v>
      </c>
      <c r="G494" s="100" t="s">
        <v>179</v>
      </c>
      <c r="H494" s="100" t="s">
        <v>229</v>
      </c>
      <c r="I494" s="139" t="str">
        <f>VLOOKUP($F494,Admin!$D$11:$G$19,4,FALSE)</f>
        <v>K+F munkatárs</v>
      </c>
      <c r="J494" s="100" t="s">
        <v>30</v>
      </c>
      <c r="K494" s="95" t="str">
        <f t="shared" si="677"/>
        <v>2020.12</v>
      </c>
      <c r="L494" s="101" t="s">
        <v>6</v>
      </c>
      <c r="M494" s="96" t="s">
        <v>70</v>
      </c>
      <c r="N494" s="103">
        <v>150000</v>
      </c>
      <c r="O494" s="97">
        <f t="shared" si="678"/>
        <v>23250</v>
      </c>
      <c r="P494" s="104">
        <v>87</v>
      </c>
      <c r="Q494" s="104">
        <v>87</v>
      </c>
      <c r="R494" s="215">
        <f t="shared" si="675"/>
        <v>1</v>
      </c>
      <c r="S494" s="105">
        <f t="shared" si="5"/>
        <v>150000</v>
      </c>
      <c r="T494" s="98">
        <f t="shared" si="679"/>
        <v>23250</v>
      </c>
      <c r="U494" s="70">
        <f t="shared" si="676"/>
        <v>0</v>
      </c>
      <c r="V494" s="181">
        <v>0.155</v>
      </c>
      <c r="W494" s="210"/>
      <c r="X494" s="17">
        <v>44061</v>
      </c>
      <c r="Y494" s="12" t="s">
        <v>66</v>
      </c>
      <c r="Z494" s="12"/>
      <c r="AA494" s="12"/>
      <c r="AB494" s="3">
        <v>1</v>
      </c>
    </row>
    <row r="495" spans="1:31" s="3" customFormat="1" ht="14.45" customHeight="1" x14ac:dyDescent="0.25">
      <c r="A495" s="141">
        <v>1</v>
      </c>
      <c r="B495" s="99" t="s">
        <v>139</v>
      </c>
      <c r="C495" s="95" t="str">
        <f>VLOOKUP($F495,Admin!$D$11:$F$19,2,FALSE)</f>
        <v>Alkalmazott (ipari) kutatás</v>
      </c>
      <c r="D495" s="138" t="s">
        <v>123</v>
      </c>
      <c r="E495" s="95" t="str">
        <f>VLOOKUP($F495,Admin!$D$11:$F$19,3,FALSE)</f>
        <v>54. Bérköltség - technikus segédszemélyzet</v>
      </c>
      <c r="F495" s="139" t="s">
        <v>214</v>
      </c>
      <c r="G495" s="100" t="s">
        <v>180</v>
      </c>
      <c r="H495" s="100" t="s">
        <v>144</v>
      </c>
      <c r="I495" s="139" t="str">
        <f>VLOOKUP($F495,Admin!$D$11:$G$19,4,FALSE)</f>
        <v>Technikus</v>
      </c>
      <c r="J495" s="100" t="s">
        <v>225</v>
      </c>
      <c r="K495" s="95" t="str">
        <f t="shared" si="677"/>
        <v>2020.10</v>
      </c>
      <c r="L495" s="101" t="s">
        <v>6</v>
      </c>
      <c r="M495" s="96" t="s">
        <v>70</v>
      </c>
      <c r="N495" s="103">
        <v>350000</v>
      </c>
      <c r="O495" s="97">
        <f t="shared" si="678"/>
        <v>54250</v>
      </c>
      <c r="P495" s="104">
        <v>174</v>
      </c>
      <c r="Q495" s="104">
        <v>57</v>
      </c>
      <c r="R495" s="215">
        <f t="shared" si="675"/>
        <v>0.32758620689655171</v>
      </c>
      <c r="S495" s="105">
        <f t="shared" si="5"/>
        <v>114655</v>
      </c>
      <c r="T495" s="98">
        <f t="shared" si="679"/>
        <v>17772</v>
      </c>
      <c r="U495" s="70">
        <f t="shared" si="676"/>
        <v>4.9261083739926548E-7</v>
      </c>
      <c r="V495" s="181">
        <v>0.155</v>
      </c>
      <c r="W495" s="210"/>
      <c r="X495" s="17">
        <v>44098</v>
      </c>
      <c r="Y495" s="12" t="s">
        <v>66</v>
      </c>
      <c r="Z495" s="12"/>
      <c r="AA495" s="12"/>
      <c r="AB495" s="3">
        <v>1</v>
      </c>
    </row>
    <row r="496" spans="1:31" s="3" customFormat="1" ht="14.45" customHeight="1" x14ac:dyDescent="0.25">
      <c r="A496" s="141">
        <v>1</v>
      </c>
      <c r="B496" s="99" t="s">
        <v>139</v>
      </c>
      <c r="C496" s="95" t="str">
        <f>VLOOKUP($F496,Admin!$D$11:$F$19,2,FALSE)</f>
        <v>Alkalmazott (ipari) kutatás</v>
      </c>
      <c r="D496" s="138" t="s">
        <v>123</v>
      </c>
      <c r="E496" s="95" t="str">
        <f>VLOOKUP($F496,Admin!$D$11:$F$19,3,FALSE)</f>
        <v>54. Bérköltség - technikus segédszemélyzet</v>
      </c>
      <c r="F496" s="139" t="s">
        <v>214</v>
      </c>
      <c r="G496" s="100" t="s">
        <v>180</v>
      </c>
      <c r="H496" s="100" t="s">
        <v>144</v>
      </c>
      <c r="I496" s="139" t="str">
        <f>VLOOKUP($F496,Admin!$D$11:$G$19,4,FALSE)</f>
        <v>Technikus</v>
      </c>
      <c r="J496" s="100" t="s">
        <v>226</v>
      </c>
      <c r="K496" s="95" t="str">
        <f t="shared" si="677"/>
        <v>2020.11</v>
      </c>
      <c r="L496" s="101" t="s">
        <v>6</v>
      </c>
      <c r="M496" s="96" t="s">
        <v>70</v>
      </c>
      <c r="N496" s="103">
        <v>210000</v>
      </c>
      <c r="O496" s="97">
        <f t="shared" si="678"/>
        <v>32550</v>
      </c>
      <c r="P496" s="104">
        <v>174</v>
      </c>
      <c r="Q496" s="104">
        <v>57</v>
      </c>
      <c r="R496" s="215">
        <f t="shared" si="675"/>
        <v>0.32758620689655171</v>
      </c>
      <c r="S496" s="105">
        <f t="shared" si="5"/>
        <v>68793</v>
      </c>
      <c r="T496" s="98">
        <f t="shared" si="679"/>
        <v>10663</v>
      </c>
      <c r="U496" s="70">
        <f t="shared" si="676"/>
        <v>4.9261083739926548E-7</v>
      </c>
      <c r="V496" s="181">
        <v>0.155</v>
      </c>
      <c r="W496" s="210"/>
      <c r="X496" s="17">
        <v>44130</v>
      </c>
      <c r="Y496" s="12" t="s">
        <v>66</v>
      </c>
      <c r="Z496" s="12"/>
      <c r="AA496" s="12"/>
      <c r="AB496" s="3">
        <v>1</v>
      </c>
    </row>
    <row r="497" spans="1:28" s="3" customFormat="1" ht="14.45" customHeight="1" x14ac:dyDescent="0.25">
      <c r="A497" s="141">
        <v>1</v>
      </c>
      <c r="B497" s="99" t="s">
        <v>139</v>
      </c>
      <c r="C497" s="95" t="str">
        <f>VLOOKUP($F497,Admin!$D$11:$F$19,2,FALSE)</f>
        <v>Alkalmazott (ipari) kutatás</v>
      </c>
      <c r="D497" s="138" t="s">
        <v>123</v>
      </c>
      <c r="E497" s="95" t="str">
        <f>VLOOKUP($F497,Admin!$D$11:$F$19,3,FALSE)</f>
        <v>54. Bérköltség - technikus segédszemélyzet</v>
      </c>
      <c r="F497" s="139" t="s">
        <v>214</v>
      </c>
      <c r="G497" s="100" t="s">
        <v>180</v>
      </c>
      <c r="H497" s="100" t="s">
        <v>144</v>
      </c>
      <c r="I497" s="139" t="str">
        <f>VLOOKUP($F497,Admin!$D$11:$G$19,4,FALSE)</f>
        <v>Technikus</v>
      </c>
      <c r="J497" s="100" t="s">
        <v>30</v>
      </c>
      <c r="K497" s="95" t="str">
        <f t="shared" si="677"/>
        <v>2020.12</v>
      </c>
      <c r="L497" s="101" t="s">
        <v>6</v>
      </c>
      <c r="M497" s="96" t="s">
        <v>70</v>
      </c>
      <c r="N497" s="103">
        <v>290797</v>
      </c>
      <c r="O497" s="97">
        <f t="shared" si="678"/>
        <v>45074</v>
      </c>
      <c r="P497" s="104">
        <v>174</v>
      </c>
      <c r="Q497" s="104">
        <v>57</v>
      </c>
      <c r="R497" s="215">
        <f t="shared" si="675"/>
        <v>0.32758620689655171</v>
      </c>
      <c r="S497" s="105">
        <f t="shared" si="5"/>
        <v>95261</v>
      </c>
      <c r="T497" s="98">
        <f t="shared" si="679"/>
        <v>14765</v>
      </c>
      <c r="U497" s="70">
        <f t="shared" si="676"/>
        <v>2.9645043292392259E-7</v>
      </c>
      <c r="V497" s="181">
        <v>0.155</v>
      </c>
      <c r="W497" s="210"/>
      <c r="X497" s="17">
        <v>44160</v>
      </c>
      <c r="Y497" s="12" t="s">
        <v>66</v>
      </c>
      <c r="Z497" s="12"/>
      <c r="AA497" s="12"/>
      <c r="AB497" s="3">
        <v>1</v>
      </c>
    </row>
    <row r="498" spans="1:28" s="3" customFormat="1" ht="14.45" customHeight="1" x14ac:dyDescent="0.25">
      <c r="A498" s="141">
        <v>1</v>
      </c>
      <c r="B498" s="99" t="s">
        <v>139</v>
      </c>
      <c r="C498" s="95" t="str">
        <f>VLOOKUP($F498,Admin!$D$11:$F$19,2,FALSE)</f>
        <v>Alkalmazott (ipari) kutatás</v>
      </c>
      <c r="D498" s="138" t="s">
        <v>123</v>
      </c>
      <c r="E498" s="95" t="str">
        <f>VLOOKUP($F498,Admin!$D$11:$F$19,3,FALSE)</f>
        <v>54. Bérköltség - technikus segédszemélyzet</v>
      </c>
      <c r="F498" s="139" t="s">
        <v>214</v>
      </c>
      <c r="G498" s="100" t="s">
        <v>180</v>
      </c>
      <c r="H498" s="100" t="s">
        <v>144</v>
      </c>
      <c r="I498" s="139" t="str">
        <f>VLOOKUP($F498,Admin!$D$11:$G$19,4,FALSE)</f>
        <v>Technikus</v>
      </c>
      <c r="J498" s="100" t="s">
        <v>31</v>
      </c>
      <c r="K498" s="95" t="str">
        <f t="shared" si="677"/>
        <v>2021.01</v>
      </c>
      <c r="L498" s="101" t="s">
        <v>6</v>
      </c>
      <c r="M498" s="96" t="s">
        <v>70</v>
      </c>
      <c r="N498" s="103">
        <v>350000</v>
      </c>
      <c r="O498" s="97">
        <f t="shared" si="678"/>
        <v>54250</v>
      </c>
      <c r="P498" s="104">
        <v>174</v>
      </c>
      <c r="Q498" s="104">
        <v>57</v>
      </c>
      <c r="R498" s="215">
        <f t="shared" si="675"/>
        <v>0.32758620689655171</v>
      </c>
      <c r="S498" s="105">
        <f t="shared" si="5"/>
        <v>114655</v>
      </c>
      <c r="T498" s="98">
        <f t="shared" si="679"/>
        <v>17772</v>
      </c>
      <c r="U498" s="70">
        <f t="shared" si="676"/>
        <v>4.9261083739926548E-7</v>
      </c>
      <c r="V498" s="181">
        <v>0.155</v>
      </c>
      <c r="W498" s="210"/>
      <c r="X498" s="17">
        <v>44173</v>
      </c>
      <c r="Y498" s="12" t="s">
        <v>66</v>
      </c>
      <c r="Z498" s="12"/>
      <c r="AA498" s="12"/>
      <c r="AB498" s="3">
        <v>1</v>
      </c>
    </row>
    <row r="499" spans="1:28" s="3" customFormat="1" ht="14.45" customHeight="1" x14ac:dyDescent="0.25">
      <c r="A499" s="141">
        <v>2</v>
      </c>
      <c r="B499" s="99" t="s">
        <v>139</v>
      </c>
      <c r="C499" s="95" t="str">
        <f>VLOOKUP($F499,Admin!$D$11:$F$19,2,FALSE)</f>
        <v>Kísérleti fejlesztés</v>
      </c>
      <c r="D499" s="138" t="s">
        <v>123</v>
      </c>
      <c r="E499" s="95" t="str">
        <f>VLOOKUP($F499,Admin!$D$11:$F$19,3,FALSE)</f>
        <v>54. Bérköltség - technikus segédszemélyzet</v>
      </c>
      <c r="F499" s="139" t="s">
        <v>215</v>
      </c>
      <c r="G499" s="100" t="s">
        <v>180</v>
      </c>
      <c r="H499" s="100" t="s">
        <v>144</v>
      </c>
      <c r="I499" s="139" t="str">
        <f>VLOOKUP($F499,Admin!$D$11:$G$19,4,FALSE)</f>
        <v>Technikus</v>
      </c>
      <c r="J499" s="100" t="s">
        <v>32</v>
      </c>
      <c r="K499" s="95" t="str">
        <f t="shared" si="677"/>
        <v>2021.02</v>
      </c>
      <c r="L499" s="101" t="s">
        <v>6</v>
      </c>
      <c r="M499" s="96" t="s">
        <v>70</v>
      </c>
      <c r="N499" s="103">
        <v>350000</v>
      </c>
      <c r="O499" s="97">
        <f t="shared" si="678"/>
        <v>54250</v>
      </c>
      <c r="P499" s="104">
        <v>174</v>
      </c>
      <c r="Q499" s="104">
        <v>57</v>
      </c>
      <c r="R499" s="215">
        <f t="shared" si="675"/>
        <v>0.32758620689655171</v>
      </c>
      <c r="S499" s="105">
        <f t="shared" si="5"/>
        <v>114655</v>
      </c>
      <c r="T499" s="98">
        <f t="shared" si="679"/>
        <v>17772</v>
      </c>
      <c r="U499" s="70">
        <f t="shared" si="676"/>
        <v>4.9261083739926548E-7</v>
      </c>
      <c r="V499" s="181">
        <v>0.155</v>
      </c>
      <c r="W499" s="210"/>
      <c r="X499" s="17">
        <v>44224</v>
      </c>
      <c r="Y499" s="12" t="s">
        <v>66</v>
      </c>
      <c r="Z499" s="12"/>
      <c r="AA499" s="12"/>
      <c r="AB499" s="3">
        <v>1</v>
      </c>
    </row>
    <row r="500" spans="1:28" s="3" customFormat="1" ht="14.45" customHeight="1" x14ac:dyDescent="0.25">
      <c r="A500" s="141">
        <v>2</v>
      </c>
      <c r="B500" s="99" t="s">
        <v>139</v>
      </c>
      <c r="C500" s="95" t="str">
        <f>VLOOKUP($F500,Admin!$D$11:$F$19,2,FALSE)</f>
        <v>Kísérleti fejlesztés</v>
      </c>
      <c r="D500" s="138" t="s">
        <v>123</v>
      </c>
      <c r="E500" s="95" t="str">
        <f>VLOOKUP($F500,Admin!$D$11:$F$19,3,FALSE)</f>
        <v>54. Bérköltség - technikus segédszemélyzet</v>
      </c>
      <c r="F500" s="139" t="s">
        <v>215</v>
      </c>
      <c r="G500" s="100" t="s">
        <v>180</v>
      </c>
      <c r="H500" s="100" t="s">
        <v>144</v>
      </c>
      <c r="I500" s="139" t="str">
        <f>VLOOKUP($F500,Admin!$D$11:$G$19,4,FALSE)</f>
        <v>Technikus</v>
      </c>
      <c r="J500" s="100" t="s">
        <v>33</v>
      </c>
      <c r="K500" s="95" t="str">
        <f t="shared" si="677"/>
        <v>2021.03</v>
      </c>
      <c r="L500" s="101" t="s">
        <v>6</v>
      </c>
      <c r="M500" s="96" t="s">
        <v>70</v>
      </c>
      <c r="N500" s="103">
        <v>350000</v>
      </c>
      <c r="O500" s="97">
        <f t="shared" si="678"/>
        <v>54250</v>
      </c>
      <c r="P500" s="104">
        <v>174</v>
      </c>
      <c r="Q500" s="104">
        <v>57</v>
      </c>
      <c r="R500" s="215">
        <f t="shared" si="675"/>
        <v>0.32758620689655171</v>
      </c>
      <c r="S500" s="105">
        <f t="shared" si="5"/>
        <v>114655</v>
      </c>
      <c r="T500" s="98">
        <f t="shared" si="679"/>
        <v>17772</v>
      </c>
      <c r="U500" s="70">
        <f t="shared" si="676"/>
        <v>4.9261083739926548E-7</v>
      </c>
      <c r="V500" s="181">
        <v>0.155</v>
      </c>
      <c r="W500" s="210"/>
      <c r="X500" s="17">
        <v>44251</v>
      </c>
      <c r="Y500" s="12" t="s">
        <v>66</v>
      </c>
      <c r="Z500" s="12"/>
      <c r="AA500" s="12"/>
      <c r="AB500" s="3">
        <v>1</v>
      </c>
    </row>
    <row r="501" spans="1:28" s="3" customFormat="1" ht="14.45" customHeight="1" x14ac:dyDescent="0.25">
      <c r="A501" s="141">
        <v>2</v>
      </c>
      <c r="B501" s="99" t="s">
        <v>139</v>
      </c>
      <c r="C501" s="95" t="str">
        <f>VLOOKUP($F501,Admin!$D$11:$F$19,2,FALSE)</f>
        <v>Kísérleti fejlesztés</v>
      </c>
      <c r="D501" s="138" t="s">
        <v>123</v>
      </c>
      <c r="E501" s="95" t="str">
        <f>VLOOKUP($F501,Admin!$D$11:$F$19,3,FALSE)</f>
        <v>54. Bérköltség - technikus segédszemélyzet</v>
      </c>
      <c r="F501" s="139" t="s">
        <v>215</v>
      </c>
      <c r="G501" s="100" t="s">
        <v>180</v>
      </c>
      <c r="H501" s="100" t="s">
        <v>144</v>
      </c>
      <c r="I501" s="139" t="str">
        <f>VLOOKUP($F501,Admin!$D$11:$G$19,4,FALSE)</f>
        <v>Technikus</v>
      </c>
      <c r="J501" s="100" t="s">
        <v>34</v>
      </c>
      <c r="K501" s="95" t="str">
        <f t="shared" si="677"/>
        <v>2021.04</v>
      </c>
      <c r="L501" s="101" t="s">
        <v>6</v>
      </c>
      <c r="M501" s="96" t="s">
        <v>70</v>
      </c>
      <c r="N501" s="103">
        <v>350000</v>
      </c>
      <c r="O501" s="97">
        <f t="shared" si="678"/>
        <v>54250</v>
      </c>
      <c r="P501" s="104">
        <v>174</v>
      </c>
      <c r="Q501" s="104">
        <v>57</v>
      </c>
      <c r="R501" s="215">
        <f t="shared" si="675"/>
        <v>0.32758620689655171</v>
      </c>
      <c r="S501" s="105">
        <f t="shared" si="5"/>
        <v>114655</v>
      </c>
      <c r="T501" s="98">
        <f t="shared" si="679"/>
        <v>17772</v>
      </c>
      <c r="U501" s="70">
        <f t="shared" si="676"/>
        <v>4.9261083739926548E-7</v>
      </c>
      <c r="V501" s="181">
        <v>0.155</v>
      </c>
      <c r="W501" s="210"/>
      <c r="X501" s="17">
        <v>44251</v>
      </c>
      <c r="Y501" s="12" t="s">
        <v>66</v>
      </c>
      <c r="Z501" s="12"/>
      <c r="AA501" s="12"/>
      <c r="AB501" s="3">
        <v>1</v>
      </c>
    </row>
    <row r="502" spans="1:28" s="3" customFormat="1" ht="14.45" customHeight="1" x14ac:dyDescent="0.25">
      <c r="A502" s="141">
        <v>2</v>
      </c>
      <c r="B502" s="99" t="s">
        <v>139</v>
      </c>
      <c r="C502" s="95" t="str">
        <f>VLOOKUP($F502,Admin!$D$11:$F$19,2,FALSE)</f>
        <v>Kísérleti fejlesztés</v>
      </c>
      <c r="D502" s="138" t="s">
        <v>123</v>
      </c>
      <c r="E502" s="95" t="str">
        <f>VLOOKUP($F502,Admin!$D$11:$F$19,3,FALSE)</f>
        <v>54. Bérköltség - technikus segédszemélyzet</v>
      </c>
      <c r="F502" s="139" t="s">
        <v>215</v>
      </c>
      <c r="G502" s="100" t="s">
        <v>180</v>
      </c>
      <c r="H502" s="100" t="s">
        <v>144</v>
      </c>
      <c r="I502" s="139" t="str">
        <f>VLOOKUP($F502,Admin!$D$11:$G$19,4,FALSE)</f>
        <v>Technikus</v>
      </c>
      <c r="J502" s="100" t="s">
        <v>35</v>
      </c>
      <c r="K502" s="95" t="str">
        <f t="shared" si="677"/>
        <v>2021.05</v>
      </c>
      <c r="L502" s="101" t="s">
        <v>6</v>
      </c>
      <c r="M502" s="96" t="s">
        <v>70</v>
      </c>
      <c r="N502" s="103">
        <v>350000</v>
      </c>
      <c r="O502" s="97">
        <f t="shared" si="678"/>
        <v>54250</v>
      </c>
      <c r="P502" s="104">
        <v>174</v>
      </c>
      <c r="Q502" s="104">
        <v>57</v>
      </c>
      <c r="R502" s="215">
        <f t="shared" si="675"/>
        <v>0.32758620689655171</v>
      </c>
      <c r="S502" s="105">
        <f t="shared" si="5"/>
        <v>114655</v>
      </c>
      <c r="T502" s="98">
        <f t="shared" si="679"/>
        <v>17772</v>
      </c>
      <c r="U502" s="70">
        <f t="shared" si="676"/>
        <v>4.9261083739926548E-7</v>
      </c>
      <c r="V502" s="181">
        <v>0.155</v>
      </c>
      <c r="W502" s="210"/>
      <c r="X502" s="17">
        <v>44251</v>
      </c>
      <c r="Y502" s="12" t="s">
        <v>66</v>
      </c>
      <c r="Z502" s="12"/>
      <c r="AA502" s="12"/>
      <c r="AB502" s="3">
        <v>1</v>
      </c>
    </row>
    <row r="503" spans="1:28" s="3" customFormat="1" ht="14.45" customHeight="1" x14ac:dyDescent="0.25">
      <c r="A503" s="141">
        <v>2</v>
      </c>
      <c r="B503" s="99" t="s">
        <v>139</v>
      </c>
      <c r="C503" s="95" t="str">
        <f>VLOOKUP($F503,Admin!$D$11:$F$19,2,FALSE)</f>
        <v>Kísérleti fejlesztés</v>
      </c>
      <c r="D503" s="138" t="s">
        <v>123</v>
      </c>
      <c r="E503" s="95" t="str">
        <f>VLOOKUP($F503,Admin!$D$11:$F$19,3,FALSE)</f>
        <v>54. Bérköltség - technikus segédszemélyzet</v>
      </c>
      <c r="F503" s="139" t="s">
        <v>215</v>
      </c>
      <c r="G503" s="100" t="s">
        <v>180</v>
      </c>
      <c r="H503" s="100" t="s">
        <v>144</v>
      </c>
      <c r="I503" s="139" t="str">
        <f>VLOOKUP($F503,Admin!$D$11:$G$19,4,FALSE)</f>
        <v>Technikus</v>
      </c>
      <c r="J503" s="100" t="s">
        <v>36</v>
      </c>
      <c r="K503" s="95" t="str">
        <f t="shared" si="677"/>
        <v>2021.06</v>
      </c>
      <c r="L503" s="101" t="s">
        <v>6</v>
      </c>
      <c r="M503" s="96" t="s">
        <v>70</v>
      </c>
      <c r="N503" s="103">
        <v>350000</v>
      </c>
      <c r="O503" s="97">
        <f t="shared" si="678"/>
        <v>54250</v>
      </c>
      <c r="P503" s="104">
        <v>174</v>
      </c>
      <c r="Q503" s="104">
        <v>57</v>
      </c>
      <c r="R503" s="215">
        <f t="shared" si="675"/>
        <v>0.32758620689655171</v>
      </c>
      <c r="S503" s="105">
        <f t="shared" si="5"/>
        <v>114655</v>
      </c>
      <c r="T503" s="98">
        <f t="shared" si="679"/>
        <v>17772</v>
      </c>
      <c r="U503" s="70">
        <f t="shared" si="676"/>
        <v>4.9261083739926548E-7</v>
      </c>
      <c r="V503" s="181">
        <v>0.155</v>
      </c>
      <c r="W503" s="210"/>
      <c r="X503" s="17">
        <v>44251</v>
      </c>
      <c r="Y503" s="12" t="s">
        <v>66</v>
      </c>
      <c r="Z503" s="12"/>
      <c r="AA503" s="12"/>
      <c r="AB503" s="3">
        <v>1</v>
      </c>
    </row>
    <row r="504" spans="1:28" s="3" customFormat="1" ht="14.45" customHeight="1" x14ac:dyDescent="0.25">
      <c r="A504" s="141">
        <v>2</v>
      </c>
      <c r="B504" s="99" t="s">
        <v>139</v>
      </c>
      <c r="C504" s="95" t="str">
        <f>VLOOKUP($F504,Admin!$D$11:$F$19,2,FALSE)</f>
        <v>Kísérleti fejlesztés</v>
      </c>
      <c r="D504" s="138" t="s">
        <v>123</v>
      </c>
      <c r="E504" s="95" t="str">
        <f>VLOOKUP($F504,Admin!$D$11:$F$19,3,FALSE)</f>
        <v>54. Bérköltség - technikus segédszemélyzet</v>
      </c>
      <c r="F504" s="139" t="s">
        <v>215</v>
      </c>
      <c r="G504" s="100" t="s">
        <v>180</v>
      </c>
      <c r="H504" s="100" t="s">
        <v>144</v>
      </c>
      <c r="I504" s="139" t="str">
        <f>VLOOKUP($F504,Admin!$D$11:$G$19,4,FALSE)</f>
        <v>Technikus</v>
      </c>
      <c r="J504" s="100" t="s">
        <v>37</v>
      </c>
      <c r="K504" s="95" t="str">
        <f t="shared" si="677"/>
        <v>2021.07</v>
      </c>
      <c r="L504" s="101" t="s">
        <v>6</v>
      </c>
      <c r="M504" s="96" t="s">
        <v>70</v>
      </c>
      <c r="N504" s="103">
        <v>350000</v>
      </c>
      <c r="O504" s="97">
        <f t="shared" si="678"/>
        <v>54250</v>
      </c>
      <c r="P504" s="104">
        <v>174</v>
      </c>
      <c r="Q504" s="104">
        <v>57</v>
      </c>
      <c r="R504" s="215">
        <f t="shared" si="675"/>
        <v>0.32758620689655171</v>
      </c>
      <c r="S504" s="105">
        <f t="shared" si="5"/>
        <v>114655</v>
      </c>
      <c r="T504" s="98">
        <f t="shared" si="679"/>
        <v>17772</v>
      </c>
      <c r="U504" s="70">
        <f t="shared" si="676"/>
        <v>4.9261083739926548E-7</v>
      </c>
      <c r="V504" s="181">
        <v>0.155</v>
      </c>
      <c r="W504" s="210"/>
      <c r="X504" s="17">
        <v>44362</v>
      </c>
      <c r="Y504" s="12" t="s">
        <v>66</v>
      </c>
      <c r="Z504" s="12"/>
      <c r="AA504" s="12"/>
      <c r="AB504" s="3">
        <v>1</v>
      </c>
    </row>
    <row r="505" spans="1:28" s="3" customFormat="1" ht="14.45" customHeight="1" x14ac:dyDescent="0.25">
      <c r="A505" s="141">
        <v>2</v>
      </c>
      <c r="B505" s="99" t="s">
        <v>139</v>
      </c>
      <c r="C505" s="95" t="str">
        <f>VLOOKUP($F505,Admin!$D$11:$F$19,2,FALSE)</f>
        <v>Kísérleti fejlesztés</v>
      </c>
      <c r="D505" s="138" t="s">
        <v>123</v>
      </c>
      <c r="E505" s="95" t="str">
        <f>VLOOKUP($F505,Admin!$D$11:$F$19,3,FALSE)</f>
        <v>54. Bérköltség - technikus segédszemélyzet</v>
      </c>
      <c r="F505" s="139" t="s">
        <v>215</v>
      </c>
      <c r="G505" s="100" t="s">
        <v>180</v>
      </c>
      <c r="H505" s="100" t="s">
        <v>144</v>
      </c>
      <c r="I505" s="139" t="str">
        <f>VLOOKUP($F505,Admin!$D$11:$G$19,4,FALSE)</f>
        <v>Technikus</v>
      </c>
      <c r="J505" s="100" t="s">
        <v>38</v>
      </c>
      <c r="K505" s="95" t="str">
        <f t="shared" si="677"/>
        <v>2021.08</v>
      </c>
      <c r="L505" s="101" t="s">
        <v>6</v>
      </c>
      <c r="M505" s="96" t="s">
        <v>70</v>
      </c>
      <c r="N505" s="103">
        <v>350000</v>
      </c>
      <c r="O505" s="97">
        <f t="shared" si="678"/>
        <v>54250</v>
      </c>
      <c r="P505" s="104">
        <v>174</v>
      </c>
      <c r="Q505" s="104">
        <v>57</v>
      </c>
      <c r="R505" s="215">
        <f t="shared" si="675"/>
        <v>0.32758620689655171</v>
      </c>
      <c r="S505" s="105">
        <f t="shared" si="5"/>
        <v>114655</v>
      </c>
      <c r="T505" s="98">
        <f t="shared" si="679"/>
        <v>17772</v>
      </c>
      <c r="U505" s="70">
        <f t="shared" si="676"/>
        <v>4.9261083739926548E-7</v>
      </c>
      <c r="V505" s="181">
        <v>0.155</v>
      </c>
      <c r="W505" s="210"/>
      <c r="X505" s="17">
        <v>44362</v>
      </c>
      <c r="Y505" s="12" t="s">
        <v>66</v>
      </c>
      <c r="Z505" s="12"/>
      <c r="AA505" s="12"/>
      <c r="AB505" s="3">
        <v>1</v>
      </c>
    </row>
    <row r="506" spans="1:28" s="3" customFormat="1" ht="14.45" customHeight="1" x14ac:dyDescent="0.25">
      <c r="A506" s="141">
        <v>2</v>
      </c>
      <c r="B506" s="99" t="s">
        <v>139</v>
      </c>
      <c r="C506" s="95" t="str">
        <f>VLOOKUP($F506,Admin!$D$11:$F$19,2,FALSE)</f>
        <v>Kísérleti fejlesztés</v>
      </c>
      <c r="D506" s="138" t="s">
        <v>123</v>
      </c>
      <c r="E506" s="95" t="str">
        <f>VLOOKUP($F506,Admin!$D$11:$F$19,3,FALSE)</f>
        <v>54. Bérköltség - technikus segédszemélyzet</v>
      </c>
      <c r="F506" s="139" t="s">
        <v>215</v>
      </c>
      <c r="G506" s="100" t="s">
        <v>180</v>
      </c>
      <c r="H506" s="100" t="s">
        <v>144</v>
      </c>
      <c r="I506" s="139" t="str">
        <f>VLOOKUP($F506,Admin!$D$11:$G$19,4,FALSE)</f>
        <v>Technikus</v>
      </c>
      <c r="J506" s="100" t="s">
        <v>39</v>
      </c>
      <c r="K506" s="95" t="str">
        <f t="shared" si="677"/>
        <v>2021.09</v>
      </c>
      <c r="L506" s="101" t="s">
        <v>6</v>
      </c>
      <c r="M506" s="96" t="s">
        <v>70</v>
      </c>
      <c r="N506" s="103">
        <v>335681</v>
      </c>
      <c r="O506" s="97">
        <f t="shared" si="678"/>
        <v>52031</v>
      </c>
      <c r="P506" s="104">
        <v>174</v>
      </c>
      <c r="Q506" s="104">
        <v>57</v>
      </c>
      <c r="R506" s="215">
        <f t="shared" si="675"/>
        <v>0.32758620689655171</v>
      </c>
      <c r="S506" s="105">
        <f t="shared" si="5"/>
        <v>109964</v>
      </c>
      <c r="T506" s="98">
        <f t="shared" si="679"/>
        <v>17044</v>
      </c>
      <c r="U506" s="70">
        <f t="shared" si="676"/>
        <v>1.3867846002102446E-6</v>
      </c>
      <c r="V506" s="181">
        <v>0.155</v>
      </c>
      <c r="W506" s="210"/>
      <c r="X506" s="17">
        <v>44362</v>
      </c>
      <c r="Y506" s="12" t="s">
        <v>66</v>
      </c>
      <c r="Z506" s="12"/>
      <c r="AA506" s="12"/>
      <c r="AB506" s="3">
        <v>1</v>
      </c>
    </row>
    <row r="507" spans="1:28" s="3" customFormat="1" ht="14.45" customHeight="1" x14ac:dyDescent="0.25">
      <c r="A507" s="141">
        <v>2</v>
      </c>
      <c r="B507" s="99" t="s">
        <v>139</v>
      </c>
      <c r="C507" s="95" t="str">
        <f>VLOOKUP($F507,Admin!$D$11:$F$19,2,FALSE)</f>
        <v>Kísérleti fejlesztés</v>
      </c>
      <c r="D507" s="138" t="s">
        <v>123</v>
      </c>
      <c r="E507" s="95" t="str">
        <f>VLOOKUP($F507,Admin!$D$11:$F$19,3,FALSE)</f>
        <v>54. Bérköltség - technikus segédszemélyzet</v>
      </c>
      <c r="F507" s="139" t="s">
        <v>215</v>
      </c>
      <c r="G507" s="100" t="s">
        <v>180</v>
      </c>
      <c r="H507" s="100" t="s">
        <v>144</v>
      </c>
      <c r="I507" s="139" t="str">
        <f>VLOOKUP($F507,Admin!$D$11:$G$19,4,FALSE)</f>
        <v>Technikus</v>
      </c>
      <c r="J507" s="100" t="s">
        <v>40</v>
      </c>
      <c r="K507" s="95" t="str">
        <f t="shared" si="677"/>
        <v>2021.10</v>
      </c>
      <c r="L507" s="101" t="s">
        <v>6</v>
      </c>
      <c r="M507" s="96" t="s">
        <v>70</v>
      </c>
      <c r="N507" s="103">
        <v>402500</v>
      </c>
      <c r="O507" s="97">
        <f t="shared" si="678"/>
        <v>62388</v>
      </c>
      <c r="P507" s="104">
        <v>174</v>
      </c>
      <c r="Q507" s="104">
        <v>57</v>
      </c>
      <c r="R507" s="215">
        <f t="shared" si="675"/>
        <v>0.32758620689655171</v>
      </c>
      <c r="S507" s="105">
        <f t="shared" si="5"/>
        <v>131853</v>
      </c>
      <c r="T507" s="98">
        <f t="shared" si="679"/>
        <v>20437</v>
      </c>
      <c r="U507" s="70">
        <f t="shared" si="676"/>
        <v>1.11372884986638E-6</v>
      </c>
      <c r="V507" s="181">
        <v>0.155</v>
      </c>
      <c r="W507" s="210"/>
      <c r="X507" s="17">
        <v>44362</v>
      </c>
      <c r="Y507" s="12" t="s">
        <v>66</v>
      </c>
      <c r="Z507" s="12"/>
      <c r="AA507" s="12"/>
      <c r="AB507" s="3">
        <v>1</v>
      </c>
    </row>
    <row r="508" spans="1:28" s="3" customFormat="1" ht="14.45" customHeight="1" x14ac:dyDescent="0.25">
      <c r="A508" s="141">
        <v>2</v>
      </c>
      <c r="B508" s="99" t="s">
        <v>139</v>
      </c>
      <c r="C508" s="95" t="str">
        <f>VLOOKUP($F508,Admin!$D$11:$F$19,2,FALSE)</f>
        <v>Kísérleti fejlesztés</v>
      </c>
      <c r="D508" s="138" t="s">
        <v>123</v>
      </c>
      <c r="E508" s="95" t="str">
        <f>VLOOKUP($F508,Admin!$D$11:$F$19,3,FALSE)</f>
        <v>54. Bérköltség - technikus segédszemélyzet</v>
      </c>
      <c r="F508" s="139" t="s">
        <v>215</v>
      </c>
      <c r="G508" s="100" t="s">
        <v>180</v>
      </c>
      <c r="H508" s="100" t="s">
        <v>144</v>
      </c>
      <c r="I508" s="139" t="str">
        <f>VLOOKUP($F508,Admin!$D$11:$G$19,4,FALSE)</f>
        <v>Technikus</v>
      </c>
      <c r="J508" s="100" t="s">
        <v>41</v>
      </c>
      <c r="K508" s="95" t="str">
        <f t="shared" si="677"/>
        <v>2021.11</v>
      </c>
      <c r="L508" s="101" t="s">
        <v>6</v>
      </c>
      <c r="M508" s="96" t="s">
        <v>70</v>
      </c>
      <c r="N508" s="103">
        <v>396749</v>
      </c>
      <c r="O508" s="97">
        <f t="shared" si="678"/>
        <v>61496</v>
      </c>
      <c r="P508" s="104">
        <v>174</v>
      </c>
      <c r="Q508" s="104">
        <v>57</v>
      </c>
      <c r="R508" s="215">
        <f t="shared" si="675"/>
        <v>0.32758620689655171</v>
      </c>
      <c r="S508" s="105">
        <v>114655</v>
      </c>
      <c r="T508" s="98">
        <f t="shared" si="679"/>
        <v>17772</v>
      </c>
      <c r="U508" s="70">
        <f t="shared" si="676"/>
        <v>3.8599971266468192E-2</v>
      </c>
      <c r="V508" s="181">
        <v>0.155</v>
      </c>
      <c r="W508" s="210"/>
      <c r="X508" s="17">
        <v>44518</v>
      </c>
      <c r="Y508" s="12" t="s">
        <v>66</v>
      </c>
      <c r="Z508" s="12"/>
      <c r="AA508" s="12"/>
      <c r="AB508" s="3">
        <v>1</v>
      </c>
    </row>
    <row r="509" spans="1:28" s="3" customFormat="1" ht="14.45" customHeight="1" x14ac:dyDescent="0.25">
      <c r="A509" s="141">
        <v>2</v>
      </c>
      <c r="B509" s="99" t="s">
        <v>139</v>
      </c>
      <c r="C509" s="95" t="str">
        <f>VLOOKUP($F509,Admin!$D$11:$F$19,2,FALSE)</f>
        <v>Kísérleti fejlesztés</v>
      </c>
      <c r="D509" s="138" t="s">
        <v>123</v>
      </c>
      <c r="E509" s="95" t="str">
        <f>VLOOKUP($F509,Admin!$D$11:$F$19,3,FALSE)</f>
        <v>54. Bérköltség - technikus segédszemélyzet</v>
      </c>
      <c r="F509" s="139" t="s">
        <v>215</v>
      </c>
      <c r="G509" s="100" t="s">
        <v>180</v>
      </c>
      <c r="H509" s="100" t="s">
        <v>144</v>
      </c>
      <c r="I509" s="139" t="str">
        <f>VLOOKUP($F509,Admin!$D$11:$G$19,4,FALSE)</f>
        <v>Technikus</v>
      </c>
      <c r="J509" s="100" t="s">
        <v>42</v>
      </c>
      <c r="K509" s="95" t="str">
        <f t="shared" si="677"/>
        <v>2021.12</v>
      </c>
      <c r="L509" s="101" t="s">
        <v>6</v>
      </c>
      <c r="M509" s="96" t="s">
        <v>70</v>
      </c>
      <c r="N509" s="103">
        <v>402500</v>
      </c>
      <c r="O509" s="97">
        <f t="shared" si="678"/>
        <v>62388</v>
      </c>
      <c r="P509" s="104">
        <v>174</v>
      </c>
      <c r="Q509" s="104">
        <v>50</v>
      </c>
      <c r="R509" s="215">
        <f t="shared" si="675"/>
        <v>0.28735632183908044</v>
      </c>
      <c r="S509" s="105">
        <f t="shared" si="5"/>
        <v>115661</v>
      </c>
      <c r="T509" s="98">
        <f t="shared" si="679"/>
        <v>17927</v>
      </c>
      <c r="U509" s="70">
        <f t="shared" si="676"/>
        <v>-1.9990005001302436E-7</v>
      </c>
      <c r="V509" s="181">
        <v>0.155</v>
      </c>
      <c r="W509" s="210"/>
      <c r="X509" s="17">
        <v>44531</v>
      </c>
      <c r="Y509" s="12" t="s">
        <v>66</v>
      </c>
      <c r="Z509" s="12"/>
      <c r="AA509" s="12"/>
      <c r="AB509" s="3">
        <v>1</v>
      </c>
    </row>
    <row r="510" spans="1:28" s="3" customFormat="1" ht="14.45" customHeight="1" x14ac:dyDescent="0.25">
      <c r="A510" s="141">
        <v>2</v>
      </c>
      <c r="B510" s="99" t="s">
        <v>139</v>
      </c>
      <c r="C510" s="95" t="str">
        <f>VLOOKUP($F510,Admin!$D$11:$F$19,2,FALSE)</f>
        <v>Kísérleti fejlesztés</v>
      </c>
      <c r="D510" s="138" t="s">
        <v>123</v>
      </c>
      <c r="E510" s="95" t="str">
        <f>VLOOKUP($F510,Admin!$D$11:$F$19,3,FALSE)</f>
        <v>54. Bérköltség - technikus segédszemélyzet</v>
      </c>
      <c r="F510" s="139" t="s">
        <v>215</v>
      </c>
      <c r="G510" s="100" t="s">
        <v>180</v>
      </c>
      <c r="H510" s="100" t="s">
        <v>144</v>
      </c>
      <c r="I510" s="139" t="str">
        <f>VLOOKUP($F510,Admin!$D$11:$G$19,4,FALSE)</f>
        <v>Technikus</v>
      </c>
      <c r="J510" s="100" t="s">
        <v>43</v>
      </c>
      <c r="K510" s="95" t="str">
        <f t="shared" si="677"/>
        <v>2022.01</v>
      </c>
      <c r="L510" s="101" t="s">
        <v>6</v>
      </c>
      <c r="M510" s="96" t="s">
        <v>70</v>
      </c>
      <c r="N510" s="103">
        <v>429047</v>
      </c>
      <c r="O510" s="97">
        <f t="shared" si="678"/>
        <v>55776</v>
      </c>
      <c r="P510" s="104">
        <v>174</v>
      </c>
      <c r="Q510" s="104">
        <v>50</v>
      </c>
      <c r="R510" s="215">
        <f t="shared" si="675"/>
        <v>0.28735632183908044</v>
      </c>
      <c r="S510" s="105">
        <f t="shared" si="5"/>
        <v>123289</v>
      </c>
      <c r="T510" s="98">
        <f t="shared" si="679"/>
        <v>16028</v>
      </c>
      <c r="U510" s="70">
        <f t="shared" si="676"/>
        <v>8.5728624588110591E-7</v>
      </c>
      <c r="V510" s="140">
        <v>0.13</v>
      </c>
      <c r="W510" s="209"/>
      <c r="X510" s="17">
        <v>44564</v>
      </c>
      <c r="Y510" s="12" t="s">
        <v>66</v>
      </c>
      <c r="Z510" s="12"/>
      <c r="AA510" s="12"/>
      <c r="AB510" s="3">
        <v>1</v>
      </c>
    </row>
    <row r="511" spans="1:28" s="3" customFormat="1" ht="14.45" customHeight="1" x14ac:dyDescent="0.25">
      <c r="A511" s="141">
        <v>3</v>
      </c>
      <c r="B511" s="99" t="s">
        <v>139</v>
      </c>
      <c r="C511" s="95" t="str">
        <f>VLOOKUP($F511,Admin!$D$11:$F$19,2,FALSE)</f>
        <v>Kísérleti fejlesztés</v>
      </c>
      <c r="D511" s="138" t="s">
        <v>123</v>
      </c>
      <c r="E511" s="95" t="str">
        <f>VLOOKUP($F511,Admin!$D$11:$F$19,3,FALSE)</f>
        <v>54. Bérköltség - technikus segédszemélyzet</v>
      </c>
      <c r="F511" s="139" t="s">
        <v>215</v>
      </c>
      <c r="G511" s="100" t="s">
        <v>180</v>
      </c>
      <c r="H511" s="100" t="s">
        <v>144</v>
      </c>
      <c r="I511" s="139" t="str">
        <f>VLOOKUP($F511,Admin!$D$11:$G$19,4,FALSE)</f>
        <v>Technikus</v>
      </c>
      <c r="J511" s="100" t="s">
        <v>44</v>
      </c>
      <c r="K511" s="95" t="str">
        <f t="shared" si="677"/>
        <v>2022.02</v>
      </c>
      <c r="L511" s="101" t="s">
        <v>6</v>
      </c>
      <c r="M511" s="96" t="s">
        <v>70</v>
      </c>
      <c r="N511" s="103">
        <v>423470</v>
      </c>
      <c r="O511" s="97">
        <f t="shared" si="678"/>
        <v>55051</v>
      </c>
      <c r="P511" s="104">
        <v>174</v>
      </c>
      <c r="Q511" s="104">
        <v>52</v>
      </c>
      <c r="R511" s="215">
        <f t="shared" si="675"/>
        <v>0.2988505747126437</v>
      </c>
      <c r="S511" s="105">
        <f t="shared" si="5"/>
        <v>126554</v>
      </c>
      <c r="T511" s="98">
        <f t="shared" si="679"/>
        <v>16452</v>
      </c>
      <c r="U511" s="70">
        <f t="shared" si="676"/>
        <v>5.9714634620400275E-7</v>
      </c>
      <c r="V511" s="140">
        <v>0.13</v>
      </c>
      <c r="W511" s="209"/>
      <c r="X511" s="17">
        <v>44594</v>
      </c>
      <c r="Y511" s="12" t="s">
        <v>66</v>
      </c>
      <c r="Z511" s="12"/>
      <c r="AA511" s="12"/>
      <c r="AB511" s="3">
        <v>1</v>
      </c>
    </row>
    <row r="512" spans="1:28" s="3" customFormat="1" ht="14.45" customHeight="1" x14ac:dyDescent="0.25">
      <c r="A512" s="141">
        <v>3</v>
      </c>
      <c r="B512" s="99" t="s">
        <v>139</v>
      </c>
      <c r="C512" s="95" t="str">
        <f>VLOOKUP($F512,Admin!$D$11:$F$19,2,FALSE)</f>
        <v>Kísérleti fejlesztés</v>
      </c>
      <c r="D512" s="138" t="s">
        <v>123</v>
      </c>
      <c r="E512" s="95" t="str">
        <f>VLOOKUP($F512,Admin!$D$11:$F$19,3,FALSE)</f>
        <v>54. Bérköltség - technikus segédszemélyzet</v>
      </c>
      <c r="F512" s="139" t="s">
        <v>215</v>
      </c>
      <c r="G512" s="100" t="s">
        <v>180</v>
      </c>
      <c r="H512" s="100" t="s">
        <v>144</v>
      </c>
      <c r="I512" s="139" t="str">
        <f>VLOOKUP($F512,Admin!$D$11:$G$19,4,FALSE)</f>
        <v>Technikus</v>
      </c>
      <c r="J512" s="100" t="s">
        <v>45</v>
      </c>
      <c r="K512" s="95" t="str">
        <f t="shared" si="677"/>
        <v>2022.03</v>
      </c>
      <c r="L512" s="101" t="s">
        <v>6</v>
      </c>
      <c r="M512" s="96" t="s">
        <v>70</v>
      </c>
      <c r="N512" s="103">
        <v>407497</v>
      </c>
      <c r="O512" s="97">
        <f t="shared" si="678"/>
        <v>52975</v>
      </c>
      <c r="P512" s="104">
        <v>174</v>
      </c>
      <c r="Q512" s="104">
        <v>52</v>
      </c>
      <c r="R512" s="215">
        <f t="shared" si="675"/>
        <v>0.2988505747126437</v>
      </c>
      <c r="S512" s="105">
        <f t="shared" si="5"/>
        <v>121781</v>
      </c>
      <c r="T512" s="98">
        <f t="shared" si="679"/>
        <v>15832</v>
      </c>
      <c r="U512" s="70">
        <f t="shared" si="676"/>
        <v>-7.0517407940728916E-7</v>
      </c>
      <c r="V512" s="140">
        <v>0.13</v>
      </c>
      <c r="W512" s="209"/>
      <c r="X512" s="17">
        <v>44594</v>
      </c>
      <c r="Y512" s="12" t="s">
        <v>66</v>
      </c>
      <c r="Z512" s="12"/>
      <c r="AA512" s="12"/>
      <c r="AB512" s="3">
        <v>1</v>
      </c>
    </row>
    <row r="513" spans="1:31" s="3" customFormat="1" ht="14.45" customHeight="1" x14ac:dyDescent="0.25">
      <c r="A513" s="141">
        <v>3</v>
      </c>
      <c r="B513" s="99" t="s">
        <v>139</v>
      </c>
      <c r="C513" s="95" t="str">
        <f>VLOOKUP($F513,Admin!$D$11:$F$19,2,FALSE)</f>
        <v>Kísérleti fejlesztés</v>
      </c>
      <c r="D513" s="138" t="s">
        <v>123</v>
      </c>
      <c r="E513" s="95" t="str">
        <f>VLOOKUP($F513,Admin!$D$11:$F$19,3,FALSE)</f>
        <v>54. Bérköltség - technikus segédszemélyzet</v>
      </c>
      <c r="F513" s="139" t="s">
        <v>215</v>
      </c>
      <c r="G513" s="100" t="s">
        <v>180</v>
      </c>
      <c r="H513" s="100" t="s">
        <v>144</v>
      </c>
      <c r="I513" s="139" t="str">
        <f>VLOOKUP($F513,Admin!$D$11:$G$19,4,FALSE)</f>
        <v>Technikus</v>
      </c>
      <c r="J513" s="100" t="s">
        <v>46</v>
      </c>
      <c r="K513" s="95" t="str">
        <f t="shared" ref="K513" si="754">J513</f>
        <v>2022.04</v>
      </c>
      <c r="L513" s="101" t="s">
        <v>6</v>
      </c>
      <c r="M513" s="96" t="s">
        <v>70</v>
      </c>
      <c r="N513" s="103">
        <v>450500</v>
      </c>
      <c r="O513" s="97">
        <f t="shared" ref="O513" si="755">ROUND(N513*V513,0)</f>
        <v>58565</v>
      </c>
      <c r="P513" s="104">
        <v>174</v>
      </c>
      <c r="Q513" s="104">
        <v>52</v>
      </c>
      <c r="R513" s="215">
        <f t="shared" ref="R513" si="756">Q513/P513</f>
        <v>0.2988505747126437</v>
      </c>
      <c r="S513" s="105">
        <f t="shared" ref="S513" si="757">ROUND(N513*Q513/P513,0)</f>
        <v>134632</v>
      </c>
      <c r="T513" s="98">
        <f t="shared" ref="T513" si="758">ROUND(S513*V513,0)</f>
        <v>17502</v>
      </c>
      <c r="U513" s="70">
        <f t="shared" ref="U513" si="759">Q513/P513-S513/N513</f>
        <v>4.0823095670550202E-7</v>
      </c>
      <c r="V513" s="140">
        <v>0.13</v>
      </c>
      <c r="W513" s="209"/>
      <c r="X513" s="17">
        <v>44644</v>
      </c>
      <c r="Y513" s="12" t="s">
        <v>66</v>
      </c>
      <c r="Z513" s="12"/>
      <c r="AA513" s="12"/>
      <c r="AB513" s="3">
        <v>1</v>
      </c>
    </row>
    <row r="514" spans="1:31" s="3" customFormat="1" ht="14.45" customHeight="1" x14ac:dyDescent="0.25">
      <c r="A514" s="141">
        <v>3</v>
      </c>
      <c r="B514" s="99" t="s">
        <v>139</v>
      </c>
      <c r="C514" s="95" t="str">
        <f>VLOOKUP($F514,Admin!$D$11:$F$19,2,FALSE)</f>
        <v>Kísérleti fejlesztés</v>
      </c>
      <c r="D514" s="138" t="s">
        <v>123</v>
      </c>
      <c r="E514" s="95" t="str">
        <f>VLOOKUP($F514,Admin!$D$11:$F$19,3,FALSE)</f>
        <v>54. Bérköltség - technikus segédszemélyzet</v>
      </c>
      <c r="F514" s="139" t="s">
        <v>215</v>
      </c>
      <c r="G514" s="100" t="s">
        <v>180</v>
      </c>
      <c r="H514" s="100" t="s">
        <v>144</v>
      </c>
      <c r="I514" s="139" t="str">
        <f>VLOOKUP($F514,Admin!$D$11:$G$19,4,FALSE)</f>
        <v>Technikus</v>
      </c>
      <c r="J514" s="100" t="s">
        <v>47</v>
      </c>
      <c r="K514" s="95" t="str">
        <f t="shared" ref="K514:K517" si="760">J514</f>
        <v>2022.05</v>
      </c>
      <c r="L514" s="101" t="s">
        <v>6</v>
      </c>
      <c r="M514" s="96" t="s">
        <v>70</v>
      </c>
      <c r="N514" s="103">
        <v>450499</v>
      </c>
      <c r="O514" s="97">
        <f t="shared" ref="O514:O515" si="761">ROUND(N514*V514,0)</f>
        <v>58565</v>
      </c>
      <c r="P514" s="104">
        <v>174</v>
      </c>
      <c r="Q514" s="104">
        <v>52</v>
      </c>
      <c r="R514" s="215">
        <f t="shared" ref="R514:R515" si="762">Q514/P514</f>
        <v>0.2988505747126437</v>
      </c>
      <c r="S514" s="105">
        <f t="shared" ref="S514:S515" si="763">ROUND(N514*Q514/P514,0)</f>
        <v>134632</v>
      </c>
      <c r="T514" s="98">
        <f t="shared" ref="T514:T515" si="764">ROUND(S514*V514,0)</f>
        <v>17502</v>
      </c>
      <c r="U514" s="70">
        <f t="shared" ref="U514:U515" si="765">Q514/P514-S514/N514</f>
        <v>-2.5514491425182584E-7</v>
      </c>
      <c r="V514" s="140">
        <v>0.13</v>
      </c>
      <c r="W514" s="209"/>
      <c r="X514" s="17">
        <v>44644</v>
      </c>
      <c r="Y514" s="12" t="s">
        <v>66</v>
      </c>
      <c r="Z514" s="12"/>
      <c r="AA514" s="12"/>
      <c r="AB514" s="3">
        <v>1</v>
      </c>
    </row>
    <row r="515" spans="1:31" s="3" customFormat="1" ht="14.45" customHeight="1" x14ac:dyDescent="0.25">
      <c r="A515" s="141">
        <v>3</v>
      </c>
      <c r="B515" s="99" t="s">
        <v>139</v>
      </c>
      <c r="C515" s="95" t="str">
        <f>VLOOKUP($F515,Admin!$D$11:$F$19,2,FALSE)</f>
        <v>Kísérleti fejlesztés</v>
      </c>
      <c r="D515" s="138" t="s">
        <v>123</v>
      </c>
      <c r="E515" s="95" t="str">
        <f>VLOOKUP($F515,Admin!$D$11:$F$19,3,FALSE)</f>
        <v>54. Bérköltség - technikus segédszemélyzet</v>
      </c>
      <c r="F515" s="139" t="s">
        <v>215</v>
      </c>
      <c r="G515" s="100" t="s">
        <v>180</v>
      </c>
      <c r="H515" s="100" t="s">
        <v>144</v>
      </c>
      <c r="I515" s="139" t="str">
        <f>VLOOKUP($F515,Admin!$D$11:$G$19,4,FALSE)</f>
        <v>Technikus</v>
      </c>
      <c r="J515" s="100" t="s">
        <v>48</v>
      </c>
      <c r="K515" s="95" t="str">
        <f t="shared" si="760"/>
        <v>2022.06</v>
      </c>
      <c r="L515" s="101" t="s">
        <v>6</v>
      </c>
      <c r="M515" s="96" t="s">
        <v>70</v>
      </c>
      <c r="N515" s="103">
        <v>450499</v>
      </c>
      <c r="O515" s="97">
        <f t="shared" si="761"/>
        <v>58565</v>
      </c>
      <c r="P515" s="104">
        <v>174</v>
      </c>
      <c r="Q515" s="104">
        <v>52</v>
      </c>
      <c r="R515" s="215">
        <f t="shared" si="762"/>
        <v>0.2988505747126437</v>
      </c>
      <c r="S515" s="105">
        <f t="shared" si="763"/>
        <v>134632</v>
      </c>
      <c r="T515" s="98">
        <f t="shared" si="764"/>
        <v>17502</v>
      </c>
      <c r="U515" s="70">
        <f t="shared" si="765"/>
        <v>-2.5514491425182584E-7</v>
      </c>
      <c r="V515" s="140">
        <v>0.13</v>
      </c>
      <c r="W515" s="209"/>
      <c r="X515" s="17">
        <v>44713</v>
      </c>
      <c r="Y515" s="12" t="s">
        <v>66</v>
      </c>
      <c r="Z515" s="12"/>
      <c r="AA515" s="12"/>
      <c r="AB515" s="3">
        <v>1</v>
      </c>
    </row>
    <row r="516" spans="1:31" s="3" customFormat="1" ht="14.45" customHeight="1" x14ac:dyDescent="0.25">
      <c r="A516" s="141">
        <v>3</v>
      </c>
      <c r="B516" s="99" t="s">
        <v>139</v>
      </c>
      <c r="C516" s="95" t="str">
        <f>VLOOKUP($F516,Admin!$D$11:$F$19,2,FALSE)</f>
        <v>Kísérleti fejlesztés</v>
      </c>
      <c r="D516" s="138" t="s">
        <v>123</v>
      </c>
      <c r="E516" s="95" t="str">
        <f>VLOOKUP($F516,Admin!$D$11:$F$19,3,FALSE)</f>
        <v>54. Bérköltség - technikus segédszemélyzet</v>
      </c>
      <c r="F516" s="139" t="s">
        <v>215</v>
      </c>
      <c r="G516" s="100" t="s">
        <v>180</v>
      </c>
      <c r="H516" s="100" t="s">
        <v>144</v>
      </c>
      <c r="I516" s="139" t="str">
        <f>VLOOKUP($F516,Admin!$D$11:$G$19,4,FALSE)</f>
        <v>Technikus</v>
      </c>
      <c r="J516" s="100" t="s">
        <v>49</v>
      </c>
      <c r="K516" s="95" t="str">
        <f t="shared" si="760"/>
        <v>2022.07</v>
      </c>
      <c r="L516" s="101" t="s">
        <v>6</v>
      </c>
      <c r="M516" s="96" t="s">
        <v>70</v>
      </c>
      <c r="N516" s="103">
        <v>450499</v>
      </c>
      <c r="O516" s="97">
        <f t="shared" ref="O516:O517" si="766">ROUND(N516*V516,0)</f>
        <v>58565</v>
      </c>
      <c r="P516" s="104">
        <v>174</v>
      </c>
      <c r="Q516" s="104">
        <v>52</v>
      </c>
      <c r="R516" s="215">
        <f t="shared" ref="R516:R517" si="767">Q516/P516</f>
        <v>0.2988505747126437</v>
      </c>
      <c r="S516" s="105">
        <f t="shared" ref="S516:S517" si="768">ROUND(N516*Q516/P516,0)</f>
        <v>134632</v>
      </c>
      <c r="T516" s="98">
        <f t="shared" ref="T516:T517" si="769">ROUND(S516*V516,0)</f>
        <v>17502</v>
      </c>
      <c r="U516" s="70">
        <f t="shared" ref="U516:U517" si="770">Q516/P516-S516/N516</f>
        <v>-2.5514491425182584E-7</v>
      </c>
      <c r="V516" s="140">
        <v>0.13</v>
      </c>
      <c r="W516" s="209"/>
      <c r="X516" s="17">
        <v>44713</v>
      </c>
      <c r="Y516" s="12" t="s">
        <v>66</v>
      </c>
      <c r="Z516" s="12"/>
      <c r="AA516" s="12"/>
      <c r="AB516" s="3">
        <v>1</v>
      </c>
    </row>
    <row r="517" spans="1:31" s="3" customFormat="1" ht="14.45" customHeight="1" x14ac:dyDescent="0.25">
      <c r="A517" s="141">
        <v>3</v>
      </c>
      <c r="B517" s="99" t="s">
        <v>139</v>
      </c>
      <c r="C517" s="95" t="str">
        <f>VLOOKUP($F517,Admin!$D$11:$F$19,2,FALSE)</f>
        <v>Kísérleti fejlesztés</v>
      </c>
      <c r="D517" s="138" t="s">
        <v>123</v>
      </c>
      <c r="E517" s="95" t="str">
        <f>VLOOKUP($F517,Admin!$D$11:$F$19,3,FALSE)</f>
        <v>54. Bérköltség - technikus segédszemélyzet</v>
      </c>
      <c r="F517" s="139" t="s">
        <v>215</v>
      </c>
      <c r="G517" s="100" t="s">
        <v>180</v>
      </c>
      <c r="H517" s="100" t="s">
        <v>144</v>
      </c>
      <c r="I517" s="139" t="str">
        <f>VLOOKUP($F517,Admin!$D$11:$G$19,4,FALSE)</f>
        <v>Technikus</v>
      </c>
      <c r="J517" s="100" t="s">
        <v>50</v>
      </c>
      <c r="K517" s="95" t="str">
        <f t="shared" si="760"/>
        <v>2022.08</v>
      </c>
      <c r="L517" s="101" t="s">
        <v>6</v>
      </c>
      <c r="M517" s="96" t="s">
        <v>70</v>
      </c>
      <c r="N517" s="103">
        <v>372153</v>
      </c>
      <c r="O517" s="97">
        <f t="shared" si="766"/>
        <v>48380</v>
      </c>
      <c r="P517" s="104">
        <v>174</v>
      </c>
      <c r="Q517" s="104">
        <v>52</v>
      </c>
      <c r="R517" s="215">
        <f t="shared" si="767"/>
        <v>0.2988505747126437</v>
      </c>
      <c r="S517" s="105">
        <f t="shared" si="768"/>
        <v>111218</v>
      </c>
      <c r="T517" s="98">
        <f t="shared" si="769"/>
        <v>14458</v>
      </c>
      <c r="U517" s="70">
        <f t="shared" si="770"/>
        <v>3.7062991425917957E-7</v>
      </c>
      <c r="V517" s="140">
        <v>0.13</v>
      </c>
      <c r="W517" s="209"/>
      <c r="X517" s="17">
        <v>44713</v>
      </c>
      <c r="Y517" s="12" t="s">
        <v>66</v>
      </c>
      <c r="Z517" s="12"/>
      <c r="AA517" s="12"/>
      <c r="AB517" s="3">
        <v>1</v>
      </c>
    </row>
    <row r="518" spans="1:31" s="3" customFormat="1" ht="14.45" customHeight="1" x14ac:dyDescent="0.25">
      <c r="A518" s="141">
        <v>3</v>
      </c>
      <c r="B518" s="99" t="s">
        <v>139</v>
      </c>
      <c r="C518" s="95" t="str">
        <f>VLOOKUP($F518,Admin!$D$11:$F$19,2,FALSE)</f>
        <v>Kísérleti fejlesztés</v>
      </c>
      <c r="D518" s="138" t="s">
        <v>123</v>
      </c>
      <c r="E518" s="95" t="str">
        <f>VLOOKUP($F518,Admin!$D$11:$F$19,3,FALSE)</f>
        <v>54. Bérköltség - technikus segédszemélyzet</v>
      </c>
      <c r="F518" s="139" t="s">
        <v>215</v>
      </c>
      <c r="G518" s="100" t="s">
        <v>180</v>
      </c>
      <c r="H518" s="100" t="s">
        <v>144</v>
      </c>
      <c r="I518" s="139" t="str">
        <f>VLOOKUP($F518,Admin!$D$11:$G$19,4,FALSE)</f>
        <v>Technikus</v>
      </c>
      <c r="J518" s="100" t="s">
        <v>51</v>
      </c>
      <c r="K518" s="95" t="str">
        <f t="shared" ref="K518:K520" si="771">J518</f>
        <v>2022.09</v>
      </c>
      <c r="L518" s="101" t="s">
        <v>6</v>
      </c>
      <c r="M518" s="96" t="s">
        <v>70</v>
      </c>
      <c r="N518" s="103">
        <v>450500</v>
      </c>
      <c r="O518" s="97">
        <f t="shared" ref="O518" si="772">ROUND(N518*V518,0)</f>
        <v>58565</v>
      </c>
      <c r="P518" s="104">
        <v>174</v>
      </c>
      <c r="Q518" s="104">
        <v>79</v>
      </c>
      <c r="R518" s="215">
        <f t="shared" ref="R518" si="773">Q518/P518</f>
        <v>0.45402298850574713</v>
      </c>
      <c r="S518" s="105">
        <f t="shared" ref="S518" si="774">ROUND(N518*Q518/P518,0)</f>
        <v>204537</v>
      </c>
      <c r="T518" s="98">
        <f t="shared" ref="T518" si="775">ROUND(S518*V518,0)</f>
        <v>26590</v>
      </c>
      <c r="U518" s="70">
        <f t="shared" ref="U518" si="776">Q518/P518-S518/N518</f>
        <v>7.9094747851282676E-7</v>
      </c>
      <c r="V518" s="140">
        <v>0.13</v>
      </c>
      <c r="W518" s="209"/>
      <c r="X518" s="17">
        <v>44798</v>
      </c>
      <c r="Y518" s="12" t="s">
        <v>66</v>
      </c>
      <c r="Z518" s="12"/>
      <c r="AA518" s="12"/>
      <c r="AB518" s="3">
        <v>1</v>
      </c>
    </row>
    <row r="519" spans="1:31" s="3" customFormat="1" ht="14.45" customHeight="1" x14ac:dyDescent="0.25">
      <c r="A519" s="141">
        <v>3</v>
      </c>
      <c r="B519" s="99" t="s">
        <v>139</v>
      </c>
      <c r="C519" s="95" t="str">
        <f>VLOOKUP($F519,Admin!$D$11:$F$19,2,FALSE)</f>
        <v>Kísérleti fejlesztés</v>
      </c>
      <c r="D519" s="138" t="s">
        <v>123</v>
      </c>
      <c r="E519" s="95" t="str">
        <f>VLOOKUP($F519,Admin!$D$11:$F$19,3,FALSE)</f>
        <v>54. Bérköltség - technikus segédszemélyzet</v>
      </c>
      <c r="F519" s="139" t="s">
        <v>215</v>
      </c>
      <c r="G519" s="100" t="s">
        <v>180</v>
      </c>
      <c r="H519" s="100" t="s">
        <v>144</v>
      </c>
      <c r="I519" s="139" t="str">
        <f>VLOOKUP($F519,Admin!$D$11:$G$19,4,FALSE)</f>
        <v>Technikus</v>
      </c>
      <c r="J519" s="100" t="s">
        <v>52</v>
      </c>
      <c r="K519" s="95" t="str">
        <f t="shared" si="771"/>
        <v>2022.10</v>
      </c>
      <c r="L519" s="101" t="s">
        <v>6</v>
      </c>
      <c r="M519" s="96" t="s">
        <v>70</v>
      </c>
      <c r="N519" s="103">
        <v>450500</v>
      </c>
      <c r="O519" s="97">
        <f t="shared" ref="O519:O520" si="777">ROUND(N519*V519,0)</f>
        <v>58565</v>
      </c>
      <c r="P519" s="104">
        <v>174</v>
      </c>
      <c r="Q519" s="104">
        <v>79</v>
      </c>
      <c r="R519" s="215">
        <f t="shared" ref="R519:R520" si="778">Q519/P519</f>
        <v>0.45402298850574713</v>
      </c>
      <c r="S519" s="105">
        <f t="shared" ref="S519:S520" si="779">ROUND(N519*Q519/P519,0)</f>
        <v>204537</v>
      </c>
      <c r="T519" s="98">
        <f t="shared" ref="T519:T520" si="780">ROUND(S519*V519,0)</f>
        <v>26590</v>
      </c>
      <c r="U519" s="70">
        <f t="shared" ref="U519:U520" si="781">Q519/P519-S519/N519</f>
        <v>7.9094747851282676E-7</v>
      </c>
      <c r="V519" s="140">
        <v>0.13</v>
      </c>
      <c r="W519" s="209"/>
      <c r="X519" s="17">
        <v>44798</v>
      </c>
      <c r="Y519" s="12" t="s">
        <v>66</v>
      </c>
      <c r="Z519" s="12"/>
      <c r="AA519" s="12"/>
      <c r="AB519" s="3">
        <v>1</v>
      </c>
    </row>
    <row r="520" spans="1:31" s="3" customFormat="1" ht="14.45" customHeight="1" x14ac:dyDescent="0.25">
      <c r="A520" s="141">
        <v>3</v>
      </c>
      <c r="B520" s="99" t="s">
        <v>139</v>
      </c>
      <c r="C520" s="95" t="str">
        <f>VLOOKUP($F520,Admin!$D$11:$F$19,2,FALSE)</f>
        <v>Kísérleti fejlesztés</v>
      </c>
      <c r="D520" s="138" t="s">
        <v>123</v>
      </c>
      <c r="E520" s="95" t="str">
        <f>VLOOKUP($F520,Admin!$D$11:$F$19,3,FALSE)</f>
        <v>54. Bérköltség - technikus segédszemélyzet</v>
      </c>
      <c r="F520" s="139" t="s">
        <v>215</v>
      </c>
      <c r="G520" s="100" t="s">
        <v>180</v>
      </c>
      <c r="H520" s="100" t="s">
        <v>144</v>
      </c>
      <c r="I520" s="139" t="str">
        <f>VLOOKUP($F520,Admin!$D$11:$G$19,4,FALSE)</f>
        <v>Technikus</v>
      </c>
      <c r="J520" s="100" t="s">
        <v>53</v>
      </c>
      <c r="K520" s="95" t="str">
        <f t="shared" si="771"/>
        <v>2022.11</v>
      </c>
      <c r="L520" s="101" t="s">
        <v>6</v>
      </c>
      <c r="M520" s="96" t="s">
        <v>70</v>
      </c>
      <c r="N520" s="103">
        <v>450500</v>
      </c>
      <c r="O520" s="97">
        <f t="shared" si="777"/>
        <v>58565</v>
      </c>
      <c r="P520" s="104">
        <v>174</v>
      </c>
      <c r="Q520" s="104">
        <v>79</v>
      </c>
      <c r="R520" s="215">
        <f t="shared" si="778"/>
        <v>0.45402298850574713</v>
      </c>
      <c r="S520" s="105">
        <f t="shared" si="779"/>
        <v>204537</v>
      </c>
      <c r="T520" s="98">
        <f t="shared" si="780"/>
        <v>26590</v>
      </c>
      <c r="U520" s="70">
        <f t="shared" si="781"/>
        <v>7.9094747851282676E-7</v>
      </c>
      <c r="V520" s="140">
        <v>0.13</v>
      </c>
      <c r="W520" s="209" t="s">
        <v>284</v>
      </c>
      <c r="X520" s="17">
        <v>44798</v>
      </c>
      <c r="Y520" s="12" t="s">
        <v>66</v>
      </c>
      <c r="Z520" s="12"/>
      <c r="AA520" s="12"/>
      <c r="AB520" s="3">
        <v>1</v>
      </c>
    </row>
    <row r="521" spans="1:31" s="3" customFormat="1" ht="14.45" customHeight="1" x14ac:dyDescent="0.25">
      <c r="A521" s="141">
        <v>3</v>
      </c>
      <c r="B521" s="99" t="s">
        <v>139</v>
      </c>
      <c r="C521" s="95" t="str">
        <f>VLOOKUP($F521,Admin!$D$11:$F$19,2,FALSE)</f>
        <v>Kísérleti fejlesztés</v>
      </c>
      <c r="D521" s="138" t="s">
        <v>123</v>
      </c>
      <c r="E521" s="95" t="str">
        <f>VLOOKUP($F521,Admin!$D$11:$F$19,3,FALSE)</f>
        <v>54. Bérköltség - technikus segédszemélyzet</v>
      </c>
      <c r="F521" s="139" t="s">
        <v>215</v>
      </c>
      <c r="G521" s="100" t="s">
        <v>180</v>
      </c>
      <c r="H521" s="100" t="s">
        <v>144</v>
      </c>
      <c r="I521" s="139" t="str">
        <f>VLOOKUP($F521,Admin!$D$11:$G$19,4,FALSE)</f>
        <v>Technikus</v>
      </c>
      <c r="J521" s="100" t="s">
        <v>54</v>
      </c>
      <c r="K521" s="95" t="str">
        <f t="shared" ref="K521:K522" si="782">J521</f>
        <v>2022.12</v>
      </c>
      <c r="L521" s="101" t="s">
        <v>6</v>
      </c>
      <c r="M521" s="96" t="s">
        <v>70</v>
      </c>
      <c r="N521" s="103">
        <v>444064</v>
      </c>
      <c r="O521" s="97">
        <f t="shared" ref="O521" si="783">ROUND(N521*V521,0)</f>
        <v>57728</v>
      </c>
      <c r="P521" s="104">
        <v>174</v>
      </c>
      <c r="Q521" s="104">
        <v>79</v>
      </c>
      <c r="R521" s="215">
        <f t="shared" ref="R521" si="784">Q521/P521</f>
        <v>0.45402298850574713</v>
      </c>
      <c r="S521" s="105">
        <f t="shared" ref="S521" si="785">ROUND(N521*Q521/P521,0)</f>
        <v>201615</v>
      </c>
      <c r="T521" s="98">
        <f t="shared" ref="T521" si="786">ROUND(S521*V521,0)</f>
        <v>26210</v>
      </c>
      <c r="U521" s="70">
        <f t="shared" ref="U521" si="787">Q521/P521-S521/N521</f>
        <v>5.9533719481974501E-7</v>
      </c>
      <c r="V521" s="140">
        <v>0.13</v>
      </c>
      <c r="W521" s="209" t="s">
        <v>284</v>
      </c>
      <c r="X521" s="17">
        <v>44888</v>
      </c>
      <c r="Y521" s="12" t="s">
        <v>66</v>
      </c>
      <c r="Z521" s="12"/>
      <c r="AA521" s="12"/>
      <c r="AB521" s="3">
        <v>1</v>
      </c>
      <c r="AC521" s="204" t="s">
        <v>315</v>
      </c>
      <c r="AD521" s="204" t="s">
        <v>315</v>
      </c>
      <c r="AE521" s="204" t="s">
        <v>315</v>
      </c>
    </row>
    <row r="522" spans="1:31" s="3" customFormat="1" ht="14.45" customHeight="1" x14ac:dyDescent="0.25">
      <c r="A522" s="141">
        <v>3</v>
      </c>
      <c r="B522" s="99" t="s">
        <v>139</v>
      </c>
      <c r="C522" s="95" t="str">
        <f>VLOOKUP($F522,Admin!$D$11:$F$19,2,FALSE)</f>
        <v>Kísérleti fejlesztés</v>
      </c>
      <c r="D522" s="138" t="s">
        <v>123</v>
      </c>
      <c r="E522" s="95" t="str">
        <f>VLOOKUP($F522,Admin!$D$11:$F$19,3,FALSE)</f>
        <v>54. Bérköltség - technikus segédszemélyzet</v>
      </c>
      <c r="F522" s="139" t="s">
        <v>215</v>
      </c>
      <c r="G522" s="100" t="s">
        <v>180</v>
      </c>
      <c r="H522" s="100" t="s">
        <v>144</v>
      </c>
      <c r="I522" s="139" t="str">
        <f>VLOOKUP($F522,Admin!$D$11:$G$19,4,FALSE)</f>
        <v>Technikus</v>
      </c>
      <c r="J522" s="100" t="s">
        <v>257</v>
      </c>
      <c r="K522" s="95" t="str">
        <f t="shared" si="782"/>
        <v>2023.01</v>
      </c>
      <c r="L522" s="101" t="s">
        <v>6</v>
      </c>
      <c r="M522" s="96" t="s">
        <v>70</v>
      </c>
      <c r="N522" s="103">
        <v>495599</v>
      </c>
      <c r="O522" s="97">
        <f t="shared" ref="O522" si="788">ROUND(N522*V522,0)</f>
        <v>64428</v>
      </c>
      <c r="P522" s="104">
        <v>174</v>
      </c>
      <c r="Q522" s="104">
        <v>72</v>
      </c>
      <c r="R522" s="215">
        <f t="shared" ref="R522" si="789">Q522/P522</f>
        <v>0.41379310344827586</v>
      </c>
      <c r="S522" s="105">
        <f t="shared" ref="S522" si="790">ROUND(N522*Q522/P522,0)</f>
        <v>205075</v>
      </c>
      <c r="T522" s="98">
        <f t="shared" ref="T522" si="791">ROUND(S522*V522,0)</f>
        <v>26660</v>
      </c>
      <c r="U522" s="70">
        <f t="shared" ref="U522" si="792">Q522/P522-S522/N522</f>
        <v>9.0451324974427649E-7</v>
      </c>
      <c r="V522" s="140">
        <v>0.13</v>
      </c>
      <c r="W522" s="209" t="s">
        <v>284</v>
      </c>
      <c r="X522" s="17">
        <v>44943</v>
      </c>
      <c r="Y522" s="12" t="s">
        <v>66</v>
      </c>
      <c r="Z522" s="12"/>
      <c r="AA522" s="12"/>
      <c r="AB522" s="3">
        <v>1</v>
      </c>
      <c r="AC522" s="204" t="s">
        <v>315</v>
      </c>
      <c r="AD522" s="216">
        <v>0</v>
      </c>
      <c r="AE522" s="216">
        <v>0</v>
      </c>
    </row>
    <row r="523" spans="1:31" s="3" customFormat="1" ht="14.45" customHeight="1" x14ac:dyDescent="0.25">
      <c r="A523" s="141"/>
      <c r="B523" s="99" t="s">
        <v>139</v>
      </c>
      <c r="C523" s="95" t="str">
        <f>VLOOKUP($F523,Admin!$D$11:$F$19,2,FALSE)</f>
        <v>Kísérleti fejlesztés</v>
      </c>
      <c r="D523" s="138" t="s">
        <v>123</v>
      </c>
      <c r="E523" s="95" t="str">
        <f>VLOOKUP($F523,Admin!$D$11:$F$19,3,FALSE)</f>
        <v>54. Bérköltség - technikus segédszemélyzet</v>
      </c>
      <c r="F523" s="139" t="s">
        <v>215</v>
      </c>
      <c r="G523" s="100" t="s">
        <v>180</v>
      </c>
      <c r="H523" s="100" t="s">
        <v>144</v>
      </c>
      <c r="I523" s="139" t="str">
        <f>VLOOKUP($F523,Admin!$D$11:$G$19,4,FALSE)</f>
        <v>Technikus</v>
      </c>
      <c r="J523" s="100" t="s">
        <v>295</v>
      </c>
      <c r="K523" s="95" t="str">
        <f t="shared" ref="K523:K525" si="793">J523</f>
        <v>2023.02</v>
      </c>
      <c r="L523" s="101" t="s">
        <v>6</v>
      </c>
      <c r="M523" s="96" t="s">
        <v>70</v>
      </c>
      <c r="N523" s="103">
        <v>488166</v>
      </c>
      <c r="O523" s="97">
        <f t="shared" ref="O523" si="794">ROUND(N523*V523,0)</f>
        <v>63462</v>
      </c>
      <c r="P523" s="104">
        <v>174</v>
      </c>
      <c r="Q523" s="104">
        <v>72</v>
      </c>
      <c r="R523" s="215">
        <f t="shared" ref="R523" si="795">Q523/P523</f>
        <v>0.41379310344827586</v>
      </c>
      <c r="S523" s="105">
        <f t="shared" ref="S523" si="796">ROUND(N523*Q523/P523,0)</f>
        <v>202000</v>
      </c>
      <c r="T523" s="98">
        <f t="shared" ref="T523" si="797">ROUND(S523*V523,0)</f>
        <v>26260</v>
      </c>
      <c r="U523" s="70">
        <f t="shared" ref="U523" si="798">Q523/P523-S523/N523</f>
        <v>-5.6509889867495389E-7</v>
      </c>
      <c r="V523" s="140">
        <v>0.13</v>
      </c>
      <c r="W523" s="209" t="s">
        <v>284</v>
      </c>
      <c r="X523" s="17">
        <v>44952</v>
      </c>
      <c r="Y523" s="12" t="s">
        <v>66</v>
      </c>
      <c r="Z523" s="12"/>
      <c r="AA523" s="12"/>
      <c r="AB523" s="3">
        <v>1</v>
      </c>
      <c r="AC523" s="3" t="s">
        <v>315</v>
      </c>
      <c r="AD523" s="3">
        <v>7434</v>
      </c>
      <c r="AE523" s="3">
        <v>966</v>
      </c>
    </row>
    <row r="524" spans="1:31" s="3" customFormat="1" ht="14.45" customHeight="1" x14ac:dyDescent="0.25">
      <c r="A524" s="141"/>
      <c r="B524" s="99" t="s">
        <v>139</v>
      </c>
      <c r="C524" s="95" t="str">
        <f>VLOOKUP($F524,Admin!$D$11:$F$19,2,FALSE)</f>
        <v>Kísérleti fejlesztés</v>
      </c>
      <c r="D524" s="138" t="s">
        <v>123</v>
      </c>
      <c r="E524" s="95" t="str">
        <f>VLOOKUP($F524,Admin!$D$11:$F$19,3,FALSE)</f>
        <v>54. Bérköltség - technikus segédszemélyzet</v>
      </c>
      <c r="F524" s="139" t="s">
        <v>215</v>
      </c>
      <c r="G524" s="100" t="s">
        <v>180</v>
      </c>
      <c r="H524" s="100" t="s">
        <v>144</v>
      </c>
      <c r="I524" s="139" t="str">
        <f>VLOOKUP($F524,Admin!$D$11:$G$19,4,FALSE)</f>
        <v>Technikus</v>
      </c>
      <c r="J524" s="100" t="s">
        <v>296</v>
      </c>
      <c r="K524" s="95" t="str">
        <f t="shared" si="793"/>
        <v>2023.03</v>
      </c>
      <c r="L524" s="101" t="s">
        <v>6</v>
      </c>
      <c r="M524" s="96" t="s">
        <v>70</v>
      </c>
      <c r="N524" s="103">
        <v>495600</v>
      </c>
      <c r="O524" s="97">
        <f t="shared" ref="O524:O525" si="799">ROUND(N524*V524,0)</f>
        <v>64428</v>
      </c>
      <c r="P524" s="104">
        <v>174</v>
      </c>
      <c r="Q524" s="104">
        <v>72</v>
      </c>
      <c r="R524" s="215">
        <f t="shared" ref="R524:R525" si="800">Q524/P524</f>
        <v>0.41379310344827586</v>
      </c>
      <c r="S524" s="105">
        <f t="shared" ref="S524:S525" si="801">ROUND(N524*Q524/P524,0)</f>
        <v>205076</v>
      </c>
      <c r="T524" s="98">
        <f t="shared" ref="T524:T525" si="802">ROUND(S524*V524,0)</f>
        <v>26660</v>
      </c>
      <c r="U524" s="70">
        <f t="shared" ref="U524:U525" si="803">Q524/P524-S524/N524</f>
        <v>-2.7831120757992878E-7</v>
      </c>
      <c r="V524" s="140">
        <v>0.13</v>
      </c>
      <c r="W524" s="209" t="s">
        <v>284</v>
      </c>
      <c r="X524" s="17">
        <v>44952</v>
      </c>
      <c r="Y524" s="12" t="s">
        <v>66</v>
      </c>
      <c r="Z524" s="12"/>
      <c r="AA524" s="12"/>
      <c r="AB524" s="3">
        <v>1</v>
      </c>
      <c r="AC524" s="3" t="s">
        <v>315</v>
      </c>
      <c r="AD524" s="3">
        <v>0</v>
      </c>
      <c r="AE524" s="3">
        <v>0</v>
      </c>
    </row>
    <row r="525" spans="1:31" s="3" customFormat="1" ht="14.45" customHeight="1" x14ac:dyDescent="0.25">
      <c r="A525" s="141"/>
      <c r="B525" s="99" t="s">
        <v>139</v>
      </c>
      <c r="C525" s="95" t="str">
        <f>VLOOKUP($F525,Admin!$D$11:$F$19,2,FALSE)</f>
        <v>Kísérleti fejlesztés</v>
      </c>
      <c r="D525" s="138" t="s">
        <v>123</v>
      </c>
      <c r="E525" s="95" t="str">
        <f>VLOOKUP($F525,Admin!$D$11:$F$19,3,FALSE)</f>
        <v>54. Bérköltség - technikus segédszemélyzet</v>
      </c>
      <c r="F525" s="139" t="s">
        <v>215</v>
      </c>
      <c r="G525" s="100" t="s">
        <v>180</v>
      </c>
      <c r="H525" s="100" t="s">
        <v>144</v>
      </c>
      <c r="I525" s="139" t="str">
        <f>VLOOKUP($F525,Admin!$D$11:$G$19,4,FALSE)</f>
        <v>Technikus</v>
      </c>
      <c r="J525" s="100" t="s">
        <v>297</v>
      </c>
      <c r="K525" s="95" t="str">
        <f t="shared" si="793"/>
        <v>2023.04</v>
      </c>
      <c r="L525" s="101" t="s">
        <v>7</v>
      </c>
      <c r="M525" s="96" t="s">
        <v>70</v>
      </c>
      <c r="N525" s="103">
        <v>495600</v>
      </c>
      <c r="O525" s="97">
        <f t="shared" si="799"/>
        <v>64428</v>
      </c>
      <c r="P525" s="104">
        <v>174</v>
      </c>
      <c r="Q525" s="104">
        <v>72</v>
      </c>
      <c r="R525" s="215">
        <f t="shared" si="800"/>
        <v>0.41379310344827586</v>
      </c>
      <c r="S525" s="105">
        <f t="shared" si="801"/>
        <v>205076</v>
      </c>
      <c r="T525" s="98">
        <f t="shared" si="802"/>
        <v>26660</v>
      </c>
      <c r="U525" s="70">
        <f t="shared" si="803"/>
        <v>-2.7831120757992878E-7</v>
      </c>
      <c r="V525" s="140">
        <v>0.13</v>
      </c>
      <c r="W525" s="209" t="s">
        <v>284</v>
      </c>
      <c r="X525" s="17">
        <v>44952</v>
      </c>
      <c r="Y525" s="12" t="s">
        <v>66</v>
      </c>
      <c r="Z525" s="12"/>
      <c r="AA525" s="12"/>
    </row>
    <row r="526" spans="1:31" s="3" customFormat="1" ht="14.45" customHeight="1" x14ac:dyDescent="0.25">
      <c r="A526" s="141">
        <v>2</v>
      </c>
      <c r="B526" s="99" t="s">
        <v>198</v>
      </c>
      <c r="C526" s="95" t="str">
        <f>VLOOKUP($F526,Admin!$D$11:$F$19,2,FALSE)</f>
        <v>Kísérleti fejlesztés</v>
      </c>
      <c r="D526" s="138" t="s">
        <v>123</v>
      </c>
      <c r="E526" s="95" t="str">
        <f>VLOOKUP($F526,Admin!$D$11:$F$19,3,FALSE)</f>
        <v>54. Bérköltség - Kutató-fejlesztő munkatárs</v>
      </c>
      <c r="F526" s="139" t="s">
        <v>213</v>
      </c>
      <c r="G526" s="100" t="s">
        <v>180</v>
      </c>
      <c r="H526" s="100" t="s">
        <v>141</v>
      </c>
      <c r="I526" s="139" t="str">
        <f>VLOOKUP($F526,Admin!$D$11:$G$19,4,FALSE)</f>
        <v>K+F munkatárs</v>
      </c>
      <c r="J526" s="100" t="s">
        <v>33</v>
      </c>
      <c r="K526" s="95" t="str">
        <f t="shared" si="677"/>
        <v>2021.03</v>
      </c>
      <c r="L526" s="101" t="s">
        <v>6</v>
      </c>
      <c r="M526" s="96" t="s">
        <v>70</v>
      </c>
      <c r="N526" s="103">
        <v>420000</v>
      </c>
      <c r="O526" s="97">
        <f t="shared" si="678"/>
        <v>65100</v>
      </c>
      <c r="P526" s="104">
        <v>174</v>
      </c>
      <c r="Q526" s="104">
        <v>62</v>
      </c>
      <c r="R526" s="215">
        <f t="shared" si="675"/>
        <v>0.35632183908045978</v>
      </c>
      <c r="S526" s="105">
        <f t="shared" si="5"/>
        <v>149655</v>
      </c>
      <c r="T526" s="98">
        <f t="shared" si="679"/>
        <v>23197</v>
      </c>
      <c r="U526" s="70">
        <f t="shared" si="676"/>
        <v>4.1050903121231386E-7</v>
      </c>
      <c r="V526" s="181">
        <v>0.155</v>
      </c>
      <c r="W526" s="210"/>
      <c r="X526" s="17">
        <v>44252</v>
      </c>
      <c r="Y526" s="12" t="s">
        <v>66</v>
      </c>
      <c r="Z526" s="12"/>
      <c r="AA526" s="12"/>
      <c r="AB526" s="3">
        <v>1</v>
      </c>
    </row>
    <row r="527" spans="1:31" s="3" customFormat="1" ht="14.45" customHeight="1" x14ac:dyDescent="0.25">
      <c r="A527" s="141">
        <v>2</v>
      </c>
      <c r="B527" s="99" t="s">
        <v>198</v>
      </c>
      <c r="C527" s="95" t="str">
        <f>VLOOKUP($F527,Admin!$D$11:$F$19,2,FALSE)</f>
        <v>Kísérleti fejlesztés</v>
      </c>
      <c r="D527" s="138" t="s">
        <v>123</v>
      </c>
      <c r="E527" s="95" t="str">
        <f>VLOOKUP($F527,Admin!$D$11:$F$19,3,FALSE)</f>
        <v>54. Bérköltség - Kutató-fejlesztő munkatárs</v>
      </c>
      <c r="F527" s="139" t="s">
        <v>213</v>
      </c>
      <c r="G527" s="100" t="s">
        <v>180</v>
      </c>
      <c r="H527" s="100" t="s">
        <v>141</v>
      </c>
      <c r="I527" s="139" t="str">
        <f>VLOOKUP($F527,Admin!$D$11:$G$19,4,FALSE)</f>
        <v>K+F munkatárs</v>
      </c>
      <c r="J527" s="100" t="s">
        <v>34</v>
      </c>
      <c r="K527" s="95" t="str">
        <f t="shared" si="677"/>
        <v>2021.04</v>
      </c>
      <c r="L527" s="101" t="s">
        <v>6</v>
      </c>
      <c r="M527" s="96" t="s">
        <v>70</v>
      </c>
      <c r="N527" s="103">
        <v>420000</v>
      </c>
      <c r="O527" s="97">
        <f t="shared" si="678"/>
        <v>65100</v>
      </c>
      <c r="P527" s="104">
        <v>174</v>
      </c>
      <c r="Q527" s="104">
        <v>62</v>
      </c>
      <c r="R527" s="215">
        <f t="shared" si="675"/>
        <v>0.35632183908045978</v>
      </c>
      <c r="S527" s="105">
        <f t="shared" si="5"/>
        <v>149655</v>
      </c>
      <c r="T527" s="98">
        <f t="shared" si="679"/>
        <v>23197</v>
      </c>
      <c r="U527" s="70">
        <f t="shared" si="676"/>
        <v>4.1050903121231386E-7</v>
      </c>
      <c r="V527" s="181">
        <v>0.155</v>
      </c>
      <c r="W527" s="210"/>
      <c r="X527" s="17">
        <v>44252</v>
      </c>
      <c r="Y527" s="12" t="s">
        <v>66</v>
      </c>
      <c r="Z527" s="12"/>
      <c r="AA527" s="12"/>
      <c r="AB527" s="3">
        <v>1</v>
      </c>
    </row>
    <row r="528" spans="1:31" s="3" customFormat="1" ht="14.45" customHeight="1" x14ac:dyDescent="0.25">
      <c r="A528" s="141">
        <v>2</v>
      </c>
      <c r="B528" s="99" t="s">
        <v>198</v>
      </c>
      <c r="C528" s="95" t="str">
        <f>VLOOKUP($F528,Admin!$D$11:$F$19,2,FALSE)</f>
        <v>Kísérleti fejlesztés</v>
      </c>
      <c r="D528" s="138" t="s">
        <v>123</v>
      </c>
      <c r="E528" s="95" t="str">
        <f>VLOOKUP($F528,Admin!$D$11:$F$19,3,FALSE)</f>
        <v>54. Bérköltség - Kutató-fejlesztő munkatárs</v>
      </c>
      <c r="F528" s="139" t="s">
        <v>213</v>
      </c>
      <c r="G528" s="100" t="s">
        <v>180</v>
      </c>
      <c r="H528" s="100" t="s">
        <v>141</v>
      </c>
      <c r="I528" s="139" t="str">
        <f>VLOOKUP($F528,Admin!$D$11:$G$19,4,FALSE)</f>
        <v>K+F munkatárs</v>
      </c>
      <c r="J528" s="100" t="s">
        <v>35</v>
      </c>
      <c r="K528" s="95" t="str">
        <f t="shared" si="677"/>
        <v>2021.05</v>
      </c>
      <c r="L528" s="101" t="s">
        <v>6</v>
      </c>
      <c r="M528" s="96" t="s">
        <v>70</v>
      </c>
      <c r="N528" s="103">
        <v>420000</v>
      </c>
      <c r="O528" s="97">
        <f t="shared" si="678"/>
        <v>65100</v>
      </c>
      <c r="P528" s="104">
        <v>174</v>
      </c>
      <c r="Q528" s="104">
        <v>103</v>
      </c>
      <c r="R528" s="215">
        <f t="shared" si="675"/>
        <v>0.59195402298850575</v>
      </c>
      <c r="S528" s="105">
        <f t="shared" si="5"/>
        <v>248621</v>
      </c>
      <c r="T528" s="98">
        <f t="shared" si="679"/>
        <v>38536</v>
      </c>
      <c r="U528" s="70">
        <f t="shared" si="676"/>
        <v>-7.3891625618216494E-7</v>
      </c>
      <c r="V528" s="181">
        <v>0.155</v>
      </c>
      <c r="W528" s="210"/>
      <c r="X528" s="17">
        <v>44309</v>
      </c>
      <c r="Y528" s="12" t="s">
        <v>66</v>
      </c>
      <c r="Z528" s="12"/>
      <c r="AA528" s="12"/>
      <c r="AB528" s="3">
        <v>1</v>
      </c>
    </row>
    <row r="529" spans="1:28" s="3" customFormat="1" ht="14.45" customHeight="1" x14ac:dyDescent="0.25">
      <c r="A529" s="141">
        <v>2</v>
      </c>
      <c r="B529" s="99" t="s">
        <v>198</v>
      </c>
      <c r="C529" s="95" t="str">
        <f>VLOOKUP($F529,Admin!$D$11:$F$19,2,FALSE)</f>
        <v>Kísérleti fejlesztés</v>
      </c>
      <c r="D529" s="138" t="s">
        <v>123</v>
      </c>
      <c r="E529" s="95" t="str">
        <f>VLOOKUP($F529,Admin!$D$11:$F$19,3,FALSE)</f>
        <v>54. Bérköltség - Kutató-fejlesztő munkatárs</v>
      </c>
      <c r="F529" s="139" t="s">
        <v>213</v>
      </c>
      <c r="G529" s="100" t="s">
        <v>180</v>
      </c>
      <c r="H529" s="100" t="s">
        <v>141</v>
      </c>
      <c r="I529" s="139" t="str">
        <f>VLOOKUP($F529,Admin!$D$11:$G$19,4,FALSE)</f>
        <v>K+F munkatárs</v>
      </c>
      <c r="J529" s="100" t="s">
        <v>36</v>
      </c>
      <c r="K529" s="95" t="str">
        <f t="shared" si="677"/>
        <v>2021.06</v>
      </c>
      <c r="L529" s="101" t="s">
        <v>6</v>
      </c>
      <c r="M529" s="96" t="s">
        <v>70</v>
      </c>
      <c r="N529" s="103">
        <v>580000</v>
      </c>
      <c r="O529" s="97">
        <f t="shared" si="678"/>
        <v>89900</v>
      </c>
      <c r="P529" s="104">
        <v>174</v>
      </c>
      <c r="Q529" s="104">
        <v>66</v>
      </c>
      <c r="R529" s="215">
        <f t="shared" si="675"/>
        <v>0.37931034482758619</v>
      </c>
      <c r="S529" s="105">
        <f t="shared" ref="S529:S614" si="804">ROUND(N529*Q529/P529,0)</f>
        <v>220000</v>
      </c>
      <c r="T529" s="98">
        <f t="shared" si="679"/>
        <v>34100</v>
      </c>
      <c r="U529" s="70">
        <f t="shared" si="676"/>
        <v>0</v>
      </c>
      <c r="V529" s="181">
        <v>0.155</v>
      </c>
      <c r="W529" s="210"/>
      <c r="X529" s="17">
        <v>44343</v>
      </c>
      <c r="Y529" s="12" t="s">
        <v>66</v>
      </c>
      <c r="Z529" s="12"/>
      <c r="AA529" s="12"/>
      <c r="AB529" s="3">
        <v>1</v>
      </c>
    </row>
    <row r="530" spans="1:28" s="3" customFormat="1" ht="14.45" customHeight="1" x14ac:dyDescent="0.25">
      <c r="A530" s="141">
        <v>2</v>
      </c>
      <c r="B530" s="99" t="s">
        <v>198</v>
      </c>
      <c r="C530" s="95" t="str">
        <f>VLOOKUP($F530,Admin!$D$11:$F$19,2,FALSE)</f>
        <v>Kísérleti fejlesztés</v>
      </c>
      <c r="D530" s="138" t="s">
        <v>123</v>
      </c>
      <c r="E530" s="95" t="str">
        <f>VLOOKUP($F530,Admin!$D$11:$F$19,3,FALSE)</f>
        <v>54. Bérköltség - Kutató-fejlesztő munkatárs</v>
      </c>
      <c r="F530" s="139" t="s">
        <v>213</v>
      </c>
      <c r="G530" s="100" t="s">
        <v>180</v>
      </c>
      <c r="H530" s="100" t="s">
        <v>141</v>
      </c>
      <c r="I530" s="139" t="str">
        <f>VLOOKUP($F530,Admin!$D$11:$G$19,4,FALSE)</f>
        <v>K+F munkatárs</v>
      </c>
      <c r="J530" s="100" t="s">
        <v>37</v>
      </c>
      <c r="K530" s="95" t="str">
        <f t="shared" si="677"/>
        <v>2021.07</v>
      </c>
      <c r="L530" s="101" t="s">
        <v>6</v>
      </c>
      <c r="M530" s="96" t="s">
        <v>70</v>
      </c>
      <c r="N530" s="103">
        <v>450000</v>
      </c>
      <c r="O530" s="97">
        <f t="shared" si="678"/>
        <v>69750</v>
      </c>
      <c r="P530" s="104">
        <v>174</v>
      </c>
      <c r="Q530" s="104">
        <v>108</v>
      </c>
      <c r="R530" s="215">
        <f t="shared" si="675"/>
        <v>0.62068965517241381</v>
      </c>
      <c r="S530" s="105">
        <f t="shared" si="804"/>
        <v>279310</v>
      </c>
      <c r="T530" s="98">
        <f t="shared" si="679"/>
        <v>43293</v>
      </c>
      <c r="U530" s="70">
        <f t="shared" si="676"/>
        <v>7.6628352496665997E-7</v>
      </c>
      <c r="V530" s="181">
        <v>0.155</v>
      </c>
      <c r="W530" s="210"/>
      <c r="X530" s="17">
        <v>44362</v>
      </c>
      <c r="Y530" s="12" t="s">
        <v>66</v>
      </c>
      <c r="Z530" s="12"/>
      <c r="AA530" s="12"/>
      <c r="AB530" s="3">
        <v>1</v>
      </c>
    </row>
    <row r="531" spans="1:28" s="3" customFormat="1" ht="14.45" customHeight="1" x14ac:dyDescent="0.25">
      <c r="A531" s="141">
        <v>2</v>
      </c>
      <c r="B531" s="99" t="s">
        <v>198</v>
      </c>
      <c r="C531" s="95" t="str">
        <f>VLOOKUP($F531,Admin!$D$11:$F$19,2,FALSE)</f>
        <v>Kísérleti fejlesztés</v>
      </c>
      <c r="D531" s="138" t="s">
        <v>123</v>
      </c>
      <c r="E531" s="95" t="str">
        <f>VLOOKUP($F531,Admin!$D$11:$F$19,3,FALSE)</f>
        <v>54. Bérköltség - Kutató-fejlesztő munkatárs</v>
      </c>
      <c r="F531" s="139" t="s">
        <v>213</v>
      </c>
      <c r="G531" s="100" t="s">
        <v>180</v>
      </c>
      <c r="H531" s="100" t="s">
        <v>141</v>
      </c>
      <c r="I531" s="139" t="str">
        <f>VLOOKUP($F531,Admin!$D$11:$G$19,4,FALSE)</f>
        <v>K+F munkatárs</v>
      </c>
      <c r="J531" s="100" t="s">
        <v>38</v>
      </c>
      <c r="K531" s="95" t="str">
        <f t="shared" si="677"/>
        <v>2021.08</v>
      </c>
      <c r="L531" s="101" t="s">
        <v>6</v>
      </c>
      <c r="M531" s="96" t="s">
        <v>70</v>
      </c>
      <c r="N531" s="103">
        <v>450000</v>
      </c>
      <c r="O531" s="97">
        <f t="shared" si="678"/>
        <v>69750</v>
      </c>
      <c r="P531" s="104">
        <v>174</v>
      </c>
      <c r="Q531" s="104">
        <v>108</v>
      </c>
      <c r="R531" s="215">
        <f t="shared" si="675"/>
        <v>0.62068965517241381</v>
      </c>
      <c r="S531" s="105">
        <f t="shared" si="804"/>
        <v>279310</v>
      </c>
      <c r="T531" s="98">
        <f t="shared" si="679"/>
        <v>43293</v>
      </c>
      <c r="U531" s="70">
        <f t="shared" si="676"/>
        <v>7.6628352496665997E-7</v>
      </c>
      <c r="V531" s="181">
        <v>0.155</v>
      </c>
      <c r="W531" s="210"/>
      <c r="X531" s="17">
        <v>44362</v>
      </c>
      <c r="Y531" s="12" t="s">
        <v>66</v>
      </c>
      <c r="Z531" s="12"/>
      <c r="AA531" s="12"/>
      <c r="AB531" s="3">
        <v>1</v>
      </c>
    </row>
    <row r="532" spans="1:28" s="3" customFormat="1" ht="14.45" customHeight="1" x14ac:dyDescent="0.25">
      <c r="A532" s="141">
        <v>2</v>
      </c>
      <c r="B532" s="99" t="s">
        <v>198</v>
      </c>
      <c r="C532" s="95" t="str">
        <f>VLOOKUP($F532,Admin!$D$11:$F$19,2,FALSE)</f>
        <v>Kísérleti fejlesztés</v>
      </c>
      <c r="D532" s="138" t="s">
        <v>123</v>
      </c>
      <c r="E532" s="95" t="str">
        <f>VLOOKUP($F532,Admin!$D$11:$F$19,3,FALSE)</f>
        <v>54. Bérköltség - Kutató-fejlesztő munkatárs</v>
      </c>
      <c r="F532" s="139" t="s">
        <v>213</v>
      </c>
      <c r="G532" s="100" t="s">
        <v>180</v>
      </c>
      <c r="H532" s="100" t="s">
        <v>141</v>
      </c>
      <c r="I532" s="139" t="str">
        <f>VLOOKUP($F532,Admin!$D$11:$G$19,4,FALSE)</f>
        <v>K+F munkatárs</v>
      </c>
      <c r="J532" s="100" t="s">
        <v>39</v>
      </c>
      <c r="K532" s="95" t="str">
        <f t="shared" si="677"/>
        <v>2021.09</v>
      </c>
      <c r="L532" s="101" t="s">
        <v>6</v>
      </c>
      <c r="M532" s="96" t="s">
        <v>70</v>
      </c>
      <c r="N532" s="103">
        <v>450000</v>
      </c>
      <c r="O532" s="97">
        <f t="shared" si="678"/>
        <v>69750</v>
      </c>
      <c r="P532" s="104">
        <v>174</v>
      </c>
      <c r="Q532" s="104">
        <v>108</v>
      </c>
      <c r="R532" s="215">
        <f t="shared" si="675"/>
        <v>0.62068965517241381</v>
      </c>
      <c r="S532" s="105">
        <f t="shared" si="804"/>
        <v>279310</v>
      </c>
      <c r="T532" s="98">
        <f t="shared" si="679"/>
        <v>43293</v>
      </c>
      <c r="U532" s="70">
        <f t="shared" si="676"/>
        <v>7.6628352496665997E-7</v>
      </c>
      <c r="V532" s="181">
        <v>0.155</v>
      </c>
      <c r="W532" s="210"/>
      <c r="X532" s="17">
        <v>44362</v>
      </c>
      <c r="Y532" s="12" t="s">
        <v>66</v>
      </c>
      <c r="Z532" s="12"/>
      <c r="AA532" s="12"/>
      <c r="AB532" s="3">
        <v>1</v>
      </c>
    </row>
    <row r="533" spans="1:28" s="3" customFormat="1" ht="14.45" customHeight="1" x14ac:dyDescent="0.25">
      <c r="A533" s="141">
        <v>2</v>
      </c>
      <c r="B533" s="99" t="s">
        <v>198</v>
      </c>
      <c r="C533" s="95" t="str">
        <f>VLOOKUP($F533,Admin!$D$11:$F$19,2,FALSE)</f>
        <v>Kísérleti fejlesztés</v>
      </c>
      <c r="D533" s="138" t="s">
        <v>123</v>
      </c>
      <c r="E533" s="95" t="str">
        <f>VLOOKUP($F533,Admin!$D$11:$F$19,3,FALSE)</f>
        <v>54. Bérköltség - Kutató-fejlesztő munkatárs</v>
      </c>
      <c r="F533" s="139" t="s">
        <v>213</v>
      </c>
      <c r="G533" s="100" t="s">
        <v>180</v>
      </c>
      <c r="H533" s="100" t="s">
        <v>141</v>
      </c>
      <c r="I533" s="139" t="str">
        <f>VLOOKUP($F533,Admin!$D$11:$G$19,4,FALSE)</f>
        <v>K+F munkatárs</v>
      </c>
      <c r="J533" s="100" t="s">
        <v>40</v>
      </c>
      <c r="K533" s="95" t="str">
        <f t="shared" si="677"/>
        <v>2021.10</v>
      </c>
      <c r="L533" s="101" t="s">
        <v>6</v>
      </c>
      <c r="M533" s="96" t="s">
        <v>70</v>
      </c>
      <c r="N533" s="103">
        <v>517500</v>
      </c>
      <c r="O533" s="97">
        <f t="shared" si="678"/>
        <v>80213</v>
      </c>
      <c r="P533" s="104">
        <v>174</v>
      </c>
      <c r="Q533" s="104">
        <v>108</v>
      </c>
      <c r="R533" s="215">
        <f t="shared" ref="R533:R668" si="805">Q533/P533</f>
        <v>0.62068965517241381</v>
      </c>
      <c r="S533" s="105">
        <f t="shared" si="804"/>
        <v>321207</v>
      </c>
      <c r="T533" s="98">
        <f t="shared" si="679"/>
        <v>49787</v>
      </c>
      <c r="U533" s="70">
        <f t="shared" si="676"/>
        <v>-1.999000499575132E-7</v>
      </c>
      <c r="V533" s="181">
        <v>0.155</v>
      </c>
      <c r="W533" s="210"/>
      <c r="X533" s="17">
        <v>44362</v>
      </c>
      <c r="Y533" s="12" t="s">
        <v>66</v>
      </c>
      <c r="Z533" s="12"/>
      <c r="AA533" s="12"/>
      <c r="AB533" s="3">
        <v>1</v>
      </c>
    </row>
    <row r="534" spans="1:28" s="3" customFormat="1" ht="14.45" customHeight="1" x14ac:dyDescent="0.25">
      <c r="A534" s="141">
        <v>2</v>
      </c>
      <c r="B534" s="99" t="s">
        <v>198</v>
      </c>
      <c r="C534" s="95" t="str">
        <f>VLOOKUP($F534,Admin!$D$11:$F$19,2,FALSE)</f>
        <v>Kísérleti fejlesztés</v>
      </c>
      <c r="D534" s="138" t="s">
        <v>123</v>
      </c>
      <c r="E534" s="95" t="str">
        <f>VLOOKUP($F534,Admin!$D$11:$F$19,3,FALSE)</f>
        <v>54. Bérköltség - Kutató-fejlesztő munkatárs</v>
      </c>
      <c r="F534" s="139" t="s">
        <v>213</v>
      </c>
      <c r="G534" s="100" t="s">
        <v>180</v>
      </c>
      <c r="H534" s="100" t="s">
        <v>141</v>
      </c>
      <c r="I534" s="139" t="str">
        <f>VLOOKUP($F534,Admin!$D$11:$G$19,4,FALSE)</f>
        <v>K+F munkatárs</v>
      </c>
      <c r="J534" s="100" t="s">
        <v>41</v>
      </c>
      <c r="K534" s="95" t="str">
        <f t="shared" si="677"/>
        <v>2021.11</v>
      </c>
      <c r="L534" s="101" t="s">
        <v>6</v>
      </c>
      <c r="M534" s="96" t="s">
        <v>70</v>
      </c>
      <c r="N534" s="103">
        <v>740500</v>
      </c>
      <c r="O534" s="97">
        <f t="shared" si="678"/>
        <v>114778</v>
      </c>
      <c r="P534" s="104">
        <v>174</v>
      </c>
      <c r="Q534" s="104">
        <v>61</v>
      </c>
      <c r="R534" s="215">
        <f t="shared" si="805"/>
        <v>0.35057471264367818</v>
      </c>
      <c r="S534" s="105">
        <f t="shared" si="804"/>
        <v>259601</v>
      </c>
      <c r="T534" s="98">
        <f t="shared" si="679"/>
        <v>40238</v>
      </c>
      <c r="U534" s="70">
        <f t="shared" ref="U534:U669" si="806">Q534/P534-S534/N534</f>
        <v>-5.743245864997526E-7</v>
      </c>
      <c r="V534" s="181">
        <v>0.155</v>
      </c>
      <c r="W534" s="210"/>
      <c r="X534" s="17">
        <v>44518</v>
      </c>
      <c r="Y534" s="12" t="s">
        <v>66</v>
      </c>
      <c r="Z534" s="12"/>
      <c r="AA534" s="12"/>
      <c r="AB534" s="3">
        <v>1</v>
      </c>
    </row>
    <row r="535" spans="1:28" s="3" customFormat="1" ht="14.45" customHeight="1" x14ac:dyDescent="0.25">
      <c r="A535" s="141">
        <v>2</v>
      </c>
      <c r="B535" s="99" t="s">
        <v>198</v>
      </c>
      <c r="C535" s="95" t="str">
        <f>VLOOKUP($F535,Admin!$D$11:$F$19,2,FALSE)</f>
        <v>Kísérleti fejlesztés</v>
      </c>
      <c r="D535" s="138" t="s">
        <v>123</v>
      </c>
      <c r="E535" s="95" t="str">
        <f>VLOOKUP($F535,Admin!$D$11:$F$19,3,FALSE)</f>
        <v>54. Bérköltség - Kutató-fejlesztő munkatárs</v>
      </c>
      <c r="F535" s="139" t="s">
        <v>213</v>
      </c>
      <c r="G535" s="100" t="s">
        <v>180</v>
      </c>
      <c r="H535" s="100" t="s">
        <v>141</v>
      </c>
      <c r="I535" s="139" t="str">
        <f>VLOOKUP($F535,Admin!$D$11:$G$19,4,FALSE)</f>
        <v>K+F munkatárs</v>
      </c>
      <c r="J535" s="100" t="s">
        <v>42</v>
      </c>
      <c r="K535" s="95" t="str">
        <f t="shared" ref="K535:K669" si="807">J535</f>
        <v>2021.12</v>
      </c>
      <c r="L535" s="101" t="s">
        <v>6</v>
      </c>
      <c r="M535" s="96" t="s">
        <v>70</v>
      </c>
      <c r="N535" s="103">
        <v>740500</v>
      </c>
      <c r="O535" s="97">
        <f t="shared" ref="O535:O669" si="808">ROUND(N535*V535,0)</f>
        <v>114778</v>
      </c>
      <c r="P535" s="104">
        <v>174</v>
      </c>
      <c r="Q535" s="104">
        <v>61</v>
      </c>
      <c r="R535" s="215">
        <f t="shared" si="805"/>
        <v>0.35057471264367818</v>
      </c>
      <c r="S535" s="105">
        <f t="shared" si="804"/>
        <v>259601</v>
      </c>
      <c r="T535" s="98">
        <f t="shared" ref="T535:T669" si="809">ROUND(S535*V535,0)</f>
        <v>40238</v>
      </c>
      <c r="U535" s="70">
        <f t="shared" si="806"/>
        <v>-5.743245864997526E-7</v>
      </c>
      <c r="V535" s="181">
        <v>0.155</v>
      </c>
      <c r="W535" s="210"/>
      <c r="X535" s="17">
        <v>44518</v>
      </c>
      <c r="Y535" s="12" t="s">
        <v>66</v>
      </c>
      <c r="Z535" s="12"/>
      <c r="AA535" s="12"/>
      <c r="AB535" s="3">
        <v>1</v>
      </c>
    </row>
    <row r="536" spans="1:28" s="3" customFormat="1" ht="14.45" customHeight="1" x14ac:dyDescent="0.25">
      <c r="A536" s="141">
        <v>2</v>
      </c>
      <c r="B536" s="99" t="s">
        <v>198</v>
      </c>
      <c r="C536" s="95" t="str">
        <f>VLOOKUP($F536,Admin!$D$11:$F$19,2,FALSE)</f>
        <v>Kísérleti fejlesztés</v>
      </c>
      <c r="D536" s="138" t="s">
        <v>123</v>
      </c>
      <c r="E536" s="95" t="str">
        <f>VLOOKUP($F536,Admin!$D$11:$F$19,3,FALSE)</f>
        <v>54. Bérköltség - Kutató-fejlesztő munkatárs</v>
      </c>
      <c r="F536" s="139" t="s">
        <v>213</v>
      </c>
      <c r="G536" s="100" t="s">
        <v>180</v>
      </c>
      <c r="H536" s="100" t="s">
        <v>141</v>
      </c>
      <c r="I536" s="139" t="str">
        <f>VLOOKUP($F536,Admin!$D$11:$G$19,4,FALSE)</f>
        <v>K+F munkatárs</v>
      </c>
      <c r="J536" s="100" t="s">
        <v>43</v>
      </c>
      <c r="K536" s="95" t="str">
        <f t="shared" si="807"/>
        <v>2022.01</v>
      </c>
      <c r="L536" s="101" t="s">
        <v>6</v>
      </c>
      <c r="M536" s="96" t="s">
        <v>70</v>
      </c>
      <c r="N536" s="103">
        <v>540500</v>
      </c>
      <c r="O536" s="97">
        <f t="shared" si="808"/>
        <v>70265</v>
      </c>
      <c r="P536" s="104">
        <v>174</v>
      </c>
      <c r="Q536" s="104">
        <v>111</v>
      </c>
      <c r="R536" s="215">
        <f t="shared" si="805"/>
        <v>0.63793103448275867</v>
      </c>
      <c r="S536" s="105">
        <f t="shared" si="804"/>
        <v>344802</v>
      </c>
      <c r="T536" s="98">
        <f t="shared" si="809"/>
        <v>44824</v>
      </c>
      <c r="U536" s="70">
        <f t="shared" si="806"/>
        <v>-5.1038310622253391E-7</v>
      </c>
      <c r="V536" s="140">
        <v>0.13</v>
      </c>
      <c r="W536" s="209"/>
      <c r="X536" s="17">
        <v>44564</v>
      </c>
      <c r="Y536" s="12" t="s">
        <v>66</v>
      </c>
      <c r="Z536" s="12"/>
      <c r="AA536" s="12"/>
      <c r="AB536" s="3">
        <v>1</v>
      </c>
    </row>
    <row r="537" spans="1:28" s="3" customFormat="1" ht="14.45" customHeight="1" x14ac:dyDescent="0.25">
      <c r="A537" s="141">
        <v>3</v>
      </c>
      <c r="B537" s="99" t="s">
        <v>198</v>
      </c>
      <c r="C537" s="95" t="str">
        <f>VLOOKUP($F537,Admin!$D$11:$F$19,2,FALSE)</f>
        <v>Kísérleti fejlesztés</v>
      </c>
      <c r="D537" s="138" t="s">
        <v>123</v>
      </c>
      <c r="E537" s="95" t="str">
        <f>VLOOKUP($F537,Admin!$D$11:$F$19,3,FALSE)</f>
        <v>54. Bérköltség - Kutató-fejlesztő munkatárs</v>
      </c>
      <c r="F537" s="139" t="s">
        <v>213</v>
      </c>
      <c r="G537" s="100" t="s">
        <v>180</v>
      </c>
      <c r="H537" s="100" t="s">
        <v>141</v>
      </c>
      <c r="I537" s="139" t="str">
        <f>VLOOKUP($F537,Admin!$D$11:$G$19,4,FALSE)</f>
        <v>K+F munkatárs</v>
      </c>
      <c r="J537" s="100" t="s">
        <v>44</v>
      </c>
      <c r="K537" s="95" t="str">
        <f t="shared" si="807"/>
        <v>2022.02</v>
      </c>
      <c r="L537" s="101" t="s">
        <v>6</v>
      </c>
      <c r="M537" s="96" t="s">
        <v>70</v>
      </c>
      <c r="N537" s="103">
        <v>540500</v>
      </c>
      <c r="O537" s="97">
        <f t="shared" si="808"/>
        <v>70265</v>
      </c>
      <c r="P537" s="104">
        <v>174</v>
      </c>
      <c r="Q537" s="104">
        <v>111</v>
      </c>
      <c r="R537" s="215">
        <f t="shared" si="805"/>
        <v>0.63793103448275867</v>
      </c>
      <c r="S537" s="105">
        <f t="shared" si="804"/>
        <v>344802</v>
      </c>
      <c r="T537" s="98">
        <f t="shared" si="809"/>
        <v>44824</v>
      </c>
      <c r="U537" s="70">
        <f t="shared" si="806"/>
        <v>-5.1038310622253391E-7</v>
      </c>
      <c r="V537" s="140">
        <v>0.13</v>
      </c>
      <c r="W537" s="209"/>
      <c r="X537" s="17">
        <v>44594</v>
      </c>
      <c r="Y537" s="12" t="s">
        <v>66</v>
      </c>
      <c r="Z537" s="12"/>
      <c r="AA537" s="12"/>
      <c r="AB537" s="3">
        <v>1</v>
      </c>
    </row>
    <row r="538" spans="1:28" s="3" customFormat="1" ht="14.45" customHeight="1" x14ac:dyDescent="0.25">
      <c r="A538" s="141">
        <v>3</v>
      </c>
      <c r="B538" s="99" t="s">
        <v>198</v>
      </c>
      <c r="C538" s="95" t="str">
        <f>VLOOKUP($F538,Admin!$D$11:$F$19,2,FALSE)</f>
        <v>Kísérleti fejlesztés</v>
      </c>
      <c r="D538" s="138" t="s">
        <v>123</v>
      </c>
      <c r="E538" s="95" t="str">
        <f>VLOOKUP($F538,Admin!$D$11:$F$19,3,FALSE)</f>
        <v>54. Bérköltség - Kutató-fejlesztő munkatárs</v>
      </c>
      <c r="F538" s="139" t="s">
        <v>213</v>
      </c>
      <c r="G538" s="100" t="s">
        <v>180</v>
      </c>
      <c r="H538" s="100" t="s">
        <v>141</v>
      </c>
      <c r="I538" s="139" t="str">
        <f>VLOOKUP($F538,Admin!$D$11:$G$19,4,FALSE)</f>
        <v>K+F munkatárs</v>
      </c>
      <c r="J538" s="100" t="s">
        <v>45</v>
      </c>
      <c r="K538" s="95" t="str">
        <f t="shared" si="807"/>
        <v>2022.03</v>
      </c>
      <c r="L538" s="101" t="s">
        <v>6</v>
      </c>
      <c r="M538" s="96" t="s">
        <v>70</v>
      </c>
      <c r="N538" s="103">
        <v>540500</v>
      </c>
      <c r="O538" s="97">
        <f t="shared" si="808"/>
        <v>70265</v>
      </c>
      <c r="P538" s="104">
        <v>174</v>
      </c>
      <c r="Q538" s="104">
        <v>111</v>
      </c>
      <c r="R538" s="215">
        <f t="shared" si="805"/>
        <v>0.63793103448275867</v>
      </c>
      <c r="S538" s="105">
        <f t="shared" si="804"/>
        <v>344802</v>
      </c>
      <c r="T538" s="98">
        <f t="shared" si="809"/>
        <v>44824</v>
      </c>
      <c r="U538" s="70">
        <f t="shared" si="806"/>
        <v>-5.1038310622253391E-7</v>
      </c>
      <c r="V538" s="140">
        <v>0.13</v>
      </c>
      <c r="W538" s="209"/>
      <c r="X538" s="17">
        <v>44594</v>
      </c>
      <c r="Y538" s="12" t="s">
        <v>66</v>
      </c>
      <c r="Z538" s="12"/>
      <c r="AA538" s="12"/>
      <c r="AB538" s="3">
        <v>1</v>
      </c>
    </row>
    <row r="539" spans="1:28" s="3" customFormat="1" ht="14.45" customHeight="1" x14ac:dyDescent="0.25">
      <c r="A539" s="141">
        <v>3</v>
      </c>
      <c r="B539" s="99" t="s">
        <v>198</v>
      </c>
      <c r="C539" s="95" t="str">
        <f>VLOOKUP($F539,Admin!$D$11:$F$19,2,FALSE)</f>
        <v>Kísérleti fejlesztés</v>
      </c>
      <c r="D539" s="138" t="s">
        <v>123</v>
      </c>
      <c r="E539" s="95" t="str">
        <f>VLOOKUP($F539,Admin!$D$11:$F$19,3,FALSE)</f>
        <v>54. Bérköltség - Kutató-fejlesztő munkatárs</v>
      </c>
      <c r="F539" s="139" t="s">
        <v>213</v>
      </c>
      <c r="G539" s="100" t="s">
        <v>180</v>
      </c>
      <c r="H539" s="100" t="s">
        <v>141</v>
      </c>
      <c r="I539" s="139" t="str">
        <f>VLOOKUP($F539,Admin!$D$11:$G$19,4,FALSE)</f>
        <v>K+F munkatárs</v>
      </c>
      <c r="J539" s="100" t="s">
        <v>46</v>
      </c>
      <c r="K539" s="95" t="str">
        <f t="shared" si="807"/>
        <v>2022.04</v>
      </c>
      <c r="L539" s="101" t="s">
        <v>6</v>
      </c>
      <c r="M539" s="96" t="s">
        <v>70</v>
      </c>
      <c r="N539" s="103">
        <v>540500</v>
      </c>
      <c r="O539" s="97">
        <f t="shared" si="808"/>
        <v>70265</v>
      </c>
      <c r="P539" s="104">
        <v>174</v>
      </c>
      <c r="Q539" s="104">
        <v>111</v>
      </c>
      <c r="R539" s="215">
        <f t="shared" si="805"/>
        <v>0.63793103448275867</v>
      </c>
      <c r="S539" s="105">
        <f t="shared" si="804"/>
        <v>344802</v>
      </c>
      <c r="T539" s="98">
        <f t="shared" si="809"/>
        <v>44824</v>
      </c>
      <c r="U539" s="70">
        <f t="shared" si="806"/>
        <v>-5.1038310622253391E-7</v>
      </c>
      <c r="V539" s="140">
        <v>0.13</v>
      </c>
      <c r="W539" s="209"/>
      <c r="X539" s="17">
        <v>44594</v>
      </c>
      <c r="Y539" s="12" t="s">
        <v>66</v>
      </c>
      <c r="Z539" s="12"/>
      <c r="AA539" s="12"/>
      <c r="AB539" s="3">
        <v>1</v>
      </c>
    </row>
    <row r="540" spans="1:28" s="3" customFormat="1" ht="14.45" customHeight="1" x14ac:dyDescent="0.25">
      <c r="A540" s="141">
        <v>3</v>
      </c>
      <c r="B540" s="99" t="s">
        <v>198</v>
      </c>
      <c r="C540" s="95" t="str">
        <f>VLOOKUP($F540,Admin!$D$11:$F$19,2,FALSE)</f>
        <v>Kísérleti fejlesztés</v>
      </c>
      <c r="D540" s="138" t="s">
        <v>123</v>
      </c>
      <c r="E540" s="95" t="str">
        <f>VLOOKUP($F540,Admin!$D$11:$F$19,3,FALSE)</f>
        <v>54. Bérköltség - Kutató-fejlesztő munkatárs</v>
      </c>
      <c r="F540" s="139" t="s">
        <v>213</v>
      </c>
      <c r="G540" s="100" t="s">
        <v>180</v>
      </c>
      <c r="H540" s="100" t="s">
        <v>141</v>
      </c>
      <c r="I540" s="139" t="str">
        <f>VLOOKUP($F540,Admin!$D$11:$G$19,4,FALSE)</f>
        <v>K+F munkatárs</v>
      </c>
      <c r="J540" s="100" t="s">
        <v>47</v>
      </c>
      <c r="K540" s="95" t="str">
        <f t="shared" si="807"/>
        <v>2022.05</v>
      </c>
      <c r="L540" s="101" t="s">
        <v>6</v>
      </c>
      <c r="M540" s="96" t="s">
        <v>70</v>
      </c>
      <c r="N540" s="103">
        <v>666000</v>
      </c>
      <c r="O540" s="97">
        <f t="shared" si="808"/>
        <v>86580</v>
      </c>
      <c r="P540" s="104">
        <v>174</v>
      </c>
      <c r="Q540" s="104">
        <v>84</v>
      </c>
      <c r="R540" s="215">
        <f t="shared" si="805"/>
        <v>0.48275862068965519</v>
      </c>
      <c r="S540" s="105">
        <f t="shared" si="804"/>
        <v>321517</v>
      </c>
      <c r="T540" s="98">
        <f t="shared" si="809"/>
        <v>41797</v>
      </c>
      <c r="U540" s="70">
        <f t="shared" si="806"/>
        <v>3.6243139694969173E-7</v>
      </c>
      <c r="V540" s="140">
        <v>0.13</v>
      </c>
      <c r="W540" s="209"/>
      <c r="X540" s="17">
        <v>44676</v>
      </c>
      <c r="Y540" s="12" t="s">
        <v>66</v>
      </c>
      <c r="Z540" s="12"/>
      <c r="AA540" s="12"/>
      <c r="AB540" s="3">
        <v>1</v>
      </c>
    </row>
    <row r="541" spans="1:28" s="3" customFormat="1" ht="14.45" customHeight="1" x14ac:dyDescent="0.25">
      <c r="A541" s="141">
        <v>3</v>
      </c>
      <c r="B541" s="99" t="s">
        <v>198</v>
      </c>
      <c r="C541" s="95" t="str">
        <f>VLOOKUP($F541,Admin!$D$11:$F$19,2,FALSE)</f>
        <v>Kísérleti fejlesztés</v>
      </c>
      <c r="D541" s="138" t="s">
        <v>123</v>
      </c>
      <c r="E541" s="95" t="str">
        <f>VLOOKUP($F541,Admin!$D$11:$F$19,3,FALSE)</f>
        <v>54. Bérköltség - Kutató-fejlesztő munkatárs</v>
      </c>
      <c r="F541" s="139" t="s">
        <v>213</v>
      </c>
      <c r="G541" s="100" t="s">
        <v>180</v>
      </c>
      <c r="H541" s="100" t="s">
        <v>141</v>
      </c>
      <c r="I541" s="139" t="str">
        <f>VLOOKUP($F541,Admin!$D$11:$G$19,4,FALSE)</f>
        <v>K+F munkatárs</v>
      </c>
      <c r="J541" s="100" t="s">
        <v>48</v>
      </c>
      <c r="K541" s="95" t="str">
        <f t="shared" si="807"/>
        <v>2022.06</v>
      </c>
      <c r="L541" s="101" t="s">
        <v>6</v>
      </c>
      <c r="M541" s="96" t="s">
        <v>70</v>
      </c>
      <c r="N541" s="103">
        <v>666000</v>
      </c>
      <c r="O541" s="97">
        <f t="shared" ref="O541:O542" si="810">ROUND(N541*V541,0)</f>
        <v>86580</v>
      </c>
      <c r="P541" s="104">
        <v>174</v>
      </c>
      <c r="Q541" s="104">
        <v>84</v>
      </c>
      <c r="R541" s="215">
        <f t="shared" ref="R541:R542" si="811">Q541/P541</f>
        <v>0.48275862068965519</v>
      </c>
      <c r="S541" s="105">
        <f t="shared" ref="S541:S542" si="812">ROUND(N541*Q541/P541,0)</f>
        <v>321517</v>
      </c>
      <c r="T541" s="98">
        <f t="shared" ref="T541:T542" si="813">ROUND(S541*V541,0)</f>
        <v>41797</v>
      </c>
      <c r="U541" s="70">
        <f t="shared" ref="U541:U542" si="814">Q541/P541-S541/N541</f>
        <v>3.6243139694969173E-7</v>
      </c>
      <c r="V541" s="140">
        <v>0.13</v>
      </c>
      <c r="W541" s="209"/>
      <c r="X541" s="17">
        <v>44676</v>
      </c>
      <c r="Y541" s="12" t="s">
        <v>66</v>
      </c>
      <c r="Z541" s="12"/>
      <c r="AA541" s="12"/>
      <c r="AB541" s="3">
        <v>1</v>
      </c>
    </row>
    <row r="542" spans="1:28" s="3" customFormat="1" ht="14.45" customHeight="1" x14ac:dyDescent="0.25">
      <c r="A542" s="141">
        <v>3</v>
      </c>
      <c r="B542" s="99" t="s">
        <v>198</v>
      </c>
      <c r="C542" s="95" t="str">
        <f>VLOOKUP($F542,Admin!$D$11:$F$19,2,FALSE)</f>
        <v>Kísérleti fejlesztés</v>
      </c>
      <c r="D542" s="138" t="s">
        <v>123</v>
      </c>
      <c r="E542" s="95" t="str">
        <f>VLOOKUP($F542,Admin!$D$11:$F$19,3,FALSE)</f>
        <v>54. Bérköltség - Kutató-fejlesztő munkatárs</v>
      </c>
      <c r="F542" s="139" t="s">
        <v>213</v>
      </c>
      <c r="G542" s="100" t="s">
        <v>180</v>
      </c>
      <c r="H542" s="100" t="s">
        <v>141</v>
      </c>
      <c r="I542" s="139" t="str">
        <f>VLOOKUP($F542,Admin!$D$11:$G$19,4,FALSE)</f>
        <v>K+F munkatárs</v>
      </c>
      <c r="J542" s="100" t="s">
        <v>49</v>
      </c>
      <c r="K542" s="95" t="str">
        <f t="shared" si="807"/>
        <v>2022.07</v>
      </c>
      <c r="L542" s="101" t="s">
        <v>6</v>
      </c>
      <c r="M542" s="96" t="s">
        <v>70</v>
      </c>
      <c r="N542" s="103">
        <v>666000</v>
      </c>
      <c r="O542" s="97">
        <f t="shared" si="810"/>
        <v>86580</v>
      </c>
      <c r="P542" s="104">
        <v>174</v>
      </c>
      <c r="Q542" s="104">
        <v>84</v>
      </c>
      <c r="R542" s="215">
        <f t="shared" si="811"/>
        <v>0.48275862068965519</v>
      </c>
      <c r="S542" s="105">
        <f t="shared" si="812"/>
        <v>321517</v>
      </c>
      <c r="T542" s="98">
        <f t="shared" si="813"/>
        <v>41797</v>
      </c>
      <c r="U542" s="70">
        <f t="shared" si="814"/>
        <v>3.6243139694969173E-7</v>
      </c>
      <c r="V542" s="140">
        <v>0.13</v>
      </c>
      <c r="W542" s="209"/>
      <c r="X542" s="17">
        <v>44676</v>
      </c>
      <c r="Y542" s="12" t="s">
        <v>66</v>
      </c>
      <c r="Z542" s="12"/>
      <c r="AA542" s="12"/>
      <c r="AB542" s="3">
        <v>1</v>
      </c>
    </row>
    <row r="543" spans="1:28" s="3" customFormat="1" ht="14.45" customHeight="1" x14ac:dyDescent="0.25">
      <c r="A543" s="141">
        <v>3</v>
      </c>
      <c r="B543" s="99" t="s">
        <v>198</v>
      </c>
      <c r="C543" s="95" t="str">
        <f>VLOOKUP($F543,Admin!$D$11:$F$19,2,FALSE)</f>
        <v>Kísérleti fejlesztés</v>
      </c>
      <c r="D543" s="138" t="s">
        <v>123</v>
      </c>
      <c r="E543" s="95" t="str">
        <f>VLOOKUP($F543,Admin!$D$11:$F$19,3,FALSE)</f>
        <v>54. Bérköltség - Kutató-fejlesztő munkatárs</v>
      </c>
      <c r="F543" s="139" t="s">
        <v>213</v>
      </c>
      <c r="G543" s="100" t="s">
        <v>180</v>
      </c>
      <c r="H543" s="100" t="s">
        <v>141</v>
      </c>
      <c r="I543" s="139" t="str">
        <f>VLOOKUP($F543,Admin!$D$11:$G$19,4,FALSE)</f>
        <v>K+F munkatárs</v>
      </c>
      <c r="J543" s="100" t="s">
        <v>50</v>
      </c>
      <c r="K543" s="95" t="str">
        <f t="shared" ref="K543" si="815">J543</f>
        <v>2022.08</v>
      </c>
      <c r="L543" s="101" t="s">
        <v>6</v>
      </c>
      <c r="M543" s="96" t="s">
        <v>70</v>
      </c>
      <c r="N543" s="103">
        <v>508696</v>
      </c>
      <c r="O543" s="97">
        <f t="shared" ref="O543" si="816">ROUND(N543*V543,0)</f>
        <v>66130</v>
      </c>
      <c r="P543" s="104">
        <v>174</v>
      </c>
      <c r="Q543" s="104">
        <v>84</v>
      </c>
      <c r="R543" s="215">
        <f t="shared" ref="R543" si="817">Q543/P543</f>
        <v>0.48275862068965519</v>
      </c>
      <c r="S543" s="105">
        <f t="shared" ref="S543" si="818">ROUND(N543*Q543/P543,0)</f>
        <v>245577</v>
      </c>
      <c r="T543" s="98">
        <f t="shared" ref="T543" si="819">ROUND(S543*V543,0)</f>
        <v>31925</v>
      </c>
      <c r="U543" s="70">
        <f t="shared" ref="U543" si="820">Q543/P543-S543/N543</f>
        <v>7.4565230478995659E-7</v>
      </c>
      <c r="V543" s="140">
        <v>0.13</v>
      </c>
      <c r="W543" s="209"/>
      <c r="X543" s="17">
        <v>44767</v>
      </c>
      <c r="Y543" s="12" t="s">
        <v>66</v>
      </c>
      <c r="Z543" s="12"/>
      <c r="AA543" s="12"/>
      <c r="AB543" s="3">
        <v>1</v>
      </c>
    </row>
    <row r="544" spans="1:28" s="3" customFormat="1" ht="14.45" customHeight="1" x14ac:dyDescent="0.25">
      <c r="A544" s="141">
        <v>3</v>
      </c>
      <c r="B544" s="99" t="s">
        <v>198</v>
      </c>
      <c r="C544" s="95" t="str">
        <f>VLOOKUP($F544,Admin!$D$11:$F$19,2,FALSE)</f>
        <v>Kísérleti fejlesztés</v>
      </c>
      <c r="D544" s="138" t="s">
        <v>123</v>
      </c>
      <c r="E544" s="95" t="str">
        <f>VLOOKUP($F544,Admin!$D$11:$F$19,3,FALSE)</f>
        <v>54. Bérköltség - Kutató-fejlesztő munkatárs</v>
      </c>
      <c r="F544" s="139" t="s">
        <v>213</v>
      </c>
      <c r="G544" s="100" t="s">
        <v>180</v>
      </c>
      <c r="H544" s="100" t="s">
        <v>141</v>
      </c>
      <c r="I544" s="139" t="str">
        <f>VLOOKUP($F544,Admin!$D$11:$G$19,4,FALSE)</f>
        <v>K+F munkatárs</v>
      </c>
      <c r="J544" s="100" t="s">
        <v>51</v>
      </c>
      <c r="K544" s="95" t="str">
        <f t="shared" ref="K544:K546" si="821">J544</f>
        <v>2022.09</v>
      </c>
      <c r="L544" s="101" t="s">
        <v>6</v>
      </c>
      <c r="M544" s="96" t="s">
        <v>70</v>
      </c>
      <c r="N544" s="103">
        <v>650000</v>
      </c>
      <c r="O544" s="97">
        <f t="shared" ref="O544" si="822">ROUND(N544*V544,0)</f>
        <v>84500</v>
      </c>
      <c r="P544" s="104">
        <v>174</v>
      </c>
      <c r="Q544" s="104">
        <v>94</v>
      </c>
      <c r="R544" s="215">
        <f t="shared" ref="R544" si="823">Q544/P544</f>
        <v>0.54022988505747127</v>
      </c>
      <c r="S544" s="105">
        <f t="shared" ref="S544" si="824">ROUND(N544*Q544/P544,0)</f>
        <v>351149</v>
      </c>
      <c r="T544" s="98">
        <f t="shared" ref="T544" si="825">ROUND(S544*V544,0)</f>
        <v>45649</v>
      </c>
      <c r="U544" s="70">
        <f t="shared" ref="U544" si="826">Q544/P544-S544/N544</f>
        <v>6.5428824047586431E-7</v>
      </c>
      <c r="V544" s="140">
        <v>0.13</v>
      </c>
      <c r="W544" s="209"/>
      <c r="X544" s="17">
        <v>44791</v>
      </c>
      <c r="Y544" s="12" t="s">
        <v>66</v>
      </c>
      <c r="Z544" s="12"/>
      <c r="AA544" s="12"/>
      <c r="AB544" s="3">
        <v>1</v>
      </c>
    </row>
    <row r="545" spans="1:31" s="3" customFormat="1" ht="14.45" customHeight="1" x14ac:dyDescent="0.25">
      <c r="A545" s="141">
        <v>3</v>
      </c>
      <c r="B545" s="99" t="s">
        <v>198</v>
      </c>
      <c r="C545" s="95" t="str">
        <f>VLOOKUP($F545,Admin!$D$11:$F$19,2,FALSE)</f>
        <v>Kísérleti fejlesztés</v>
      </c>
      <c r="D545" s="138" t="s">
        <v>123</v>
      </c>
      <c r="E545" s="95" t="str">
        <f>VLOOKUP($F545,Admin!$D$11:$F$19,3,FALSE)</f>
        <v>54. Bérköltség - Kutató-fejlesztő munkatárs</v>
      </c>
      <c r="F545" s="139" t="s">
        <v>213</v>
      </c>
      <c r="G545" s="100" t="s">
        <v>180</v>
      </c>
      <c r="H545" s="100" t="s">
        <v>141</v>
      </c>
      <c r="I545" s="139" t="str">
        <f>VLOOKUP($F545,Admin!$D$11:$G$19,4,FALSE)</f>
        <v>K+F munkatárs</v>
      </c>
      <c r="J545" s="100" t="s">
        <v>52</v>
      </c>
      <c r="K545" s="95" t="str">
        <f t="shared" si="821"/>
        <v>2022.10</v>
      </c>
      <c r="L545" s="101" t="s">
        <v>6</v>
      </c>
      <c r="M545" s="96" t="s">
        <v>70</v>
      </c>
      <c r="N545" s="103">
        <v>713000</v>
      </c>
      <c r="O545" s="97">
        <f t="shared" ref="O545:O554" si="827">ROUND(N545*V545,0)</f>
        <v>92690</v>
      </c>
      <c r="P545" s="104">
        <v>174</v>
      </c>
      <c r="Q545" s="104">
        <v>86</v>
      </c>
      <c r="R545" s="215">
        <f t="shared" ref="R545:R554" si="828">Q545/P545</f>
        <v>0.4942528735632184</v>
      </c>
      <c r="S545" s="105">
        <f t="shared" ref="S545:S554" si="829">ROUND(N545*Q545/P545,0)</f>
        <v>352402</v>
      </c>
      <c r="T545" s="98">
        <f t="shared" ref="T545:T554" si="830">ROUND(S545*V545,0)</f>
        <v>45812</v>
      </c>
      <c r="U545" s="70">
        <f t="shared" ref="U545:U554" si="831">Q545/P545-S545/N545</f>
        <v>4.1914526610620229E-7</v>
      </c>
      <c r="V545" s="140">
        <v>0.13</v>
      </c>
      <c r="W545" s="209"/>
      <c r="X545" s="17">
        <v>44830</v>
      </c>
      <c r="Y545" s="12" t="s">
        <v>66</v>
      </c>
      <c r="Z545" s="12"/>
      <c r="AA545" s="12"/>
      <c r="AB545" s="3">
        <v>1</v>
      </c>
    </row>
    <row r="546" spans="1:31" s="3" customFormat="1" ht="14.45" customHeight="1" x14ac:dyDescent="0.25">
      <c r="A546" s="141">
        <v>3</v>
      </c>
      <c r="B546" s="99" t="s">
        <v>198</v>
      </c>
      <c r="C546" s="95" t="str">
        <f>VLOOKUP($F546,Admin!$D$11:$F$19,2,FALSE)</f>
        <v>Kísérleti fejlesztés</v>
      </c>
      <c r="D546" s="138" t="s">
        <v>123</v>
      </c>
      <c r="E546" s="95" t="str">
        <f>VLOOKUP($F546,Admin!$D$11:$F$19,3,FALSE)</f>
        <v>54. Bérköltség - Kutató-fejlesztő munkatárs</v>
      </c>
      <c r="F546" s="139" t="s">
        <v>213</v>
      </c>
      <c r="G546" s="100" t="s">
        <v>180</v>
      </c>
      <c r="H546" s="100" t="s">
        <v>141</v>
      </c>
      <c r="I546" s="139" t="str">
        <f>VLOOKUP($F546,Admin!$D$11:$G$19,4,FALSE)</f>
        <v>K+F munkatárs</v>
      </c>
      <c r="J546" s="100" t="s">
        <v>53</v>
      </c>
      <c r="K546" s="95" t="str">
        <f t="shared" si="821"/>
        <v>2022.11</v>
      </c>
      <c r="L546" s="101" t="s">
        <v>6</v>
      </c>
      <c r="M546" s="96" t="s">
        <v>70</v>
      </c>
      <c r="N546" s="103">
        <v>713000</v>
      </c>
      <c r="O546" s="97">
        <f t="shared" ref="O546" si="832">ROUND(N546*V546,0)</f>
        <v>92690</v>
      </c>
      <c r="P546" s="104">
        <v>174</v>
      </c>
      <c r="Q546" s="104">
        <v>86</v>
      </c>
      <c r="R546" s="215">
        <f t="shared" ref="R546" si="833">Q546/P546</f>
        <v>0.4942528735632184</v>
      </c>
      <c r="S546" s="105">
        <f t="shared" ref="S546" si="834">ROUND(N546*Q546/P546,0)</f>
        <v>352402</v>
      </c>
      <c r="T546" s="98">
        <f t="shared" ref="T546" si="835">ROUND(S546*V546,0)</f>
        <v>45812</v>
      </c>
      <c r="U546" s="70">
        <f t="shared" ref="U546" si="836">Q546/P546-S546/N546</f>
        <v>4.1914526610620229E-7</v>
      </c>
      <c r="V546" s="140">
        <v>0.13</v>
      </c>
      <c r="W546" s="209" t="s">
        <v>285</v>
      </c>
      <c r="X546" s="17">
        <v>44830</v>
      </c>
      <c r="Y546" s="12" t="s">
        <v>66</v>
      </c>
      <c r="Z546" s="12"/>
      <c r="AA546" s="12"/>
      <c r="AB546" s="3">
        <v>1</v>
      </c>
    </row>
    <row r="547" spans="1:31" s="3" customFormat="1" ht="14.45" customHeight="1" x14ac:dyDescent="0.25">
      <c r="A547" s="141">
        <v>3</v>
      </c>
      <c r="B547" s="99" t="s">
        <v>198</v>
      </c>
      <c r="C547" s="95" t="str">
        <f>VLOOKUP($F547,Admin!$D$11:$F$19,2,FALSE)</f>
        <v>Kísérleti fejlesztés</v>
      </c>
      <c r="D547" s="138" t="s">
        <v>123</v>
      </c>
      <c r="E547" s="95" t="str">
        <f>VLOOKUP($F547,Admin!$D$11:$F$19,3,FALSE)</f>
        <v>54. Bérköltség - Kutató-fejlesztő munkatárs</v>
      </c>
      <c r="F547" s="139" t="s">
        <v>213</v>
      </c>
      <c r="G547" s="100" t="s">
        <v>180</v>
      </c>
      <c r="H547" s="100" t="s">
        <v>141</v>
      </c>
      <c r="I547" s="139" t="str">
        <f>VLOOKUP($F547,Admin!$D$11:$G$19,4,FALSE)</f>
        <v>K+F munkatárs</v>
      </c>
      <c r="J547" s="100" t="s">
        <v>54</v>
      </c>
      <c r="K547" s="95" t="str">
        <f t="shared" ref="K547:K548" si="837">J547</f>
        <v>2022.12</v>
      </c>
      <c r="L547" s="101" t="s">
        <v>6</v>
      </c>
      <c r="M547" s="96" t="s">
        <v>70</v>
      </c>
      <c r="N547" s="103">
        <v>650000</v>
      </c>
      <c r="O547" s="97">
        <f t="shared" ref="O547" si="838">ROUND(N547*V547,0)</f>
        <v>84500</v>
      </c>
      <c r="P547" s="104">
        <v>174</v>
      </c>
      <c r="Q547" s="104">
        <v>94</v>
      </c>
      <c r="R547" s="215">
        <f t="shared" ref="R547" si="839">Q547/P547</f>
        <v>0.54022988505747127</v>
      </c>
      <c r="S547" s="105">
        <f t="shared" ref="S547" si="840">ROUND(N547*Q547/P547,0)</f>
        <v>351149</v>
      </c>
      <c r="T547" s="98">
        <f t="shared" ref="T547" si="841">ROUND(S547*V547,0)</f>
        <v>45649</v>
      </c>
      <c r="U547" s="70">
        <f t="shared" ref="U547" si="842">Q547/P547-S547/N547</f>
        <v>6.5428824047586431E-7</v>
      </c>
      <c r="V547" s="140">
        <v>0.13</v>
      </c>
      <c r="W547" s="209" t="s">
        <v>285</v>
      </c>
      <c r="X547" s="17">
        <v>44888</v>
      </c>
      <c r="Y547" s="12" t="s">
        <v>66</v>
      </c>
      <c r="Z547" s="12"/>
      <c r="AA547" s="12"/>
      <c r="AB547" s="3">
        <v>1</v>
      </c>
      <c r="AC547" s="204" t="s">
        <v>315</v>
      </c>
      <c r="AD547" s="204" t="s">
        <v>315</v>
      </c>
      <c r="AE547" s="205" t="s">
        <v>316</v>
      </c>
    </row>
    <row r="548" spans="1:31" s="3" customFormat="1" ht="14.45" customHeight="1" x14ac:dyDescent="0.25">
      <c r="A548" s="141">
        <v>3</v>
      </c>
      <c r="B548" s="99" t="s">
        <v>198</v>
      </c>
      <c r="C548" s="95" t="str">
        <f>VLOOKUP($F548,Admin!$D$11:$F$19,2,FALSE)</f>
        <v>Kísérleti fejlesztés</v>
      </c>
      <c r="D548" s="138" t="s">
        <v>123</v>
      </c>
      <c r="E548" s="95" t="str">
        <f>VLOOKUP($F548,Admin!$D$11:$F$19,3,FALSE)</f>
        <v>54. Bérköltség - Kutató-fejlesztő munkatárs</v>
      </c>
      <c r="F548" s="139" t="s">
        <v>213</v>
      </c>
      <c r="G548" s="100" t="s">
        <v>180</v>
      </c>
      <c r="H548" s="100" t="s">
        <v>141</v>
      </c>
      <c r="I548" s="139" t="str">
        <f>VLOOKUP($F548,Admin!$D$11:$G$19,4,FALSE)</f>
        <v>K+F munkatárs</v>
      </c>
      <c r="J548" s="100" t="s">
        <v>257</v>
      </c>
      <c r="K548" s="95" t="str">
        <f t="shared" si="837"/>
        <v>2023.01</v>
      </c>
      <c r="L548" s="101" t="s">
        <v>6</v>
      </c>
      <c r="M548" s="96" t="s">
        <v>70</v>
      </c>
      <c r="N548" s="103">
        <v>689000</v>
      </c>
      <c r="O548" s="97">
        <f t="shared" ref="O548" si="843">ROUND(N548*V548,0)</f>
        <v>89570</v>
      </c>
      <c r="P548" s="104">
        <v>174</v>
      </c>
      <c r="Q548" s="104">
        <v>88</v>
      </c>
      <c r="R548" s="215">
        <f t="shared" ref="R548" si="844">Q548/P548</f>
        <v>0.50574712643678166</v>
      </c>
      <c r="S548" s="105">
        <f t="shared" ref="S548" si="845">ROUND(N548*Q548/P548,0)</f>
        <v>348460</v>
      </c>
      <c r="T548" s="98">
        <f t="shared" ref="T548" si="846">ROUND(S548*V548,0)</f>
        <v>45300</v>
      </c>
      <c r="U548" s="70">
        <f t="shared" ref="U548" si="847">Q548/P548-S548/N548</f>
        <v>-3.3365030105425575E-7</v>
      </c>
      <c r="V548" s="140">
        <v>0.13</v>
      </c>
      <c r="W548" s="209" t="s">
        <v>285</v>
      </c>
      <c r="X548" s="17">
        <v>44942</v>
      </c>
      <c r="Y548" s="12" t="s">
        <v>66</v>
      </c>
      <c r="Z548" s="12"/>
      <c r="AA548" s="12"/>
      <c r="AB548" s="3">
        <v>1</v>
      </c>
      <c r="AC548" s="204" t="s">
        <v>315</v>
      </c>
      <c r="AD548" s="216">
        <v>0</v>
      </c>
      <c r="AE548" s="216">
        <v>0</v>
      </c>
    </row>
    <row r="549" spans="1:31" s="3" customFormat="1" ht="14.45" customHeight="1" x14ac:dyDescent="0.25">
      <c r="A549" s="141"/>
      <c r="B549" s="99" t="s">
        <v>198</v>
      </c>
      <c r="C549" s="95" t="str">
        <f>VLOOKUP($F549,Admin!$D$11:$F$19,2,FALSE)</f>
        <v>Kísérleti fejlesztés</v>
      </c>
      <c r="D549" s="138" t="s">
        <v>123</v>
      </c>
      <c r="E549" s="95" t="str">
        <f>VLOOKUP($F549,Admin!$D$11:$F$19,3,FALSE)</f>
        <v>54. Bérköltség - Kutató-fejlesztő munkatárs</v>
      </c>
      <c r="F549" s="139" t="s">
        <v>213</v>
      </c>
      <c r="G549" s="100" t="s">
        <v>180</v>
      </c>
      <c r="H549" s="100" t="s">
        <v>141</v>
      </c>
      <c r="I549" s="139" t="str">
        <f>VLOOKUP($F549,Admin!$D$11:$G$19,4,FALSE)</f>
        <v>K+F munkatárs</v>
      </c>
      <c r="J549" s="100" t="s">
        <v>295</v>
      </c>
      <c r="K549" s="95" t="str">
        <f t="shared" ref="K549:K551" si="848">J549</f>
        <v>2023.02</v>
      </c>
      <c r="L549" s="101" t="s">
        <v>6</v>
      </c>
      <c r="M549" s="96" t="s">
        <v>70</v>
      </c>
      <c r="N549" s="103">
        <v>689000</v>
      </c>
      <c r="O549" s="97">
        <f t="shared" ref="O549" si="849">ROUND(N549*V549,0)</f>
        <v>89570</v>
      </c>
      <c r="P549" s="104">
        <v>174</v>
      </c>
      <c r="Q549" s="104">
        <v>88</v>
      </c>
      <c r="R549" s="215">
        <f t="shared" ref="R549" si="850">Q549/P549</f>
        <v>0.50574712643678166</v>
      </c>
      <c r="S549" s="105">
        <f t="shared" ref="S549" si="851">ROUND(N549*Q549/P549,0)</f>
        <v>348460</v>
      </c>
      <c r="T549" s="98">
        <f t="shared" ref="T549" si="852">ROUND(S549*V549,0)</f>
        <v>45300</v>
      </c>
      <c r="U549" s="70">
        <f t="shared" ref="U549" si="853">Q549/P549-S549/N549</f>
        <v>-3.3365030105425575E-7</v>
      </c>
      <c r="V549" s="140">
        <v>0.13</v>
      </c>
      <c r="W549" s="209" t="s">
        <v>285</v>
      </c>
      <c r="X549" s="17">
        <v>44953</v>
      </c>
      <c r="Y549" s="12" t="s">
        <v>66</v>
      </c>
      <c r="Z549" s="12"/>
      <c r="AA549" s="12"/>
      <c r="AB549" s="3">
        <v>1</v>
      </c>
      <c r="AC549" s="3" t="s">
        <v>315</v>
      </c>
      <c r="AD549" s="3">
        <v>0</v>
      </c>
      <c r="AE549" s="3">
        <v>0</v>
      </c>
    </row>
    <row r="550" spans="1:31" s="3" customFormat="1" ht="14.45" customHeight="1" x14ac:dyDescent="0.25">
      <c r="A550" s="141"/>
      <c r="B550" s="99" t="s">
        <v>198</v>
      </c>
      <c r="C550" s="95" t="str">
        <f>VLOOKUP($F550,Admin!$D$11:$F$19,2,FALSE)</f>
        <v>Kísérleti fejlesztés</v>
      </c>
      <c r="D550" s="138" t="s">
        <v>123</v>
      </c>
      <c r="E550" s="95" t="str">
        <f>VLOOKUP($F550,Admin!$D$11:$F$19,3,FALSE)</f>
        <v>54. Bérköltség - Kutató-fejlesztő munkatárs</v>
      </c>
      <c r="F550" s="139" t="s">
        <v>213</v>
      </c>
      <c r="G550" s="100" t="s">
        <v>180</v>
      </c>
      <c r="H550" s="100" t="s">
        <v>141</v>
      </c>
      <c r="I550" s="139" t="str">
        <f>VLOOKUP($F550,Admin!$D$11:$G$19,4,FALSE)</f>
        <v>K+F munkatárs</v>
      </c>
      <c r="J550" s="100" t="s">
        <v>296</v>
      </c>
      <c r="K550" s="95" t="str">
        <f t="shared" si="848"/>
        <v>2023.03</v>
      </c>
      <c r="L550" s="101" t="s">
        <v>6</v>
      </c>
      <c r="M550" s="96" t="s">
        <v>70</v>
      </c>
      <c r="N550" s="103">
        <v>689000</v>
      </c>
      <c r="O550" s="97">
        <f t="shared" ref="O550:O551" si="854">ROUND(N550*V550,0)</f>
        <v>89570</v>
      </c>
      <c r="P550" s="104">
        <v>174</v>
      </c>
      <c r="Q550" s="104">
        <v>88</v>
      </c>
      <c r="R550" s="215">
        <f t="shared" ref="R550:R551" si="855">Q550/P550</f>
        <v>0.50574712643678166</v>
      </c>
      <c r="S550" s="105">
        <f t="shared" ref="S550:S551" si="856">ROUND(N550*Q550/P550,0)</f>
        <v>348460</v>
      </c>
      <c r="T550" s="98">
        <f t="shared" ref="T550:T551" si="857">ROUND(S550*V550,0)</f>
        <v>45300</v>
      </c>
      <c r="U550" s="70">
        <f t="shared" ref="U550:U551" si="858">Q550/P550-S550/N550</f>
        <v>-3.3365030105425575E-7</v>
      </c>
      <c r="V550" s="140">
        <v>0.13</v>
      </c>
      <c r="W550" s="209" t="s">
        <v>285</v>
      </c>
      <c r="X550" s="17">
        <v>44953</v>
      </c>
      <c r="Y550" s="12" t="s">
        <v>66</v>
      </c>
      <c r="Z550" s="12"/>
      <c r="AA550" s="12"/>
      <c r="AB550" s="3">
        <v>1</v>
      </c>
      <c r="AC550" s="3" t="s">
        <v>315</v>
      </c>
      <c r="AD550" s="3">
        <v>0</v>
      </c>
      <c r="AE550" s="3">
        <v>0</v>
      </c>
    </row>
    <row r="551" spans="1:31" s="3" customFormat="1" ht="14.45" customHeight="1" x14ac:dyDescent="0.25">
      <c r="A551" s="141"/>
      <c r="B551" s="99" t="s">
        <v>198</v>
      </c>
      <c r="C551" s="95" t="str">
        <f>VLOOKUP($F551,Admin!$D$11:$F$19,2,FALSE)</f>
        <v>Kísérleti fejlesztés</v>
      </c>
      <c r="D551" s="138" t="s">
        <v>123</v>
      </c>
      <c r="E551" s="95" t="str">
        <f>VLOOKUP($F551,Admin!$D$11:$F$19,3,FALSE)</f>
        <v>54. Bérköltség - Kutató-fejlesztő munkatárs</v>
      </c>
      <c r="F551" s="139" t="s">
        <v>213</v>
      </c>
      <c r="G551" s="100" t="s">
        <v>180</v>
      </c>
      <c r="H551" s="100" t="s">
        <v>141</v>
      </c>
      <c r="I551" s="139" t="str">
        <f>VLOOKUP($F551,Admin!$D$11:$G$19,4,FALSE)</f>
        <v>K+F munkatárs</v>
      </c>
      <c r="J551" s="100" t="s">
        <v>297</v>
      </c>
      <c r="K551" s="95" t="str">
        <f t="shared" si="848"/>
        <v>2023.04</v>
      </c>
      <c r="L551" s="101" t="s">
        <v>7</v>
      </c>
      <c r="M551" s="96" t="s">
        <v>70</v>
      </c>
      <c r="N551" s="103">
        <v>689000</v>
      </c>
      <c r="O551" s="97">
        <f t="shared" si="854"/>
        <v>89570</v>
      </c>
      <c r="P551" s="104">
        <v>174</v>
      </c>
      <c r="Q551" s="104">
        <v>88</v>
      </c>
      <c r="R551" s="215">
        <f t="shared" si="855"/>
        <v>0.50574712643678166</v>
      </c>
      <c r="S551" s="105">
        <f t="shared" si="856"/>
        <v>348460</v>
      </c>
      <c r="T551" s="98">
        <f t="shared" si="857"/>
        <v>45300</v>
      </c>
      <c r="U551" s="70">
        <f t="shared" si="858"/>
        <v>-3.3365030105425575E-7</v>
      </c>
      <c r="V551" s="140">
        <v>0.13</v>
      </c>
      <c r="W551" s="209" t="s">
        <v>285</v>
      </c>
      <c r="X551" s="17">
        <v>44953</v>
      </c>
      <c r="Y551" s="12" t="s">
        <v>66</v>
      </c>
      <c r="Z551" s="12"/>
      <c r="AA551" s="12"/>
    </row>
    <row r="552" spans="1:31" s="3" customFormat="1" ht="14.45" customHeight="1" x14ac:dyDescent="0.25">
      <c r="A552" s="141"/>
      <c r="B552" s="99" t="s">
        <v>321</v>
      </c>
      <c r="C552" s="95" t="str">
        <f>VLOOKUP($F552,Admin!$D$11:$F$19,2,FALSE)</f>
        <v>Koordináció</v>
      </c>
      <c r="D552" s="138" t="s">
        <v>123</v>
      </c>
      <c r="E552" s="95" t="str">
        <f>VLOOKUP($F552,Admin!$D$11:$F$19,3,FALSE)</f>
        <v>54. Bérköltség - Projektmenedzser</v>
      </c>
      <c r="F552" s="139" t="s">
        <v>173</v>
      </c>
      <c r="G552" s="100" t="s">
        <v>181</v>
      </c>
      <c r="H552" s="100" t="s">
        <v>320</v>
      </c>
      <c r="I552" s="139" t="str">
        <f>VLOOKUP($F552,Admin!$D$11:$G$19,4,FALSE)</f>
        <v>Projektmenedzsment</v>
      </c>
      <c r="J552" s="100" t="s">
        <v>296</v>
      </c>
      <c r="K552" s="95" t="str">
        <f t="shared" ref="K552" si="859">J552</f>
        <v>2023.03</v>
      </c>
      <c r="L552" s="101" t="s">
        <v>6</v>
      </c>
      <c r="M552" s="96" t="s">
        <v>70</v>
      </c>
      <c r="N552" s="103">
        <v>840000</v>
      </c>
      <c r="O552" s="97">
        <f t="shared" ref="O552" si="860">ROUND(N552*V552,0)</f>
        <v>109200</v>
      </c>
      <c r="P552" s="104">
        <v>174</v>
      </c>
      <c r="Q552" s="104">
        <v>44</v>
      </c>
      <c r="R552" s="215">
        <f t="shared" ref="R552" si="861">Q552/P552</f>
        <v>0.25287356321839083</v>
      </c>
      <c r="S552" s="222">
        <f t="shared" ref="S552" si="862">ROUND(N552*Q552/P552,0)</f>
        <v>212414</v>
      </c>
      <c r="T552" s="98">
        <f t="shared" ref="T552" si="863">ROUND(S552*V552,0)</f>
        <v>27614</v>
      </c>
      <c r="U552" s="70">
        <f t="shared" ref="U552" si="864">Q552/P552-S552/N552</f>
        <v>-2.4630541867187716E-7</v>
      </c>
      <c r="V552" s="140">
        <v>0.13</v>
      </c>
      <c r="W552" s="209" t="s">
        <v>322</v>
      </c>
      <c r="X552" s="17">
        <v>45042</v>
      </c>
      <c r="Y552" s="12"/>
      <c r="Z552" s="12"/>
      <c r="AA552" s="12"/>
      <c r="AB552" s="3">
        <v>2</v>
      </c>
      <c r="AC552" s="3" t="s">
        <v>315</v>
      </c>
      <c r="AD552" s="3">
        <v>0</v>
      </c>
      <c r="AE552" s="3">
        <v>0</v>
      </c>
    </row>
    <row r="553" spans="1:31" s="3" customFormat="1" ht="14.45" customHeight="1" x14ac:dyDescent="0.25">
      <c r="A553" s="141"/>
      <c r="B553" s="99" t="s">
        <v>321</v>
      </c>
      <c r="C553" s="95" t="str">
        <f>VLOOKUP($F553,Admin!$D$11:$F$19,2,FALSE)</f>
        <v>Koordináció</v>
      </c>
      <c r="D553" s="138" t="s">
        <v>123</v>
      </c>
      <c r="E553" s="95" t="str">
        <f>VLOOKUP($F553,Admin!$D$11:$F$19,3,FALSE)</f>
        <v>54. Bérköltség - Projektmenedzser</v>
      </c>
      <c r="F553" s="139" t="s">
        <v>173</v>
      </c>
      <c r="G553" s="100" t="s">
        <v>181</v>
      </c>
      <c r="H553" s="100" t="s">
        <v>143</v>
      </c>
      <c r="I553" s="139" t="str">
        <f>VLOOKUP($F553,Admin!$D$11:$G$19,4,FALSE)</f>
        <v>Projektmenedzsment</v>
      </c>
      <c r="J553" s="100" t="s">
        <v>297</v>
      </c>
      <c r="K553" s="95" t="str">
        <f t="shared" ref="K553" si="865">J553</f>
        <v>2023.04</v>
      </c>
      <c r="L553" s="101" t="s">
        <v>7</v>
      </c>
      <c r="M553" s="96" t="s">
        <v>70</v>
      </c>
      <c r="N553" s="103">
        <v>840000</v>
      </c>
      <c r="O553" s="97">
        <f t="shared" ref="O553" si="866">ROUND(N553*V553,0)</f>
        <v>109200</v>
      </c>
      <c r="P553" s="104">
        <v>174</v>
      </c>
      <c r="Q553" s="104">
        <v>44</v>
      </c>
      <c r="R553" s="215">
        <f t="shared" ref="R553" si="867">Q553/P553</f>
        <v>0.25287356321839083</v>
      </c>
      <c r="S553" s="105">
        <f t="shared" ref="S553" si="868">ROUND(N553*Q553/P553,0)</f>
        <v>212414</v>
      </c>
      <c r="T553" s="98">
        <f t="shared" ref="T553" si="869">ROUND(S553*V553,0)</f>
        <v>27614</v>
      </c>
      <c r="U553" s="70">
        <f t="shared" ref="U553" si="870">Q553/P553-S553/N553</f>
        <v>-2.4630541867187716E-7</v>
      </c>
      <c r="V553" s="140">
        <v>0.13</v>
      </c>
      <c r="W553" s="209" t="s">
        <v>322</v>
      </c>
      <c r="X553" s="17">
        <v>45042</v>
      </c>
      <c r="Y553" s="12"/>
      <c r="Z553" s="12"/>
      <c r="AA553" s="12"/>
    </row>
    <row r="554" spans="1:31" s="3" customFormat="1" ht="14.45" customHeight="1" x14ac:dyDescent="0.25">
      <c r="A554" s="141">
        <v>3</v>
      </c>
      <c r="B554" s="99" t="s">
        <v>256</v>
      </c>
      <c r="C554" s="95" t="str">
        <f>VLOOKUP($F554,Admin!$D$11:$F$19,2,FALSE)</f>
        <v>Kísérleti fejlesztés</v>
      </c>
      <c r="D554" s="138" t="s">
        <v>123</v>
      </c>
      <c r="E554" s="95" t="str">
        <f>VLOOKUP($F554,Admin!$D$11:$F$19,3,FALSE)</f>
        <v>54. Bérköltség - Kutató-fejlesztő munkatárs</v>
      </c>
      <c r="F554" s="139" t="s">
        <v>213</v>
      </c>
      <c r="G554" s="100" t="s">
        <v>180</v>
      </c>
      <c r="H554" s="100" t="s">
        <v>263</v>
      </c>
      <c r="I554" s="139" t="str">
        <f>VLOOKUP($F554,Admin!$D$11:$G$19,4,FALSE)</f>
        <v>K+F munkatárs</v>
      </c>
      <c r="J554" s="100" t="s">
        <v>52</v>
      </c>
      <c r="K554" s="95" t="str">
        <f t="shared" ref="K554" si="871">J554</f>
        <v>2022.10</v>
      </c>
      <c r="L554" s="101" t="s">
        <v>6</v>
      </c>
      <c r="M554" s="96" t="s">
        <v>70</v>
      </c>
      <c r="N554" s="103">
        <v>172500</v>
      </c>
      <c r="O554" s="97">
        <f t="shared" si="827"/>
        <v>22425</v>
      </c>
      <c r="P554" s="104">
        <v>87</v>
      </c>
      <c r="Q554" s="104">
        <v>87</v>
      </c>
      <c r="R554" s="215">
        <f t="shared" si="828"/>
        <v>1</v>
      </c>
      <c r="S554" s="105">
        <f t="shared" si="829"/>
        <v>172500</v>
      </c>
      <c r="T554" s="98">
        <f t="shared" si="830"/>
        <v>22425</v>
      </c>
      <c r="U554" s="70">
        <f t="shared" si="831"/>
        <v>0</v>
      </c>
      <c r="V554" s="140">
        <v>0.13</v>
      </c>
      <c r="W554" s="209"/>
      <c r="X554" s="17">
        <v>44825</v>
      </c>
      <c r="Y554" s="12" t="s">
        <v>66</v>
      </c>
      <c r="Z554" s="12"/>
      <c r="AA554" s="12"/>
      <c r="AB554" s="3">
        <v>1</v>
      </c>
    </row>
    <row r="555" spans="1:31" s="3" customFormat="1" ht="14.45" customHeight="1" x14ac:dyDescent="0.25">
      <c r="A555" s="141">
        <v>3</v>
      </c>
      <c r="B555" s="99" t="s">
        <v>256</v>
      </c>
      <c r="C555" s="95" t="str">
        <f>VLOOKUP($F555,Admin!$D$11:$F$19,2,FALSE)</f>
        <v>Kísérleti fejlesztés</v>
      </c>
      <c r="D555" s="138" t="s">
        <v>123</v>
      </c>
      <c r="E555" s="95" t="str">
        <f>VLOOKUP($F555,Admin!$D$11:$F$19,3,FALSE)</f>
        <v>54. Bérköltség - Kutató-fejlesztő munkatárs</v>
      </c>
      <c r="F555" s="139" t="s">
        <v>213</v>
      </c>
      <c r="G555" s="100" t="s">
        <v>180</v>
      </c>
      <c r="H555" s="100" t="s">
        <v>263</v>
      </c>
      <c r="I555" s="139" t="str">
        <f>VLOOKUP($F555,Admin!$D$11:$G$19,4,FALSE)</f>
        <v>K+F munkatárs</v>
      </c>
      <c r="J555" s="100" t="s">
        <v>53</v>
      </c>
      <c r="K555" s="95" t="str">
        <f t="shared" ref="K555:K556" si="872">J555</f>
        <v>2022.11</v>
      </c>
      <c r="L555" s="101" t="s">
        <v>6</v>
      </c>
      <c r="M555" s="96" t="s">
        <v>70</v>
      </c>
      <c r="N555" s="103">
        <v>172500</v>
      </c>
      <c r="O555" s="97">
        <f t="shared" ref="O555:O556" si="873">ROUND(N555*V555,0)</f>
        <v>22425</v>
      </c>
      <c r="P555" s="104">
        <v>87</v>
      </c>
      <c r="Q555" s="104">
        <v>87</v>
      </c>
      <c r="R555" s="215">
        <f t="shared" ref="R555:R556" si="874">Q555/P555</f>
        <v>1</v>
      </c>
      <c r="S555" s="105">
        <f t="shared" ref="S555:S556" si="875">ROUND(N555*Q555/P555,0)</f>
        <v>172500</v>
      </c>
      <c r="T555" s="98">
        <f t="shared" ref="T555:T556" si="876">ROUND(S555*V555,0)</f>
        <v>22425</v>
      </c>
      <c r="U555" s="70">
        <f t="shared" ref="U555:U556" si="877">Q555/P555-S555/N555</f>
        <v>0</v>
      </c>
      <c r="V555" s="140">
        <v>0.13</v>
      </c>
      <c r="W555" s="209" t="s">
        <v>286</v>
      </c>
      <c r="X555" s="17">
        <v>44825</v>
      </c>
      <c r="Y555" s="12" t="s">
        <v>66</v>
      </c>
      <c r="Z555" s="12"/>
      <c r="AA555" s="12"/>
      <c r="AB555" s="3">
        <v>1</v>
      </c>
    </row>
    <row r="556" spans="1:31" s="3" customFormat="1" ht="14.45" customHeight="1" x14ac:dyDescent="0.25">
      <c r="A556" s="141">
        <v>3</v>
      </c>
      <c r="B556" s="99" t="s">
        <v>256</v>
      </c>
      <c r="C556" s="95" t="str">
        <f>VLOOKUP($F556,Admin!$D$11:$F$19,2,FALSE)</f>
        <v>Kísérleti fejlesztés</v>
      </c>
      <c r="D556" s="138" t="s">
        <v>123</v>
      </c>
      <c r="E556" s="95" t="str">
        <f>VLOOKUP($F556,Admin!$D$11:$F$19,3,FALSE)</f>
        <v>54. Bérköltség - Kutató-fejlesztő munkatárs</v>
      </c>
      <c r="F556" s="139" t="s">
        <v>213</v>
      </c>
      <c r="G556" s="100" t="s">
        <v>180</v>
      </c>
      <c r="H556" s="100" t="s">
        <v>263</v>
      </c>
      <c r="I556" s="139" t="str">
        <f>VLOOKUP($F556,Admin!$D$11:$G$19,4,FALSE)</f>
        <v>K+F munkatárs</v>
      </c>
      <c r="J556" s="100" t="s">
        <v>54</v>
      </c>
      <c r="K556" s="95" t="str">
        <f t="shared" si="872"/>
        <v>2022.12</v>
      </c>
      <c r="L556" s="101" t="s">
        <v>6</v>
      </c>
      <c r="M556" s="96" t="s">
        <v>70</v>
      </c>
      <c r="N556" s="103">
        <v>172499</v>
      </c>
      <c r="O556" s="97">
        <f t="shared" si="873"/>
        <v>22425</v>
      </c>
      <c r="P556" s="104">
        <v>87</v>
      </c>
      <c r="Q556" s="104">
        <v>87</v>
      </c>
      <c r="R556" s="215">
        <f t="shared" si="874"/>
        <v>1</v>
      </c>
      <c r="S556" s="105">
        <f t="shared" si="875"/>
        <v>172499</v>
      </c>
      <c r="T556" s="98">
        <f t="shared" si="876"/>
        <v>22425</v>
      </c>
      <c r="U556" s="70">
        <f t="shared" si="877"/>
        <v>0</v>
      </c>
      <c r="V556" s="140">
        <v>0.13</v>
      </c>
      <c r="W556" s="209" t="s">
        <v>286</v>
      </c>
      <c r="X556" s="17">
        <v>44825</v>
      </c>
      <c r="Y556" s="12" t="s">
        <v>66</v>
      </c>
      <c r="Z556" s="12"/>
      <c r="AA556" s="12"/>
      <c r="AB556" s="3">
        <v>1</v>
      </c>
      <c r="AC556" s="204" t="s">
        <v>315</v>
      </c>
      <c r="AD556" s="204" t="s">
        <v>315</v>
      </c>
      <c r="AE556" s="204" t="s">
        <v>315</v>
      </c>
    </row>
    <row r="557" spans="1:31" s="3" customFormat="1" ht="14.45" customHeight="1" x14ac:dyDescent="0.25">
      <c r="A557" s="141">
        <v>3</v>
      </c>
      <c r="B557" s="99" t="s">
        <v>256</v>
      </c>
      <c r="C557" s="95" t="str">
        <f>VLOOKUP($F557,Admin!$D$11:$F$19,2,FALSE)</f>
        <v>Kísérleti fejlesztés</v>
      </c>
      <c r="D557" s="138" t="s">
        <v>123</v>
      </c>
      <c r="E557" s="95" t="str">
        <f>VLOOKUP($F557,Admin!$D$11:$F$19,3,FALSE)</f>
        <v>54. Bérköltség - Kutató-fejlesztő munkatárs</v>
      </c>
      <c r="F557" s="139" t="s">
        <v>213</v>
      </c>
      <c r="G557" s="100" t="s">
        <v>180</v>
      </c>
      <c r="H557" s="100" t="s">
        <v>263</v>
      </c>
      <c r="I557" s="139" t="str">
        <f>VLOOKUP($F557,Admin!$D$11:$G$19,4,FALSE)</f>
        <v>K+F munkatárs</v>
      </c>
      <c r="J557" s="100" t="s">
        <v>257</v>
      </c>
      <c r="K557" s="95" t="str">
        <f t="shared" ref="K557" si="878">J557</f>
        <v>2023.01</v>
      </c>
      <c r="L557" s="101" t="s">
        <v>6</v>
      </c>
      <c r="M557" s="96" t="s">
        <v>70</v>
      </c>
      <c r="N557" s="103">
        <v>172500</v>
      </c>
      <c r="O557" s="97">
        <f t="shared" ref="O557" si="879">ROUND(N557*V557,0)</f>
        <v>22425</v>
      </c>
      <c r="P557" s="104">
        <v>87</v>
      </c>
      <c r="Q557" s="104">
        <v>37</v>
      </c>
      <c r="R557" s="215">
        <f t="shared" ref="R557" si="880">Q557/P557</f>
        <v>0.42528735632183906</v>
      </c>
      <c r="S557" s="105">
        <f t="shared" ref="S557" si="881">ROUND(N557*Q557/P557,0)</f>
        <v>73362</v>
      </c>
      <c r="T557" s="98">
        <f t="shared" ref="T557" si="882">ROUND(S557*V557,0)</f>
        <v>9537</v>
      </c>
      <c r="U557" s="70">
        <f t="shared" ref="U557" si="883">Q557/P557-S557/N557</f>
        <v>3.9980009991502641E-7</v>
      </c>
      <c r="V557" s="140">
        <v>0.13</v>
      </c>
      <c r="W557" s="209" t="s">
        <v>286</v>
      </c>
      <c r="X557" s="17">
        <v>44909</v>
      </c>
      <c r="Y557" s="12" t="s">
        <v>66</v>
      </c>
      <c r="Z557" s="12"/>
      <c r="AA557" s="12"/>
      <c r="AB557" s="3">
        <v>1</v>
      </c>
      <c r="AC557" s="204" t="s">
        <v>315</v>
      </c>
      <c r="AD557" s="216">
        <v>0</v>
      </c>
      <c r="AE557" s="216">
        <v>0</v>
      </c>
    </row>
    <row r="558" spans="1:31" s="3" customFormat="1" ht="14.45" customHeight="1" x14ac:dyDescent="0.25">
      <c r="A558" s="141"/>
      <c r="B558" s="99" t="s">
        <v>256</v>
      </c>
      <c r="C558" s="95" t="str">
        <f>VLOOKUP($F558,Admin!$D$11:$F$19,2,FALSE)</f>
        <v>Kísérleti fejlesztés</v>
      </c>
      <c r="D558" s="138" t="s">
        <v>123</v>
      </c>
      <c r="E558" s="95" t="str">
        <f>VLOOKUP($F558,Admin!$D$11:$F$19,3,FALSE)</f>
        <v>54. Bérköltség - Kutató-fejlesztő munkatárs</v>
      </c>
      <c r="F558" s="139" t="s">
        <v>213</v>
      </c>
      <c r="G558" s="100" t="s">
        <v>180</v>
      </c>
      <c r="H558" s="100" t="s">
        <v>263</v>
      </c>
      <c r="I558" s="139" t="str">
        <f>VLOOKUP($F558,Admin!$D$11:$G$19,4,FALSE)</f>
        <v>K+F munkatárs</v>
      </c>
      <c r="J558" s="100" t="s">
        <v>295</v>
      </c>
      <c r="K558" s="95" t="str">
        <f t="shared" ref="K558:K560" si="884">J558</f>
        <v>2023.02</v>
      </c>
      <c r="L558" s="101" t="s">
        <v>6</v>
      </c>
      <c r="M558" s="96" t="s">
        <v>70</v>
      </c>
      <c r="N558" s="103">
        <v>172500</v>
      </c>
      <c r="O558" s="97">
        <f t="shared" ref="O558" si="885">ROUND(N558*V558,0)</f>
        <v>22425</v>
      </c>
      <c r="P558" s="104">
        <v>87</v>
      </c>
      <c r="Q558" s="104">
        <v>37</v>
      </c>
      <c r="R558" s="215">
        <f t="shared" ref="R558" si="886">Q558/P558</f>
        <v>0.42528735632183906</v>
      </c>
      <c r="S558" s="105">
        <f t="shared" ref="S558" si="887">ROUND(N558*Q558/P558,0)</f>
        <v>73362</v>
      </c>
      <c r="T558" s="98">
        <f t="shared" ref="T558" si="888">ROUND(S558*V558,0)</f>
        <v>9537</v>
      </c>
      <c r="U558" s="70">
        <f t="shared" ref="U558" si="889">Q558/P558-S558/N558</f>
        <v>3.9980009991502641E-7</v>
      </c>
      <c r="V558" s="140">
        <v>0.13</v>
      </c>
      <c r="W558" s="209" t="s">
        <v>286</v>
      </c>
      <c r="X558" s="17">
        <v>44953</v>
      </c>
      <c r="Y558" s="12" t="s">
        <v>66</v>
      </c>
      <c r="Z558" s="12"/>
      <c r="AA558" s="12"/>
      <c r="AB558" s="3">
        <v>1</v>
      </c>
      <c r="AC558" s="3" t="s">
        <v>315</v>
      </c>
      <c r="AD558" s="3">
        <v>0</v>
      </c>
      <c r="AE558" s="3">
        <v>0</v>
      </c>
    </row>
    <row r="559" spans="1:31" s="3" customFormat="1" ht="14.45" customHeight="1" x14ac:dyDescent="0.25">
      <c r="A559" s="141"/>
      <c r="B559" s="99" t="s">
        <v>256</v>
      </c>
      <c r="C559" s="95" t="str">
        <f>VLOOKUP($F559,Admin!$D$11:$F$19,2,FALSE)</f>
        <v>Kísérleti fejlesztés</v>
      </c>
      <c r="D559" s="138" t="s">
        <v>123</v>
      </c>
      <c r="E559" s="95" t="str">
        <f>VLOOKUP($F559,Admin!$D$11:$F$19,3,FALSE)</f>
        <v>54. Bérköltség - Kutató-fejlesztő munkatárs</v>
      </c>
      <c r="F559" s="139" t="s">
        <v>213</v>
      </c>
      <c r="G559" s="100" t="s">
        <v>180</v>
      </c>
      <c r="H559" s="100" t="s">
        <v>263</v>
      </c>
      <c r="I559" s="139" t="str">
        <f>VLOOKUP($F559,Admin!$D$11:$G$19,4,FALSE)</f>
        <v>K+F munkatárs</v>
      </c>
      <c r="J559" s="100" t="s">
        <v>296</v>
      </c>
      <c r="K559" s="95" t="str">
        <f t="shared" si="884"/>
        <v>2023.03</v>
      </c>
      <c r="L559" s="101" t="s">
        <v>6</v>
      </c>
      <c r="M559" s="96" t="s">
        <v>70</v>
      </c>
      <c r="N559" s="103">
        <v>172500</v>
      </c>
      <c r="O559" s="97">
        <f t="shared" ref="O559:O560" si="890">ROUND(N559*V559,0)</f>
        <v>22425</v>
      </c>
      <c r="P559" s="104">
        <v>87</v>
      </c>
      <c r="Q559" s="104">
        <v>37</v>
      </c>
      <c r="R559" s="215">
        <f t="shared" ref="R559:R560" si="891">Q559/P559</f>
        <v>0.42528735632183906</v>
      </c>
      <c r="S559" s="105">
        <f t="shared" ref="S559:S560" si="892">ROUND(N559*Q559/P559,0)</f>
        <v>73362</v>
      </c>
      <c r="T559" s="98">
        <f t="shared" ref="T559:T560" si="893">ROUND(S559*V559,0)</f>
        <v>9537</v>
      </c>
      <c r="U559" s="70">
        <f t="shared" ref="U559:U560" si="894">Q559/P559-S559/N559</f>
        <v>3.9980009991502641E-7</v>
      </c>
      <c r="V559" s="140">
        <v>0.13</v>
      </c>
      <c r="W559" s="209" t="s">
        <v>286</v>
      </c>
      <c r="X559" s="17">
        <v>44953</v>
      </c>
      <c r="Y559" s="12" t="s">
        <v>66</v>
      </c>
      <c r="Z559" s="12"/>
      <c r="AA559" s="12"/>
      <c r="AB559" s="3">
        <v>1</v>
      </c>
      <c r="AC559" s="3" t="s">
        <v>315</v>
      </c>
      <c r="AD559" s="3">
        <v>0</v>
      </c>
      <c r="AE559" s="3">
        <v>0</v>
      </c>
    </row>
    <row r="560" spans="1:31" s="3" customFormat="1" ht="14.45" customHeight="1" x14ac:dyDescent="0.25">
      <c r="A560" s="141"/>
      <c r="B560" s="99" t="s">
        <v>256</v>
      </c>
      <c r="C560" s="95" t="str">
        <f>VLOOKUP($F560,Admin!$D$11:$F$19,2,FALSE)</f>
        <v>Kísérleti fejlesztés</v>
      </c>
      <c r="D560" s="138" t="s">
        <v>123</v>
      </c>
      <c r="E560" s="95" t="str">
        <f>VLOOKUP($F560,Admin!$D$11:$F$19,3,FALSE)</f>
        <v>54. Bérköltség - Kutató-fejlesztő munkatárs</v>
      </c>
      <c r="F560" s="139" t="s">
        <v>213</v>
      </c>
      <c r="G560" s="100" t="s">
        <v>180</v>
      </c>
      <c r="H560" s="100" t="s">
        <v>263</v>
      </c>
      <c r="I560" s="139" t="str">
        <f>VLOOKUP($F560,Admin!$D$11:$G$19,4,FALSE)</f>
        <v>K+F munkatárs</v>
      </c>
      <c r="J560" s="100" t="s">
        <v>297</v>
      </c>
      <c r="K560" s="95" t="str">
        <f t="shared" si="884"/>
        <v>2023.04</v>
      </c>
      <c r="L560" s="101" t="s">
        <v>7</v>
      </c>
      <c r="M560" s="96" t="s">
        <v>70</v>
      </c>
      <c r="N560" s="103">
        <v>172500</v>
      </c>
      <c r="O560" s="97">
        <f t="shared" si="890"/>
        <v>22425</v>
      </c>
      <c r="P560" s="104">
        <v>87</v>
      </c>
      <c r="Q560" s="104">
        <v>37</v>
      </c>
      <c r="R560" s="215">
        <f t="shared" si="891"/>
        <v>0.42528735632183906</v>
      </c>
      <c r="S560" s="105">
        <f t="shared" si="892"/>
        <v>73362</v>
      </c>
      <c r="T560" s="98">
        <f t="shared" si="893"/>
        <v>9537</v>
      </c>
      <c r="U560" s="70">
        <f t="shared" si="894"/>
        <v>3.9980009991502641E-7</v>
      </c>
      <c r="V560" s="140">
        <v>0.13</v>
      </c>
      <c r="W560" s="209" t="s">
        <v>286</v>
      </c>
      <c r="X560" s="17">
        <v>44953</v>
      </c>
      <c r="Y560" s="12" t="s">
        <v>66</v>
      </c>
      <c r="Z560" s="12"/>
      <c r="AA560" s="12"/>
    </row>
    <row r="561" spans="1:28" s="3" customFormat="1" ht="14.45" customHeight="1" x14ac:dyDescent="0.25">
      <c r="A561" s="141">
        <v>1</v>
      </c>
      <c r="B561" s="99" t="s">
        <v>199</v>
      </c>
      <c r="C561" s="95" t="str">
        <f>VLOOKUP($F561,Admin!$D$11:$F$19,2,FALSE)</f>
        <v>Alkalmazott (ipari) kutatás</v>
      </c>
      <c r="D561" s="138" t="s">
        <v>123</v>
      </c>
      <c r="E561" s="95" t="str">
        <f>VLOOKUP($F561,Admin!$D$11:$F$19,3,FALSE)</f>
        <v>54. Bérköltség - Kutató-fejlesztő munkatárs</v>
      </c>
      <c r="F561" s="139" t="s">
        <v>212</v>
      </c>
      <c r="G561" s="100" t="s">
        <v>179</v>
      </c>
      <c r="H561" s="100" t="s">
        <v>229</v>
      </c>
      <c r="I561" s="139" t="str">
        <f>VLOOKUP($F561,Admin!$D$11:$G$19,4,FALSE)</f>
        <v>K+F munkatárs</v>
      </c>
      <c r="J561" s="100" t="s">
        <v>224</v>
      </c>
      <c r="K561" s="95" t="str">
        <f t="shared" si="807"/>
        <v>2020.09</v>
      </c>
      <c r="L561" s="101" t="s">
        <v>6</v>
      </c>
      <c r="M561" s="96" t="s">
        <v>70</v>
      </c>
      <c r="N561" s="102">
        <v>420600</v>
      </c>
      <c r="O561" s="97">
        <f t="shared" si="808"/>
        <v>65193</v>
      </c>
      <c r="P561" s="104">
        <v>174</v>
      </c>
      <c r="Q561" s="104">
        <v>174</v>
      </c>
      <c r="R561" s="215">
        <f t="shared" si="805"/>
        <v>1</v>
      </c>
      <c r="S561" s="105">
        <f t="shared" si="804"/>
        <v>420600</v>
      </c>
      <c r="T561" s="98">
        <f t="shared" si="809"/>
        <v>65193</v>
      </c>
      <c r="U561" s="70">
        <f t="shared" si="806"/>
        <v>0</v>
      </c>
      <c r="V561" s="181">
        <v>0.155</v>
      </c>
      <c r="W561" s="210"/>
      <c r="X561" s="17">
        <v>44034</v>
      </c>
      <c r="Y561" s="12" t="s">
        <v>66</v>
      </c>
      <c r="Z561" s="12"/>
      <c r="AA561" s="12"/>
      <c r="AB561" s="3">
        <v>1</v>
      </c>
    </row>
    <row r="562" spans="1:28" s="3" customFormat="1" ht="14.45" customHeight="1" x14ac:dyDescent="0.25">
      <c r="A562" s="141">
        <v>1</v>
      </c>
      <c r="B562" s="99" t="s">
        <v>199</v>
      </c>
      <c r="C562" s="95" t="str">
        <f>VLOOKUP($F562,Admin!$D$11:$F$19,2,FALSE)</f>
        <v>Alkalmazott (ipari) kutatás</v>
      </c>
      <c r="D562" s="138" t="s">
        <v>123</v>
      </c>
      <c r="E562" s="95" t="str">
        <f>VLOOKUP($F562,Admin!$D$11:$F$19,3,FALSE)</f>
        <v>54. Bérköltség - Kutató-fejlesztő munkatárs</v>
      </c>
      <c r="F562" s="139" t="s">
        <v>212</v>
      </c>
      <c r="G562" s="100" t="s">
        <v>179</v>
      </c>
      <c r="H562" s="100" t="s">
        <v>228</v>
      </c>
      <c r="I562" s="139" t="str">
        <f>VLOOKUP($F562,Admin!$D$11:$G$19,4,FALSE)</f>
        <v>K+F munkatárs</v>
      </c>
      <c r="J562" s="100" t="s">
        <v>225</v>
      </c>
      <c r="K562" s="95" t="str">
        <f t="shared" si="807"/>
        <v>2020.10</v>
      </c>
      <c r="L562" s="101" t="s">
        <v>6</v>
      </c>
      <c r="M562" s="96" t="s">
        <v>70</v>
      </c>
      <c r="N562" s="102">
        <v>558000</v>
      </c>
      <c r="O562" s="97">
        <f t="shared" si="808"/>
        <v>86490</v>
      </c>
      <c r="P562" s="104">
        <v>174</v>
      </c>
      <c r="Q562" s="104">
        <v>150</v>
      </c>
      <c r="R562" s="215">
        <f t="shared" si="805"/>
        <v>0.86206896551724133</v>
      </c>
      <c r="S562" s="105">
        <f t="shared" si="804"/>
        <v>481034</v>
      </c>
      <c r="T562" s="98">
        <f t="shared" si="809"/>
        <v>74560</v>
      </c>
      <c r="U562" s="70">
        <f t="shared" si="806"/>
        <v>8.6515881836390918E-7</v>
      </c>
      <c r="V562" s="181">
        <v>0.155</v>
      </c>
      <c r="W562" s="210"/>
      <c r="X562" s="17">
        <v>44061</v>
      </c>
      <c r="Y562" s="12" t="s">
        <v>66</v>
      </c>
      <c r="Z562" s="12"/>
      <c r="AA562" s="12"/>
      <c r="AB562" s="3">
        <v>1</v>
      </c>
    </row>
    <row r="563" spans="1:28" s="3" customFormat="1" ht="14.45" customHeight="1" x14ac:dyDescent="0.25">
      <c r="A563" s="141">
        <v>1</v>
      </c>
      <c r="B563" s="99" t="s">
        <v>199</v>
      </c>
      <c r="C563" s="95" t="str">
        <f>VLOOKUP($F563,Admin!$D$11:$F$19,2,FALSE)</f>
        <v>Alkalmazott (ipari) kutatás</v>
      </c>
      <c r="D563" s="138" t="s">
        <v>123</v>
      </c>
      <c r="E563" s="95" t="str">
        <f>VLOOKUP($F563,Admin!$D$11:$F$19,3,FALSE)</f>
        <v>54. Bérköltség - Kutató-fejlesztő munkatárs</v>
      </c>
      <c r="F563" s="139" t="s">
        <v>212</v>
      </c>
      <c r="G563" s="100" t="s">
        <v>179</v>
      </c>
      <c r="H563" s="100" t="s">
        <v>228</v>
      </c>
      <c r="I563" s="139" t="str">
        <f>VLOOKUP($F563,Admin!$D$11:$G$19,4,FALSE)</f>
        <v>K+F munkatárs</v>
      </c>
      <c r="J563" s="100" t="s">
        <v>226</v>
      </c>
      <c r="K563" s="95" t="str">
        <f t="shared" si="807"/>
        <v>2020.11</v>
      </c>
      <c r="L563" s="101" t="s">
        <v>6</v>
      </c>
      <c r="M563" s="96" t="s">
        <v>70</v>
      </c>
      <c r="N563" s="102">
        <v>558000</v>
      </c>
      <c r="O563" s="97">
        <f t="shared" si="808"/>
        <v>86490</v>
      </c>
      <c r="P563" s="104">
        <v>174</v>
      </c>
      <c r="Q563" s="104">
        <v>150</v>
      </c>
      <c r="R563" s="215">
        <f t="shared" si="805"/>
        <v>0.86206896551724133</v>
      </c>
      <c r="S563" s="105">
        <f t="shared" si="804"/>
        <v>481034</v>
      </c>
      <c r="T563" s="98">
        <f t="shared" si="809"/>
        <v>74560</v>
      </c>
      <c r="U563" s="70">
        <f t="shared" si="806"/>
        <v>8.6515881836390918E-7</v>
      </c>
      <c r="V563" s="181">
        <v>0.155</v>
      </c>
      <c r="W563" s="210"/>
      <c r="X563" s="17">
        <v>44061</v>
      </c>
      <c r="Y563" s="12" t="s">
        <v>66</v>
      </c>
      <c r="Z563" s="12"/>
      <c r="AA563" s="12"/>
      <c r="AB563" s="3">
        <v>1</v>
      </c>
    </row>
    <row r="564" spans="1:28" s="3" customFormat="1" ht="14.45" customHeight="1" x14ac:dyDescent="0.25">
      <c r="A564" s="141">
        <v>1</v>
      </c>
      <c r="B564" s="99" t="s">
        <v>199</v>
      </c>
      <c r="C564" s="95" t="str">
        <f>VLOOKUP($F564,Admin!$D$11:$F$19,2,FALSE)</f>
        <v>Alkalmazott (ipari) kutatás</v>
      </c>
      <c r="D564" s="138" t="s">
        <v>123</v>
      </c>
      <c r="E564" s="95" t="str">
        <f>VLOOKUP($F564,Admin!$D$11:$F$19,3,FALSE)</f>
        <v>54. Bérköltség - Kutató-fejlesztő munkatárs</v>
      </c>
      <c r="F564" s="139" t="s">
        <v>212</v>
      </c>
      <c r="G564" s="100" t="s">
        <v>179</v>
      </c>
      <c r="H564" s="100" t="s">
        <v>228</v>
      </c>
      <c r="I564" s="139" t="str">
        <f>VLOOKUP($F564,Admin!$D$11:$G$19,4,FALSE)</f>
        <v>K+F munkatárs</v>
      </c>
      <c r="J564" s="100" t="s">
        <v>30</v>
      </c>
      <c r="K564" s="95" t="str">
        <f t="shared" si="807"/>
        <v>2020.12</v>
      </c>
      <c r="L564" s="101" t="s">
        <v>6</v>
      </c>
      <c r="M564" s="96" t="s">
        <v>70</v>
      </c>
      <c r="N564" s="102">
        <v>558000</v>
      </c>
      <c r="O564" s="97">
        <f t="shared" si="808"/>
        <v>86490</v>
      </c>
      <c r="P564" s="104">
        <v>174</v>
      </c>
      <c r="Q564" s="104">
        <v>150</v>
      </c>
      <c r="R564" s="215">
        <f t="shared" si="805"/>
        <v>0.86206896551724133</v>
      </c>
      <c r="S564" s="105">
        <f t="shared" si="804"/>
        <v>481034</v>
      </c>
      <c r="T564" s="98">
        <f t="shared" si="809"/>
        <v>74560</v>
      </c>
      <c r="U564" s="70">
        <f t="shared" si="806"/>
        <v>8.6515881836390918E-7</v>
      </c>
      <c r="V564" s="181">
        <v>0.155</v>
      </c>
      <c r="W564" s="210"/>
      <c r="X564" s="17">
        <v>44061</v>
      </c>
      <c r="Y564" s="12" t="s">
        <v>66</v>
      </c>
      <c r="Z564" s="12"/>
      <c r="AA564" s="12"/>
      <c r="AB564" s="3">
        <v>1</v>
      </c>
    </row>
    <row r="565" spans="1:28" s="3" customFormat="1" ht="14.45" customHeight="1" x14ac:dyDescent="0.25">
      <c r="A565" s="141">
        <v>1</v>
      </c>
      <c r="B565" s="99" t="s">
        <v>199</v>
      </c>
      <c r="C565" s="95" t="str">
        <f>VLOOKUP($F565,Admin!$D$11:$F$19,2,FALSE)</f>
        <v>Alkalmazott (ipari) kutatás</v>
      </c>
      <c r="D565" s="138" t="s">
        <v>123</v>
      </c>
      <c r="E565" s="95" t="str">
        <f>VLOOKUP($F565,Admin!$D$11:$F$19,3,FALSE)</f>
        <v>54. Bérköltség - Kutató-fejlesztő munkatárs</v>
      </c>
      <c r="F565" s="139" t="s">
        <v>212</v>
      </c>
      <c r="G565" s="100" t="s">
        <v>179</v>
      </c>
      <c r="H565" s="100" t="s">
        <v>228</v>
      </c>
      <c r="I565" s="139" t="str">
        <f>VLOOKUP($F565,Admin!$D$11:$G$19,4,FALSE)</f>
        <v>K+F munkatárs</v>
      </c>
      <c r="J565" s="100" t="s">
        <v>31</v>
      </c>
      <c r="K565" s="95" t="str">
        <f t="shared" si="807"/>
        <v>2021.01</v>
      </c>
      <c r="L565" s="101" t="s">
        <v>6</v>
      </c>
      <c r="M565" s="96" t="s">
        <v>70</v>
      </c>
      <c r="N565" s="102">
        <v>558000</v>
      </c>
      <c r="O565" s="97">
        <f t="shared" si="808"/>
        <v>86490</v>
      </c>
      <c r="P565" s="104">
        <v>174</v>
      </c>
      <c r="Q565" s="104">
        <v>150</v>
      </c>
      <c r="R565" s="215">
        <f t="shared" si="805"/>
        <v>0.86206896551724133</v>
      </c>
      <c r="S565" s="105">
        <f t="shared" si="804"/>
        <v>481034</v>
      </c>
      <c r="T565" s="98">
        <f t="shared" si="809"/>
        <v>74560</v>
      </c>
      <c r="U565" s="70">
        <f t="shared" si="806"/>
        <v>8.6515881836390918E-7</v>
      </c>
      <c r="V565" s="181">
        <v>0.155</v>
      </c>
      <c r="W565" s="210"/>
      <c r="X565" s="17">
        <v>44160</v>
      </c>
      <c r="Y565" s="12" t="s">
        <v>66</v>
      </c>
      <c r="Z565" s="12"/>
      <c r="AA565" s="12"/>
      <c r="AB565" s="3">
        <v>1</v>
      </c>
    </row>
    <row r="566" spans="1:28" s="3" customFormat="1" ht="14.45" customHeight="1" x14ac:dyDescent="0.25">
      <c r="A566" s="141">
        <v>2</v>
      </c>
      <c r="B566" s="99" t="s">
        <v>199</v>
      </c>
      <c r="C566" s="95" t="str">
        <f>VLOOKUP($F566,Admin!$D$11:$F$19,2,FALSE)</f>
        <v>Kísérleti fejlesztés</v>
      </c>
      <c r="D566" s="138" t="s">
        <v>123</v>
      </c>
      <c r="E566" s="95" t="str">
        <f>VLOOKUP($F566,Admin!$D$11:$F$19,3,FALSE)</f>
        <v>54. Bérköltség - Kutató-fejlesztő munkatárs</v>
      </c>
      <c r="F566" s="139" t="s">
        <v>213</v>
      </c>
      <c r="G566" s="100" t="s">
        <v>179</v>
      </c>
      <c r="H566" s="100" t="s">
        <v>228</v>
      </c>
      <c r="I566" s="139" t="str">
        <f>VLOOKUP($F566,Admin!$D$11:$G$19,4,FALSE)</f>
        <v>K+F munkatárs</v>
      </c>
      <c r="J566" s="100" t="s">
        <v>32</v>
      </c>
      <c r="K566" s="95" t="str">
        <f t="shared" si="807"/>
        <v>2021.02</v>
      </c>
      <c r="L566" s="101" t="s">
        <v>6</v>
      </c>
      <c r="M566" s="96" t="s">
        <v>70</v>
      </c>
      <c r="N566" s="102">
        <v>558000</v>
      </c>
      <c r="O566" s="97">
        <f t="shared" si="808"/>
        <v>86490</v>
      </c>
      <c r="P566" s="104">
        <v>174</v>
      </c>
      <c r="Q566" s="104">
        <v>150</v>
      </c>
      <c r="R566" s="215">
        <f t="shared" si="805"/>
        <v>0.86206896551724133</v>
      </c>
      <c r="S566" s="105">
        <f t="shared" si="804"/>
        <v>481034</v>
      </c>
      <c r="T566" s="98">
        <f t="shared" si="809"/>
        <v>74560</v>
      </c>
      <c r="U566" s="70">
        <f t="shared" si="806"/>
        <v>8.6515881836390918E-7</v>
      </c>
      <c r="V566" s="181">
        <v>0.155</v>
      </c>
      <c r="W566" s="210"/>
      <c r="X566" s="17">
        <v>44160</v>
      </c>
      <c r="Y566" s="12" t="s">
        <v>66</v>
      </c>
      <c r="Z566" s="12"/>
      <c r="AA566" s="12"/>
      <c r="AB566" s="3">
        <v>1</v>
      </c>
    </row>
    <row r="567" spans="1:28" s="3" customFormat="1" ht="14.45" customHeight="1" x14ac:dyDescent="0.25">
      <c r="A567" s="141">
        <v>2</v>
      </c>
      <c r="B567" s="99" t="s">
        <v>199</v>
      </c>
      <c r="C567" s="95" t="str">
        <f>VLOOKUP($F567,Admin!$D$11:$F$19,2,FALSE)</f>
        <v>Kísérleti fejlesztés</v>
      </c>
      <c r="D567" s="138" t="s">
        <v>123</v>
      </c>
      <c r="E567" s="95" t="str">
        <f>VLOOKUP($F567,Admin!$D$11:$F$19,3,FALSE)</f>
        <v>54. Bérköltség - Kutató-fejlesztő munkatárs</v>
      </c>
      <c r="F567" s="139" t="s">
        <v>213</v>
      </c>
      <c r="G567" s="100" t="s">
        <v>179</v>
      </c>
      <c r="H567" s="100" t="s">
        <v>228</v>
      </c>
      <c r="I567" s="139" t="str">
        <f>VLOOKUP($F567,Admin!$D$11:$G$19,4,FALSE)</f>
        <v>K+F munkatárs</v>
      </c>
      <c r="J567" s="100" t="s">
        <v>33</v>
      </c>
      <c r="K567" s="95" t="str">
        <f t="shared" si="807"/>
        <v>2021.03</v>
      </c>
      <c r="L567" s="101" t="s">
        <v>6</v>
      </c>
      <c r="M567" s="96" t="s">
        <v>70</v>
      </c>
      <c r="N567" s="102">
        <v>558000</v>
      </c>
      <c r="O567" s="97">
        <f t="shared" si="808"/>
        <v>86490</v>
      </c>
      <c r="P567" s="104">
        <v>174</v>
      </c>
      <c r="Q567" s="104">
        <v>150</v>
      </c>
      <c r="R567" s="215">
        <f t="shared" si="805"/>
        <v>0.86206896551724133</v>
      </c>
      <c r="S567" s="105">
        <f t="shared" si="804"/>
        <v>481034</v>
      </c>
      <c r="T567" s="98">
        <f t="shared" si="809"/>
        <v>74560</v>
      </c>
      <c r="U567" s="70">
        <f t="shared" si="806"/>
        <v>8.6515881836390918E-7</v>
      </c>
      <c r="V567" s="181">
        <v>0.155</v>
      </c>
      <c r="W567" s="210"/>
      <c r="X567" s="17">
        <v>44160</v>
      </c>
      <c r="Y567" s="12" t="s">
        <v>66</v>
      </c>
      <c r="Z567" s="12"/>
      <c r="AA567" s="12"/>
      <c r="AB567" s="3">
        <v>1</v>
      </c>
    </row>
    <row r="568" spans="1:28" s="3" customFormat="1" ht="14.45" customHeight="1" x14ac:dyDescent="0.25">
      <c r="A568" s="141">
        <v>2</v>
      </c>
      <c r="B568" s="99" t="s">
        <v>199</v>
      </c>
      <c r="C568" s="95" t="str">
        <f>VLOOKUP($F568,Admin!$D$11:$F$19,2,FALSE)</f>
        <v>Kísérleti fejlesztés</v>
      </c>
      <c r="D568" s="138" t="s">
        <v>123</v>
      </c>
      <c r="E568" s="95" t="str">
        <f>VLOOKUP($F568,Admin!$D$11:$F$19,3,FALSE)</f>
        <v>54. Bérköltség - Kutató-fejlesztő munkatárs</v>
      </c>
      <c r="F568" s="139" t="s">
        <v>213</v>
      </c>
      <c r="G568" s="100" t="s">
        <v>179</v>
      </c>
      <c r="H568" s="100" t="s">
        <v>228</v>
      </c>
      <c r="I568" s="139" t="str">
        <f>VLOOKUP($F568,Admin!$D$11:$G$19,4,FALSE)</f>
        <v>K+F munkatárs</v>
      </c>
      <c r="J568" s="100" t="s">
        <v>34</v>
      </c>
      <c r="K568" s="95" t="str">
        <f t="shared" si="807"/>
        <v>2021.04</v>
      </c>
      <c r="L568" s="101" t="s">
        <v>6</v>
      </c>
      <c r="M568" s="96" t="s">
        <v>70</v>
      </c>
      <c r="N568" s="102">
        <v>558000</v>
      </c>
      <c r="O568" s="97">
        <f t="shared" si="808"/>
        <v>86490</v>
      </c>
      <c r="P568" s="104">
        <v>174</v>
      </c>
      <c r="Q568" s="104">
        <v>150</v>
      </c>
      <c r="R568" s="215">
        <f t="shared" si="805"/>
        <v>0.86206896551724133</v>
      </c>
      <c r="S568" s="105">
        <f t="shared" si="804"/>
        <v>481034</v>
      </c>
      <c r="T568" s="98">
        <f t="shared" si="809"/>
        <v>74560</v>
      </c>
      <c r="U568" s="70">
        <f t="shared" si="806"/>
        <v>8.6515881836390918E-7</v>
      </c>
      <c r="V568" s="181">
        <v>0.155</v>
      </c>
      <c r="W568" s="210"/>
      <c r="X568" s="17">
        <v>44160</v>
      </c>
      <c r="Y568" s="12" t="s">
        <v>66</v>
      </c>
      <c r="Z568" s="12"/>
      <c r="AA568" s="12"/>
      <c r="AB568" s="3">
        <v>1</v>
      </c>
    </row>
    <row r="569" spans="1:28" s="3" customFormat="1" ht="14.45" customHeight="1" x14ac:dyDescent="0.25">
      <c r="A569" s="141">
        <v>2</v>
      </c>
      <c r="B569" s="99" t="s">
        <v>199</v>
      </c>
      <c r="C569" s="95" t="str">
        <f>VLOOKUP($F569,Admin!$D$11:$F$19,2,FALSE)</f>
        <v>Kísérleti fejlesztés</v>
      </c>
      <c r="D569" s="138" t="s">
        <v>123</v>
      </c>
      <c r="E569" s="95" t="str">
        <f>VLOOKUP($F569,Admin!$D$11:$F$19,3,FALSE)</f>
        <v>54. Bérköltség - Kutató-fejlesztő munkatárs</v>
      </c>
      <c r="F569" s="139" t="s">
        <v>213</v>
      </c>
      <c r="G569" s="100" t="s">
        <v>179</v>
      </c>
      <c r="H569" s="100" t="s">
        <v>228</v>
      </c>
      <c r="I569" s="139" t="str">
        <f>VLOOKUP($F569,Admin!$D$11:$G$19,4,FALSE)</f>
        <v>K+F munkatárs</v>
      </c>
      <c r="J569" s="100" t="s">
        <v>35</v>
      </c>
      <c r="K569" s="95" t="str">
        <f t="shared" si="807"/>
        <v>2021.05</v>
      </c>
      <c r="L569" s="101" t="s">
        <v>6</v>
      </c>
      <c r="M569" s="96" t="s">
        <v>70</v>
      </c>
      <c r="N569" s="102">
        <v>558000</v>
      </c>
      <c r="O569" s="97">
        <f t="shared" si="808"/>
        <v>86490</v>
      </c>
      <c r="P569" s="104">
        <v>174</v>
      </c>
      <c r="Q569" s="104">
        <v>150</v>
      </c>
      <c r="R569" s="215">
        <f t="shared" si="805"/>
        <v>0.86206896551724133</v>
      </c>
      <c r="S569" s="105">
        <f t="shared" si="804"/>
        <v>481034</v>
      </c>
      <c r="T569" s="98">
        <f t="shared" si="809"/>
        <v>74560</v>
      </c>
      <c r="U569" s="70">
        <f t="shared" si="806"/>
        <v>8.6515881836390918E-7</v>
      </c>
      <c r="V569" s="181">
        <v>0.155</v>
      </c>
      <c r="W569" s="210"/>
      <c r="X569" s="17">
        <v>44160</v>
      </c>
      <c r="Y569" s="12" t="s">
        <v>66</v>
      </c>
      <c r="Z569" s="12"/>
      <c r="AA569" s="12"/>
      <c r="AB569" s="3">
        <v>1</v>
      </c>
    </row>
    <row r="570" spans="1:28" s="3" customFormat="1" ht="14.45" customHeight="1" x14ac:dyDescent="0.25">
      <c r="A570" s="141">
        <v>2</v>
      </c>
      <c r="B570" s="99" t="s">
        <v>199</v>
      </c>
      <c r="C570" s="95" t="str">
        <f>VLOOKUP($F570,Admin!$D$11:$F$19,2,FALSE)</f>
        <v>Kísérleti fejlesztés</v>
      </c>
      <c r="D570" s="138" t="s">
        <v>123</v>
      </c>
      <c r="E570" s="95" t="str">
        <f>VLOOKUP($F570,Admin!$D$11:$F$19,3,FALSE)</f>
        <v>54. Bérköltség - Kutató-fejlesztő munkatárs</v>
      </c>
      <c r="F570" s="139" t="s">
        <v>213</v>
      </c>
      <c r="G570" s="100" t="s">
        <v>179</v>
      </c>
      <c r="H570" s="100" t="s">
        <v>228</v>
      </c>
      <c r="I570" s="139" t="str">
        <f>VLOOKUP($F570,Admin!$D$11:$G$19,4,FALSE)</f>
        <v>K+F munkatárs</v>
      </c>
      <c r="J570" s="100" t="s">
        <v>36</v>
      </c>
      <c r="K570" s="95" t="str">
        <f t="shared" si="807"/>
        <v>2021.06</v>
      </c>
      <c r="L570" s="101" t="s">
        <v>6</v>
      </c>
      <c r="M570" s="96" t="s">
        <v>70</v>
      </c>
      <c r="N570" s="102">
        <v>558000</v>
      </c>
      <c r="O570" s="97">
        <f t="shared" si="808"/>
        <v>86490</v>
      </c>
      <c r="P570" s="104">
        <v>174</v>
      </c>
      <c r="Q570" s="104">
        <v>150</v>
      </c>
      <c r="R570" s="215">
        <f t="shared" si="805"/>
        <v>0.86206896551724133</v>
      </c>
      <c r="S570" s="105">
        <f t="shared" si="804"/>
        <v>481034</v>
      </c>
      <c r="T570" s="98">
        <f t="shared" si="809"/>
        <v>74560</v>
      </c>
      <c r="U570" s="70">
        <f t="shared" si="806"/>
        <v>8.6515881836390918E-7</v>
      </c>
      <c r="V570" s="181">
        <v>0.155</v>
      </c>
      <c r="W570" s="210"/>
      <c r="X570" s="17">
        <v>44160</v>
      </c>
      <c r="Y570" s="12" t="s">
        <v>66</v>
      </c>
      <c r="Z570" s="12"/>
      <c r="AA570" s="12"/>
      <c r="AB570" s="3">
        <v>1</v>
      </c>
    </row>
    <row r="571" spans="1:28" s="3" customFormat="1" ht="14.45" customHeight="1" x14ac:dyDescent="0.25">
      <c r="A571" s="141">
        <v>2</v>
      </c>
      <c r="B571" s="99" t="s">
        <v>199</v>
      </c>
      <c r="C571" s="95" t="str">
        <f>VLOOKUP($F571,Admin!$D$11:$F$19,2,FALSE)</f>
        <v>Kísérleti fejlesztés</v>
      </c>
      <c r="D571" s="138" t="s">
        <v>123</v>
      </c>
      <c r="E571" s="95" t="str">
        <f>VLOOKUP($F571,Admin!$D$11:$F$19,3,FALSE)</f>
        <v>54. Bérköltség - Kutató-fejlesztő munkatárs</v>
      </c>
      <c r="F571" s="139" t="s">
        <v>213</v>
      </c>
      <c r="G571" s="100" t="s">
        <v>179</v>
      </c>
      <c r="H571" s="100" t="s">
        <v>228</v>
      </c>
      <c r="I571" s="139" t="str">
        <f>VLOOKUP($F571,Admin!$D$11:$G$19,4,FALSE)</f>
        <v>K+F munkatárs</v>
      </c>
      <c r="J571" s="100" t="s">
        <v>37</v>
      </c>
      <c r="K571" s="95" t="str">
        <f t="shared" si="807"/>
        <v>2021.07</v>
      </c>
      <c r="L571" s="101" t="s">
        <v>6</v>
      </c>
      <c r="M571" s="96" t="s">
        <v>70</v>
      </c>
      <c r="N571" s="102">
        <v>570000</v>
      </c>
      <c r="O571" s="97">
        <f t="shared" si="808"/>
        <v>88350</v>
      </c>
      <c r="P571" s="104">
        <v>174</v>
      </c>
      <c r="Q571" s="104">
        <v>150</v>
      </c>
      <c r="R571" s="215">
        <f t="shared" si="805"/>
        <v>0.86206896551724133</v>
      </c>
      <c r="S571" s="105">
        <f t="shared" si="804"/>
        <v>491379</v>
      </c>
      <c r="T571" s="98">
        <f t="shared" si="809"/>
        <v>76164</v>
      </c>
      <c r="U571" s="70">
        <f t="shared" si="806"/>
        <v>5.4446460973078814E-7</v>
      </c>
      <c r="V571" s="181">
        <v>0.155</v>
      </c>
      <c r="W571" s="210"/>
      <c r="X571" s="17">
        <v>44354</v>
      </c>
      <c r="Y571" s="12" t="s">
        <v>66</v>
      </c>
      <c r="Z571" s="12"/>
      <c r="AA571" s="12"/>
      <c r="AB571" s="3">
        <v>1</v>
      </c>
    </row>
    <row r="572" spans="1:28" s="3" customFormat="1" ht="14.45" customHeight="1" x14ac:dyDescent="0.25">
      <c r="A572" s="141">
        <v>2</v>
      </c>
      <c r="B572" s="99" t="s">
        <v>199</v>
      </c>
      <c r="C572" s="95" t="str">
        <f>VLOOKUP($F572,Admin!$D$11:$F$19,2,FALSE)</f>
        <v>Kísérleti fejlesztés</v>
      </c>
      <c r="D572" s="138" t="s">
        <v>123</v>
      </c>
      <c r="E572" s="95" t="str">
        <f>VLOOKUP($F572,Admin!$D$11:$F$19,3,FALSE)</f>
        <v>54. Bérköltség - Kutató-fejlesztő munkatárs</v>
      </c>
      <c r="F572" s="139" t="s">
        <v>213</v>
      </c>
      <c r="G572" s="100" t="s">
        <v>179</v>
      </c>
      <c r="H572" s="100" t="s">
        <v>228</v>
      </c>
      <c r="I572" s="139" t="str">
        <f>VLOOKUP($F572,Admin!$D$11:$G$19,4,FALSE)</f>
        <v>K+F munkatárs</v>
      </c>
      <c r="J572" s="100" t="s">
        <v>38</v>
      </c>
      <c r="K572" s="95" t="str">
        <f t="shared" si="807"/>
        <v>2021.08</v>
      </c>
      <c r="L572" s="101" t="s">
        <v>6</v>
      </c>
      <c r="M572" s="96" t="s">
        <v>70</v>
      </c>
      <c r="N572" s="102">
        <v>570000</v>
      </c>
      <c r="O572" s="97">
        <f t="shared" si="808"/>
        <v>88350</v>
      </c>
      <c r="P572" s="104">
        <v>174</v>
      </c>
      <c r="Q572" s="104">
        <v>150</v>
      </c>
      <c r="R572" s="215">
        <f t="shared" si="805"/>
        <v>0.86206896551724133</v>
      </c>
      <c r="S572" s="105">
        <f t="shared" si="804"/>
        <v>491379</v>
      </c>
      <c r="T572" s="98">
        <f t="shared" si="809"/>
        <v>76164</v>
      </c>
      <c r="U572" s="70">
        <f t="shared" si="806"/>
        <v>5.4446460973078814E-7</v>
      </c>
      <c r="V572" s="181">
        <v>0.155</v>
      </c>
      <c r="W572" s="210"/>
      <c r="X572" s="17">
        <v>44354</v>
      </c>
      <c r="Y572" s="12" t="s">
        <v>66</v>
      </c>
      <c r="Z572" s="12"/>
      <c r="AA572" s="12"/>
      <c r="AB572" s="3">
        <v>1</v>
      </c>
    </row>
    <row r="573" spans="1:28" s="3" customFormat="1" ht="14.45" customHeight="1" x14ac:dyDescent="0.25">
      <c r="A573" s="141">
        <v>2</v>
      </c>
      <c r="B573" s="99" t="s">
        <v>199</v>
      </c>
      <c r="C573" s="95" t="str">
        <f>VLOOKUP($F573,Admin!$D$11:$F$19,2,FALSE)</f>
        <v>Kísérleti fejlesztés</v>
      </c>
      <c r="D573" s="138" t="s">
        <v>123</v>
      </c>
      <c r="E573" s="95" t="str">
        <f>VLOOKUP($F573,Admin!$D$11:$F$19,3,FALSE)</f>
        <v>54. Bérköltség - Kutató-fejlesztő munkatárs</v>
      </c>
      <c r="F573" s="139" t="s">
        <v>213</v>
      </c>
      <c r="G573" s="100" t="s">
        <v>179</v>
      </c>
      <c r="H573" s="100" t="s">
        <v>228</v>
      </c>
      <c r="I573" s="139" t="str">
        <f>VLOOKUP($F573,Admin!$D$11:$G$19,4,FALSE)</f>
        <v>K+F munkatárs</v>
      </c>
      <c r="J573" s="100" t="s">
        <v>39</v>
      </c>
      <c r="K573" s="95" t="str">
        <f t="shared" si="807"/>
        <v>2021.09</v>
      </c>
      <c r="L573" s="101" t="s">
        <v>6</v>
      </c>
      <c r="M573" s="96" t="s">
        <v>70</v>
      </c>
      <c r="N573" s="102">
        <v>570000</v>
      </c>
      <c r="O573" s="97">
        <f t="shared" si="808"/>
        <v>88350</v>
      </c>
      <c r="P573" s="104">
        <v>174</v>
      </c>
      <c r="Q573" s="104">
        <v>150</v>
      </c>
      <c r="R573" s="215">
        <f t="shared" si="805"/>
        <v>0.86206896551724133</v>
      </c>
      <c r="S573" s="105">
        <f t="shared" si="804"/>
        <v>491379</v>
      </c>
      <c r="T573" s="98">
        <f t="shared" si="809"/>
        <v>76164</v>
      </c>
      <c r="U573" s="70">
        <f t="shared" si="806"/>
        <v>5.4446460973078814E-7</v>
      </c>
      <c r="V573" s="181">
        <v>0.155</v>
      </c>
      <c r="W573" s="210"/>
      <c r="X573" s="17">
        <v>44354</v>
      </c>
      <c r="Y573" s="12" t="s">
        <v>66</v>
      </c>
      <c r="Z573" s="12"/>
      <c r="AA573" s="12"/>
      <c r="AB573" s="3">
        <v>1</v>
      </c>
    </row>
    <row r="574" spans="1:28" s="3" customFormat="1" ht="14.45" customHeight="1" x14ac:dyDescent="0.25">
      <c r="A574" s="141">
        <v>2</v>
      </c>
      <c r="B574" s="99" t="s">
        <v>199</v>
      </c>
      <c r="C574" s="95" t="str">
        <f>VLOOKUP($F574,Admin!$D$11:$F$19,2,FALSE)</f>
        <v>Kísérleti fejlesztés</v>
      </c>
      <c r="D574" s="138" t="s">
        <v>123</v>
      </c>
      <c r="E574" s="95" t="str">
        <f>VLOOKUP($F574,Admin!$D$11:$F$19,3,FALSE)</f>
        <v>54. Bérköltség - Kutató-fejlesztő munkatárs</v>
      </c>
      <c r="F574" s="139" t="s">
        <v>213</v>
      </c>
      <c r="G574" s="100" t="s">
        <v>179</v>
      </c>
      <c r="H574" s="100" t="s">
        <v>228</v>
      </c>
      <c r="I574" s="139" t="str">
        <f>VLOOKUP($F574,Admin!$D$11:$G$19,4,FALSE)</f>
        <v>K+F munkatárs</v>
      </c>
      <c r="J574" s="100" t="s">
        <v>40</v>
      </c>
      <c r="K574" s="95" t="str">
        <f t="shared" si="807"/>
        <v>2021.10</v>
      </c>
      <c r="L574" s="101" t="s">
        <v>6</v>
      </c>
      <c r="M574" s="96" t="s">
        <v>70</v>
      </c>
      <c r="N574" s="102">
        <v>655500</v>
      </c>
      <c r="O574" s="97">
        <f t="shared" si="808"/>
        <v>101603</v>
      </c>
      <c r="P574" s="104">
        <v>174</v>
      </c>
      <c r="Q574" s="104">
        <v>150</v>
      </c>
      <c r="R574" s="215">
        <f t="shared" si="805"/>
        <v>0.86206896551724133</v>
      </c>
      <c r="S574" s="105">
        <f t="shared" si="804"/>
        <v>565086</v>
      </c>
      <c r="T574" s="98">
        <f t="shared" si="809"/>
        <v>87588</v>
      </c>
      <c r="U574" s="70">
        <f t="shared" si="806"/>
        <v>3.1563165781012259E-7</v>
      </c>
      <c r="V574" s="181">
        <v>0.155</v>
      </c>
      <c r="W574" s="210"/>
      <c r="X574" s="17">
        <v>44483</v>
      </c>
      <c r="Y574" s="12" t="s">
        <v>66</v>
      </c>
      <c r="Z574" s="12"/>
      <c r="AA574" s="12"/>
      <c r="AB574" s="3">
        <v>1</v>
      </c>
    </row>
    <row r="575" spans="1:28" s="3" customFormat="1" ht="14.45" customHeight="1" x14ac:dyDescent="0.25">
      <c r="A575" s="141">
        <v>2</v>
      </c>
      <c r="B575" s="99" t="s">
        <v>199</v>
      </c>
      <c r="C575" s="95" t="str">
        <f>VLOOKUP($F575,Admin!$D$11:$F$19,2,FALSE)</f>
        <v>Kísérleti fejlesztés</v>
      </c>
      <c r="D575" s="138" t="s">
        <v>123</v>
      </c>
      <c r="E575" s="95" t="str">
        <f>VLOOKUP($F575,Admin!$D$11:$F$19,3,FALSE)</f>
        <v>54. Bérköltség - Kutató-fejlesztő munkatárs</v>
      </c>
      <c r="F575" s="139" t="s">
        <v>213</v>
      </c>
      <c r="G575" s="100" t="s">
        <v>179</v>
      </c>
      <c r="H575" s="100" t="s">
        <v>228</v>
      </c>
      <c r="I575" s="139" t="str">
        <f>VLOOKUP($F575,Admin!$D$11:$G$19,4,FALSE)</f>
        <v>K+F munkatárs</v>
      </c>
      <c r="J575" s="100" t="s">
        <v>41</v>
      </c>
      <c r="K575" s="95" t="str">
        <f t="shared" si="807"/>
        <v>2021.11</v>
      </c>
      <c r="L575" s="101" t="s">
        <v>6</v>
      </c>
      <c r="M575" s="96" t="s">
        <v>70</v>
      </c>
      <c r="N575" s="102">
        <v>655500</v>
      </c>
      <c r="O575" s="97">
        <f t="shared" si="808"/>
        <v>101603</v>
      </c>
      <c r="P575" s="104">
        <v>174</v>
      </c>
      <c r="Q575" s="104">
        <v>150</v>
      </c>
      <c r="R575" s="215">
        <f t="shared" si="805"/>
        <v>0.86206896551724133</v>
      </c>
      <c r="S575" s="105">
        <f t="shared" si="804"/>
        <v>565086</v>
      </c>
      <c r="T575" s="98">
        <f t="shared" si="809"/>
        <v>87588</v>
      </c>
      <c r="U575" s="70">
        <f t="shared" si="806"/>
        <v>3.1563165781012259E-7</v>
      </c>
      <c r="V575" s="181">
        <v>0.155</v>
      </c>
      <c r="W575" s="210"/>
      <c r="X575" s="17">
        <v>44483</v>
      </c>
      <c r="Y575" s="12" t="s">
        <v>66</v>
      </c>
      <c r="Z575" s="12"/>
      <c r="AA575" s="12"/>
      <c r="AB575" s="3">
        <v>1</v>
      </c>
    </row>
    <row r="576" spans="1:28" s="3" customFormat="1" ht="14.45" customHeight="1" x14ac:dyDescent="0.25">
      <c r="A576" s="141">
        <v>2</v>
      </c>
      <c r="B576" s="99" t="s">
        <v>199</v>
      </c>
      <c r="C576" s="95" t="str">
        <f>VLOOKUP($F576,Admin!$D$11:$F$19,2,FALSE)</f>
        <v>Kísérleti fejlesztés</v>
      </c>
      <c r="D576" s="138" t="s">
        <v>123</v>
      </c>
      <c r="E576" s="95" t="str">
        <f>VLOOKUP($F576,Admin!$D$11:$F$19,3,FALSE)</f>
        <v>54. Bérköltség - Kutató-fejlesztő munkatárs</v>
      </c>
      <c r="F576" s="139" t="s">
        <v>213</v>
      </c>
      <c r="G576" s="100" t="s">
        <v>179</v>
      </c>
      <c r="H576" s="100" t="s">
        <v>228</v>
      </c>
      <c r="I576" s="139" t="str">
        <f>VLOOKUP($F576,Admin!$D$11:$G$19,4,FALSE)</f>
        <v>K+F munkatárs</v>
      </c>
      <c r="J576" s="100" t="s">
        <v>42</v>
      </c>
      <c r="K576" s="95" t="str">
        <f t="shared" si="807"/>
        <v>2021.12</v>
      </c>
      <c r="L576" s="101" t="s">
        <v>6</v>
      </c>
      <c r="M576" s="96" t="s">
        <v>70</v>
      </c>
      <c r="N576" s="102">
        <v>655500</v>
      </c>
      <c r="O576" s="97">
        <f t="shared" si="808"/>
        <v>101603</v>
      </c>
      <c r="P576" s="104">
        <v>174</v>
      </c>
      <c r="Q576" s="104">
        <v>150</v>
      </c>
      <c r="R576" s="215">
        <f t="shared" si="805"/>
        <v>0.86206896551724133</v>
      </c>
      <c r="S576" s="105">
        <f t="shared" si="804"/>
        <v>565086</v>
      </c>
      <c r="T576" s="98">
        <f t="shared" si="809"/>
        <v>87588</v>
      </c>
      <c r="U576" s="70">
        <f t="shared" si="806"/>
        <v>3.1563165781012259E-7</v>
      </c>
      <c r="V576" s="181">
        <v>0.155</v>
      </c>
      <c r="W576" s="210"/>
      <c r="X576" s="17">
        <v>44483</v>
      </c>
      <c r="Y576" s="12" t="s">
        <v>66</v>
      </c>
      <c r="Z576" s="12"/>
      <c r="AA576" s="12"/>
      <c r="AB576" s="3">
        <v>1</v>
      </c>
    </row>
    <row r="577" spans="1:31" s="3" customFormat="1" ht="14.45" customHeight="1" x14ac:dyDescent="0.25">
      <c r="A577" s="141">
        <v>2</v>
      </c>
      <c r="B577" s="99" t="s">
        <v>199</v>
      </c>
      <c r="C577" s="95" t="str">
        <f>VLOOKUP($F577,Admin!$D$11:$F$19,2,FALSE)</f>
        <v>Kísérleti fejlesztés</v>
      </c>
      <c r="D577" s="138" t="s">
        <v>123</v>
      </c>
      <c r="E577" s="95" t="str">
        <f>VLOOKUP($F577,Admin!$D$11:$F$19,3,FALSE)</f>
        <v>54. Bérköltség - Kutató-fejlesztő munkatárs</v>
      </c>
      <c r="F577" s="139" t="s">
        <v>213</v>
      </c>
      <c r="G577" s="100" t="s">
        <v>179</v>
      </c>
      <c r="H577" s="100" t="s">
        <v>228</v>
      </c>
      <c r="I577" s="139" t="str">
        <f>VLOOKUP($F577,Admin!$D$11:$G$19,4,FALSE)</f>
        <v>K+F munkatárs</v>
      </c>
      <c r="J577" s="100" t="s">
        <v>43</v>
      </c>
      <c r="K577" s="95" t="str">
        <f t="shared" si="807"/>
        <v>2022.01</v>
      </c>
      <c r="L577" s="101" t="s">
        <v>6</v>
      </c>
      <c r="M577" s="96" t="s">
        <v>70</v>
      </c>
      <c r="N577" s="102">
        <v>825300</v>
      </c>
      <c r="O577" s="97">
        <f t="shared" si="808"/>
        <v>107289</v>
      </c>
      <c r="P577" s="104">
        <v>174</v>
      </c>
      <c r="Q577" s="104">
        <v>150</v>
      </c>
      <c r="R577" s="215">
        <f t="shared" si="805"/>
        <v>0.86206896551724133</v>
      </c>
      <c r="S577" s="105">
        <f t="shared" si="804"/>
        <v>711466</v>
      </c>
      <c r="T577" s="98">
        <f t="shared" si="809"/>
        <v>92491</v>
      </c>
      <c r="U577" s="70">
        <f t="shared" si="806"/>
        <v>-5.8494925569974043E-7</v>
      </c>
      <c r="V577" s="140">
        <v>0.13</v>
      </c>
      <c r="W577" s="209"/>
      <c r="X577" s="17">
        <v>44550</v>
      </c>
      <c r="Y577" s="12" t="s">
        <v>66</v>
      </c>
      <c r="Z577" s="12"/>
      <c r="AA577" s="12"/>
      <c r="AB577" s="3">
        <v>1</v>
      </c>
    </row>
    <row r="578" spans="1:31" s="3" customFormat="1" ht="14.45" customHeight="1" x14ac:dyDescent="0.25">
      <c r="A578" s="141">
        <v>3</v>
      </c>
      <c r="B578" s="99" t="s">
        <v>199</v>
      </c>
      <c r="C578" s="95" t="str">
        <f>VLOOKUP($F578,Admin!$D$11:$F$19,2,FALSE)</f>
        <v>Kísérleti fejlesztés</v>
      </c>
      <c r="D578" s="138" t="s">
        <v>123</v>
      </c>
      <c r="E578" s="95" t="str">
        <f>VLOOKUP($F578,Admin!$D$11:$F$19,3,FALSE)</f>
        <v>54. Bérköltség - Kutató-fejlesztő munkatárs</v>
      </c>
      <c r="F578" s="139" t="s">
        <v>213</v>
      </c>
      <c r="G578" s="100" t="s">
        <v>179</v>
      </c>
      <c r="H578" s="100" t="s">
        <v>228</v>
      </c>
      <c r="I578" s="139" t="str">
        <f>VLOOKUP($F578,Admin!$D$11:$G$19,4,FALSE)</f>
        <v>K+F munkatárs</v>
      </c>
      <c r="J578" s="100" t="s">
        <v>44</v>
      </c>
      <c r="K578" s="95" t="str">
        <f t="shared" si="807"/>
        <v>2022.02</v>
      </c>
      <c r="L578" s="101" t="s">
        <v>6</v>
      </c>
      <c r="M578" s="96" t="s">
        <v>70</v>
      </c>
      <c r="N578" s="102">
        <v>1100000</v>
      </c>
      <c r="O578" s="97">
        <f t="shared" si="808"/>
        <v>143000</v>
      </c>
      <c r="P578" s="104">
        <v>174</v>
      </c>
      <c r="Q578" s="104">
        <v>109</v>
      </c>
      <c r="R578" s="215">
        <f t="shared" si="805"/>
        <v>0.62643678160919536</v>
      </c>
      <c r="S578" s="105">
        <f t="shared" si="804"/>
        <v>689080</v>
      </c>
      <c r="T578" s="98">
        <f t="shared" si="809"/>
        <v>89580</v>
      </c>
      <c r="U578" s="70">
        <f t="shared" si="806"/>
        <v>4.1797283167888111E-7</v>
      </c>
      <c r="V578" s="140">
        <v>0.13</v>
      </c>
      <c r="W578" s="209"/>
      <c r="X578" s="17">
        <v>44588</v>
      </c>
      <c r="Y578" s="12" t="s">
        <v>66</v>
      </c>
      <c r="Z578" s="12"/>
      <c r="AA578" s="12"/>
      <c r="AB578" s="3">
        <v>1</v>
      </c>
    </row>
    <row r="579" spans="1:31" s="3" customFormat="1" ht="14.45" customHeight="1" x14ac:dyDescent="0.25">
      <c r="A579" s="141">
        <v>3</v>
      </c>
      <c r="B579" s="99" t="s">
        <v>199</v>
      </c>
      <c r="C579" s="95" t="str">
        <f>VLOOKUP($F579,Admin!$D$11:$F$19,2,FALSE)</f>
        <v>Kísérleti fejlesztés</v>
      </c>
      <c r="D579" s="138" t="s">
        <v>123</v>
      </c>
      <c r="E579" s="95" t="str">
        <f>VLOOKUP($F579,Admin!$D$11:$F$19,3,FALSE)</f>
        <v>54. Bérköltség - Kutató-fejlesztő munkatárs</v>
      </c>
      <c r="F579" s="139" t="s">
        <v>213</v>
      </c>
      <c r="G579" s="100" t="s">
        <v>179</v>
      </c>
      <c r="H579" s="100" t="s">
        <v>228</v>
      </c>
      <c r="I579" s="139" t="str">
        <f>VLOOKUP($F579,Admin!$D$11:$G$19,4,FALSE)</f>
        <v>K+F munkatárs</v>
      </c>
      <c r="J579" s="100" t="s">
        <v>45</v>
      </c>
      <c r="K579" s="95" t="str">
        <f t="shared" si="807"/>
        <v>2022.03</v>
      </c>
      <c r="L579" s="101" t="s">
        <v>6</v>
      </c>
      <c r="M579" s="96" t="s">
        <v>70</v>
      </c>
      <c r="N579" s="102">
        <v>1100000</v>
      </c>
      <c r="O579" s="97">
        <f t="shared" si="808"/>
        <v>143000</v>
      </c>
      <c r="P579" s="104">
        <v>174</v>
      </c>
      <c r="Q579" s="104">
        <v>109</v>
      </c>
      <c r="R579" s="215">
        <f t="shared" si="805"/>
        <v>0.62643678160919536</v>
      </c>
      <c r="S579" s="105">
        <f t="shared" si="804"/>
        <v>689080</v>
      </c>
      <c r="T579" s="98">
        <f t="shared" si="809"/>
        <v>89580</v>
      </c>
      <c r="U579" s="70">
        <f t="shared" si="806"/>
        <v>4.1797283167888111E-7</v>
      </c>
      <c r="V579" s="140">
        <v>0.13</v>
      </c>
      <c r="W579" s="209"/>
      <c r="X579" s="17">
        <v>44588</v>
      </c>
      <c r="Y579" s="12" t="s">
        <v>66</v>
      </c>
      <c r="Z579" s="12"/>
      <c r="AA579" s="12"/>
      <c r="AB579" s="3">
        <v>1</v>
      </c>
    </row>
    <row r="580" spans="1:31" s="3" customFormat="1" ht="14.45" customHeight="1" x14ac:dyDescent="0.25">
      <c r="A580" s="141">
        <v>3</v>
      </c>
      <c r="B580" s="99" t="s">
        <v>199</v>
      </c>
      <c r="C580" s="95" t="str">
        <f>VLOOKUP($F580,Admin!$D$11:$F$19,2,FALSE)</f>
        <v>Kísérleti fejlesztés</v>
      </c>
      <c r="D580" s="138" t="s">
        <v>123</v>
      </c>
      <c r="E580" s="95" t="str">
        <f>VLOOKUP($F580,Admin!$D$11:$F$19,3,FALSE)</f>
        <v>54. Bérköltség - Kutató-fejlesztő munkatárs</v>
      </c>
      <c r="F580" s="139" t="s">
        <v>213</v>
      </c>
      <c r="G580" s="100" t="s">
        <v>179</v>
      </c>
      <c r="H580" s="100" t="s">
        <v>228</v>
      </c>
      <c r="I580" s="139" t="str">
        <f>VLOOKUP($F580,Admin!$D$11:$G$19,4,FALSE)</f>
        <v>K+F munkatárs</v>
      </c>
      <c r="J580" s="100" t="s">
        <v>46</v>
      </c>
      <c r="K580" s="95" t="str">
        <f t="shared" si="807"/>
        <v>2022.04</v>
      </c>
      <c r="L580" s="101" t="s">
        <v>6</v>
      </c>
      <c r="M580" s="96" t="s">
        <v>70</v>
      </c>
      <c r="N580" s="102">
        <v>1100000</v>
      </c>
      <c r="O580" s="97">
        <f t="shared" si="808"/>
        <v>143000</v>
      </c>
      <c r="P580" s="104">
        <v>174</v>
      </c>
      <c r="Q580" s="104">
        <v>109</v>
      </c>
      <c r="R580" s="215">
        <f t="shared" si="805"/>
        <v>0.62643678160919536</v>
      </c>
      <c r="S580" s="105">
        <f t="shared" si="804"/>
        <v>689080</v>
      </c>
      <c r="T580" s="98">
        <f t="shared" si="809"/>
        <v>89580</v>
      </c>
      <c r="U580" s="70">
        <f t="shared" si="806"/>
        <v>4.1797283167888111E-7</v>
      </c>
      <c r="V580" s="140">
        <v>0.13</v>
      </c>
      <c r="W580" s="209"/>
      <c r="X580" s="17">
        <v>44588</v>
      </c>
      <c r="Y580" s="12" t="s">
        <v>66</v>
      </c>
      <c r="Z580" s="12"/>
      <c r="AA580" s="12"/>
      <c r="AB580" s="3">
        <v>1</v>
      </c>
    </row>
    <row r="581" spans="1:31" s="3" customFormat="1" ht="14.45" customHeight="1" x14ac:dyDescent="0.25">
      <c r="A581" s="141">
        <v>3</v>
      </c>
      <c r="B581" s="99" t="s">
        <v>199</v>
      </c>
      <c r="C581" s="95" t="str">
        <f>VLOOKUP($F581,Admin!$D$11:$F$19,2,FALSE)</f>
        <v>Kísérleti fejlesztés</v>
      </c>
      <c r="D581" s="138" t="s">
        <v>123</v>
      </c>
      <c r="E581" s="95" t="str">
        <f>VLOOKUP($F581,Admin!$D$11:$F$19,3,FALSE)</f>
        <v>54. Bérköltség - Kutató-fejlesztő munkatárs</v>
      </c>
      <c r="F581" s="139" t="s">
        <v>213</v>
      </c>
      <c r="G581" s="100" t="s">
        <v>179</v>
      </c>
      <c r="H581" s="100" t="s">
        <v>228</v>
      </c>
      <c r="I581" s="139" t="str">
        <f>VLOOKUP($F581,Admin!$D$11:$G$19,4,FALSE)</f>
        <v>K+F munkatárs</v>
      </c>
      <c r="J581" s="100" t="s">
        <v>47</v>
      </c>
      <c r="K581" s="95" t="str">
        <f t="shared" si="807"/>
        <v>2022.05</v>
      </c>
      <c r="L581" s="101" t="s">
        <v>6</v>
      </c>
      <c r="M581" s="96" t="s">
        <v>70</v>
      </c>
      <c r="N581" s="102">
        <v>1100000</v>
      </c>
      <c r="O581" s="97">
        <f t="shared" si="808"/>
        <v>143000</v>
      </c>
      <c r="P581" s="104">
        <v>174</v>
      </c>
      <c r="Q581" s="104">
        <v>109</v>
      </c>
      <c r="R581" s="215">
        <f t="shared" si="805"/>
        <v>0.62643678160919536</v>
      </c>
      <c r="S581" s="105">
        <f t="shared" si="804"/>
        <v>689080</v>
      </c>
      <c r="T581" s="98">
        <f t="shared" si="809"/>
        <v>89580</v>
      </c>
      <c r="U581" s="70">
        <f t="shared" si="806"/>
        <v>4.1797283167888111E-7</v>
      </c>
      <c r="V581" s="140">
        <v>0.13</v>
      </c>
      <c r="W581" s="209"/>
      <c r="X581" s="17">
        <v>44588</v>
      </c>
      <c r="Y581" s="12" t="s">
        <v>66</v>
      </c>
      <c r="Z581" s="12"/>
      <c r="AA581" s="12"/>
      <c r="AB581" s="3">
        <v>1</v>
      </c>
    </row>
    <row r="582" spans="1:31" s="3" customFormat="1" ht="14.45" customHeight="1" x14ac:dyDescent="0.25">
      <c r="A582" s="141">
        <v>3</v>
      </c>
      <c r="B582" s="99" t="s">
        <v>199</v>
      </c>
      <c r="C582" s="95" t="str">
        <f>VLOOKUP($F582,Admin!$D$11:$F$19,2,FALSE)</f>
        <v>Kísérleti fejlesztés</v>
      </c>
      <c r="D582" s="138" t="s">
        <v>123</v>
      </c>
      <c r="E582" s="95" t="str">
        <f>VLOOKUP($F582,Admin!$D$11:$F$19,3,FALSE)</f>
        <v>54. Bérköltség - Kutató-fejlesztő munkatárs</v>
      </c>
      <c r="F582" s="139" t="s">
        <v>213</v>
      </c>
      <c r="G582" s="100" t="s">
        <v>179</v>
      </c>
      <c r="H582" s="100" t="s">
        <v>228</v>
      </c>
      <c r="I582" s="139" t="str">
        <f>VLOOKUP($F582,Admin!$D$11:$G$19,4,FALSE)</f>
        <v>K+F munkatárs</v>
      </c>
      <c r="J582" s="100" t="s">
        <v>48</v>
      </c>
      <c r="K582" s="95" t="str">
        <f t="shared" si="807"/>
        <v>2022.06</v>
      </c>
      <c r="L582" s="101" t="s">
        <v>6</v>
      </c>
      <c r="M582" s="96" t="s">
        <v>70</v>
      </c>
      <c r="N582" s="102">
        <v>1100000</v>
      </c>
      <c r="O582" s="97">
        <f t="shared" si="808"/>
        <v>143000</v>
      </c>
      <c r="P582" s="104">
        <v>174</v>
      </c>
      <c r="Q582" s="104">
        <v>109</v>
      </c>
      <c r="R582" s="215">
        <f t="shared" si="805"/>
        <v>0.62643678160919536</v>
      </c>
      <c r="S582" s="105">
        <f t="shared" si="804"/>
        <v>689080</v>
      </c>
      <c r="T582" s="98">
        <f t="shared" si="809"/>
        <v>89580</v>
      </c>
      <c r="U582" s="70">
        <f t="shared" si="806"/>
        <v>4.1797283167888111E-7</v>
      </c>
      <c r="V582" s="140">
        <v>0.13</v>
      </c>
      <c r="W582" s="209"/>
      <c r="X582" s="17">
        <v>44588</v>
      </c>
      <c r="Y582" s="12" t="s">
        <v>66</v>
      </c>
      <c r="Z582" s="12"/>
      <c r="AA582" s="12"/>
      <c r="AB582" s="3">
        <v>1</v>
      </c>
    </row>
    <row r="583" spans="1:31" s="3" customFormat="1" ht="14.45" customHeight="1" x14ac:dyDescent="0.25">
      <c r="A583" s="141">
        <v>3</v>
      </c>
      <c r="B583" s="99" t="s">
        <v>199</v>
      </c>
      <c r="C583" s="95" t="str">
        <f>VLOOKUP($F583,Admin!$D$11:$F$19,2,FALSE)</f>
        <v>Kísérleti fejlesztés</v>
      </c>
      <c r="D583" s="138" t="s">
        <v>123</v>
      </c>
      <c r="E583" s="95" t="str">
        <f>VLOOKUP($F583,Admin!$D$11:$F$19,3,FALSE)</f>
        <v>54. Bérköltség - Kutató-fejlesztő munkatárs</v>
      </c>
      <c r="F583" s="139" t="s">
        <v>213</v>
      </c>
      <c r="G583" s="100" t="s">
        <v>179</v>
      </c>
      <c r="H583" s="100" t="s">
        <v>228</v>
      </c>
      <c r="I583" s="139" t="str">
        <f>VLOOKUP($F583,Admin!$D$11:$G$19,4,FALSE)</f>
        <v>K+F munkatárs</v>
      </c>
      <c r="J583" s="100" t="s">
        <v>49</v>
      </c>
      <c r="K583" s="95" t="str">
        <f t="shared" ref="K583:K595" si="895">J583</f>
        <v>2022.07</v>
      </c>
      <c r="L583" s="101" t="s">
        <v>6</v>
      </c>
      <c r="M583" s="96" t="s">
        <v>70</v>
      </c>
      <c r="N583" s="102">
        <v>1200000</v>
      </c>
      <c r="O583" s="97">
        <f t="shared" ref="O583" si="896">ROUND(N583*V583,0)</f>
        <v>156000</v>
      </c>
      <c r="P583" s="104">
        <v>174</v>
      </c>
      <c r="Q583" s="104">
        <v>100</v>
      </c>
      <c r="R583" s="215">
        <f t="shared" ref="R583" si="897">Q583/P583</f>
        <v>0.57471264367816088</v>
      </c>
      <c r="S583" s="105">
        <f t="shared" ref="S583" si="898">ROUND(N583*Q583/P583,0)</f>
        <v>689655</v>
      </c>
      <c r="T583" s="98">
        <f t="shared" ref="T583" si="899">ROUND(S583*V583,0)</f>
        <v>89655</v>
      </c>
      <c r="U583" s="70">
        <f t="shared" ref="U583" si="900">Q583/P583-S583/N583</f>
        <v>1.4367816092430985E-7</v>
      </c>
      <c r="V583" s="140">
        <v>0.13</v>
      </c>
      <c r="W583" s="209"/>
      <c r="X583" s="17">
        <v>44734</v>
      </c>
      <c r="Y583" s="12" t="s">
        <v>66</v>
      </c>
      <c r="Z583" s="12"/>
      <c r="AA583" s="12"/>
      <c r="AB583" s="3">
        <v>1</v>
      </c>
    </row>
    <row r="584" spans="1:31" s="3" customFormat="1" ht="14.45" customHeight="1" x14ac:dyDescent="0.25">
      <c r="A584" s="141">
        <v>3</v>
      </c>
      <c r="B584" s="99" t="s">
        <v>199</v>
      </c>
      <c r="C584" s="95" t="str">
        <f>VLOOKUP($F584,Admin!$D$11:$F$19,2,FALSE)</f>
        <v>Kísérleti fejlesztés</v>
      </c>
      <c r="D584" s="138" t="s">
        <v>123</v>
      </c>
      <c r="E584" s="95" t="str">
        <f>VLOOKUP($F584,Admin!$D$11:$F$19,3,FALSE)</f>
        <v>54. Bérköltség - Kutató-fejlesztő munkatárs</v>
      </c>
      <c r="F584" s="139" t="s">
        <v>213</v>
      </c>
      <c r="G584" s="100" t="s">
        <v>179</v>
      </c>
      <c r="H584" s="100" t="s">
        <v>228</v>
      </c>
      <c r="I584" s="139" t="str">
        <f>VLOOKUP($F584,Admin!$D$11:$G$19,4,FALSE)</f>
        <v>K+F munkatárs</v>
      </c>
      <c r="J584" s="100" t="s">
        <v>50</v>
      </c>
      <c r="K584" s="95" t="str">
        <f t="shared" si="895"/>
        <v>2022.08</v>
      </c>
      <c r="L584" s="101" t="s">
        <v>6</v>
      </c>
      <c r="M584" s="96" t="s">
        <v>70</v>
      </c>
      <c r="N584" s="102">
        <v>939131</v>
      </c>
      <c r="O584" s="97">
        <f t="shared" ref="O584:O593" si="901">ROUND(N584*V584,0)</f>
        <v>122087</v>
      </c>
      <c r="P584" s="104">
        <v>174</v>
      </c>
      <c r="Q584" s="104">
        <v>100</v>
      </c>
      <c r="R584" s="215">
        <f t="shared" ref="R584:R593" si="902">Q584/P584</f>
        <v>0.57471264367816088</v>
      </c>
      <c r="S584" s="105">
        <f t="shared" ref="S584:S593" si="903">ROUND(N584*Q584/P584,0)</f>
        <v>539730</v>
      </c>
      <c r="T584" s="98">
        <f t="shared" ref="T584:T593" si="904">ROUND(S584*V584,0)</f>
        <v>70165</v>
      </c>
      <c r="U584" s="70">
        <f t="shared" ref="U584:U593" si="905">Q584/P584-S584/N584</f>
        <v>4.8956973508484936E-7</v>
      </c>
      <c r="V584" s="140">
        <v>0.13</v>
      </c>
      <c r="W584" s="209"/>
      <c r="X584" s="17">
        <v>44734</v>
      </c>
      <c r="Y584" s="12" t="s">
        <v>66</v>
      </c>
      <c r="Z584" s="12"/>
      <c r="AA584" s="12"/>
      <c r="AB584" s="3">
        <v>1</v>
      </c>
    </row>
    <row r="585" spans="1:31" s="3" customFormat="1" ht="14.45" customHeight="1" x14ac:dyDescent="0.25">
      <c r="A585" s="141">
        <v>3</v>
      </c>
      <c r="B585" s="99" t="s">
        <v>199</v>
      </c>
      <c r="C585" s="95" t="str">
        <f>VLOOKUP($F585,Admin!$D$11:$F$19,2,FALSE)</f>
        <v>Kísérleti fejlesztés</v>
      </c>
      <c r="D585" s="138" t="s">
        <v>123</v>
      </c>
      <c r="E585" s="95" t="str">
        <f>VLOOKUP($F585,Admin!$D$11:$F$19,3,FALSE)</f>
        <v>54. Bérköltség - Kutató-fejlesztő munkatárs</v>
      </c>
      <c r="F585" s="139" t="s">
        <v>213</v>
      </c>
      <c r="G585" s="100" t="s">
        <v>179</v>
      </c>
      <c r="H585" s="100" t="s">
        <v>228</v>
      </c>
      <c r="I585" s="139" t="str">
        <f>VLOOKUP($F585,Admin!$D$11:$G$19,4,FALSE)</f>
        <v>K+F munkatárs</v>
      </c>
      <c r="J585" s="100" t="s">
        <v>51</v>
      </c>
      <c r="K585" s="95" t="str">
        <f t="shared" si="895"/>
        <v>2022.09</v>
      </c>
      <c r="L585" s="101" t="s">
        <v>6</v>
      </c>
      <c r="M585" s="96" t="s">
        <v>70</v>
      </c>
      <c r="N585" s="102">
        <v>1550000</v>
      </c>
      <c r="O585" s="97">
        <f t="shared" si="901"/>
        <v>201500</v>
      </c>
      <c r="P585" s="104">
        <v>174</v>
      </c>
      <c r="Q585" s="104">
        <v>77</v>
      </c>
      <c r="R585" s="215">
        <f t="shared" si="902"/>
        <v>0.44252873563218392</v>
      </c>
      <c r="S585" s="105">
        <f t="shared" si="903"/>
        <v>685920</v>
      </c>
      <c r="T585" s="98">
        <f t="shared" si="904"/>
        <v>89170</v>
      </c>
      <c r="U585" s="70">
        <f t="shared" si="905"/>
        <v>-2.9662588058032568E-7</v>
      </c>
      <c r="V585" s="140">
        <v>0.13</v>
      </c>
      <c r="W585" s="209"/>
      <c r="X585" s="17">
        <v>44798</v>
      </c>
      <c r="Y585" s="12" t="s">
        <v>66</v>
      </c>
      <c r="Z585" s="12"/>
      <c r="AA585" s="12"/>
      <c r="AB585" s="3">
        <v>1</v>
      </c>
    </row>
    <row r="586" spans="1:31" s="3" customFormat="1" ht="14.45" customHeight="1" x14ac:dyDescent="0.25">
      <c r="A586" s="141">
        <v>3</v>
      </c>
      <c r="B586" s="99" t="s">
        <v>199</v>
      </c>
      <c r="C586" s="95" t="str">
        <f>VLOOKUP($F586,Admin!$D$11:$F$19,2,FALSE)</f>
        <v>Kísérleti fejlesztés</v>
      </c>
      <c r="D586" s="138" t="s">
        <v>123</v>
      </c>
      <c r="E586" s="95" t="str">
        <f>VLOOKUP($F586,Admin!$D$11:$F$19,3,FALSE)</f>
        <v>54. Bérköltség - Kutató-fejlesztő munkatárs</v>
      </c>
      <c r="F586" s="139" t="s">
        <v>213</v>
      </c>
      <c r="G586" s="100" t="s">
        <v>179</v>
      </c>
      <c r="H586" s="100" t="s">
        <v>228</v>
      </c>
      <c r="I586" s="139" t="str">
        <f>VLOOKUP($F586,Admin!$D$11:$G$19,4,FALSE)</f>
        <v>K+F munkatárs</v>
      </c>
      <c r="J586" s="100" t="s">
        <v>52</v>
      </c>
      <c r="K586" s="95" t="str">
        <f t="shared" si="895"/>
        <v>2022.10</v>
      </c>
      <c r="L586" s="101" t="s">
        <v>6</v>
      </c>
      <c r="M586" s="96" t="s">
        <v>70</v>
      </c>
      <c r="N586" s="102">
        <v>1550000</v>
      </c>
      <c r="O586" s="97">
        <f t="shared" ref="O586" si="906">ROUND(N586*V586,0)</f>
        <v>201500</v>
      </c>
      <c r="P586" s="104">
        <v>174</v>
      </c>
      <c r="Q586" s="104">
        <v>77</v>
      </c>
      <c r="R586" s="215">
        <f t="shared" ref="R586" si="907">Q586/P586</f>
        <v>0.44252873563218392</v>
      </c>
      <c r="S586" s="105">
        <f t="shared" ref="S586" si="908">ROUND(N586*Q586/P586,0)</f>
        <v>685920</v>
      </c>
      <c r="T586" s="98">
        <f t="shared" ref="T586" si="909">ROUND(S586*V586,0)</f>
        <v>89170</v>
      </c>
      <c r="U586" s="70">
        <f t="shared" ref="U586" si="910">Q586/P586-S586/N586</f>
        <v>-2.9662588058032568E-7</v>
      </c>
      <c r="V586" s="140">
        <v>0.13</v>
      </c>
      <c r="W586" s="209"/>
      <c r="X586" s="17">
        <v>44798</v>
      </c>
      <c r="Y586" s="12" t="s">
        <v>66</v>
      </c>
      <c r="Z586" s="12"/>
      <c r="AA586" s="12"/>
      <c r="AB586" s="3">
        <v>1</v>
      </c>
    </row>
    <row r="587" spans="1:31" s="3" customFormat="1" ht="14.45" customHeight="1" x14ac:dyDescent="0.25">
      <c r="A587" s="141">
        <v>3</v>
      </c>
      <c r="B587" s="99" t="s">
        <v>199</v>
      </c>
      <c r="C587" s="95" t="str">
        <f>VLOOKUP($F587,Admin!$D$11:$F$19,2,FALSE)</f>
        <v>Kísérleti fejlesztés</v>
      </c>
      <c r="D587" s="138" t="s">
        <v>123</v>
      </c>
      <c r="E587" s="95" t="str">
        <f>VLOOKUP($F587,Admin!$D$11:$F$19,3,FALSE)</f>
        <v>54. Bérköltség - Kutató-fejlesztő munkatárs</v>
      </c>
      <c r="F587" s="139" t="s">
        <v>213</v>
      </c>
      <c r="G587" s="100" t="s">
        <v>179</v>
      </c>
      <c r="H587" s="100" t="s">
        <v>228</v>
      </c>
      <c r="I587" s="139" t="str">
        <f>VLOOKUP($F587,Admin!$D$11:$G$19,4,FALSE)</f>
        <v>K+F munkatárs</v>
      </c>
      <c r="J587" s="100" t="s">
        <v>53</v>
      </c>
      <c r="K587" s="95" t="str">
        <f t="shared" ref="K587:K589" si="911">J587</f>
        <v>2022.11</v>
      </c>
      <c r="L587" s="101" t="s">
        <v>6</v>
      </c>
      <c r="M587" s="96" t="s">
        <v>70</v>
      </c>
      <c r="N587" s="102">
        <v>1280000</v>
      </c>
      <c r="O587" s="97">
        <f t="shared" ref="O587" si="912">ROUND(N587*V587,0)</f>
        <v>166400</v>
      </c>
      <c r="P587" s="104">
        <v>174</v>
      </c>
      <c r="Q587" s="104">
        <v>90</v>
      </c>
      <c r="R587" s="215">
        <f t="shared" ref="R587" si="913">Q587/P587</f>
        <v>0.51724137931034486</v>
      </c>
      <c r="S587" s="105">
        <f t="shared" ref="S587" si="914">ROUND(N587*Q587/P587,0)</f>
        <v>662069</v>
      </c>
      <c r="T587" s="98">
        <f t="shared" ref="T587" si="915">ROUND(S587*V587,0)</f>
        <v>86069</v>
      </c>
      <c r="U587" s="70">
        <f t="shared" ref="U587" si="916">Q587/P587-S587/N587</f>
        <v>-2.6939655173308097E-8</v>
      </c>
      <c r="V587" s="140">
        <v>0.13</v>
      </c>
      <c r="W587" s="209" t="s">
        <v>287</v>
      </c>
      <c r="X587" s="17">
        <v>44849</v>
      </c>
      <c r="Y587" s="12" t="s">
        <v>66</v>
      </c>
      <c r="Z587" s="12"/>
      <c r="AA587" s="12"/>
      <c r="AB587" s="3">
        <v>1</v>
      </c>
    </row>
    <row r="588" spans="1:31" s="3" customFormat="1" ht="14.45" customHeight="1" x14ac:dyDescent="0.25">
      <c r="A588" s="141">
        <v>3</v>
      </c>
      <c r="B588" s="99" t="s">
        <v>199</v>
      </c>
      <c r="C588" s="95" t="str">
        <f>VLOOKUP($F588,Admin!$D$11:$F$19,2,FALSE)</f>
        <v>Kísérleti fejlesztés</v>
      </c>
      <c r="D588" s="138" t="s">
        <v>123</v>
      </c>
      <c r="E588" s="95" t="str">
        <f>VLOOKUP($F588,Admin!$D$11:$F$19,3,FALSE)</f>
        <v>54. Bérköltség - Kutató-fejlesztő munkatárs</v>
      </c>
      <c r="F588" s="139" t="s">
        <v>213</v>
      </c>
      <c r="G588" s="100" t="s">
        <v>179</v>
      </c>
      <c r="H588" s="100" t="s">
        <v>228</v>
      </c>
      <c r="I588" s="139" t="str">
        <f>VLOOKUP($F588,Admin!$D$11:$G$19,4,FALSE)</f>
        <v>K+F munkatárs</v>
      </c>
      <c r="J588" s="100" t="s">
        <v>54</v>
      </c>
      <c r="K588" s="95" t="str">
        <f t="shared" si="911"/>
        <v>2022.12</v>
      </c>
      <c r="L588" s="101" t="s">
        <v>6</v>
      </c>
      <c r="M588" s="96" t="s">
        <v>70</v>
      </c>
      <c r="N588" s="102">
        <v>1549000</v>
      </c>
      <c r="O588" s="97">
        <f t="shared" ref="O588" si="917">ROUND(N588*V588,0)</f>
        <v>201370</v>
      </c>
      <c r="P588" s="104">
        <v>174</v>
      </c>
      <c r="Q588" s="104">
        <v>98</v>
      </c>
      <c r="R588" s="215">
        <f t="shared" ref="R588" si="918">Q588/P588</f>
        <v>0.56321839080459768</v>
      </c>
      <c r="S588" s="105">
        <f t="shared" ref="S588" si="919">ROUND(N588*Q588/P588,0)</f>
        <v>872425</v>
      </c>
      <c r="T588" s="98">
        <f t="shared" ref="T588" si="920">ROUND(S588*V588,0)</f>
        <v>113415</v>
      </c>
      <c r="U588" s="70">
        <f t="shared" ref="U588" si="921">Q588/P588-S588/N588</f>
        <v>1.8551085978479875E-7</v>
      </c>
      <c r="V588" s="140">
        <v>0.13</v>
      </c>
      <c r="W588" s="209" t="s">
        <v>287</v>
      </c>
      <c r="X588" s="17">
        <v>44890</v>
      </c>
      <c r="Y588" s="12" t="s">
        <v>66</v>
      </c>
      <c r="Z588" s="12"/>
      <c r="AA588" s="12"/>
      <c r="AB588" s="3">
        <v>1</v>
      </c>
      <c r="AC588" s="204" t="s">
        <v>315</v>
      </c>
      <c r="AD588" s="204" t="s">
        <v>315</v>
      </c>
      <c r="AE588" s="204" t="s">
        <v>315</v>
      </c>
    </row>
    <row r="589" spans="1:31" s="3" customFormat="1" ht="14.45" customHeight="1" x14ac:dyDescent="0.25">
      <c r="A589" s="141">
        <v>3</v>
      </c>
      <c r="B589" s="99" t="s">
        <v>199</v>
      </c>
      <c r="C589" s="95" t="str">
        <f>VLOOKUP($F589,Admin!$D$11:$F$19,2,FALSE)</f>
        <v>Kísérleti fejlesztés</v>
      </c>
      <c r="D589" s="138" t="s">
        <v>123</v>
      </c>
      <c r="E589" s="95" t="str">
        <f>VLOOKUP($F589,Admin!$D$11:$F$19,3,FALSE)</f>
        <v>54. Bérköltség - Kutató-fejlesztő munkatárs</v>
      </c>
      <c r="F589" s="139" t="s">
        <v>213</v>
      </c>
      <c r="G589" s="100" t="s">
        <v>179</v>
      </c>
      <c r="H589" s="100" t="s">
        <v>228</v>
      </c>
      <c r="I589" s="139" t="str">
        <f>VLOOKUP($F589,Admin!$D$11:$G$19,4,FALSE)</f>
        <v>K+F munkatárs</v>
      </c>
      <c r="J589" s="100" t="s">
        <v>257</v>
      </c>
      <c r="K589" s="95" t="str">
        <f t="shared" si="911"/>
        <v>2023.01</v>
      </c>
      <c r="L589" s="101" t="s">
        <v>6</v>
      </c>
      <c r="M589" s="96" t="s">
        <v>70</v>
      </c>
      <c r="N589" s="102">
        <v>1549000</v>
      </c>
      <c r="O589" s="97">
        <f t="shared" ref="O589" si="922">ROUND(N589*V589,0)</f>
        <v>201370</v>
      </c>
      <c r="P589" s="104">
        <v>174</v>
      </c>
      <c r="Q589" s="104">
        <v>98</v>
      </c>
      <c r="R589" s="215">
        <f t="shared" ref="R589" si="923">Q589/P589</f>
        <v>0.56321839080459768</v>
      </c>
      <c r="S589" s="105">
        <f t="shared" ref="S589" si="924">ROUND(N589*Q589/P589,0)</f>
        <v>872425</v>
      </c>
      <c r="T589" s="98">
        <f t="shared" ref="T589" si="925">ROUND(S589*V589,0)</f>
        <v>113415</v>
      </c>
      <c r="U589" s="70">
        <f t="shared" ref="U589" si="926">Q589/P589-S589/N589</f>
        <v>1.8551085978479875E-7</v>
      </c>
      <c r="V589" s="140">
        <v>0.13</v>
      </c>
      <c r="W589" s="209" t="s">
        <v>287</v>
      </c>
      <c r="X589" s="17">
        <v>44936</v>
      </c>
      <c r="Y589" s="12" t="s">
        <v>66</v>
      </c>
      <c r="Z589" s="12"/>
      <c r="AA589" s="12"/>
      <c r="AB589" s="3">
        <v>1</v>
      </c>
      <c r="AC589" s="204" t="s">
        <v>315</v>
      </c>
      <c r="AD589" s="216">
        <v>0</v>
      </c>
      <c r="AE589" s="216">
        <v>0</v>
      </c>
    </row>
    <row r="590" spans="1:31" s="3" customFormat="1" ht="14.45" customHeight="1" x14ac:dyDescent="0.25">
      <c r="A590" s="141"/>
      <c r="B590" s="99" t="s">
        <v>199</v>
      </c>
      <c r="C590" s="95" t="str">
        <f>VLOOKUP($F590,Admin!$D$11:$F$19,2,FALSE)</f>
        <v>Kísérleti fejlesztés</v>
      </c>
      <c r="D590" s="138" t="s">
        <v>123</v>
      </c>
      <c r="E590" s="95" t="str">
        <f>VLOOKUP($F590,Admin!$D$11:$F$19,3,FALSE)</f>
        <v>54. Bérköltség - Kutató-fejlesztő munkatárs</v>
      </c>
      <c r="F590" s="139" t="s">
        <v>213</v>
      </c>
      <c r="G590" s="100" t="s">
        <v>179</v>
      </c>
      <c r="H590" s="100" t="s">
        <v>228</v>
      </c>
      <c r="I590" s="139" t="str">
        <f>VLOOKUP($F590,Admin!$D$11:$G$19,4,FALSE)</f>
        <v>K+F munkatárs</v>
      </c>
      <c r="J590" s="100" t="s">
        <v>295</v>
      </c>
      <c r="K590" s="95" t="str">
        <f t="shared" ref="K590:K591" si="927">J590</f>
        <v>2023.02</v>
      </c>
      <c r="L590" s="101" t="s">
        <v>6</v>
      </c>
      <c r="M590" s="96" t="s">
        <v>70</v>
      </c>
      <c r="N590" s="102">
        <v>1469000</v>
      </c>
      <c r="O590" s="97">
        <f t="shared" ref="O590:O591" si="928">ROUND(N590*V590,0)</f>
        <v>190970</v>
      </c>
      <c r="P590" s="104">
        <v>174</v>
      </c>
      <c r="Q590" s="104">
        <v>98</v>
      </c>
      <c r="R590" s="215">
        <f t="shared" ref="R590:R591" si="929">Q590/P590</f>
        <v>0.56321839080459768</v>
      </c>
      <c r="S590" s="105">
        <f t="shared" ref="S590:S591" si="930">ROUND(N590*Q590/P590,0)</f>
        <v>827368</v>
      </c>
      <c r="T590" s="98">
        <f t="shared" ref="T590:T591" si="931">ROUND(S590*V590,0)</f>
        <v>107558</v>
      </c>
      <c r="U590" s="70">
        <f t="shared" ref="U590:U591" si="932">Q590/P590-S590/N590</f>
        <v>-1.2519267933441824E-7</v>
      </c>
      <c r="V590" s="140">
        <v>0.13</v>
      </c>
      <c r="W590" s="209" t="s">
        <v>287</v>
      </c>
      <c r="X590" s="17">
        <v>44942</v>
      </c>
      <c r="Y590" s="12" t="s">
        <v>66</v>
      </c>
      <c r="Z590" s="12"/>
      <c r="AA590" s="12"/>
      <c r="AB590" s="3">
        <v>1</v>
      </c>
      <c r="AC590" s="3" t="s">
        <v>315</v>
      </c>
      <c r="AD590" s="3">
        <v>0</v>
      </c>
      <c r="AE590" s="3">
        <v>0</v>
      </c>
    </row>
    <row r="591" spans="1:31" s="3" customFormat="1" ht="14.45" customHeight="1" x14ac:dyDescent="0.25">
      <c r="A591" s="141"/>
      <c r="B591" s="99" t="s">
        <v>199</v>
      </c>
      <c r="C591" s="95" t="str">
        <f>VLOOKUP($F591,Admin!$D$11:$F$19,2,FALSE)</f>
        <v>Kísérleti fejlesztés</v>
      </c>
      <c r="D591" s="138" t="s">
        <v>123</v>
      </c>
      <c r="E591" s="95" t="str">
        <f>VLOOKUP($F591,Admin!$D$11:$F$19,3,FALSE)</f>
        <v>54. Bérköltség - Kutató-fejlesztő munkatárs</v>
      </c>
      <c r="F591" s="139" t="s">
        <v>213</v>
      </c>
      <c r="G591" s="100" t="s">
        <v>179</v>
      </c>
      <c r="H591" s="100" t="s">
        <v>228</v>
      </c>
      <c r="I591" s="139" t="str">
        <f>VLOOKUP($F591,Admin!$D$11:$G$19,4,FALSE)</f>
        <v>K+F munkatárs</v>
      </c>
      <c r="J591" s="100" t="s">
        <v>296</v>
      </c>
      <c r="K591" s="95" t="str">
        <f t="shared" si="927"/>
        <v>2023.03</v>
      </c>
      <c r="L591" s="101" t="s">
        <v>6</v>
      </c>
      <c r="M591" s="96" t="s">
        <v>70</v>
      </c>
      <c r="N591" s="102">
        <v>1469000</v>
      </c>
      <c r="O591" s="97">
        <f t="shared" si="928"/>
        <v>190970</v>
      </c>
      <c r="P591" s="104">
        <v>174</v>
      </c>
      <c r="Q591" s="104">
        <v>98</v>
      </c>
      <c r="R591" s="215">
        <f t="shared" si="929"/>
        <v>0.56321839080459768</v>
      </c>
      <c r="S591" s="105">
        <f t="shared" si="930"/>
        <v>827368</v>
      </c>
      <c r="T591" s="98">
        <f t="shared" si="931"/>
        <v>107558</v>
      </c>
      <c r="U591" s="70">
        <f t="shared" si="932"/>
        <v>-1.2519267933441824E-7</v>
      </c>
      <c r="V591" s="140">
        <v>0.13</v>
      </c>
      <c r="W591" s="209" t="s">
        <v>287</v>
      </c>
      <c r="X591" s="17">
        <v>44942</v>
      </c>
      <c r="Y591" s="12" t="s">
        <v>66</v>
      </c>
      <c r="Z591" s="12"/>
      <c r="AA591" s="12"/>
      <c r="AB591" s="3">
        <v>1</v>
      </c>
      <c r="AC591" s="3" t="s">
        <v>315</v>
      </c>
      <c r="AD591" s="3">
        <v>0</v>
      </c>
      <c r="AE591" s="3">
        <v>0</v>
      </c>
    </row>
    <row r="592" spans="1:31" s="3" customFormat="1" ht="14.45" customHeight="1" x14ac:dyDescent="0.25">
      <c r="A592" s="141"/>
      <c r="B592" s="99" t="s">
        <v>199</v>
      </c>
      <c r="C592" s="95" t="str">
        <f>VLOOKUP($F592,Admin!$D$11:$F$19,2,FALSE)</f>
        <v>Kísérleti fejlesztés</v>
      </c>
      <c r="D592" s="138" t="s">
        <v>123</v>
      </c>
      <c r="E592" s="95" t="str">
        <f>VLOOKUP($F592,Admin!$D$11:$F$19,3,FALSE)</f>
        <v>54. Bérköltség - Kutató-fejlesztő munkatárs</v>
      </c>
      <c r="F592" s="139" t="s">
        <v>213</v>
      </c>
      <c r="G592" s="100" t="s">
        <v>179</v>
      </c>
      <c r="H592" s="100" t="s">
        <v>228</v>
      </c>
      <c r="I592" s="139" t="str">
        <f>VLOOKUP($F592,Admin!$D$11:$G$19,4,FALSE)</f>
        <v>K+F munkatárs</v>
      </c>
      <c r="J592" s="100" t="s">
        <v>297</v>
      </c>
      <c r="K592" s="95" t="str">
        <f t="shared" ref="K592" si="933">J592</f>
        <v>2023.04</v>
      </c>
      <c r="L592" s="101" t="s">
        <v>7</v>
      </c>
      <c r="M592" s="96" t="s">
        <v>70</v>
      </c>
      <c r="N592" s="102">
        <v>1469000</v>
      </c>
      <c r="O592" s="97">
        <f t="shared" ref="O592" si="934">ROUND(N592*V592,0)</f>
        <v>190970</v>
      </c>
      <c r="P592" s="104">
        <v>174</v>
      </c>
      <c r="Q592" s="104">
        <v>38</v>
      </c>
      <c r="R592" s="215">
        <f t="shared" ref="R592" si="935">Q592/P592</f>
        <v>0.21839080459770116</v>
      </c>
      <c r="S592" s="105">
        <f t="shared" ref="S592" si="936">ROUND(N592*Q592/P592,0)</f>
        <v>320816</v>
      </c>
      <c r="T592" s="98">
        <f t="shared" ref="T592" si="937">ROUND(S592*V592,0)</f>
        <v>41706</v>
      </c>
      <c r="U592" s="70">
        <f t="shared" ref="U592" si="938">Q592/P592-S592/N592</f>
        <v>6.2596339694964698E-8</v>
      </c>
      <c r="V592" s="140">
        <v>0.13</v>
      </c>
      <c r="W592" s="209" t="s">
        <v>287</v>
      </c>
      <c r="X592" s="17">
        <v>45041</v>
      </c>
      <c r="Y592" s="12"/>
      <c r="Z592" s="12"/>
      <c r="AA592" s="12"/>
    </row>
    <row r="593" spans="1:31" s="3" customFormat="1" ht="14.45" customHeight="1" x14ac:dyDescent="0.25">
      <c r="A593" s="141">
        <v>3</v>
      </c>
      <c r="B593" s="99" t="s">
        <v>252</v>
      </c>
      <c r="C593" s="95" t="str">
        <f>VLOOKUP($F593,Admin!$D$11:$F$19,2,FALSE)</f>
        <v>Kísérleti fejlesztés</v>
      </c>
      <c r="D593" s="138" t="s">
        <v>123</v>
      </c>
      <c r="E593" s="95" t="str">
        <f>VLOOKUP($F593,Admin!$D$11:$F$19,3,FALSE)</f>
        <v>54. Bérköltség - Kutató-fejlesztő munkatárs</v>
      </c>
      <c r="F593" s="139" t="s">
        <v>213</v>
      </c>
      <c r="G593" s="100" t="s">
        <v>180</v>
      </c>
      <c r="H593" s="100" t="s">
        <v>248</v>
      </c>
      <c r="I593" s="139" t="str">
        <f>VLOOKUP($F593,Admin!$D$11:$G$19,4,FALSE)</f>
        <v>K+F munkatárs</v>
      </c>
      <c r="J593" s="100" t="s">
        <v>51</v>
      </c>
      <c r="K593" s="95" t="str">
        <f t="shared" si="895"/>
        <v>2022.09</v>
      </c>
      <c r="L593" s="101" t="s">
        <v>6</v>
      </c>
      <c r="M593" s="96" t="s">
        <v>70</v>
      </c>
      <c r="N593" s="102">
        <v>775800</v>
      </c>
      <c r="O593" s="97">
        <f t="shared" si="901"/>
        <v>100854</v>
      </c>
      <c r="P593" s="104">
        <v>174</v>
      </c>
      <c r="Q593" s="104">
        <v>65</v>
      </c>
      <c r="R593" s="215">
        <f t="shared" si="902"/>
        <v>0.37356321839080459</v>
      </c>
      <c r="S593" s="105">
        <f t="shared" si="903"/>
        <v>289810</v>
      </c>
      <c r="T593" s="98">
        <f t="shared" si="904"/>
        <v>37675</v>
      </c>
      <c r="U593" s="70">
        <f t="shared" si="905"/>
        <v>4.444800028591267E-7</v>
      </c>
      <c r="V593" s="140">
        <v>0.13</v>
      </c>
      <c r="W593" s="209"/>
      <c r="X593" s="17">
        <v>44797</v>
      </c>
      <c r="Y593" s="12" t="s">
        <v>66</v>
      </c>
      <c r="Z593" s="12"/>
      <c r="AA593" s="12"/>
      <c r="AB593" s="3">
        <v>1</v>
      </c>
    </row>
    <row r="594" spans="1:31" s="3" customFormat="1" ht="14.45" customHeight="1" x14ac:dyDescent="0.25">
      <c r="A594" s="141">
        <v>3</v>
      </c>
      <c r="B594" s="99" t="s">
        <v>252</v>
      </c>
      <c r="C594" s="95" t="str">
        <f>VLOOKUP($F594,Admin!$D$11:$F$19,2,FALSE)</f>
        <v>Kísérleti fejlesztés</v>
      </c>
      <c r="D594" s="138" t="s">
        <v>123</v>
      </c>
      <c r="E594" s="95" t="str">
        <f>VLOOKUP($F594,Admin!$D$11:$F$19,3,FALSE)</f>
        <v>54. Bérköltség - Kutató-fejlesztő munkatárs</v>
      </c>
      <c r="F594" s="139" t="s">
        <v>213</v>
      </c>
      <c r="G594" s="100" t="s">
        <v>180</v>
      </c>
      <c r="H594" s="100" t="s">
        <v>248</v>
      </c>
      <c r="I594" s="139" t="str">
        <f>VLOOKUP($F594,Admin!$D$11:$G$19,4,FALSE)</f>
        <v>K+F munkatárs</v>
      </c>
      <c r="J594" s="100" t="s">
        <v>52</v>
      </c>
      <c r="K594" s="95" t="str">
        <f t="shared" si="895"/>
        <v>2022.10</v>
      </c>
      <c r="L594" s="101" t="s">
        <v>6</v>
      </c>
      <c r="M594" s="96" t="s">
        <v>70</v>
      </c>
      <c r="N594" s="102">
        <v>775800</v>
      </c>
      <c r="O594" s="97">
        <f t="shared" ref="O594:O595" si="939">ROUND(N594*V594,0)</f>
        <v>100854</v>
      </c>
      <c r="P594" s="104">
        <v>174</v>
      </c>
      <c r="Q594" s="104">
        <v>65</v>
      </c>
      <c r="R594" s="215">
        <f t="shared" ref="R594:R595" si="940">Q594/P594</f>
        <v>0.37356321839080459</v>
      </c>
      <c r="S594" s="105">
        <f t="shared" ref="S594:S595" si="941">ROUND(N594*Q594/P594,0)</f>
        <v>289810</v>
      </c>
      <c r="T594" s="98">
        <f t="shared" ref="T594:T595" si="942">ROUND(S594*V594,0)</f>
        <v>37675</v>
      </c>
      <c r="U594" s="70">
        <f t="shared" ref="U594:U595" si="943">Q594/P594-S594/N594</f>
        <v>4.444800028591267E-7</v>
      </c>
      <c r="V594" s="140">
        <v>0.13</v>
      </c>
      <c r="W594" s="209"/>
      <c r="X594" s="17">
        <v>44797</v>
      </c>
      <c r="Y594" s="12" t="s">
        <v>66</v>
      </c>
      <c r="Z594" s="12"/>
      <c r="AA594" s="12"/>
      <c r="AB594" s="3">
        <v>1</v>
      </c>
    </row>
    <row r="595" spans="1:31" s="3" customFormat="1" ht="14.45" customHeight="1" x14ac:dyDescent="0.25">
      <c r="A595" s="141">
        <v>3</v>
      </c>
      <c r="B595" s="99" t="s">
        <v>252</v>
      </c>
      <c r="C595" s="95" t="str">
        <f>VLOOKUP($F595,Admin!$D$11:$F$19,2,FALSE)</f>
        <v>Kísérleti fejlesztés</v>
      </c>
      <c r="D595" s="138" t="s">
        <v>123</v>
      </c>
      <c r="E595" s="95" t="str">
        <f>VLOOKUP($F595,Admin!$D$11:$F$19,3,FALSE)</f>
        <v>54. Bérköltség - Kutató-fejlesztő munkatárs</v>
      </c>
      <c r="F595" s="139" t="s">
        <v>213</v>
      </c>
      <c r="G595" s="100" t="s">
        <v>180</v>
      </c>
      <c r="H595" s="100" t="s">
        <v>248</v>
      </c>
      <c r="I595" s="139" t="str">
        <f>VLOOKUP($F595,Admin!$D$11:$G$19,4,FALSE)</f>
        <v>K+F munkatárs</v>
      </c>
      <c r="J595" s="100" t="s">
        <v>53</v>
      </c>
      <c r="K595" s="95" t="str">
        <f t="shared" si="895"/>
        <v>2022.11</v>
      </c>
      <c r="L595" s="101" t="s">
        <v>6</v>
      </c>
      <c r="M595" s="96" t="s">
        <v>70</v>
      </c>
      <c r="N595" s="102">
        <v>775800</v>
      </c>
      <c r="O595" s="97">
        <f t="shared" si="939"/>
        <v>100854</v>
      </c>
      <c r="P595" s="104">
        <v>174</v>
      </c>
      <c r="Q595" s="104">
        <v>65</v>
      </c>
      <c r="R595" s="215">
        <f t="shared" si="940"/>
        <v>0.37356321839080459</v>
      </c>
      <c r="S595" s="105">
        <f t="shared" si="941"/>
        <v>289810</v>
      </c>
      <c r="T595" s="98">
        <f t="shared" si="942"/>
        <v>37675</v>
      </c>
      <c r="U595" s="70">
        <f t="shared" si="943"/>
        <v>4.444800028591267E-7</v>
      </c>
      <c r="V595" s="140">
        <v>0.13</v>
      </c>
      <c r="W595" s="209" t="s">
        <v>288</v>
      </c>
      <c r="X595" s="17">
        <v>44797</v>
      </c>
      <c r="Y595" s="12" t="s">
        <v>66</v>
      </c>
      <c r="Z595" s="12"/>
      <c r="AA595" s="12"/>
      <c r="AB595" s="3">
        <v>1</v>
      </c>
    </row>
    <row r="596" spans="1:31" s="3" customFormat="1" ht="14.45" customHeight="1" x14ac:dyDescent="0.25">
      <c r="A596" s="141">
        <v>3</v>
      </c>
      <c r="B596" s="99" t="s">
        <v>252</v>
      </c>
      <c r="C596" s="95" t="str">
        <f>VLOOKUP($F596,Admin!$D$11:$F$19,2,FALSE)</f>
        <v>Kísérleti fejlesztés</v>
      </c>
      <c r="D596" s="138" t="s">
        <v>123</v>
      </c>
      <c r="E596" s="95" t="str">
        <f>VLOOKUP($F596,Admin!$D$11:$F$19,3,FALSE)</f>
        <v>54. Bérköltség - Kutató-fejlesztő munkatárs</v>
      </c>
      <c r="F596" s="139" t="s">
        <v>213</v>
      </c>
      <c r="G596" s="100" t="s">
        <v>180</v>
      </c>
      <c r="H596" s="100" t="s">
        <v>248</v>
      </c>
      <c r="I596" s="139" t="str">
        <f>VLOOKUP($F596,Admin!$D$11:$G$19,4,FALSE)</f>
        <v>K+F munkatárs</v>
      </c>
      <c r="J596" s="100" t="s">
        <v>54</v>
      </c>
      <c r="K596" s="95" t="str">
        <f t="shared" ref="K596" si="944">J596</f>
        <v>2022.12</v>
      </c>
      <c r="L596" s="101" t="s">
        <v>6</v>
      </c>
      <c r="M596" s="96" t="s">
        <v>70</v>
      </c>
      <c r="N596" s="102">
        <v>831800</v>
      </c>
      <c r="O596" s="97">
        <f t="shared" ref="O596" si="945">ROUND(N596*V596,0)</f>
        <v>108134</v>
      </c>
      <c r="P596" s="104">
        <v>174</v>
      </c>
      <c r="Q596" s="104">
        <v>61</v>
      </c>
      <c r="R596" s="215">
        <f t="shared" ref="R596" si="946">Q596/P596</f>
        <v>0.35057471264367818</v>
      </c>
      <c r="S596" s="105">
        <f t="shared" ref="S596" si="947">ROUND(N596*Q596/P596,0)</f>
        <v>291608</v>
      </c>
      <c r="T596" s="98">
        <f t="shared" ref="T596" si="948">ROUND(S596*V596,0)</f>
        <v>37909</v>
      </c>
      <c r="U596" s="70">
        <f t="shared" ref="U596" si="949">Q596/P596-S596/N596</f>
        <v>5.5274118171411146E-8</v>
      </c>
      <c r="V596" s="140">
        <v>0.13</v>
      </c>
      <c r="W596" s="209" t="s">
        <v>288</v>
      </c>
      <c r="X596" s="17">
        <v>44888</v>
      </c>
      <c r="Y596" s="12" t="s">
        <v>66</v>
      </c>
      <c r="Z596" s="12"/>
      <c r="AA596" s="12"/>
      <c r="AB596" s="3">
        <v>1</v>
      </c>
      <c r="AC596" s="204" t="s">
        <v>315</v>
      </c>
      <c r="AD596" s="204" t="s">
        <v>315</v>
      </c>
      <c r="AE596" s="205" t="s">
        <v>316</v>
      </c>
    </row>
    <row r="597" spans="1:31" s="3" customFormat="1" ht="14.45" customHeight="1" x14ac:dyDescent="0.25">
      <c r="A597" s="141">
        <v>3</v>
      </c>
      <c r="B597" s="99" t="s">
        <v>252</v>
      </c>
      <c r="C597" s="95" t="str">
        <f>VLOOKUP($F597,Admin!$D$11:$F$19,2,FALSE)</f>
        <v>Kísérleti fejlesztés</v>
      </c>
      <c r="D597" s="138" t="s">
        <v>123</v>
      </c>
      <c r="E597" s="95" t="str">
        <f>VLOOKUP($F597,Admin!$D$11:$F$19,3,FALSE)</f>
        <v>54. Bérköltség - Kutató-fejlesztő munkatárs</v>
      </c>
      <c r="F597" s="139" t="s">
        <v>213</v>
      </c>
      <c r="G597" s="100" t="s">
        <v>180</v>
      </c>
      <c r="H597" s="100" t="s">
        <v>248</v>
      </c>
      <c r="I597" s="139" t="str">
        <f>VLOOKUP($F597,Admin!$D$11:$G$19,4,FALSE)</f>
        <v>K+F munkatárs</v>
      </c>
      <c r="J597" s="100" t="s">
        <v>257</v>
      </c>
      <c r="K597" s="95" t="str">
        <f t="shared" ref="K597" si="950">J597</f>
        <v>2023.01</v>
      </c>
      <c r="L597" s="101" t="s">
        <v>6</v>
      </c>
      <c r="M597" s="96" t="s">
        <v>70</v>
      </c>
      <c r="N597" s="102">
        <v>819000</v>
      </c>
      <c r="O597" s="97">
        <f t="shared" ref="O597" si="951">ROUND(N597*V597,0)</f>
        <v>106470</v>
      </c>
      <c r="P597" s="104">
        <v>174</v>
      </c>
      <c r="Q597" s="104">
        <v>62</v>
      </c>
      <c r="R597" s="215">
        <f t="shared" ref="R597" si="952">Q597/P597</f>
        <v>0.35632183908045978</v>
      </c>
      <c r="S597" s="105">
        <f t="shared" ref="S597" si="953">ROUND(N597*Q597/P597,0)</f>
        <v>291828</v>
      </c>
      <c r="T597" s="98">
        <f t="shared" ref="T597" si="954">ROUND(S597*V597,0)</f>
        <v>37938</v>
      </c>
      <c r="U597" s="70">
        <f t="shared" ref="U597" si="955">Q597/P597-S597/N597</f>
        <v>-5.0524188455192132E-7</v>
      </c>
      <c r="V597" s="140">
        <v>0.13</v>
      </c>
      <c r="W597" s="209" t="s">
        <v>288</v>
      </c>
      <c r="X597" s="17">
        <v>44944</v>
      </c>
      <c r="Y597" s="12" t="s">
        <v>66</v>
      </c>
      <c r="Z597" s="12"/>
      <c r="AA597" s="12"/>
      <c r="AB597" s="3">
        <v>1</v>
      </c>
      <c r="AC597" s="204" t="s">
        <v>315</v>
      </c>
      <c r="AD597" s="216">
        <v>0</v>
      </c>
      <c r="AE597" s="216">
        <v>0</v>
      </c>
    </row>
    <row r="598" spans="1:31" s="3" customFormat="1" ht="14.45" customHeight="1" x14ac:dyDescent="0.25">
      <c r="A598" s="141"/>
      <c r="B598" s="99" t="s">
        <v>252</v>
      </c>
      <c r="C598" s="95" t="str">
        <f>VLOOKUP($F598,Admin!$D$11:$F$19,2,FALSE)</f>
        <v>Kísérleti fejlesztés</v>
      </c>
      <c r="D598" s="138" t="s">
        <v>123</v>
      </c>
      <c r="E598" s="95" t="str">
        <f>VLOOKUP($F598,Admin!$D$11:$F$19,3,FALSE)</f>
        <v>54. Bérköltség - Kutató-fejlesztő munkatárs</v>
      </c>
      <c r="F598" s="139" t="s">
        <v>213</v>
      </c>
      <c r="G598" s="100" t="s">
        <v>180</v>
      </c>
      <c r="H598" s="100" t="s">
        <v>248</v>
      </c>
      <c r="I598" s="139" t="str">
        <f>VLOOKUP($F598,Admin!$D$11:$G$19,4,FALSE)</f>
        <v>K+F munkatárs</v>
      </c>
      <c r="J598" s="100" t="s">
        <v>295</v>
      </c>
      <c r="K598" s="95" t="str">
        <f t="shared" ref="K598:K600" si="956">J598</f>
        <v>2023.02</v>
      </c>
      <c r="L598" s="101" t="s">
        <v>6</v>
      </c>
      <c r="M598" s="96" t="s">
        <v>70</v>
      </c>
      <c r="N598" s="102">
        <v>819000</v>
      </c>
      <c r="O598" s="97">
        <f t="shared" ref="O598" si="957">ROUND(N598*V598,0)</f>
        <v>106470</v>
      </c>
      <c r="P598" s="104">
        <v>174</v>
      </c>
      <c r="Q598" s="104">
        <v>73</v>
      </c>
      <c r="R598" s="215">
        <f t="shared" ref="R598" si="958">Q598/P598</f>
        <v>0.41954022988505746</v>
      </c>
      <c r="S598" s="105">
        <f t="shared" ref="S598" si="959">ROUND(N598*Q598/P598,0)</f>
        <v>343603</v>
      </c>
      <c r="T598" s="98">
        <f t="shared" ref="T598" si="960">ROUND(S598*V598,0)</f>
        <v>44668</v>
      </c>
      <c r="U598" s="70">
        <f t="shared" ref="U598" si="961">Q598/P598-S598/N598</f>
        <v>5.4734537491274438E-7</v>
      </c>
      <c r="V598" s="140">
        <v>0.13</v>
      </c>
      <c r="W598" s="209" t="s">
        <v>288</v>
      </c>
      <c r="X598" s="17">
        <v>44956</v>
      </c>
      <c r="Y598" s="12" t="s">
        <v>66</v>
      </c>
      <c r="Z598" s="12"/>
      <c r="AA598" s="12"/>
      <c r="AB598" s="3">
        <v>1</v>
      </c>
      <c r="AC598" s="3" t="s">
        <v>315</v>
      </c>
      <c r="AD598" s="3">
        <v>0</v>
      </c>
      <c r="AE598" s="3">
        <v>0</v>
      </c>
    </row>
    <row r="599" spans="1:31" s="3" customFormat="1" ht="14.45" customHeight="1" x14ac:dyDescent="0.25">
      <c r="A599" s="141"/>
      <c r="B599" s="99" t="s">
        <v>252</v>
      </c>
      <c r="C599" s="95" t="str">
        <f>VLOOKUP($F599,Admin!$D$11:$F$19,2,FALSE)</f>
        <v>Kísérleti fejlesztés</v>
      </c>
      <c r="D599" s="138" t="s">
        <v>123</v>
      </c>
      <c r="E599" s="95" t="str">
        <f>VLOOKUP($F599,Admin!$D$11:$F$19,3,FALSE)</f>
        <v>54. Bérköltség - Kutató-fejlesztő munkatárs</v>
      </c>
      <c r="F599" s="139" t="s">
        <v>213</v>
      </c>
      <c r="G599" s="100" t="s">
        <v>180</v>
      </c>
      <c r="H599" s="100" t="s">
        <v>248</v>
      </c>
      <c r="I599" s="139" t="str">
        <f>VLOOKUP($F599,Admin!$D$11:$G$19,4,FALSE)</f>
        <v>K+F munkatárs</v>
      </c>
      <c r="J599" s="100" t="s">
        <v>296</v>
      </c>
      <c r="K599" s="95" t="str">
        <f t="shared" si="956"/>
        <v>2023.03</v>
      </c>
      <c r="L599" s="101" t="s">
        <v>6</v>
      </c>
      <c r="M599" s="96" t="s">
        <v>70</v>
      </c>
      <c r="N599" s="102">
        <v>819000</v>
      </c>
      <c r="O599" s="97">
        <f t="shared" ref="O599:O600" si="962">ROUND(N599*V599,0)</f>
        <v>106470</v>
      </c>
      <c r="P599" s="104">
        <v>174</v>
      </c>
      <c r="Q599" s="104">
        <v>73</v>
      </c>
      <c r="R599" s="215">
        <f t="shared" ref="R599:R600" si="963">Q599/P599</f>
        <v>0.41954022988505746</v>
      </c>
      <c r="S599" s="105">
        <f t="shared" ref="S599:S600" si="964">ROUND(N599*Q599/P599,0)</f>
        <v>343603</v>
      </c>
      <c r="T599" s="98">
        <f t="shared" ref="T599:T600" si="965">ROUND(S599*V599,0)</f>
        <v>44668</v>
      </c>
      <c r="U599" s="70">
        <f t="shared" ref="U599:U600" si="966">Q599/P599-S599/N599</f>
        <v>5.4734537491274438E-7</v>
      </c>
      <c r="V599" s="140">
        <v>0.13</v>
      </c>
      <c r="W599" s="209" t="s">
        <v>288</v>
      </c>
      <c r="X599" s="17">
        <v>44956</v>
      </c>
      <c r="Y599" s="12" t="s">
        <v>66</v>
      </c>
      <c r="Z599" s="12"/>
      <c r="AA599" s="12"/>
      <c r="AB599" s="3">
        <v>1</v>
      </c>
      <c r="AC599" s="3" t="s">
        <v>315</v>
      </c>
      <c r="AD599" s="3">
        <v>0</v>
      </c>
      <c r="AE599" s="3">
        <v>0</v>
      </c>
    </row>
    <row r="600" spans="1:31" s="3" customFormat="1" ht="14.45" customHeight="1" x14ac:dyDescent="0.25">
      <c r="A600" s="141"/>
      <c r="B600" s="99" t="s">
        <v>252</v>
      </c>
      <c r="C600" s="95" t="str">
        <f>VLOOKUP($F600,Admin!$D$11:$F$19,2,FALSE)</f>
        <v>Kísérleti fejlesztés</v>
      </c>
      <c r="D600" s="138" t="s">
        <v>123</v>
      </c>
      <c r="E600" s="95" t="str">
        <f>VLOOKUP($F600,Admin!$D$11:$F$19,3,FALSE)</f>
        <v>54. Bérköltség - Kutató-fejlesztő munkatárs</v>
      </c>
      <c r="F600" s="139" t="s">
        <v>213</v>
      </c>
      <c r="G600" s="100" t="s">
        <v>180</v>
      </c>
      <c r="H600" s="100" t="s">
        <v>248</v>
      </c>
      <c r="I600" s="139" t="str">
        <f>VLOOKUP($F600,Admin!$D$11:$G$19,4,FALSE)</f>
        <v>K+F munkatárs</v>
      </c>
      <c r="J600" s="100" t="s">
        <v>297</v>
      </c>
      <c r="K600" s="95" t="str">
        <f t="shared" si="956"/>
        <v>2023.04</v>
      </c>
      <c r="L600" s="101" t="s">
        <v>7</v>
      </c>
      <c r="M600" s="96" t="s">
        <v>70</v>
      </c>
      <c r="N600" s="102">
        <v>819000</v>
      </c>
      <c r="O600" s="97">
        <f t="shared" si="962"/>
        <v>106470</v>
      </c>
      <c r="P600" s="104">
        <v>174</v>
      </c>
      <c r="Q600" s="104">
        <v>73</v>
      </c>
      <c r="R600" s="215">
        <f t="shared" si="963"/>
        <v>0.41954022988505746</v>
      </c>
      <c r="S600" s="105">
        <f t="shared" si="964"/>
        <v>343603</v>
      </c>
      <c r="T600" s="98">
        <f t="shared" si="965"/>
        <v>44668</v>
      </c>
      <c r="U600" s="70">
        <f t="shared" si="966"/>
        <v>5.4734537491274438E-7</v>
      </c>
      <c r="V600" s="140">
        <v>0.13</v>
      </c>
      <c r="W600" s="209" t="s">
        <v>288</v>
      </c>
      <c r="X600" s="17">
        <v>44956</v>
      </c>
      <c r="Y600" s="12" t="s">
        <v>66</v>
      </c>
      <c r="Z600" s="12"/>
      <c r="AA600" s="12"/>
      <c r="AC600" s="204"/>
      <c r="AD600" s="204"/>
      <c r="AE600" s="205"/>
    </row>
    <row r="601" spans="1:31" s="3" customFormat="1" ht="14.45" customHeight="1" x14ac:dyDescent="0.25">
      <c r="A601" s="141">
        <v>1</v>
      </c>
      <c r="B601" s="99" t="s">
        <v>140</v>
      </c>
      <c r="C601" s="95" t="str">
        <f>VLOOKUP($F601,Admin!$D$11:$F$19,2,FALSE)</f>
        <v>Alkalmazott (ipari) kutatás</v>
      </c>
      <c r="D601" s="138" t="s">
        <v>123</v>
      </c>
      <c r="E601" s="95" t="str">
        <f>VLOOKUP($F601,Admin!$D$11:$F$19,3,FALSE)</f>
        <v>54. Bérköltség - Kutató-fejlesztő munkatárs</v>
      </c>
      <c r="F601" s="139" t="s">
        <v>212</v>
      </c>
      <c r="G601" s="100" t="s">
        <v>180</v>
      </c>
      <c r="H601" s="100" t="s">
        <v>141</v>
      </c>
      <c r="I601" s="139" t="str">
        <f>VLOOKUP($F601,Admin!$D$11:$G$19,4,FALSE)</f>
        <v>K+F munkatárs</v>
      </c>
      <c r="J601" s="100" t="s">
        <v>224</v>
      </c>
      <c r="K601" s="95" t="str">
        <f t="shared" si="807"/>
        <v>2020.09</v>
      </c>
      <c r="L601" s="101" t="s">
        <v>6</v>
      </c>
      <c r="M601" s="96" t="s">
        <v>70</v>
      </c>
      <c r="N601" s="102">
        <v>1098100</v>
      </c>
      <c r="O601" s="97">
        <f t="shared" si="808"/>
        <v>170206</v>
      </c>
      <c r="P601" s="104">
        <v>174</v>
      </c>
      <c r="Q601" s="104">
        <v>49</v>
      </c>
      <c r="R601" s="215">
        <f t="shared" si="805"/>
        <v>0.28160919540229884</v>
      </c>
      <c r="S601" s="105">
        <f t="shared" si="804"/>
        <v>309235</v>
      </c>
      <c r="T601" s="98">
        <f t="shared" si="809"/>
        <v>47931</v>
      </c>
      <c r="U601" s="70">
        <f t="shared" si="806"/>
        <v>5.2337004230462725E-8</v>
      </c>
      <c r="V601" s="181">
        <v>0.155</v>
      </c>
      <c r="W601" s="210"/>
      <c r="X601" s="17">
        <v>44067</v>
      </c>
      <c r="Y601" s="12" t="s">
        <v>66</v>
      </c>
      <c r="Z601" s="12"/>
      <c r="AA601" s="12"/>
      <c r="AB601" s="3">
        <v>1</v>
      </c>
    </row>
    <row r="602" spans="1:31" s="3" customFormat="1" ht="14.45" customHeight="1" x14ac:dyDescent="0.25">
      <c r="A602" s="141">
        <v>1</v>
      </c>
      <c r="B602" s="99" t="s">
        <v>140</v>
      </c>
      <c r="C602" s="95" t="str">
        <f>VLOOKUP($F602,Admin!$D$11:$F$19,2,FALSE)</f>
        <v>Alkalmazott (ipari) kutatás</v>
      </c>
      <c r="D602" s="138" t="s">
        <v>123</v>
      </c>
      <c r="E602" s="95" t="str">
        <f>VLOOKUP($F602,Admin!$D$11:$F$19,3,FALSE)</f>
        <v>54. Bérköltség - Kutató-fejlesztő munkatárs</v>
      </c>
      <c r="F602" s="139" t="s">
        <v>212</v>
      </c>
      <c r="G602" s="100" t="s">
        <v>180</v>
      </c>
      <c r="H602" s="100" t="s">
        <v>141</v>
      </c>
      <c r="I602" s="139" t="str">
        <f>VLOOKUP($F602,Admin!$D$11:$G$19,4,FALSE)</f>
        <v>K+F munkatárs</v>
      </c>
      <c r="J602" s="100" t="s">
        <v>225</v>
      </c>
      <c r="K602" s="95" t="str">
        <f t="shared" si="807"/>
        <v>2020.10</v>
      </c>
      <c r="L602" s="101" t="s">
        <v>6</v>
      </c>
      <c r="M602" s="96" t="s">
        <v>70</v>
      </c>
      <c r="N602" s="102">
        <v>1098100</v>
      </c>
      <c r="O602" s="97">
        <f t="shared" si="808"/>
        <v>170206</v>
      </c>
      <c r="P602" s="104">
        <v>174</v>
      </c>
      <c r="Q602" s="104">
        <v>49</v>
      </c>
      <c r="R602" s="215">
        <f t="shared" si="805"/>
        <v>0.28160919540229884</v>
      </c>
      <c r="S602" s="105">
        <f t="shared" si="804"/>
        <v>309235</v>
      </c>
      <c r="T602" s="98">
        <f t="shared" si="809"/>
        <v>47931</v>
      </c>
      <c r="U602" s="70">
        <f t="shared" si="806"/>
        <v>5.2337004230462725E-8</v>
      </c>
      <c r="V602" s="181">
        <v>0.155</v>
      </c>
      <c r="W602" s="210"/>
      <c r="X602" s="17">
        <v>44067</v>
      </c>
      <c r="Y602" s="12" t="s">
        <v>66</v>
      </c>
      <c r="Z602" s="12"/>
      <c r="AA602" s="12"/>
      <c r="AB602" s="3">
        <v>1</v>
      </c>
    </row>
    <row r="603" spans="1:31" s="3" customFormat="1" ht="14.45" customHeight="1" x14ac:dyDescent="0.25">
      <c r="A603" s="141">
        <v>1</v>
      </c>
      <c r="B603" s="99" t="s">
        <v>140</v>
      </c>
      <c r="C603" s="95" t="str">
        <f>VLOOKUP($F603,Admin!$D$11:$F$19,2,FALSE)</f>
        <v>Alkalmazott (ipari) kutatás</v>
      </c>
      <c r="D603" s="138" t="s">
        <v>123</v>
      </c>
      <c r="E603" s="95" t="str">
        <f>VLOOKUP($F603,Admin!$D$11:$F$19,3,FALSE)</f>
        <v>54. Bérköltség - Kutató-fejlesztő munkatárs</v>
      </c>
      <c r="F603" s="139" t="s">
        <v>212</v>
      </c>
      <c r="G603" s="100" t="s">
        <v>180</v>
      </c>
      <c r="H603" s="100" t="s">
        <v>141</v>
      </c>
      <c r="I603" s="139" t="str">
        <f>VLOOKUP($F603,Admin!$D$11:$G$19,4,FALSE)</f>
        <v>K+F munkatárs</v>
      </c>
      <c r="J603" s="100" t="s">
        <v>226</v>
      </c>
      <c r="K603" s="95" t="str">
        <f t="shared" si="807"/>
        <v>2020.11</v>
      </c>
      <c r="L603" s="101" t="s">
        <v>6</v>
      </c>
      <c r="M603" s="96" t="s">
        <v>70</v>
      </c>
      <c r="N603" s="102">
        <v>1175100</v>
      </c>
      <c r="O603" s="97">
        <f t="shared" si="808"/>
        <v>182141</v>
      </c>
      <c r="P603" s="104">
        <v>174</v>
      </c>
      <c r="Q603" s="104">
        <v>45</v>
      </c>
      <c r="R603" s="215">
        <f t="shared" si="805"/>
        <v>0.25862068965517243</v>
      </c>
      <c r="S603" s="105">
        <f t="shared" si="804"/>
        <v>303905</v>
      </c>
      <c r="T603" s="98">
        <f t="shared" si="809"/>
        <v>47105</v>
      </c>
      <c r="U603" s="70">
        <f t="shared" si="806"/>
        <v>1.4672265602477808E-7</v>
      </c>
      <c r="V603" s="181">
        <v>0.155</v>
      </c>
      <c r="W603" s="210"/>
      <c r="X603" s="17">
        <v>44132</v>
      </c>
      <c r="Y603" s="12" t="s">
        <v>66</v>
      </c>
      <c r="Z603" s="12"/>
      <c r="AA603" s="12"/>
      <c r="AB603" s="3">
        <v>1</v>
      </c>
    </row>
    <row r="604" spans="1:31" s="3" customFormat="1" ht="14.45" customHeight="1" x14ac:dyDescent="0.25">
      <c r="A604" s="141">
        <v>1</v>
      </c>
      <c r="B604" s="99" t="s">
        <v>140</v>
      </c>
      <c r="C604" s="95" t="str">
        <f>VLOOKUP($F604,Admin!$D$11:$F$19,2,FALSE)</f>
        <v>Alkalmazott (ipari) kutatás</v>
      </c>
      <c r="D604" s="138" t="s">
        <v>123</v>
      </c>
      <c r="E604" s="95" t="str">
        <f>VLOOKUP($F604,Admin!$D$11:$F$19,3,FALSE)</f>
        <v>54. Bérköltség - Kutató-fejlesztő munkatárs</v>
      </c>
      <c r="F604" s="139" t="s">
        <v>212</v>
      </c>
      <c r="G604" s="100" t="s">
        <v>180</v>
      </c>
      <c r="H604" s="100" t="s">
        <v>141</v>
      </c>
      <c r="I604" s="139" t="str">
        <f>VLOOKUP($F604,Admin!$D$11:$G$19,4,FALSE)</f>
        <v>K+F munkatárs</v>
      </c>
      <c r="J604" s="100" t="s">
        <v>30</v>
      </c>
      <c r="K604" s="95" t="str">
        <f t="shared" si="807"/>
        <v>2020.12</v>
      </c>
      <c r="L604" s="101" t="s">
        <v>6</v>
      </c>
      <c r="M604" s="96" t="s">
        <v>70</v>
      </c>
      <c r="N604" s="102">
        <v>1175100</v>
      </c>
      <c r="O604" s="97">
        <f t="shared" si="808"/>
        <v>182141</v>
      </c>
      <c r="P604" s="104">
        <v>174</v>
      </c>
      <c r="Q604" s="104">
        <v>45</v>
      </c>
      <c r="R604" s="215">
        <f t="shared" si="805"/>
        <v>0.25862068965517243</v>
      </c>
      <c r="S604" s="105">
        <f t="shared" si="804"/>
        <v>303905</v>
      </c>
      <c r="T604" s="98">
        <f t="shared" si="809"/>
        <v>47105</v>
      </c>
      <c r="U604" s="70">
        <f t="shared" si="806"/>
        <v>1.4672265602477808E-7</v>
      </c>
      <c r="V604" s="181">
        <v>0.155</v>
      </c>
      <c r="W604" s="210"/>
      <c r="X604" s="17">
        <v>44132</v>
      </c>
      <c r="Y604" s="12" t="s">
        <v>66</v>
      </c>
      <c r="Z604" s="12"/>
      <c r="AA604" s="12"/>
      <c r="AB604" s="3">
        <v>1</v>
      </c>
    </row>
    <row r="605" spans="1:31" s="3" customFormat="1" ht="14.45" customHeight="1" x14ac:dyDescent="0.25">
      <c r="A605" s="141">
        <v>1</v>
      </c>
      <c r="B605" s="99" t="s">
        <v>140</v>
      </c>
      <c r="C605" s="95" t="str">
        <f>VLOOKUP($F605,Admin!$D$11:$F$19,2,FALSE)</f>
        <v>Alkalmazott (ipari) kutatás</v>
      </c>
      <c r="D605" s="138" t="s">
        <v>123</v>
      </c>
      <c r="E605" s="95" t="str">
        <f>VLOOKUP($F605,Admin!$D$11:$F$19,3,FALSE)</f>
        <v>54. Bérköltség - Kutató-fejlesztő munkatárs</v>
      </c>
      <c r="F605" s="139" t="s">
        <v>212</v>
      </c>
      <c r="G605" s="100" t="s">
        <v>180</v>
      </c>
      <c r="H605" s="100" t="s">
        <v>141</v>
      </c>
      <c r="I605" s="139" t="str">
        <f>VLOOKUP($F605,Admin!$D$11:$G$19,4,FALSE)</f>
        <v>K+F munkatárs</v>
      </c>
      <c r="J605" s="100" t="s">
        <v>31</v>
      </c>
      <c r="K605" s="95" t="str">
        <f t="shared" si="807"/>
        <v>2021.01</v>
      </c>
      <c r="L605" s="101" t="s">
        <v>6</v>
      </c>
      <c r="M605" s="96" t="s">
        <v>70</v>
      </c>
      <c r="N605" s="102">
        <v>1098100</v>
      </c>
      <c r="O605" s="97">
        <f t="shared" si="808"/>
        <v>170206</v>
      </c>
      <c r="P605" s="104">
        <v>174</v>
      </c>
      <c r="Q605" s="104">
        <v>45</v>
      </c>
      <c r="R605" s="215">
        <f t="shared" si="805"/>
        <v>0.25862068965517243</v>
      </c>
      <c r="S605" s="105">
        <f t="shared" si="804"/>
        <v>283991</v>
      </c>
      <c r="T605" s="98">
        <f t="shared" si="809"/>
        <v>44019</v>
      </c>
      <c r="U605" s="70">
        <f t="shared" si="806"/>
        <v>3.4542422805428075E-7</v>
      </c>
      <c r="V605" s="181">
        <v>0.155</v>
      </c>
      <c r="W605" s="210"/>
      <c r="X605" s="17">
        <v>44187</v>
      </c>
      <c r="Y605" s="12" t="s">
        <v>66</v>
      </c>
      <c r="Z605" s="12"/>
      <c r="AA605" s="12"/>
      <c r="AB605" s="3">
        <v>1</v>
      </c>
    </row>
    <row r="606" spans="1:31" s="3" customFormat="1" ht="14.45" customHeight="1" x14ac:dyDescent="0.25">
      <c r="A606" s="141">
        <v>2</v>
      </c>
      <c r="B606" s="99" t="s">
        <v>140</v>
      </c>
      <c r="C606" s="95" t="str">
        <f>VLOOKUP($F606,Admin!$D$11:$F$19,2,FALSE)</f>
        <v>Kísérleti fejlesztés</v>
      </c>
      <c r="D606" s="138" t="s">
        <v>123</v>
      </c>
      <c r="E606" s="95" t="str">
        <f>VLOOKUP($F606,Admin!$D$11:$F$19,3,FALSE)</f>
        <v>54. Bérköltség - Kutató-fejlesztő munkatárs</v>
      </c>
      <c r="F606" s="139" t="s">
        <v>213</v>
      </c>
      <c r="G606" s="100" t="s">
        <v>180</v>
      </c>
      <c r="H606" s="100" t="s">
        <v>141</v>
      </c>
      <c r="I606" s="139" t="str">
        <f>VLOOKUP($F606,Admin!$D$11:$G$19,4,FALSE)</f>
        <v>K+F munkatárs</v>
      </c>
      <c r="J606" s="100" t="s">
        <v>32</v>
      </c>
      <c r="K606" s="95" t="str">
        <f t="shared" si="807"/>
        <v>2021.02</v>
      </c>
      <c r="L606" s="101" t="s">
        <v>6</v>
      </c>
      <c r="M606" s="96" t="s">
        <v>70</v>
      </c>
      <c r="N606" s="102">
        <v>1098100</v>
      </c>
      <c r="O606" s="97">
        <f t="shared" si="808"/>
        <v>170206</v>
      </c>
      <c r="P606" s="104">
        <v>174</v>
      </c>
      <c r="Q606" s="104">
        <v>18</v>
      </c>
      <c r="R606" s="215">
        <f t="shared" si="805"/>
        <v>0.10344827586206896</v>
      </c>
      <c r="S606" s="105">
        <f t="shared" si="804"/>
        <v>113597</v>
      </c>
      <c r="T606" s="98">
        <f t="shared" si="809"/>
        <v>17608</v>
      </c>
      <c r="U606" s="70">
        <f t="shared" si="806"/>
        <v>-4.0822863316136715E-7</v>
      </c>
      <c r="V606" s="181">
        <v>0.155</v>
      </c>
      <c r="W606" s="210"/>
      <c r="X606" s="17">
        <v>44217</v>
      </c>
      <c r="Y606" s="12" t="s">
        <v>66</v>
      </c>
      <c r="Z606" s="12"/>
      <c r="AA606" s="12"/>
      <c r="AB606" s="3">
        <v>1</v>
      </c>
    </row>
    <row r="607" spans="1:31" s="3" customFormat="1" ht="14.45" customHeight="1" x14ac:dyDescent="0.25">
      <c r="A607" s="141">
        <v>2</v>
      </c>
      <c r="B607" s="99" t="s">
        <v>140</v>
      </c>
      <c r="C607" s="95" t="str">
        <f>VLOOKUP($F607,Admin!$D$11:$F$19,2,FALSE)</f>
        <v>Kísérleti fejlesztés</v>
      </c>
      <c r="D607" s="138" t="s">
        <v>123</v>
      </c>
      <c r="E607" s="95" t="str">
        <f>VLOOKUP($F607,Admin!$D$11:$F$19,3,FALSE)</f>
        <v>54. Bérköltség - Kutató-fejlesztő munkatárs</v>
      </c>
      <c r="F607" s="139" t="s">
        <v>213</v>
      </c>
      <c r="G607" s="100" t="s">
        <v>180</v>
      </c>
      <c r="H607" s="100" t="s">
        <v>141</v>
      </c>
      <c r="I607" s="139" t="str">
        <f>VLOOKUP($F607,Admin!$D$11:$G$19,4,FALSE)</f>
        <v>K+F munkatárs</v>
      </c>
      <c r="J607" s="100" t="s">
        <v>33</v>
      </c>
      <c r="K607" s="95" t="str">
        <f t="shared" si="807"/>
        <v>2021.03</v>
      </c>
      <c r="L607" s="101" t="s">
        <v>6</v>
      </c>
      <c r="M607" s="96" t="s">
        <v>70</v>
      </c>
      <c r="N607" s="102">
        <v>1098100</v>
      </c>
      <c r="O607" s="97">
        <f t="shared" si="808"/>
        <v>170206</v>
      </c>
      <c r="P607" s="104">
        <v>174</v>
      </c>
      <c r="Q607" s="104">
        <v>47</v>
      </c>
      <c r="R607" s="215">
        <f t="shared" si="805"/>
        <v>0.27011494252873564</v>
      </c>
      <c r="S607" s="105">
        <f t="shared" si="804"/>
        <v>296613</v>
      </c>
      <c r="T607" s="98">
        <f t="shared" si="809"/>
        <v>45975</v>
      </c>
      <c r="U607" s="70">
        <f t="shared" si="806"/>
        <v>1.9888061614237174E-7</v>
      </c>
      <c r="V607" s="181">
        <v>0.155</v>
      </c>
      <c r="W607" s="210"/>
      <c r="X607" s="17">
        <v>44251</v>
      </c>
      <c r="Y607" s="12" t="s">
        <v>66</v>
      </c>
      <c r="Z607" s="12"/>
      <c r="AA607" s="12"/>
      <c r="AB607" s="3">
        <v>1</v>
      </c>
    </row>
    <row r="608" spans="1:31" s="3" customFormat="1" ht="14.45" customHeight="1" x14ac:dyDescent="0.25">
      <c r="A608" s="141">
        <v>2</v>
      </c>
      <c r="B608" s="99" t="s">
        <v>140</v>
      </c>
      <c r="C608" s="95" t="str">
        <f>VLOOKUP($F608,Admin!$D$11:$F$19,2,FALSE)</f>
        <v>Kísérleti fejlesztés</v>
      </c>
      <c r="D608" s="138" t="s">
        <v>123</v>
      </c>
      <c r="E608" s="95" t="str">
        <f>VLOOKUP($F608,Admin!$D$11:$F$19,3,FALSE)</f>
        <v>54. Bérköltség - Kutató-fejlesztő munkatárs</v>
      </c>
      <c r="F608" s="139" t="s">
        <v>213</v>
      </c>
      <c r="G608" s="100" t="s">
        <v>180</v>
      </c>
      <c r="H608" s="100" t="s">
        <v>141</v>
      </c>
      <c r="I608" s="139" t="str">
        <f>VLOOKUP($F608,Admin!$D$11:$G$19,4,FALSE)</f>
        <v>K+F munkatárs</v>
      </c>
      <c r="J608" s="100" t="s">
        <v>34</v>
      </c>
      <c r="K608" s="95" t="str">
        <f t="shared" si="807"/>
        <v>2021.04</v>
      </c>
      <c r="L608" s="101" t="s">
        <v>6</v>
      </c>
      <c r="M608" s="96" t="s">
        <v>70</v>
      </c>
      <c r="N608" s="102">
        <v>1178100</v>
      </c>
      <c r="O608" s="97">
        <f t="shared" si="808"/>
        <v>182606</v>
      </c>
      <c r="P608" s="104">
        <v>174</v>
      </c>
      <c r="Q608" s="104">
        <v>43</v>
      </c>
      <c r="R608" s="215">
        <f t="shared" si="805"/>
        <v>0.2471264367816092</v>
      </c>
      <c r="S608" s="105">
        <f t="shared" si="804"/>
        <v>291140</v>
      </c>
      <c r="T608" s="98">
        <f t="shared" si="809"/>
        <v>45127</v>
      </c>
      <c r="U608" s="70">
        <f t="shared" si="806"/>
        <v>-2.9269806145482136E-7</v>
      </c>
      <c r="V608" s="181">
        <v>0.155</v>
      </c>
      <c r="W608" s="210"/>
      <c r="X608" s="17">
        <v>44277</v>
      </c>
      <c r="Y608" s="12" t="s">
        <v>66</v>
      </c>
      <c r="Z608" s="12"/>
      <c r="AA608" s="12"/>
      <c r="AB608" s="3">
        <v>1</v>
      </c>
    </row>
    <row r="609" spans="1:28" s="3" customFormat="1" ht="14.45" customHeight="1" x14ac:dyDescent="0.25">
      <c r="A609" s="141">
        <v>2</v>
      </c>
      <c r="B609" s="99" t="s">
        <v>140</v>
      </c>
      <c r="C609" s="95" t="str">
        <f>VLOOKUP($F609,Admin!$D$11:$F$19,2,FALSE)</f>
        <v>Kísérleti fejlesztés</v>
      </c>
      <c r="D609" s="138" t="s">
        <v>123</v>
      </c>
      <c r="E609" s="95" t="str">
        <f>VLOOKUP($F609,Admin!$D$11:$F$19,3,FALSE)</f>
        <v>54. Bérköltség - Kutató-fejlesztő munkatárs</v>
      </c>
      <c r="F609" s="139" t="s">
        <v>213</v>
      </c>
      <c r="G609" s="100" t="s">
        <v>180</v>
      </c>
      <c r="H609" s="100" t="s">
        <v>141</v>
      </c>
      <c r="I609" s="139" t="str">
        <f>VLOOKUP($F609,Admin!$D$11:$G$19,4,FALSE)</f>
        <v>K+F munkatárs</v>
      </c>
      <c r="J609" s="100" t="s">
        <v>35</v>
      </c>
      <c r="K609" s="95" t="str">
        <f t="shared" si="807"/>
        <v>2021.05</v>
      </c>
      <c r="L609" s="101" t="s">
        <v>6</v>
      </c>
      <c r="M609" s="96" t="s">
        <v>70</v>
      </c>
      <c r="N609" s="102">
        <v>1178100</v>
      </c>
      <c r="O609" s="97">
        <f t="shared" si="808"/>
        <v>182606</v>
      </c>
      <c r="P609" s="104">
        <v>174</v>
      </c>
      <c r="Q609" s="104">
        <v>43</v>
      </c>
      <c r="R609" s="215">
        <f t="shared" si="805"/>
        <v>0.2471264367816092</v>
      </c>
      <c r="S609" s="105">
        <f t="shared" si="804"/>
        <v>291140</v>
      </c>
      <c r="T609" s="98">
        <f t="shared" si="809"/>
        <v>45127</v>
      </c>
      <c r="U609" s="70">
        <f t="shared" si="806"/>
        <v>-2.9269806145482136E-7</v>
      </c>
      <c r="V609" s="181">
        <v>0.155</v>
      </c>
      <c r="W609" s="210"/>
      <c r="X609" s="17">
        <v>44277</v>
      </c>
      <c r="Y609" s="12" t="s">
        <v>66</v>
      </c>
      <c r="Z609" s="12"/>
      <c r="AA609" s="12"/>
      <c r="AB609" s="3">
        <v>1</v>
      </c>
    </row>
    <row r="610" spans="1:28" s="3" customFormat="1" ht="14.45" customHeight="1" x14ac:dyDescent="0.25">
      <c r="A610" s="141">
        <v>2</v>
      </c>
      <c r="B610" s="99" t="s">
        <v>140</v>
      </c>
      <c r="C610" s="95" t="str">
        <f>VLOOKUP($F610,Admin!$D$11:$F$19,2,FALSE)</f>
        <v>Kísérleti fejlesztés</v>
      </c>
      <c r="D610" s="138" t="s">
        <v>123</v>
      </c>
      <c r="E610" s="95" t="str">
        <f>VLOOKUP($F610,Admin!$D$11:$F$19,3,FALSE)</f>
        <v>54. Bérköltség - Kutató-fejlesztő munkatárs</v>
      </c>
      <c r="F610" s="139" t="s">
        <v>213</v>
      </c>
      <c r="G610" s="100" t="s">
        <v>180</v>
      </c>
      <c r="H610" s="100" t="s">
        <v>141</v>
      </c>
      <c r="I610" s="139" t="str">
        <f>VLOOKUP($F610,Admin!$D$11:$G$19,4,FALSE)</f>
        <v>K+F munkatárs</v>
      </c>
      <c r="J610" s="100" t="s">
        <v>36</v>
      </c>
      <c r="K610" s="95" t="str">
        <f t="shared" si="807"/>
        <v>2021.06</v>
      </c>
      <c r="L610" s="101" t="s">
        <v>6</v>
      </c>
      <c r="M610" s="96" t="s">
        <v>70</v>
      </c>
      <c r="N610" s="102">
        <v>1178100</v>
      </c>
      <c r="O610" s="97">
        <f t="shared" si="808"/>
        <v>182606</v>
      </c>
      <c r="P610" s="104">
        <v>174</v>
      </c>
      <c r="Q610" s="104">
        <v>43</v>
      </c>
      <c r="R610" s="215">
        <f t="shared" si="805"/>
        <v>0.2471264367816092</v>
      </c>
      <c r="S610" s="105">
        <f t="shared" si="804"/>
        <v>291140</v>
      </c>
      <c r="T610" s="98">
        <f t="shared" si="809"/>
        <v>45127</v>
      </c>
      <c r="U610" s="70">
        <f t="shared" si="806"/>
        <v>-2.9269806145482136E-7</v>
      </c>
      <c r="V610" s="181">
        <v>0.155</v>
      </c>
      <c r="W610" s="210"/>
      <c r="X610" s="17">
        <v>44277</v>
      </c>
      <c r="Y610" s="12" t="s">
        <v>66</v>
      </c>
      <c r="Z610" s="12"/>
      <c r="AA610" s="12"/>
      <c r="AB610" s="3">
        <v>1</v>
      </c>
    </row>
    <row r="611" spans="1:28" s="3" customFormat="1" ht="14.45" customHeight="1" x14ac:dyDescent="0.25">
      <c r="A611" s="141">
        <v>2</v>
      </c>
      <c r="B611" s="99" t="s">
        <v>140</v>
      </c>
      <c r="C611" s="95" t="str">
        <f>VLOOKUP($F611,Admin!$D$11:$F$19,2,FALSE)</f>
        <v>Kísérleti fejlesztés</v>
      </c>
      <c r="D611" s="138" t="s">
        <v>123</v>
      </c>
      <c r="E611" s="95" t="str">
        <f>VLOOKUP($F611,Admin!$D$11:$F$19,3,FALSE)</f>
        <v>54. Bérköltség - Kutató-fejlesztő munkatárs</v>
      </c>
      <c r="F611" s="139" t="s">
        <v>213</v>
      </c>
      <c r="G611" s="100" t="s">
        <v>180</v>
      </c>
      <c r="H611" s="100" t="s">
        <v>141</v>
      </c>
      <c r="I611" s="139" t="str">
        <f>VLOOKUP($F611,Admin!$D$11:$G$19,4,FALSE)</f>
        <v>K+F munkatárs</v>
      </c>
      <c r="J611" s="100" t="s">
        <v>37</v>
      </c>
      <c r="K611" s="95" t="str">
        <f t="shared" si="807"/>
        <v>2021.07</v>
      </c>
      <c r="L611" s="101" t="s">
        <v>6</v>
      </c>
      <c r="M611" s="96" t="s">
        <v>70</v>
      </c>
      <c r="N611" s="102">
        <v>1098100</v>
      </c>
      <c r="O611" s="97">
        <f t="shared" si="808"/>
        <v>170206</v>
      </c>
      <c r="P611" s="104">
        <v>174</v>
      </c>
      <c r="Q611" s="104">
        <v>47</v>
      </c>
      <c r="R611" s="215">
        <f t="shared" si="805"/>
        <v>0.27011494252873564</v>
      </c>
      <c r="S611" s="105">
        <f t="shared" si="804"/>
        <v>296613</v>
      </c>
      <c r="T611" s="98">
        <f t="shared" si="809"/>
        <v>45975</v>
      </c>
      <c r="U611" s="70">
        <f t="shared" si="806"/>
        <v>1.9888061614237174E-7</v>
      </c>
      <c r="V611" s="181">
        <v>0.155</v>
      </c>
      <c r="W611" s="210"/>
      <c r="X611" s="17">
        <v>44362</v>
      </c>
      <c r="Y611" s="12" t="s">
        <v>66</v>
      </c>
      <c r="Z611" s="12"/>
      <c r="AA611" s="12"/>
      <c r="AB611" s="3">
        <v>1</v>
      </c>
    </row>
    <row r="612" spans="1:28" s="3" customFormat="1" ht="14.45" customHeight="1" x14ac:dyDescent="0.25">
      <c r="A612" s="141">
        <v>2</v>
      </c>
      <c r="B612" s="99" t="s">
        <v>140</v>
      </c>
      <c r="C612" s="95" t="str">
        <f>VLOOKUP($F612,Admin!$D$11:$F$19,2,FALSE)</f>
        <v>Kísérleti fejlesztés</v>
      </c>
      <c r="D612" s="138" t="s">
        <v>123</v>
      </c>
      <c r="E612" s="95" t="str">
        <f>VLOOKUP($F612,Admin!$D$11:$F$19,3,FALSE)</f>
        <v>54. Bérköltség - Kutató-fejlesztő munkatárs</v>
      </c>
      <c r="F612" s="139" t="s">
        <v>213</v>
      </c>
      <c r="G612" s="100" t="s">
        <v>180</v>
      </c>
      <c r="H612" s="100" t="s">
        <v>141</v>
      </c>
      <c r="I612" s="139" t="str">
        <f>VLOOKUP($F612,Admin!$D$11:$G$19,4,FALSE)</f>
        <v>K+F munkatárs</v>
      </c>
      <c r="J612" s="100" t="s">
        <v>38</v>
      </c>
      <c r="K612" s="95" t="str">
        <f t="shared" si="807"/>
        <v>2021.08</v>
      </c>
      <c r="L612" s="101" t="s">
        <v>6</v>
      </c>
      <c r="M612" s="96" t="s">
        <v>70</v>
      </c>
      <c r="N612" s="102">
        <v>1098100</v>
      </c>
      <c r="O612" s="97">
        <f t="shared" si="808"/>
        <v>170206</v>
      </c>
      <c r="P612" s="104">
        <v>174</v>
      </c>
      <c r="Q612" s="104">
        <v>47</v>
      </c>
      <c r="R612" s="215">
        <f t="shared" si="805"/>
        <v>0.27011494252873564</v>
      </c>
      <c r="S612" s="105">
        <f t="shared" si="804"/>
        <v>296613</v>
      </c>
      <c r="T612" s="98">
        <f t="shared" si="809"/>
        <v>45975</v>
      </c>
      <c r="U612" s="70">
        <f t="shared" si="806"/>
        <v>1.9888061614237174E-7</v>
      </c>
      <c r="V612" s="181">
        <v>0.155</v>
      </c>
      <c r="W612" s="210"/>
      <c r="X612" s="17">
        <v>44362</v>
      </c>
      <c r="Y612" s="12" t="s">
        <v>66</v>
      </c>
      <c r="Z612" s="12"/>
      <c r="AA612" s="12"/>
      <c r="AB612" s="3">
        <v>1</v>
      </c>
    </row>
    <row r="613" spans="1:28" s="3" customFormat="1" ht="14.45" customHeight="1" x14ac:dyDescent="0.25">
      <c r="A613" s="141">
        <v>2</v>
      </c>
      <c r="B613" s="99" t="s">
        <v>140</v>
      </c>
      <c r="C613" s="95" t="str">
        <f>VLOOKUP($F613,Admin!$D$11:$F$19,2,FALSE)</f>
        <v>Kísérleti fejlesztés</v>
      </c>
      <c r="D613" s="138" t="s">
        <v>123</v>
      </c>
      <c r="E613" s="95" t="str">
        <f>VLOOKUP($F613,Admin!$D$11:$F$19,3,FALSE)</f>
        <v>54. Bérköltség - Kutató-fejlesztő munkatárs</v>
      </c>
      <c r="F613" s="139" t="s">
        <v>213</v>
      </c>
      <c r="G613" s="100" t="s">
        <v>180</v>
      </c>
      <c r="H613" s="100" t="s">
        <v>141</v>
      </c>
      <c r="I613" s="139" t="str">
        <f>VLOOKUP($F613,Admin!$D$11:$G$19,4,FALSE)</f>
        <v>K+F munkatárs</v>
      </c>
      <c r="J613" s="100" t="s">
        <v>39</v>
      </c>
      <c r="K613" s="95" t="str">
        <f t="shared" si="807"/>
        <v>2021.09</v>
      </c>
      <c r="L613" s="101" t="s">
        <v>6</v>
      </c>
      <c r="M613" s="96" t="s">
        <v>70</v>
      </c>
      <c r="N613" s="102">
        <v>1098100</v>
      </c>
      <c r="O613" s="97">
        <f t="shared" si="808"/>
        <v>170206</v>
      </c>
      <c r="P613" s="104">
        <v>174</v>
      </c>
      <c r="Q613" s="104">
        <v>47</v>
      </c>
      <c r="R613" s="215">
        <f t="shared" si="805"/>
        <v>0.27011494252873564</v>
      </c>
      <c r="S613" s="105">
        <f t="shared" si="804"/>
        <v>296613</v>
      </c>
      <c r="T613" s="98">
        <f t="shared" si="809"/>
        <v>45975</v>
      </c>
      <c r="U613" s="70">
        <f t="shared" si="806"/>
        <v>1.9888061614237174E-7</v>
      </c>
      <c r="V613" s="181">
        <v>0.155</v>
      </c>
      <c r="W613" s="210"/>
      <c r="X613" s="17">
        <v>44362</v>
      </c>
      <c r="Y613" s="12" t="s">
        <v>66</v>
      </c>
      <c r="Z613" s="12"/>
      <c r="AA613" s="12"/>
      <c r="AB613" s="3">
        <v>1</v>
      </c>
    </row>
    <row r="614" spans="1:28" s="3" customFormat="1" ht="14.45" customHeight="1" x14ac:dyDescent="0.25">
      <c r="A614" s="141">
        <v>2</v>
      </c>
      <c r="B614" s="99" t="s">
        <v>140</v>
      </c>
      <c r="C614" s="95" t="str">
        <f>VLOOKUP($F614,Admin!$D$11:$F$19,2,FALSE)</f>
        <v>Kísérleti fejlesztés</v>
      </c>
      <c r="D614" s="138" t="s">
        <v>123</v>
      </c>
      <c r="E614" s="95" t="str">
        <f>VLOOKUP($F614,Admin!$D$11:$F$19,3,FALSE)</f>
        <v>54. Bérköltség - Kutató-fejlesztő munkatárs</v>
      </c>
      <c r="F614" s="139" t="s">
        <v>213</v>
      </c>
      <c r="G614" s="100" t="s">
        <v>180</v>
      </c>
      <c r="H614" s="100" t="s">
        <v>141</v>
      </c>
      <c r="I614" s="139" t="str">
        <f>VLOOKUP($F614,Admin!$D$11:$G$19,4,FALSE)</f>
        <v>K+F munkatárs</v>
      </c>
      <c r="J614" s="100" t="s">
        <v>40</v>
      </c>
      <c r="K614" s="95" t="str">
        <f t="shared" si="807"/>
        <v>2021.10</v>
      </c>
      <c r="L614" s="101" t="s">
        <v>6</v>
      </c>
      <c r="M614" s="96" t="s">
        <v>70</v>
      </c>
      <c r="N614" s="102">
        <v>1268800</v>
      </c>
      <c r="O614" s="97">
        <f t="shared" si="808"/>
        <v>196664</v>
      </c>
      <c r="P614" s="104">
        <v>174</v>
      </c>
      <c r="Q614" s="104">
        <v>47</v>
      </c>
      <c r="R614" s="215">
        <f t="shared" si="805"/>
        <v>0.27011494252873564</v>
      </c>
      <c r="S614" s="105">
        <f t="shared" si="804"/>
        <v>342722</v>
      </c>
      <c r="T614" s="98">
        <f t="shared" si="809"/>
        <v>53122</v>
      </c>
      <c r="U614" s="70">
        <f t="shared" si="806"/>
        <v>-1.268281369926072E-7</v>
      </c>
      <c r="V614" s="181">
        <v>0.155</v>
      </c>
      <c r="W614" s="210"/>
      <c r="X614" s="17">
        <v>44362</v>
      </c>
      <c r="Y614" s="12" t="s">
        <v>66</v>
      </c>
      <c r="Z614" s="12"/>
      <c r="AA614" s="12"/>
      <c r="AB614" s="3">
        <v>1</v>
      </c>
    </row>
    <row r="615" spans="1:28" s="3" customFormat="1" ht="14.45" customHeight="1" x14ac:dyDescent="0.25">
      <c r="A615" s="141">
        <v>2</v>
      </c>
      <c r="B615" s="99" t="s">
        <v>140</v>
      </c>
      <c r="C615" s="95" t="str">
        <f>VLOOKUP($F615,Admin!$D$11:$F$19,2,FALSE)</f>
        <v>Kísérleti fejlesztés</v>
      </c>
      <c r="D615" s="138" t="s">
        <v>123</v>
      </c>
      <c r="E615" s="95" t="str">
        <f>VLOOKUP($F615,Admin!$D$11:$F$19,3,FALSE)</f>
        <v>54. Bérköltség - Kutató-fejlesztő munkatárs</v>
      </c>
      <c r="F615" s="139" t="s">
        <v>213</v>
      </c>
      <c r="G615" s="100" t="s">
        <v>180</v>
      </c>
      <c r="H615" s="100" t="s">
        <v>141</v>
      </c>
      <c r="I615" s="139" t="str">
        <f>VLOOKUP($F615,Admin!$D$11:$G$19,4,FALSE)</f>
        <v>K+F munkatárs</v>
      </c>
      <c r="J615" s="100" t="s">
        <v>41</v>
      </c>
      <c r="K615" s="95" t="str">
        <f t="shared" si="807"/>
        <v>2021.11</v>
      </c>
      <c r="L615" s="101" t="s">
        <v>6</v>
      </c>
      <c r="M615" s="96" t="s">
        <v>70</v>
      </c>
      <c r="N615" s="102">
        <v>1324800</v>
      </c>
      <c r="O615" s="97">
        <f t="shared" si="808"/>
        <v>205344</v>
      </c>
      <c r="P615" s="104">
        <v>174</v>
      </c>
      <c r="Q615" s="104">
        <v>47</v>
      </c>
      <c r="R615" s="215">
        <f t="shared" si="805"/>
        <v>0.27011494252873564</v>
      </c>
      <c r="S615" s="105">
        <v>296613</v>
      </c>
      <c r="T615" s="98">
        <f t="shared" si="809"/>
        <v>45975</v>
      </c>
      <c r="U615" s="70">
        <f t="shared" si="806"/>
        <v>4.6222279485257367E-2</v>
      </c>
      <c r="V615" s="181">
        <v>0.155</v>
      </c>
      <c r="W615" s="210"/>
      <c r="X615" s="17">
        <v>44509</v>
      </c>
      <c r="Y615" s="12" t="s">
        <v>66</v>
      </c>
      <c r="Z615" s="12"/>
      <c r="AA615" s="12"/>
      <c r="AB615" s="3">
        <v>1</v>
      </c>
    </row>
    <row r="616" spans="1:28" s="3" customFormat="1" ht="14.45" customHeight="1" x14ac:dyDescent="0.25">
      <c r="A616" s="141">
        <v>2</v>
      </c>
      <c r="B616" s="99" t="s">
        <v>140</v>
      </c>
      <c r="C616" s="95" t="str">
        <f>VLOOKUP($F616,Admin!$D$11:$F$19,2,FALSE)</f>
        <v>Kísérleti fejlesztés</v>
      </c>
      <c r="D616" s="138" t="s">
        <v>123</v>
      </c>
      <c r="E616" s="95" t="str">
        <f>VLOOKUP($F616,Admin!$D$11:$F$19,3,FALSE)</f>
        <v>54. Bérköltség - Kutató-fejlesztő munkatárs</v>
      </c>
      <c r="F616" s="139" t="s">
        <v>213</v>
      </c>
      <c r="G616" s="100" t="s">
        <v>180</v>
      </c>
      <c r="H616" s="100" t="s">
        <v>141</v>
      </c>
      <c r="I616" s="139" t="str">
        <f>VLOOKUP($F616,Admin!$D$11:$G$19,4,FALSE)</f>
        <v>K+F munkatárs</v>
      </c>
      <c r="J616" s="100" t="s">
        <v>42</v>
      </c>
      <c r="K616" s="95" t="str">
        <f t="shared" si="807"/>
        <v>2021.12</v>
      </c>
      <c r="L616" s="101" t="s">
        <v>6</v>
      </c>
      <c r="M616" s="96" t="s">
        <v>70</v>
      </c>
      <c r="N616" s="102">
        <v>1324800</v>
      </c>
      <c r="O616" s="97">
        <f t="shared" si="808"/>
        <v>205344</v>
      </c>
      <c r="P616" s="104">
        <v>174</v>
      </c>
      <c r="Q616" s="104">
        <v>47</v>
      </c>
      <c r="R616" s="215">
        <f t="shared" si="805"/>
        <v>0.27011494252873564</v>
      </c>
      <c r="S616" s="105">
        <v>296613</v>
      </c>
      <c r="T616" s="98">
        <f t="shared" si="809"/>
        <v>45975</v>
      </c>
      <c r="U616" s="70">
        <f t="shared" si="806"/>
        <v>4.6222279485257367E-2</v>
      </c>
      <c r="V616" s="181">
        <v>0.155</v>
      </c>
      <c r="W616" s="210"/>
      <c r="X616" s="17">
        <v>44509</v>
      </c>
      <c r="Y616" s="12" t="s">
        <v>66</v>
      </c>
      <c r="Z616" s="12"/>
      <c r="AA616" s="12"/>
      <c r="AB616" s="3">
        <v>1</v>
      </c>
    </row>
    <row r="617" spans="1:28" s="3" customFormat="1" ht="14.45" customHeight="1" x14ac:dyDescent="0.25">
      <c r="A617" s="141">
        <v>2</v>
      </c>
      <c r="B617" s="99" t="s">
        <v>140</v>
      </c>
      <c r="C617" s="95" t="str">
        <f>VLOOKUP($F617,Admin!$D$11:$F$19,2,FALSE)</f>
        <v>Kísérleti fejlesztés</v>
      </c>
      <c r="D617" s="138" t="s">
        <v>123</v>
      </c>
      <c r="E617" s="95" t="str">
        <f>VLOOKUP($F617,Admin!$D$11:$F$19,3,FALSE)</f>
        <v>54. Bérköltség - Kutató-fejlesztő munkatárs</v>
      </c>
      <c r="F617" s="139" t="s">
        <v>213</v>
      </c>
      <c r="G617" s="100" t="s">
        <v>180</v>
      </c>
      <c r="H617" s="100" t="s">
        <v>141</v>
      </c>
      <c r="I617" s="139" t="str">
        <f>VLOOKUP($F617,Admin!$D$11:$G$19,4,FALSE)</f>
        <v>K+F munkatárs</v>
      </c>
      <c r="J617" s="100" t="s">
        <v>43</v>
      </c>
      <c r="K617" s="95" t="str">
        <f t="shared" si="807"/>
        <v>2022.01</v>
      </c>
      <c r="L617" s="101" t="s">
        <v>6</v>
      </c>
      <c r="M617" s="96" t="s">
        <v>70</v>
      </c>
      <c r="N617" s="102">
        <v>1400800</v>
      </c>
      <c r="O617" s="97">
        <f t="shared" si="808"/>
        <v>182104</v>
      </c>
      <c r="P617" s="104">
        <v>174</v>
      </c>
      <c r="Q617" s="104">
        <v>38</v>
      </c>
      <c r="R617" s="215">
        <f t="shared" si="805"/>
        <v>0.21839080459770116</v>
      </c>
      <c r="S617" s="105">
        <f t="shared" ref="S617:S669" si="967">ROUND(N617*Q617/P617,0)</f>
        <v>305922</v>
      </c>
      <c r="T617" s="98">
        <f t="shared" si="809"/>
        <v>39770</v>
      </c>
      <c r="U617" s="70">
        <f t="shared" si="806"/>
        <v>-1.1487688478251101E-7</v>
      </c>
      <c r="V617" s="140">
        <v>0.13</v>
      </c>
      <c r="W617" s="209"/>
      <c r="X617" s="17">
        <v>44564</v>
      </c>
      <c r="Y617" s="12" t="s">
        <v>66</v>
      </c>
      <c r="Z617" s="12"/>
      <c r="AA617" s="12"/>
      <c r="AB617" s="3">
        <v>1</v>
      </c>
    </row>
    <row r="618" spans="1:28" s="3" customFormat="1" ht="14.45" customHeight="1" x14ac:dyDescent="0.25">
      <c r="A618" s="141">
        <v>3</v>
      </c>
      <c r="B618" s="99" t="s">
        <v>140</v>
      </c>
      <c r="C618" s="95" t="str">
        <f>VLOOKUP($F618,Admin!$D$11:$F$19,2,FALSE)</f>
        <v>Kísérleti fejlesztés</v>
      </c>
      <c r="D618" s="138" t="s">
        <v>123</v>
      </c>
      <c r="E618" s="95" t="str">
        <f>VLOOKUP($F618,Admin!$D$11:$F$19,3,FALSE)</f>
        <v>54. Bérköltség - Kutató-fejlesztő munkatárs</v>
      </c>
      <c r="F618" s="139" t="s">
        <v>213</v>
      </c>
      <c r="G618" s="100" t="s">
        <v>180</v>
      </c>
      <c r="H618" s="100" t="s">
        <v>141</v>
      </c>
      <c r="I618" s="139" t="str">
        <f>VLOOKUP($F618,Admin!$D$11:$G$19,4,FALSE)</f>
        <v>K+F munkatárs</v>
      </c>
      <c r="J618" s="100" t="s">
        <v>44</v>
      </c>
      <c r="K618" s="95" t="str">
        <f t="shared" si="807"/>
        <v>2022.02</v>
      </c>
      <c r="L618" s="101" t="s">
        <v>6</v>
      </c>
      <c r="M618" s="96" t="s">
        <v>70</v>
      </c>
      <c r="N618" s="102">
        <v>1344800</v>
      </c>
      <c r="O618" s="97">
        <f t="shared" si="808"/>
        <v>174824</v>
      </c>
      <c r="P618" s="104">
        <v>174</v>
      </c>
      <c r="Q618" s="104">
        <v>38</v>
      </c>
      <c r="R618" s="215">
        <f t="shared" si="805"/>
        <v>0.21839080459770116</v>
      </c>
      <c r="S618" s="105">
        <v>293692</v>
      </c>
      <c r="T618" s="98">
        <f t="shared" si="809"/>
        <v>38180</v>
      </c>
      <c r="U618" s="70">
        <f t="shared" si="806"/>
        <v>-3.4188735481555099E-8</v>
      </c>
      <c r="V618" s="140">
        <v>0.13</v>
      </c>
      <c r="W618" s="209"/>
      <c r="X618" s="17">
        <v>44595</v>
      </c>
      <c r="Y618" s="12" t="s">
        <v>66</v>
      </c>
      <c r="Z618" s="12"/>
      <c r="AA618" s="12"/>
      <c r="AB618" s="3">
        <v>1</v>
      </c>
    </row>
    <row r="619" spans="1:28" s="3" customFormat="1" ht="14.45" customHeight="1" x14ac:dyDescent="0.25">
      <c r="A619" s="141">
        <v>3</v>
      </c>
      <c r="B619" s="99" t="s">
        <v>140</v>
      </c>
      <c r="C619" s="95" t="str">
        <f>VLOOKUP($F619,Admin!$D$11:$F$19,2,FALSE)</f>
        <v>Kísérleti fejlesztés</v>
      </c>
      <c r="D619" s="138" t="s">
        <v>123</v>
      </c>
      <c r="E619" s="95" t="str">
        <f>VLOOKUP($F619,Admin!$D$11:$F$19,3,FALSE)</f>
        <v>54. Bérköltség - Kutató-fejlesztő munkatárs</v>
      </c>
      <c r="F619" s="139" t="s">
        <v>213</v>
      </c>
      <c r="G619" s="100" t="s">
        <v>180</v>
      </c>
      <c r="H619" s="100" t="s">
        <v>141</v>
      </c>
      <c r="I619" s="139" t="str">
        <f>VLOOKUP($F619,Admin!$D$11:$G$19,4,FALSE)</f>
        <v>K+F munkatárs</v>
      </c>
      <c r="J619" s="100" t="s">
        <v>45</v>
      </c>
      <c r="K619" s="95" t="str">
        <f t="shared" si="807"/>
        <v>2022.03</v>
      </c>
      <c r="L619" s="101" t="s">
        <v>6</v>
      </c>
      <c r="M619" s="96" t="s">
        <v>70</v>
      </c>
      <c r="N619" s="102">
        <v>1694800</v>
      </c>
      <c r="O619" s="97">
        <f t="shared" si="808"/>
        <v>220324</v>
      </c>
      <c r="P619" s="104">
        <v>174</v>
      </c>
      <c r="Q619" s="104">
        <v>30</v>
      </c>
      <c r="R619" s="215">
        <f t="shared" si="805"/>
        <v>0.17241379310344829</v>
      </c>
      <c r="S619" s="105">
        <f t="shared" si="967"/>
        <v>292207</v>
      </c>
      <c r="T619" s="98">
        <f t="shared" si="809"/>
        <v>37987</v>
      </c>
      <c r="U619" s="70">
        <f t="shared" si="806"/>
        <v>-6.1038633369925321E-8</v>
      </c>
      <c r="V619" s="140">
        <v>0.13</v>
      </c>
      <c r="W619" s="209"/>
      <c r="X619" s="17">
        <v>44615</v>
      </c>
      <c r="Y619" s="12" t="s">
        <v>66</v>
      </c>
      <c r="Z619" s="12"/>
      <c r="AA619" s="12"/>
      <c r="AB619" s="3">
        <v>1</v>
      </c>
    </row>
    <row r="620" spans="1:28" s="3" customFormat="1" ht="14.45" customHeight="1" x14ac:dyDescent="0.25">
      <c r="A620" s="141">
        <v>3</v>
      </c>
      <c r="B620" s="99" t="s">
        <v>140</v>
      </c>
      <c r="C620" s="95" t="str">
        <f>VLOOKUP($F620,Admin!$D$11:$F$19,2,FALSE)</f>
        <v>Kísérleti fejlesztés</v>
      </c>
      <c r="D620" s="138" t="s">
        <v>123</v>
      </c>
      <c r="E620" s="95" t="str">
        <f>VLOOKUP($F620,Admin!$D$11:$F$19,3,FALSE)</f>
        <v>54. Bérköltség - Kutató-fejlesztő munkatárs</v>
      </c>
      <c r="F620" s="139" t="s">
        <v>213</v>
      </c>
      <c r="G620" s="100" t="s">
        <v>180</v>
      </c>
      <c r="H620" s="100" t="s">
        <v>141</v>
      </c>
      <c r="I620" s="139" t="str">
        <f>VLOOKUP($F620,Admin!$D$11:$G$19,4,FALSE)</f>
        <v>K+F munkatárs</v>
      </c>
      <c r="J620" s="100" t="s">
        <v>46</v>
      </c>
      <c r="K620" s="95" t="str">
        <f t="shared" ref="K620:K633" si="968">J620</f>
        <v>2022.04</v>
      </c>
      <c r="L620" s="101" t="s">
        <v>6</v>
      </c>
      <c r="M620" s="96" t="s">
        <v>70</v>
      </c>
      <c r="N620" s="102">
        <v>1817470</v>
      </c>
      <c r="O620" s="97">
        <f t="shared" ref="O620" si="969">ROUND(N620*V620,0)</f>
        <v>236271</v>
      </c>
      <c r="P620" s="104">
        <v>174</v>
      </c>
      <c r="Q620" s="104">
        <v>30</v>
      </c>
      <c r="R620" s="215">
        <f t="shared" ref="R620" si="970">Q620/P620</f>
        <v>0.17241379310344829</v>
      </c>
      <c r="S620" s="105">
        <f t="shared" ref="S620" si="971">ROUND(N620*Q620/P620,0)</f>
        <v>313357</v>
      </c>
      <c r="T620" s="98">
        <f t="shared" ref="T620" si="972">ROUND(S620*V620,0)</f>
        <v>40736</v>
      </c>
      <c r="U620" s="70">
        <f t="shared" ref="U620" si="973">Q620/P620-S620/N620</f>
        <v>-5.6918835450447958E-8</v>
      </c>
      <c r="V620" s="140">
        <v>0.13</v>
      </c>
      <c r="W620" s="209"/>
      <c r="X620" s="17">
        <v>44644</v>
      </c>
      <c r="Y620" s="12" t="s">
        <v>66</v>
      </c>
      <c r="Z620" s="12"/>
      <c r="AA620" s="12"/>
      <c r="AB620" s="3">
        <v>1</v>
      </c>
    </row>
    <row r="621" spans="1:28" s="3" customFormat="1" ht="14.45" customHeight="1" x14ac:dyDescent="0.25">
      <c r="A621" s="141">
        <v>3</v>
      </c>
      <c r="B621" s="99" t="s">
        <v>140</v>
      </c>
      <c r="C621" s="95" t="str">
        <f>VLOOKUP($F621,Admin!$D$11:$F$19,2,FALSE)</f>
        <v>Kísérleti fejlesztés</v>
      </c>
      <c r="D621" s="138" t="s">
        <v>123</v>
      </c>
      <c r="E621" s="95" t="str">
        <f>VLOOKUP($F621,Admin!$D$11:$F$19,3,FALSE)</f>
        <v>54. Bérköltség - Kutató-fejlesztő munkatárs</v>
      </c>
      <c r="F621" s="139" t="s">
        <v>213</v>
      </c>
      <c r="G621" s="100" t="s">
        <v>180</v>
      </c>
      <c r="H621" s="100" t="s">
        <v>141</v>
      </c>
      <c r="I621" s="139" t="str">
        <f>VLOOKUP($F621,Admin!$D$11:$G$19,4,FALSE)</f>
        <v>K+F munkatárs</v>
      </c>
      <c r="J621" s="100" t="s">
        <v>47</v>
      </c>
      <c r="K621" s="95" t="str">
        <f t="shared" si="968"/>
        <v>2022.05</v>
      </c>
      <c r="L621" s="101" t="s">
        <v>6</v>
      </c>
      <c r="M621" s="96" t="s">
        <v>70</v>
      </c>
      <c r="N621" s="102">
        <v>1817470</v>
      </c>
      <c r="O621" s="97">
        <f t="shared" ref="O621:O633" si="974">ROUND(N621*V621,0)</f>
        <v>236271</v>
      </c>
      <c r="P621" s="104">
        <v>174</v>
      </c>
      <c r="Q621" s="104">
        <v>30</v>
      </c>
      <c r="R621" s="215">
        <f t="shared" ref="R621:R633" si="975">Q621/P621</f>
        <v>0.17241379310344829</v>
      </c>
      <c r="S621" s="105">
        <f t="shared" ref="S621:S633" si="976">ROUND(N621*Q621/P621,0)</f>
        <v>313357</v>
      </c>
      <c r="T621" s="98">
        <f t="shared" ref="T621:T633" si="977">ROUND(S621*V621,0)</f>
        <v>40736</v>
      </c>
      <c r="U621" s="70">
        <f t="shared" ref="U621:U633" si="978">Q621/P621-S621/N621</f>
        <v>-5.6918835450447958E-8</v>
      </c>
      <c r="V621" s="140">
        <v>0.13</v>
      </c>
      <c r="W621" s="209"/>
      <c r="X621" s="17">
        <v>44644</v>
      </c>
      <c r="Y621" s="12" t="s">
        <v>66</v>
      </c>
      <c r="Z621" s="12"/>
      <c r="AA621" s="12"/>
      <c r="AB621" s="3">
        <v>1</v>
      </c>
    </row>
    <row r="622" spans="1:28" s="3" customFormat="1" ht="14.45" customHeight="1" x14ac:dyDescent="0.25">
      <c r="A622" s="141">
        <v>3</v>
      </c>
      <c r="B622" s="99" t="s">
        <v>140</v>
      </c>
      <c r="C622" s="95" t="str">
        <f>VLOOKUP($F622,Admin!$D$11:$F$19,2,FALSE)</f>
        <v>Kísérleti fejlesztés</v>
      </c>
      <c r="D622" s="138" t="s">
        <v>123</v>
      </c>
      <c r="E622" s="95" t="str">
        <f>VLOOKUP($F622,Admin!$D$11:$F$19,3,FALSE)</f>
        <v>54. Bérköltség - Kutató-fejlesztő munkatárs</v>
      </c>
      <c r="F622" s="139" t="s">
        <v>213</v>
      </c>
      <c r="G622" s="100" t="s">
        <v>180</v>
      </c>
      <c r="H622" s="100" t="s">
        <v>141</v>
      </c>
      <c r="I622" s="139" t="str">
        <f>VLOOKUP($F622,Admin!$D$11:$G$19,4,FALSE)</f>
        <v>K+F munkatárs</v>
      </c>
      <c r="J622" s="100" t="s">
        <v>48</v>
      </c>
      <c r="K622" s="95" t="str">
        <f t="shared" si="968"/>
        <v>2022.06</v>
      </c>
      <c r="L622" s="101" t="s">
        <v>6</v>
      </c>
      <c r="M622" s="96" t="s">
        <v>70</v>
      </c>
      <c r="N622" s="102">
        <v>1817470</v>
      </c>
      <c r="O622" s="97">
        <f t="shared" si="974"/>
        <v>236271</v>
      </c>
      <c r="P622" s="104">
        <v>174</v>
      </c>
      <c r="Q622" s="104">
        <v>30</v>
      </c>
      <c r="R622" s="215">
        <f t="shared" si="975"/>
        <v>0.17241379310344829</v>
      </c>
      <c r="S622" s="105">
        <f t="shared" si="976"/>
        <v>313357</v>
      </c>
      <c r="T622" s="98">
        <f t="shared" si="977"/>
        <v>40736</v>
      </c>
      <c r="U622" s="70">
        <f t="shared" si="978"/>
        <v>-5.6918835450447958E-8</v>
      </c>
      <c r="V622" s="140">
        <v>0.13</v>
      </c>
      <c r="W622" s="209"/>
      <c r="X622" s="17">
        <v>44644</v>
      </c>
      <c r="Y622" s="12" t="s">
        <v>66</v>
      </c>
      <c r="Z622" s="12"/>
      <c r="AA622" s="12"/>
      <c r="AB622" s="3">
        <v>1</v>
      </c>
    </row>
    <row r="623" spans="1:28" s="3" customFormat="1" ht="14.45" customHeight="1" x14ac:dyDescent="0.25">
      <c r="A623" s="141">
        <v>3</v>
      </c>
      <c r="B623" s="99" t="s">
        <v>140</v>
      </c>
      <c r="C623" s="95" t="str">
        <f>VLOOKUP($F623,Admin!$D$11:$F$19,2,FALSE)</f>
        <v>Kísérleti fejlesztés</v>
      </c>
      <c r="D623" s="138" t="s">
        <v>123</v>
      </c>
      <c r="E623" s="95" t="str">
        <f>VLOOKUP($F623,Admin!$D$11:$F$19,3,FALSE)</f>
        <v>54. Bérköltség - Kutató-fejlesztő munkatárs</v>
      </c>
      <c r="F623" s="139" t="s">
        <v>213</v>
      </c>
      <c r="G623" s="100" t="s">
        <v>180</v>
      </c>
      <c r="H623" s="100" t="s">
        <v>141</v>
      </c>
      <c r="I623" s="139" t="str">
        <f>VLOOKUP($F623,Admin!$D$11:$G$19,4,FALSE)</f>
        <v>K+F munkatárs</v>
      </c>
      <c r="J623" s="100" t="s">
        <v>49</v>
      </c>
      <c r="K623" s="95" t="str">
        <f t="shared" ref="K623:K624" si="979">J623</f>
        <v>2022.07</v>
      </c>
      <c r="L623" s="101" t="s">
        <v>6</v>
      </c>
      <c r="M623" s="96" t="s">
        <v>70</v>
      </c>
      <c r="N623" s="102">
        <v>1694800</v>
      </c>
      <c r="O623" s="97">
        <f t="shared" ref="O623" si="980">ROUND(N623*V623,0)</f>
        <v>220324</v>
      </c>
      <c r="P623" s="104">
        <v>174</v>
      </c>
      <c r="Q623" s="104">
        <v>31</v>
      </c>
      <c r="R623" s="215">
        <f t="shared" ref="R623" si="981">Q623/P623</f>
        <v>0.17816091954022989</v>
      </c>
      <c r="S623" s="105">
        <f t="shared" ref="S623" si="982">ROUND(N623*Q623/P623,0)</f>
        <v>301947</v>
      </c>
      <c r="T623" s="98">
        <f t="shared" ref="T623" si="983">ROUND(S623*V623,0)</f>
        <v>39253</v>
      </c>
      <c r="U623" s="70">
        <f t="shared" ref="U623" si="984">Q623/P623-S623/N623</f>
        <v>7.4602774152721096E-8</v>
      </c>
      <c r="V623" s="140">
        <v>0.13</v>
      </c>
      <c r="W623" s="209"/>
      <c r="X623" s="17">
        <v>44734</v>
      </c>
      <c r="Y623" s="12" t="s">
        <v>66</v>
      </c>
      <c r="Z623" s="12"/>
      <c r="AA623" s="12"/>
      <c r="AB623" s="3">
        <v>1</v>
      </c>
    </row>
    <row r="624" spans="1:28" s="3" customFormat="1" ht="14.45" customHeight="1" x14ac:dyDescent="0.25">
      <c r="A624" s="141">
        <v>3</v>
      </c>
      <c r="B624" s="99" t="s">
        <v>140</v>
      </c>
      <c r="C624" s="95" t="str">
        <f>VLOOKUP($F624,Admin!$D$11:$F$19,2,FALSE)</f>
        <v>Kísérleti fejlesztés</v>
      </c>
      <c r="D624" s="138" t="s">
        <v>123</v>
      </c>
      <c r="E624" s="95" t="str">
        <f>VLOOKUP($F624,Admin!$D$11:$F$19,3,FALSE)</f>
        <v>54. Bérköltség - Kutató-fejlesztő munkatárs</v>
      </c>
      <c r="F624" s="139" t="s">
        <v>213</v>
      </c>
      <c r="G624" s="100" t="s">
        <v>180</v>
      </c>
      <c r="H624" s="100" t="s">
        <v>141</v>
      </c>
      <c r="I624" s="139" t="str">
        <f>VLOOKUP($F624,Admin!$D$11:$G$19,4,FALSE)</f>
        <v>K+F munkatárs</v>
      </c>
      <c r="J624" s="100" t="s">
        <v>50</v>
      </c>
      <c r="K624" s="95" t="str">
        <f t="shared" si="979"/>
        <v>2022.08</v>
      </c>
      <c r="L624" s="101" t="s">
        <v>6</v>
      </c>
      <c r="M624" s="96" t="s">
        <v>70</v>
      </c>
      <c r="N624" s="102">
        <v>1694800</v>
      </c>
      <c r="O624" s="97">
        <f t="shared" ref="O624" si="985">ROUND(N624*V624,0)</f>
        <v>220324</v>
      </c>
      <c r="P624" s="104">
        <v>174</v>
      </c>
      <c r="Q624" s="104">
        <v>31</v>
      </c>
      <c r="R624" s="215">
        <f t="shared" ref="R624" si="986">Q624/P624</f>
        <v>0.17816091954022989</v>
      </c>
      <c r="S624" s="105">
        <f t="shared" ref="S624" si="987">ROUND(N624*Q624/P624,0)</f>
        <v>301947</v>
      </c>
      <c r="T624" s="98">
        <f t="shared" ref="T624" si="988">ROUND(S624*V624,0)</f>
        <v>39253</v>
      </c>
      <c r="U624" s="70">
        <f t="shared" ref="U624" si="989">Q624/P624-S624/N624</f>
        <v>7.4602774152721096E-8</v>
      </c>
      <c r="V624" s="140">
        <v>0.13</v>
      </c>
      <c r="W624" s="209"/>
      <c r="X624" s="17">
        <v>44734</v>
      </c>
      <c r="Y624" s="12" t="s">
        <v>66</v>
      </c>
      <c r="Z624" s="12"/>
      <c r="AA624" s="12"/>
      <c r="AB624" s="3">
        <v>1</v>
      </c>
    </row>
    <row r="625" spans="1:31" s="3" customFormat="1" ht="14.45" customHeight="1" x14ac:dyDescent="0.25">
      <c r="A625" s="141">
        <v>3</v>
      </c>
      <c r="B625" s="99" t="s">
        <v>140</v>
      </c>
      <c r="C625" s="95" t="str">
        <f>VLOOKUP($F625,Admin!$D$11:$F$19,2,FALSE)</f>
        <v>Kísérleti fejlesztés</v>
      </c>
      <c r="D625" s="138" t="s">
        <v>123</v>
      </c>
      <c r="E625" s="95" t="str">
        <f>VLOOKUP($F625,Admin!$D$11:$F$19,3,FALSE)</f>
        <v>54. Bérköltség - Kutató-fejlesztő munkatárs</v>
      </c>
      <c r="F625" s="139" t="s">
        <v>213</v>
      </c>
      <c r="G625" s="100" t="s">
        <v>180</v>
      </c>
      <c r="H625" s="100" t="s">
        <v>141</v>
      </c>
      <c r="I625" s="139" t="str">
        <f>VLOOKUP($F625,Admin!$D$11:$G$19,4,FALSE)</f>
        <v>K+F munkatárs</v>
      </c>
      <c r="J625" s="100" t="s">
        <v>51</v>
      </c>
      <c r="K625" s="95" t="str">
        <f t="shared" ref="K625:K626" si="990">J625</f>
        <v>2022.09</v>
      </c>
      <c r="L625" s="101" t="s">
        <v>6</v>
      </c>
      <c r="M625" s="96" t="s">
        <v>70</v>
      </c>
      <c r="N625" s="102">
        <v>1788800</v>
      </c>
      <c r="O625" s="97">
        <f t="shared" ref="O625" si="991">ROUND(N625*V625,0)</f>
        <v>232544</v>
      </c>
      <c r="P625" s="104">
        <v>174</v>
      </c>
      <c r="Q625" s="104">
        <v>29</v>
      </c>
      <c r="R625" s="215">
        <f t="shared" ref="R625" si="992">Q625/P625</f>
        <v>0.16666666666666666</v>
      </c>
      <c r="S625" s="105">
        <f t="shared" ref="S625" si="993">ROUND(N625*Q625/P625,0)</f>
        <v>298133</v>
      </c>
      <c r="T625" s="98">
        <f t="shared" ref="T625" si="994">ROUND(S625*V625,0)</f>
        <v>38757</v>
      </c>
      <c r="U625" s="70">
        <f t="shared" ref="U625" si="995">Q625/P625-S625/N625</f>
        <v>1.8634466308897757E-7</v>
      </c>
      <c r="V625" s="140">
        <v>0.13</v>
      </c>
      <c r="W625" s="209"/>
      <c r="X625" s="17">
        <v>44795</v>
      </c>
      <c r="Y625" s="12" t="s">
        <v>66</v>
      </c>
      <c r="Z625" s="12"/>
      <c r="AA625" s="12"/>
      <c r="AB625" s="3">
        <v>1</v>
      </c>
    </row>
    <row r="626" spans="1:31" s="3" customFormat="1" ht="14.45" customHeight="1" x14ac:dyDescent="0.25">
      <c r="A626" s="141">
        <v>3</v>
      </c>
      <c r="B626" s="99" t="s">
        <v>140</v>
      </c>
      <c r="C626" s="95" t="str">
        <f>VLOOKUP($F626,Admin!$D$11:$F$19,2,FALSE)</f>
        <v>Kísérleti fejlesztés</v>
      </c>
      <c r="D626" s="138" t="s">
        <v>123</v>
      </c>
      <c r="E626" s="95" t="str">
        <f>VLOOKUP($F626,Admin!$D$11:$F$19,3,FALSE)</f>
        <v>54. Bérköltség - Kutató-fejlesztő munkatárs</v>
      </c>
      <c r="F626" s="139" t="s">
        <v>213</v>
      </c>
      <c r="G626" s="100" t="s">
        <v>180</v>
      </c>
      <c r="H626" s="100" t="s">
        <v>141</v>
      </c>
      <c r="I626" s="139" t="str">
        <f>VLOOKUP($F626,Admin!$D$11:$G$19,4,FALSE)</f>
        <v>K+F munkatárs</v>
      </c>
      <c r="J626" s="100" t="s">
        <v>52</v>
      </c>
      <c r="K626" s="95" t="str">
        <f t="shared" si="990"/>
        <v>2022.10</v>
      </c>
      <c r="L626" s="101" t="s">
        <v>6</v>
      </c>
      <c r="M626" s="96" t="s">
        <v>70</v>
      </c>
      <c r="N626" s="102">
        <v>1788800</v>
      </c>
      <c r="O626" s="97">
        <f t="shared" ref="O626" si="996">ROUND(N626*V626,0)</f>
        <v>232544</v>
      </c>
      <c r="P626" s="104">
        <v>174</v>
      </c>
      <c r="Q626" s="104">
        <v>29</v>
      </c>
      <c r="R626" s="215">
        <f t="shared" ref="R626" si="997">Q626/P626</f>
        <v>0.16666666666666666</v>
      </c>
      <c r="S626" s="105">
        <f t="shared" ref="S626" si="998">ROUND(N626*Q626/P626,0)</f>
        <v>298133</v>
      </c>
      <c r="T626" s="98">
        <f t="shared" ref="T626" si="999">ROUND(S626*V626,0)</f>
        <v>38757</v>
      </c>
      <c r="U626" s="70">
        <f t="shared" ref="U626" si="1000">Q626/P626-S626/N626</f>
        <v>1.8634466308897757E-7</v>
      </c>
      <c r="V626" s="140">
        <v>0.13</v>
      </c>
      <c r="W626" s="209"/>
      <c r="X626" s="17">
        <v>44795</v>
      </c>
      <c r="Y626" s="12" t="s">
        <v>66</v>
      </c>
      <c r="Z626" s="12"/>
      <c r="AA626" s="12"/>
      <c r="AB626" s="3">
        <v>1</v>
      </c>
    </row>
    <row r="627" spans="1:31" s="3" customFormat="1" ht="14.45" customHeight="1" x14ac:dyDescent="0.25">
      <c r="A627" s="141">
        <v>3</v>
      </c>
      <c r="B627" s="99" t="s">
        <v>140</v>
      </c>
      <c r="C627" s="95" t="str">
        <f>VLOOKUP($F627,Admin!$D$11:$F$19,2,FALSE)</f>
        <v>Kísérleti fejlesztés</v>
      </c>
      <c r="D627" s="138" t="s">
        <v>123</v>
      </c>
      <c r="E627" s="95" t="str">
        <f>VLOOKUP($F627,Admin!$D$11:$F$19,3,FALSE)</f>
        <v>54. Bérköltség - Kutató-fejlesztő munkatárs</v>
      </c>
      <c r="F627" s="139" t="s">
        <v>213</v>
      </c>
      <c r="G627" s="100" t="s">
        <v>180</v>
      </c>
      <c r="H627" s="100" t="s">
        <v>141</v>
      </c>
      <c r="I627" s="139" t="str">
        <f>VLOOKUP($F627,Admin!$D$11:$G$19,4,FALSE)</f>
        <v>K+F munkatárs</v>
      </c>
      <c r="J627" s="100" t="s">
        <v>53</v>
      </c>
      <c r="K627" s="95" t="str">
        <f>J627</f>
        <v>2022.11</v>
      </c>
      <c r="L627" s="101" t="s">
        <v>6</v>
      </c>
      <c r="M627" s="96" t="s">
        <v>70</v>
      </c>
      <c r="N627" s="102">
        <v>1788800</v>
      </c>
      <c r="O627" s="97">
        <f>ROUND(N627*V627,0)</f>
        <v>232544</v>
      </c>
      <c r="P627" s="104">
        <v>174</v>
      </c>
      <c r="Q627" s="104">
        <v>29</v>
      </c>
      <c r="R627" s="215">
        <f>Q627/P627</f>
        <v>0.16666666666666666</v>
      </c>
      <c r="S627" s="105">
        <f>ROUND(N627*Q627/P627,0)</f>
        <v>298133</v>
      </c>
      <c r="T627" s="98">
        <f>ROUND(S627*V627,0)</f>
        <v>38757</v>
      </c>
      <c r="U627" s="70">
        <f>Q627/P627-S627/N627</f>
        <v>1.8634466308897757E-7</v>
      </c>
      <c r="V627" s="140">
        <v>0.13</v>
      </c>
      <c r="W627" s="209" t="s">
        <v>289</v>
      </c>
      <c r="X627" s="17">
        <v>44795</v>
      </c>
      <c r="Y627" s="12" t="s">
        <v>66</v>
      </c>
      <c r="Z627" s="12"/>
      <c r="AA627" s="12"/>
      <c r="AB627" s="3">
        <v>1</v>
      </c>
    </row>
    <row r="628" spans="1:31" s="3" customFormat="1" ht="14.45" customHeight="1" x14ac:dyDescent="0.25">
      <c r="A628" s="141">
        <v>3</v>
      </c>
      <c r="B628" s="99" t="s">
        <v>140</v>
      </c>
      <c r="C628" s="95" t="str">
        <f>VLOOKUP($F628,Admin!$D$11:$F$19,2,FALSE)</f>
        <v>Kísérleti fejlesztés</v>
      </c>
      <c r="D628" s="138" t="s">
        <v>123</v>
      </c>
      <c r="E628" s="95" t="str">
        <f>VLOOKUP($F628,Admin!$D$11:$F$19,3,FALSE)</f>
        <v>54. Bérköltség - Kutató-fejlesztő munkatárs</v>
      </c>
      <c r="F628" s="139" t="s">
        <v>213</v>
      </c>
      <c r="G628" s="100" t="s">
        <v>180</v>
      </c>
      <c r="H628" s="100" t="s">
        <v>141</v>
      </c>
      <c r="I628" s="139" t="str">
        <f>VLOOKUP($F628,Admin!$D$11:$G$19,4,FALSE)</f>
        <v>K+F munkatárs</v>
      </c>
      <c r="J628" s="100" t="s">
        <v>54</v>
      </c>
      <c r="K628" s="95" t="str">
        <f>J628</f>
        <v>2022.12</v>
      </c>
      <c r="L628" s="101" t="s">
        <v>6</v>
      </c>
      <c r="M628" s="96" t="s">
        <v>70</v>
      </c>
      <c r="N628" s="102">
        <v>1886800</v>
      </c>
      <c r="O628" s="97">
        <f>ROUND(N628*V628,0)</f>
        <v>245284</v>
      </c>
      <c r="P628" s="104">
        <v>174</v>
      </c>
      <c r="Q628" s="104">
        <v>29</v>
      </c>
      <c r="R628" s="215">
        <f>Q628/P628</f>
        <v>0.16666666666666666</v>
      </c>
      <c r="S628" s="105">
        <f>ROUND(N628*Q628/P628,0)</f>
        <v>314467</v>
      </c>
      <c r="T628" s="98">
        <f>ROUND(S628*V628,0)</f>
        <v>40881</v>
      </c>
      <c r="U628" s="70">
        <f>Q628/P628-S628/N628</f>
        <v>-1.7666595999998869E-7</v>
      </c>
      <c r="V628" s="140">
        <v>0.13</v>
      </c>
      <c r="W628" s="209" t="s">
        <v>289</v>
      </c>
      <c r="X628" s="17">
        <v>44890</v>
      </c>
      <c r="Y628" s="12" t="s">
        <v>66</v>
      </c>
      <c r="Z628" s="12"/>
      <c r="AA628" s="12"/>
      <c r="AB628" s="3">
        <v>1</v>
      </c>
      <c r="AC628" s="204" t="s">
        <v>315</v>
      </c>
      <c r="AD628" s="205" t="s">
        <v>316</v>
      </c>
      <c r="AE628" s="205" t="s">
        <v>316</v>
      </c>
    </row>
    <row r="629" spans="1:31" s="3" customFormat="1" ht="14.45" customHeight="1" x14ac:dyDescent="0.25">
      <c r="A629" s="141">
        <v>3</v>
      </c>
      <c r="B629" s="99" t="s">
        <v>140</v>
      </c>
      <c r="C629" s="95" t="str">
        <f>VLOOKUP($F629,Admin!$D$11:$F$19,2,FALSE)</f>
        <v>Kísérleti fejlesztés</v>
      </c>
      <c r="D629" s="138" t="s">
        <v>123</v>
      </c>
      <c r="E629" s="95" t="str">
        <f>VLOOKUP($F629,Admin!$D$11:$F$19,3,FALSE)</f>
        <v>54. Bérköltség - Kutató-fejlesztő munkatárs</v>
      </c>
      <c r="F629" s="139" t="s">
        <v>213</v>
      </c>
      <c r="G629" s="100" t="s">
        <v>180</v>
      </c>
      <c r="H629" s="100" t="s">
        <v>141</v>
      </c>
      <c r="I629" s="139" t="str">
        <f>VLOOKUP($F629,Admin!$D$11:$G$19,4,FALSE)</f>
        <v>K+F munkatárs</v>
      </c>
      <c r="J629" s="100" t="s">
        <v>257</v>
      </c>
      <c r="K629" s="95" t="str">
        <f>J629</f>
        <v>2023.01</v>
      </c>
      <c r="L629" s="101" t="s">
        <v>6</v>
      </c>
      <c r="M629" s="96" t="s">
        <v>70</v>
      </c>
      <c r="N629" s="102">
        <v>1935900</v>
      </c>
      <c r="O629" s="97">
        <f>ROUND(N629*V629,0)</f>
        <v>251667</v>
      </c>
      <c r="P629" s="104">
        <v>174</v>
      </c>
      <c r="Q629" s="104">
        <v>27</v>
      </c>
      <c r="R629" s="215">
        <f>Q629/P629</f>
        <v>0.15517241379310345</v>
      </c>
      <c r="S629" s="105">
        <f>ROUND(N629*Q629/P629,0)</f>
        <v>300398</v>
      </c>
      <c r="T629" s="98">
        <f>ROUND(S629*V629,0)</f>
        <v>39052</v>
      </c>
      <c r="U629" s="70">
        <f>Q629/P629-S629/N629</f>
        <v>1.4249809854316453E-7</v>
      </c>
      <c r="V629" s="140">
        <v>0.13</v>
      </c>
      <c r="W629" s="209" t="s">
        <v>289</v>
      </c>
      <c r="X629" s="17">
        <v>44944</v>
      </c>
      <c r="Y629" s="12" t="s">
        <v>66</v>
      </c>
      <c r="Z629" s="12"/>
      <c r="AA629" s="12"/>
      <c r="AB629" s="3">
        <v>1</v>
      </c>
      <c r="AC629" s="204" t="s">
        <v>315</v>
      </c>
      <c r="AD629" s="216">
        <v>0</v>
      </c>
      <c r="AE629" s="216">
        <v>0</v>
      </c>
    </row>
    <row r="630" spans="1:31" s="3" customFormat="1" ht="14.45" customHeight="1" x14ac:dyDescent="0.25">
      <c r="A630" s="141"/>
      <c r="B630" s="99" t="s">
        <v>140</v>
      </c>
      <c r="C630" s="95" t="str">
        <f>VLOOKUP($F630,Admin!$D$11:$F$19,2,FALSE)</f>
        <v>Kísérleti fejlesztés</v>
      </c>
      <c r="D630" s="138" t="s">
        <v>123</v>
      </c>
      <c r="E630" s="95" t="str">
        <f>VLOOKUP($F630,Admin!$D$11:$F$19,3,FALSE)</f>
        <v>54. Bérköltség - Kutató-fejlesztő munkatárs</v>
      </c>
      <c r="F630" s="139" t="s">
        <v>213</v>
      </c>
      <c r="G630" s="100" t="s">
        <v>180</v>
      </c>
      <c r="H630" s="100" t="s">
        <v>141</v>
      </c>
      <c r="I630" s="139" t="str">
        <f>VLOOKUP($F630,Admin!$D$11:$G$19,4,FALSE)</f>
        <v>K+F munkatárs</v>
      </c>
      <c r="J630" s="100" t="s">
        <v>295</v>
      </c>
      <c r="K630" s="95" t="str">
        <f t="shared" ref="K630:K632" si="1001">J630</f>
        <v>2023.02</v>
      </c>
      <c r="L630" s="101" t="s">
        <v>6</v>
      </c>
      <c r="M630" s="96" t="s">
        <v>70</v>
      </c>
      <c r="N630" s="102">
        <v>1837900</v>
      </c>
      <c r="O630" s="97">
        <f t="shared" ref="O630" si="1002">ROUND(N630*V630,0)</f>
        <v>238927</v>
      </c>
      <c r="P630" s="104">
        <v>174</v>
      </c>
      <c r="Q630" s="104">
        <v>48</v>
      </c>
      <c r="R630" s="215">
        <f t="shared" ref="R630" si="1003">Q630/P630</f>
        <v>0.27586206896551724</v>
      </c>
      <c r="S630" s="105">
        <f t="shared" ref="S630" si="1004">ROUND(N630*Q630/P630,0)</f>
        <v>507007</v>
      </c>
      <c r="T630" s="98">
        <f t="shared" ref="T630" si="1005">ROUND(S630*V630,0)</f>
        <v>65911</v>
      </c>
      <c r="U630" s="70">
        <f t="shared" ref="U630" si="1006">Q630/P630-S630/N630</f>
        <v>-5.6286128646831912E-8</v>
      </c>
      <c r="V630" s="140">
        <v>0.13</v>
      </c>
      <c r="W630" s="209" t="s">
        <v>289</v>
      </c>
      <c r="X630" s="17">
        <v>44953</v>
      </c>
      <c r="Y630" s="12" t="s">
        <v>66</v>
      </c>
      <c r="Z630" s="12"/>
      <c r="AA630" s="12"/>
      <c r="AB630" s="3">
        <v>1</v>
      </c>
      <c r="AC630" s="3" t="s">
        <v>315</v>
      </c>
      <c r="AD630" s="3">
        <v>0</v>
      </c>
      <c r="AE630" s="3">
        <v>0</v>
      </c>
    </row>
    <row r="631" spans="1:31" s="3" customFormat="1" ht="14.45" customHeight="1" x14ac:dyDescent="0.25">
      <c r="A631" s="141"/>
      <c r="B631" s="99" t="s">
        <v>140</v>
      </c>
      <c r="C631" s="95" t="str">
        <f>VLOOKUP($F631,Admin!$D$11:$F$19,2,FALSE)</f>
        <v>Kísérleti fejlesztés</v>
      </c>
      <c r="D631" s="138" t="s">
        <v>123</v>
      </c>
      <c r="E631" s="95" t="str">
        <f>VLOOKUP($F631,Admin!$D$11:$F$19,3,FALSE)</f>
        <v>54. Bérköltség - Kutató-fejlesztő munkatárs</v>
      </c>
      <c r="F631" s="139" t="s">
        <v>213</v>
      </c>
      <c r="G631" s="100" t="s">
        <v>180</v>
      </c>
      <c r="H631" s="100" t="s">
        <v>141</v>
      </c>
      <c r="I631" s="139" t="str">
        <f>VLOOKUP($F631,Admin!$D$11:$G$19,4,FALSE)</f>
        <v>K+F munkatárs</v>
      </c>
      <c r="J631" s="100" t="s">
        <v>296</v>
      </c>
      <c r="K631" s="95" t="str">
        <f t="shared" si="1001"/>
        <v>2023.03</v>
      </c>
      <c r="L631" s="101" t="s">
        <v>6</v>
      </c>
      <c r="M631" s="96" t="s">
        <v>70</v>
      </c>
      <c r="N631" s="102">
        <v>1837900</v>
      </c>
      <c r="O631" s="97">
        <f t="shared" ref="O631:O632" si="1007">ROUND(N631*V631,0)</f>
        <v>238927</v>
      </c>
      <c r="P631" s="104">
        <v>174</v>
      </c>
      <c r="Q631" s="104">
        <v>48</v>
      </c>
      <c r="R631" s="215">
        <f t="shared" ref="R631:R632" si="1008">Q631/P631</f>
        <v>0.27586206896551724</v>
      </c>
      <c r="S631" s="105">
        <f t="shared" ref="S631:S632" si="1009">ROUND(N631*Q631/P631,0)</f>
        <v>507007</v>
      </c>
      <c r="T631" s="98">
        <f t="shared" ref="T631:T632" si="1010">ROUND(S631*V631,0)</f>
        <v>65911</v>
      </c>
      <c r="U631" s="70">
        <f t="shared" ref="U631:U632" si="1011">Q631/P631-S631/N631</f>
        <v>-5.6286128646831912E-8</v>
      </c>
      <c r="V631" s="140">
        <v>0.13</v>
      </c>
      <c r="W631" s="209" t="s">
        <v>289</v>
      </c>
      <c r="X631" s="17">
        <v>44953</v>
      </c>
      <c r="Y631" s="12" t="s">
        <v>66</v>
      </c>
      <c r="Z631" s="12"/>
      <c r="AA631" s="12"/>
      <c r="AB631" s="3">
        <v>1</v>
      </c>
      <c r="AC631" s="3" t="s">
        <v>315</v>
      </c>
      <c r="AD631" s="3">
        <v>0</v>
      </c>
      <c r="AE631" s="3">
        <v>0</v>
      </c>
    </row>
    <row r="632" spans="1:31" s="3" customFormat="1" ht="14.45" customHeight="1" x14ac:dyDescent="0.25">
      <c r="A632" s="141"/>
      <c r="B632" s="99" t="s">
        <v>140</v>
      </c>
      <c r="C632" s="95" t="str">
        <f>VLOOKUP($F632,Admin!$D$11:$F$19,2,FALSE)</f>
        <v>Kísérleti fejlesztés</v>
      </c>
      <c r="D632" s="138" t="s">
        <v>123</v>
      </c>
      <c r="E632" s="95" t="str">
        <f>VLOOKUP($F632,Admin!$D$11:$F$19,3,FALSE)</f>
        <v>54. Bérköltség - Kutató-fejlesztő munkatárs</v>
      </c>
      <c r="F632" s="139" t="s">
        <v>213</v>
      </c>
      <c r="G632" s="100" t="s">
        <v>180</v>
      </c>
      <c r="H632" s="100" t="s">
        <v>141</v>
      </c>
      <c r="I632" s="139" t="str">
        <f>VLOOKUP($F632,Admin!$D$11:$G$19,4,FALSE)</f>
        <v>K+F munkatárs</v>
      </c>
      <c r="J632" s="100" t="s">
        <v>297</v>
      </c>
      <c r="K632" s="95" t="str">
        <f t="shared" si="1001"/>
        <v>2023.04</v>
      </c>
      <c r="L632" s="101" t="s">
        <v>7</v>
      </c>
      <c r="M632" s="96" t="s">
        <v>70</v>
      </c>
      <c r="N632" s="102">
        <v>1837900</v>
      </c>
      <c r="O632" s="97">
        <f t="shared" si="1007"/>
        <v>238927</v>
      </c>
      <c r="P632" s="104">
        <v>174</v>
      </c>
      <c r="Q632" s="104">
        <v>48</v>
      </c>
      <c r="R632" s="215">
        <f t="shared" si="1008"/>
        <v>0.27586206896551724</v>
      </c>
      <c r="S632" s="105">
        <f t="shared" si="1009"/>
        <v>507007</v>
      </c>
      <c r="T632" s="98">
        <f t="shared" si="1010"/>
        <v>65911</v>
      </c>
      <c r="U632" s="70">
        <f t="shared" si="1011"/>
        <v>-5.6286128646831912E-8</v>
      </c>
      <c r="V632" s="140">
        <v>0.13</v>
      </c>
      <c r="W632" s="209" t="s">
        <v>289</v>
      </c>
      <c r="X632" s="17">
        <v>44953</v>
      </c>
      <c r="Y632" s="12" t="s">
        <v>66</v>
      </c>
      <c r="Z632" s="12"/>
      <c r="AA632" s="12"/>
      <c r="AC632" s="204"/>
      <c r="AD632" s="205"/>
      <c r="AE632" s="205"/>
    </row>
    <row r="633" spans="1:31" s="3" customFormat="1" ht="14.45" customHeight="1" x14ac:dyDescent="0.25">
      <c r="A633" s="141">
        <v>3</v>
      </c>
      <c r="B633" s="99" t="s">
        <v>245</v>
      </c>
      <c r="C633" s="95" t="str">
        <f>VLOOKUP($F633,Admin!$D$11:$F$19,2,FALSE)</f>
        <v>Kísérleti fejlesztés</v>
      </c>
      <c r="D633" s="138" t="s">
        <v>123</v>
      </c>
      <c r="E633" s="95" t="str">
        <f>VLOOKUP($F633,Admin!$D$11:$F$19,3,FALSE)</f>
        <v>54. Bérköltség - Kutató-fejlesztő munkatárs</v>
      </c>
      <c r="F633" s="139" t="s">
        <v>213</v>
      </c>
      <c r="G633" s="100" t="s">
        <v>180</v>
      </c>
      <c r="H633" s="100" t="s">
        <v>141</v>
      </c>
      <c r="I633" s="139" t="str">
        <f>VLOOKUP($F633,Admin!$D$11:$G$19,4,FALSE)</f>
        <v>K+F munkatárs</v>
      </c>
      <c r="J633" s="100" t="s">
        <v>48</v>
      </c>
      <c r="K633" s="95" t="str">
        <f t="shared" si="968"/>
        <v>2022.06</v>
      </c>
      <c r="L633" s="101" t="s">
        <v>6</v>
      </c>
      <c r="M633" s="96" t="s">
        <v>70</v>
      </c>
      <c r="N633" s="102">
        <v>556300</v>
      </c>
      <c r="O633" s="97">
        <f t="shared" si="974"/>
        <v>72319</v>
      </c>
      <c r="P633" s="104">
        <v>174</v>
      </c>
      <c r="Q633" s="104">
        <v>110</v>
      </c>
      <c r="R633" s="215">
        <f t="shared" si="975"/>
        <v>0.63218390804597702</v>
      </c>
      <c r="S633" s="105">
        <f t="shared" si="976"/>
        <v>351684</v>
      </c>
      <c r="T633" s="98">
        <f t="shared" si="977"/>
        <v>45719</v>
      </c>
      <c r="U633" s="70">
        <f t="shared" si="978"/>
        <v>-1.6529574509149825E-7</v>
      </c>
      <c r="V633" s="140">
        <v>0.13</v>
      </c>
      <c r="W633" s="209"/>
      <c r="X633" s="17">
        <v>44712</v>
      </c>
      <c r="Y633" s="12" t="s">
        <v>66</v>
      </c>
      <c r="Z633" s="12"/>
      <c r="AA633" s="12"/>
      <c r="AB633" s="3">
        <v>1</v>
      </c>
    </row>
    <row r="634" spans="1:31" s="3" customFormat="1" ht="14.45" customHeight="1" x14ac:dyDescent="0.25">
      <c r="A634" s="141">
        <v>3</v>
      </c>
      <c r="B634" s="99" t="s">
        <v>245</v>
      </c>
      <c r="C634" s="95" t="str">
        <f>VLOOKUP($F634,Admin!$D$11:$F$19,2,FALSE)</f>
        <v>Kísérleti fejlesztés</v>
      </c>
      <c r="D634" s="138" t="s">
        <v>123</v>
      </c>
      <c r="E634" s="95" t="str">
        <f>VLOOKUP($F634,Admin!$D$11:$F$19,3,FALSE)</f>
        <v>54. Bérköltség - Kutató-fejlesztő munkatárs</v>
      </c>
      <c r="F634" s="139" t="s">
        <v>213</v>
      </c>
      <c r="G634" s="100" t="s">
        <v>180</v>
      </c>
      <c r="H634" s="100" t="s">
        <v>141</v>
      </c>
      <c r="I634" s="139" t="str">
        <f>VLOOKUP($F634,Admin!$D$11:$G$19,4,FALSE)</f>
        <v>K+F munkatárs</v>
      </c>
      <c r="J634" s="100" t="s">
        <v>49</v>
      </c>
      <c r="K634" s="95" t="str">
        <f t="shared" ref="K634:K646" si="1012">J634</f>
        <v>2022.07</v>
      </c>
      <c r="L634" s="101" t="s">
        <v>6</v>
      </c>
      <c r="M634" s="96" t="s">
        <v>70</v>
      </c>
      <c r="N634" s="102">
        <v>564300</v>
      </c>
      <c r="O634" s="97">
        <f t="shared" ref="O634" si="1013">ROUND(N634*V634,0)</f>
        <v>73359</v>
      </c>
      <c r="P634" s="104">
        <v>174</v>
      </c>
      <c r="Q634" s="104">
        <v>108</v>
      </c>
      <c r="R634" s="215">
        <f t="shared" ref="R634" si="1014">Q634/P634</f>
        <v>0.62068965517241381</v>
      </c>
      <c r="S634" s="105">
        <f t="shared" ref="S634" si="1015">ROUND(N634*Q634/P634,0)</f>
        <v>350255</v>
      </c>
      <c r="T634" s="98">
        <f t="shared" ref="T634" si="1016">ROUND(S634*V634,0)</f>
        <v>45533</v>
      </c>
      <c r="U634" s="70">
        <f t="shared" ref="U634" si="1017">Q634/P634-S634/N634</f>
        <v>3.0553569574376382E-7</v>
      </c>
      <c r="V634" s="140">
        <v>0.13</v>
      </c>
      <c r="W634" s="209"/>
      <c r="X634" s="17">
        <v>44734</v>
      </c>
      <c r="Y634" s="12" t="s">
        <v>66</v>
      </c>
      <c r="Z634" s="12"/>
      <c r="AA634" s="12"/>
      <c r="AB634" s="3">
        <v>1</v>
      </c>
    </row>
    <row r="635" spans="1:31" s="3" customFormat="1" ht="14.45" customHeight="1" x14ac:dyDescent="0.25">
      <c r="A635" s="141">
        <v>3</v>
      </c>
      <c r="B635" s="99" t="s">
        <v>245</v>
      </c>
      <c r="C635" s="95" t="str">
        <f>VLOOKUP($F635,Admin!$D$11:$F$19,2,FALSE)</f>
        <v>Kísérleti fejlesztés</v>
      </c>
      <c r="D635" s="138" t="s">
        <v>123</v>
      </c>
      <c r="E635" s="95" t="str">
        <f>VLOOKUP($F635,Admin!$D$11:$F$19,3,FALSE)</f>
        <v>54. Bérköltség - Kutató-fejlesztő munkatárs</v>
      </c>
      <c r="F635" s="139" t="s">
        <v>213</v>
      </c>
      <c r="G635" s="100" t="s">
        <v>180</v>
      </c>
      <c r="H635" s="100" t="s">
        <v>141</v>
      </c>
      <c r="I635" s="139" t="str">
        <f>VLOOKUP($F635,Admin!$D$11:$G$19,4,FALSE)</f>
        <v>K+F munkatárs</v>
      </c>
      <c r="J635" s="100" t="s">
        <v>50</v>
      </c>
      <c r="K635" s="95" t="str">
        <f t="shared" si="1012"/>
        <v>2022.08</v>
      </c>
      <c r="L635" s="101" t="s">
        <v>6</v>
      </c>
      <c r="M635" s="96" t="s">
        <v>70</v>
      </c>
      <c r="N635" s="102">
        <v>441626</v>
      </c>
      <c r="O635" s="97">
        <f t="shared" ref="O635:O637" si="1018">ROUND(N635*V635,0)</f>
        <v>57411</v>
      </c>
      <c r="P635" s="104">
        <v>174</v>
      </c>
      <c r="Q635" s="104">
        <v>108</v>
      </c>
      <c r="R635" s="215">
        <f t="shared" ref="R635:R637" si="1019">Q635/P635</f>
        <v>0.62068965517241381</v>
      </c>
      <c r="S635" s="105">
        <f t="shared" ref="S635:S637" si="1020">ROUND(N635*Q635/P635,0)</f>
        <v>274113</v>
      </c>
      <c r="T635" s="98">
        <f t="shared" ref="T635:T637" si="1021">ROUND(S635*V635,0)</f>
        <v>35635</v>
      </c>
      <c r="U635" s="70">
        <f t="shared" ref="U635:U637" si="1022">Q635/P635-S635/N635</f>
        <v>-7.0273223851113897E-7</v>
      </c>
      <c r="V635" s="140">
        <v>0.13</v>
      </c>
      <c r="W635" s="209"/>
      <c r="X635" s="17">
        <v>44734</v>
      </c>
      <c r="Y635" s="12" t="s">
        <v>66</v>
      </c>
      <c r="Z635" s="12"/>
      <c r="AA635" s="12"/>
      <c r="AB635" s="3">
        <v>1</v>
      </c>
    </row>
    <row r="636" spans="1:31" s="3" customFormat="1" ht="14.45" customHeight="1" x14ac:dyDescent="0.25">
      <c r="A636" s="141">
        <v>3</v>
      </c>
      <c r="B636" s="99" t="s">
        <v>245</v>
      </c>
      <c r="C636" s="95" t="str">
        <f>VLOOKUP($F636,Admin!$D$11:$F$19,2,FALSE)</f>
        <v>Kísérleti fejlesztés</v>
      </c>
      <c r="D636" s="138" t="s">
        <v>123</v>
      </c>
      <c r="E636" s="95" t="str">
        <f>VLOOKUP($F636,Admin!$D$11:$F$19,3,FALSE)</f>
        <v>54. Bérköltség - Kutató-fejlesztő munkatárs</v>
      </c>
      <c r="F636" s="139" t="s">
        <v>213</v>
      </c>
      <c r="G636" s="100" t="s">
        <v>180</v>
      </c>
      <c r="H636" s="100" t="s">
        <v>141</v>
      </c>
      <c r="I636" s="139" t="str">
        <f>VLOOKUP($F636,Admin!$D$11:$G$19,4,FALSE)</f>
        <v>K+F munkatárs</v>
      </c>
      <c r="J636" s="100" t="s">
        <v>51</v>
      </c>
      <c r="K636" s="95" t="str">
        <f t="shared" si="1012"/>
        <v>2022.09</v>
      </c>
      <c r="L636" s="101" t="s">
        <v>6</v>
      </c>
      <c r="M636" s="96" t="s">
        <v>70</v>
      </c>
      <c r="N636" s="102">
        <v>564300</v>
      </c>
      <c r="O636" s="97">
        <f t="shared" si="1018"/>
        <v>73359</v>
      </c>
      <c r="P636" s="104">
        <v>174</v>
      </c>
      <c r="Q636" s="104">
        <v>108</v>
      </c>
      <c r="R636" s="215">
        <f t="shared" si="1019"/>
        <v>0.62068965517241381</v>
      </c>
      <c r="S636" s="105">
        <f t="shared" si="1020"/>
        <v>350255</v>
      </c>
      <c r="T636" s="98">
        <f t="shared" si="1021"/>
        <v>45533</v>
      </c>
      <c r="U636" s="70">
        <f t="shared" si="1022"/>
        <v>3.0553569574376382E-7</v>
      </c>
      <c r="V636" s="140">
        <v>0.13</v>
      </c>
      <c r="W636" s="209"/>
      <c r="X636" s="17">
        <v>44734</v>
      </c>
      <c r="Y636" s="12" t="s">
        <v>66</v>
      </c>
      <c r="Z636" s="12"/>
      <c r="AA636" s="12"/>
      <c r="AB636" s="3">
        <v>1</v>
      </c>
    </row>
    <row r="637" spans="1:31" s="3" customFormat="1" ht="14.45" customHeight="1" x14ac:dyDescent="0.25">
      <c r="A637" s="141">
        <v>3</v>
      </c>
      <c r="B637" s="99" t="s">
        <v>245</v>
      </c>
      <c r="C637" s="95" t="str">
        <f>VLOOKUP($F637,Admin!$D$11:$F$19,2,FALSE)</f>
        <v>Kísérleti fejlesztés</v>
      </c>
      <c r="D637" s="138" t="s">
        <v>123</v>
      </c>
      <c r="E637" s="95" t="str">
        <f>VLOOKUP($F637,Admin!$D$11:$F$19,3,FALSE)</f>
        <v>54. Bérköltség - Kutató-fejlesztő munkatárs</v>
      </c>
      <c r="F637" s="139" t="s">
        <v>213</v>
      </c>
      <c r="G637" s="100" t="s">
        <v>180</v>
      </c>
      <c r="H637" s="100" t="s">
        <v>141</v>
      </c>
      <c r="I637" s="139" t="str">
        <f>VLOOKUP($F637,Admin!$D$11:$G$19,4,FALSE)</f>
        <v>K+F munkatárs</v>
      </c>
      <c r="J637" s="100" t="s">
        <v>52</v>
      </c>
      <c r="K637" s="95" t="str">
        <f t="shared" si="1012"/>
        <v>2022.10</v>
      </c>
      <c r="L637" s="101" t="s">
        <v>6</v>
      </c>
      <c r="M637" s="96" t="s">
        <v>70</v>
      </c>
      <c r="N637" s="102">
        <v>594639</v>
      </c>
      <c r="O637" s="97">
        <f t="shared" si="1018"/>
        <v>77303</v>
      </c>
      <c r="P637" s="104">
        <v>174</v>
      </c>
      <c r="Q637" s="104">
        <v>102</v>
      </c>
      <c r="R637" s="215">
        <f t="shared" si="1019"/>
        <v>0.58620689655172409</v>
      </c>
      <c r="S637" s="105">
        <f t="shared" si="1020"/>
        <v>348581</v>
      </c>
      <c r="T637" s="98">
        <f t="shared" si="1021"/>
        <v>45316</v>
      </c>
      <c r="U637" s="70">
        <f t="shared" si="1022"/>
        <v>8.1185159506169668E-7</v>
      </c>
      <c r="V637" s="140">
        <v>0.13</v>
      </c>
      <c r="W637" s="209"/>
      <c r="X637" s="17">
        <v>44826</v>
      </c>
      <c r="Y637" s="12" t="s">
        <v>66</v>
      </c>
      <c r="Z637" s="12"/>
      <c r="AA637" s="12"/>
      <c r="AB637" s="3">
        <v>1</v>
      </c>
    </row>
    <row r="638" spans="1:31" s="3" customFormat="1" ht="14.45" customHeight="1" x14ac:dyDescent="0.25">
      <c r="A638" s="141">
        <v>3</v>
      </c>
      <c r="B638" s="99" t="s">
        <v>245</v>
      </c>
      <c r="C638" s="95" t="str">
        <f>VLOOKUP($F638,Admin!$D$11:$F$19,2,FALSE)</f>
        <v>Kísérleti fejlesztés</v>
      </c>
      <c r="D638" s="138" t="s">
        <v>123</v>
      </c>
      <c r="E638" s="95" t="str">
        <f>VLOOKUP($F638,Admin!$D$11:$F$19,3,FALSE)</f>
        <v>54. Bérköltség - Kutató-fejlesztő munkatárs</v>
      </c>
      <c r="F638" s="139" t="s">
        <v>213</v>
      </c>
      <c r="G638" s="100" t="s">
        <v>180</v>
      </c>
      <c r="H638" s="100" t="s">
        <v>141</v>
      </c>
      <c r="I638" s="139" t="str">
        <f>VLOOKUP($F638,Admin!$D$11:$G$19,4,FALSE)</f>
        <v>K+F munkatárs</v>
      </c>
      <c r="J638" s="100" t="s">
        <v>53</v>
      </c>
      <c r="K638" s="95" t="str">
        <f t="shared" si="1012"/>
        <v>2022.11</v>
      </c>
      <c r="L638" s="101" t="s">
        <v>6</v>
      </c>
      <c r="M638" s="96" t="s">
        <v>70</v>
      </c>
      <c r="N638" s="102">
        <v>594638</v>
      </c>
      <c r="O638" s="97">
        <f t="shared" ref="O638:O639" si="1023">ROUND(N638*V638,0)</f>
        <v>77303</v>
      </c>
      <c r="P638" s="104">
        <v>174</v>
      </c>
      <c r="Q638" s="104">
        <v>102</v>
      </c>
      <c r="R638" s="215">
        <f t="shared" ref="R638:R644" si="1024">Q638/P638</f>
        <v>0.58620689655172409</v>
      </c>
      <c r="S638" s="105">
        <f t="shared" ref="S638:S644" si="1025">ROUND(N638*Q638/P638,0)</f>
        <v>348581</v>
      </c>
      <c r="T638" s="98">
        <f t="shared" ref="T638:T639" si="1026">ROUND(S638*V638,0)</f>
        <v>45316</v>
      </c>
      <c r="U638" s="70">
        <f t="shared" ref="U638:U644" si="1027">Q638/P638-S638/N638</f>
        <v>-1.7396849161244177E-7</v>
      </c>
      <c r="V638" s="140">
        <v>0.13</v>
      </c>
      <c r="W638" s="209" t="s">
        <v>290</v>
      </c>
      <c r="X638" s="17">
        <v>44826</v>
      </c>
      <c r="Y638" s="12" t="s">
        <v>66</v>
      </c>
      <c r="Z638" s="12"/>
      <c r="AA638" s="12"/>
      <c r="AB638" s="3">
        <v>1</v>
      </c>
    </row>
    <row r="639" spans="1:31" s="3" customFormat="1" ht="14.45" customHeight="1" x14ac:dyDescent="0.25">
      <c r="A639" s="141">
        <v>3</v>
      </c>
      <c r="B639" s="99" t="s">
        <v>245</v>
      </c>
      <c r="C639" s="95" t="str">
        <f>VLOOKUP($F639,Admin!$D$11:$F$19,2,FALSE)</f>
        <v>Kísérleti fejlesztés</v>
      </c>
      <c r="D639" s="138" t="s">
        <v>123</v>
      </c>
      <c r="E639" s="95" t="str">
        <f>VLOOKUP($F639,Admin!$D$11:$F$19,3,FALSE)</f>
        <v>54. Bérköltség - Kutató-fejlesztő munkatárs</v>
      </c>
      <c r="F639" s="139" t="s">
        <v>213</v>
      </c>
      <c r="G639" s="100" t="s">
        <v>180</v>
      </c>
      <c r="H639" s="100" t="s">
        <v>141</v>
      </c>
      <c r="I639" s="139" t="str">
        <f>VLOOKUP($F639,Admin!$D$11:$G$19,4,FALSE)</f>
        <v>K+F munkatárs</v>
      </c>
      <c r="J639" s="100" t="s">
        <v>54</v>
      </c>
      <c r="K639" s="95" t="str">
        <f t="shared" si="1012"/>
        <v>2022.12</v>
      </c>
      <c r="L639" s="101" t="s">
        <v>6</v>
      </c>
      <c r="M639" s="96" t="s">
        <v>70</v>
      </c>
      <c r="N639" s="102">
        <v>594639</v>
      </c>
      <c r="O639" s="97">
        <f t="shared" si="1023"/>
        <v>77303</v>
      </c>
      <c r="P639" s="104">
        <v>174</v>
      </c>
      <c r="Q639" s="104">
        <v>102</v>
      </c>
      <c r="R639" s="215">
        <f t="shared" si="1024"/>
        <v>0.58620689655172409</v>
      </c>
      <c r="S639" s="105">
        <f t="shared" si="1025"/>
        <v>348581</v>
      </c>
      <c r="T639" s="98">
        <f t="shared" si="1026"/>
        <v>45316</v>
      </c>
      <c r="U639" s="70">
        <f t="shared" si="1027"/>
        <v>8.1185159506169668E-7</v>
      </c>
      <c r="V639" s="140">
        <v>0.13</v>
      </c>
      <c r="W639" s="209" t="s">
        <v>290</v>
      </c>
      <c r="X639" s="17">
        <v>44826</v>
      </c>
      <c r="Y639" s="12" t="s">
        <v>66</v>
      </c>
      <c r="Z639" s="12"/>
      <c r="AA639" s="12"/>
      <c r="AB639" s="3">
        <v>1</v>
      </c>
      <c r="AC639" s="204" t="s">
        <v>315</v>
      </c>
      <c r="AD639" s="204" t="s">
        <v>315</v>
      </c>
      <c r="AE639" s="204" t="s">
        <v>315</v>
      </c>
    </row>
    <row r="640" spans="1:31" s="3" customFormat="1" ht="14.45" customHeight="1" x14ac:dyDescent="0.25">
      <c r="A640" s="141">
        <v>3</v>
      </c>
      <c r="B640" s="99" t="s">
        <v>245</v>
      </c>
      <c r="C640" s="95" t="str">
        <f>VLOOKUP($F640,Admin!$D$11:$F$19,2,FALSE)</f>
        <v>Kísérleti fejlesztés</v>
      </c>
      <c r="D640" s="138" t="s">
        <v>123</v>
      </c>
      <c r="E640" s="95" t="str">
        <f>VLOOKUP($F640,Admin!$D$11:$F$19,3,FALSE)</f>
        <v>54. Bérköltség - Kutató-fejlesztő munkatárs</v>
      </c>
      <c r="F640" s="139" t="s">
        <v>213</v>
      </c>
      <c r="G640" s="100" t="s">
        <v>180</v>
      </c>
      <c r="H640" s="100" t="s">
        <v>141</v>
      </c>
      <c r="I640" s="139" t="str">
        <f>VLOOKUP($F640,Admin!$D$11:$G$19,4,FALSE)</f>
        <v>K+F munkatárs</v>
      </c>
      <c r="J640" s="100" t="s">
        <v>257</v>
      </c>
      <c r="K640" s="95" t="str">
        <f t="shared" ref="K640" si="1028">J640</f>
        <v>2023.01</v>
      </c>
      <c r="L640" s="101" t="s">
        <v>6</v>
      </c>
      <c r="M640" s="96" t="s">
        <v>70</v>
      </c>
      <c r="N640" s="102">
        <v>620699</v>
      </c>
      <c r="O640" s="97">
        <f t="shared" ref="O640" si="1029">ROUND(N640*V640,0)</f>
        <v>80691</v>
      </c>
      <c r="P640" s="104">
        <v>174</v>
      </c>
      <c r="Q640" s="104">
        <v>94</v>
      </c>
      <c r="R640" s="215">
        <f t="shared" ref="R640" si="1030">Q640/P640</f>
        <v>0.54022988505747127</v>
      </c>
      <c r="S640" s="105">
        <f t="shared" ref="S640" si="1031">ROUND(N640*Q640/P640,0)</f>
        <v>335320</v>
      </c>
      <c r="T640" s="98">
        <f t="shared" ref="T640" si="1032">ROUND(S640*V640,0)</f>
        <v>43592</v>
      </c>
      <c r="U640" s="70">
        <f t="shared" ref="U640" si="1033">Q640/P640-S640/N640</f>
        <v>2.4073711635264061E-7</v>
      </c>
      <c r="V640" s="140">
        <v>0.13</v>
      </c>
      <c r="W640" s="209" t="s">
        <v>290</v>
      </c>
      <c r="X640" s="17">
        <v>44932</v>
      </c>
      <c r="Y640" s="12" t="s">
        <v>66</v>
      </c>
      <c r="Z640" s="12"/>
      <c r="AA640" s="12"/>
      <c r="AB640" s="3">
        <v>1</v>
      </c>
      <c r="AC640" s="204" t="s">
        <v>315</v>
      </c>
      <c r="AD640" s="216">
        <v>0</v>
      </c>
      <c r="AE640" s="216">
        <v>0</v>
      </c>
    </row>
    <row r="641" spans="1:31" s="3" customFormat="1" ht="14.45" customHeight="1" x14ac:dyDescent="0.25">
      <c r="A641" s="141"/>
      <c r="B641" s="99" t="s">
        <v>245</v>
      </c>
      <c r="C641" s="95" t="str">
        <f>VLOOKUP($F641,Admin!$D$11:$F$19,2,FALSE)</f>
        <v>Kísérleti fejlesztés</v>
      </c>
      <c r="D641" s="138" t="s">
        <v>123</v>
      </c>
      <c r="E641" s="95" t="str">
        <f>VLOOKUP($F641,Admin!$D$11:$F$19,3,FALSE)</f>
        <v>54. Bérköltség - Kutató-fejlesztő munkatárs</v>
      </c>
      <c r="F641" s="139" t="s">
        <v>213</v>
      </c>
      <c r="G641" s="100" t="s">
        <v>180</v>
      </c>
      <c r="H641" s="100" t="s">
        <v>141</v>
      </c>
      <c r="I641" s="139" t="str">
        <f>VLOOKUP($F641,Admin!$D$11:$G$19,4,FALSE)</f>
        <v>K+F munkatárs</v>
      </c>
      <c r="J641" s="100" t="s">
        <v>295</v>
      </c>
      <c r="K641" s="95" t="str">
        <f t="shared" ref="K641:K643" si="1034">J641</f>
        <v>2023.02</v>
      </c>
      <c r="L641" s="101" t="s">
        <v>6</v>
      </c>
      <c r="M641" s="96" t="s">
        <v>70</v>
      </c>
      <c r="N641" s="102">
        <v>589665</v>
      </c>
      <c r="O641" s="97">
        <f t="shared" ref="O641" si="1035">ROUND(N641*V641,0)</f>
        <v>76656</v>
      </c>
      <c r="P641" s="104">
        <v>174</v>
      </c>
      <c r="Q641" s="104">
        <v>150</v>
      </c>
      <c r="R641" s="215">
        <f t="shared" ref="R641" si="1036">Q641/P641</f>
        <v>0.86206896551724133</v>
      </c>
      <c r="S641" s="105">
        <f t="shared" ref="S641" si="1037">ROUND(N641*Q641/P641,0)</f>
        <v>508332</v>
      </c>
      <c r="T641" s="98">
        <f t="shared" ref="T641" si="1038">ROUND(S641*V641,0)</f>
        <v>66083</v>
      </c>
      <c r="U641" s="70">
        <f t="shared" ref="U641" si="1039">Q641/P641-S641/N641</f>
        <v>-1.7543567265576598E-7</v>
      </c>
      <c r="V641" s="140">
        <v>0.13</v>
      </c>
      <c r="W641" s="209" t="s">
        <v>290</v>
      </c>
      <c r="X641" s="17">
        <v>44953</v>
      </c>
      <c r="Y641" s="12" t="s">
        <v>66</v>
      </c>
      <c r="Z641" s="12"/>
      <c r="AA641" s="12"/>
      <c r="AB641" s="3">
        <v>1</v>
      </c>
      <c r="AC641" s="3" t="s">
        <v>315</v>
      </c>
      <c r="AD641" s="3">
        <v>27369</v>
      </c>
      <c r="AE641" s="3">
        <v>3559</v>
      </c>
    </row>
    <row r="642" spans="1:31" s="3" customFormat="1" ht="14.45" customHeight="1" x14ac:dyDescent="0.25">
      <c r="A642" s="141"/>
      <c r="B642" s="99" t="s">
        <v>245</v>
      </c>
      <c r="C642" s="95" t="str">
        <f>VLOOKUP($F642,Admin!$D$11:$F$19,2,FALSE)</f>
        <v>Kísérleti fejlesztés</v>
      </c>
      <c r="D642" s="138" t="s">
        <v>123</v>
      </c>
      <c r="E642" s="95" t="str">
        <f>VLOOKUP($F642,Admin!$D$11:$F$19,3,FALSE)</f>
        <v>54. Bérköltség - Kutató-fejlesztő munkatárs</v>
      </c>
      <c r="F642" s="139" t="s">
        <v>213</v>
      </c>
      <c r="G642" s="100" t="s">
        <v>180</v>
      </c>
      <c r="H642" s="100" t="s">
        <v>141</v>
      </c>
      <c r="I642" s="139" t="str">
        <f>VLOOKUP($F642,Admin!$D$11:$G$19,4,FALSE)</f>
        <v>K+F munkatárs</v>
      </c>
      <c r="J642" s="100" t="s">
        <v>296</v>
      </c>
      <c r="K642" s="95" t="str">
        <f t="shared" si="1034"/>
        <v>2023.03</v>
      </c>
      <c r="L642" s="101" t="s">
        <v>6</v>
      </c>
      <c r="M642" s="96" t="s">
        <v>70</v>
      </c>
      <c r="N642" s="102">
        <v>617034</v>
      </c>
      <c r="O642" s="97">
        <f t="shared" ref="O642:O643" si="1040">ROUND(N642*V642,0)</f>
        <v>80214</v>
      </c>
      <c r="P642" s="104">
        <v>174</v>
      </c>
      <c r="Q642" s="104">
        <v>150</v>
      </c>
      <c r="R642" s="215">
        <f t="shared" ref="R642:R643" si="1041">Q642/P642</f>
        <v>0.86206896551724133</v>
      </c>
      <c r="S642" s="105">
        <f t="shared" ref="S642:S643" si="1042">ROUND(N642*Q642/P642,0)</f>
        <v>531926</v>
      </c>
      <c r="T642" s="98">
        <f t="shared" ref="T642:T643" si="1043">ROUND(S642*V642,0)</f>
        <v>69150</v>
      </c>
      <c r="U642" s="70">
        <f t="shared" ref="U642:U643" si="1044">Q642/P642-S642/N642</f>
        <v>-2.2353879125525111E-7</v>
      </c>
      <c r="V642" s="140">
        <v>0.13</v>
      </c>
      <c r="W642" s="209" t="s">
        <v>290</v>
      </c>
      <c r="X642" s="17">
        <v>44953</v>
      </c>
      <c r="Y642" s="12" t="s">
        <v>66</v>
      </c>
      <c r="Z642" s="12"/>
      <c r="AA642" s="12"/>
      <c r="AB642" s="3">
        <v>1</v>
      </c>
      <c r="AC642" s="3" t="s">
        <v>315</v>
      </c>
      <c r="AD642" s="3">
        <v>0</v>
      </c>
      <c r="AE642" s="219">
        <v>1</v>
      </c>
    </row>
    <row r="643" spans="1:31" s="3" customFormat="1" ht="14.45" customHeight="1" x14ac:dyDescent="0.25">
      <c r="A643" s="141"/>
      <c r="B643" s="99" t="s">
        <v>245</v>
      </c>
      <c r="C643" s="95" t="str">
        <f>VLOOKUP($F643,Admin!$D$11:$F$19,2,FALSE)</f>
        <v>Kísérleti fejlesztés</v>
      </c>
      <c r="D643" s="138" t="s">
        <v>123</v>
      </c>
      <c r="E643" s="95" t="str">
        <f>VLOOKUP($F643,Admin!$D$11:$F$19,3,FALSE)</f>
        <v>54. Bérköltség - Kutató-fejlesztő munkatárs</v>
      </c>
      <c r="F643" s="139" t="s">
        <v>213</v>
      </c>
      <c r="G643" s="100" t="s">
        <v>180</v>
      </c>
      <c r="H643" s="100" t="s">
        <v>141</v>
      </c>
      <c r="I643" s="139" t="str">
        <f>VLOOKUP($F643,Admin!$D$11:$G$19,4,FALSE)</f>
        <v>K+F munkatárs</v>
      </c>
      <c r="J643" s="100" t="s">
        <v>297</v>
      </c>
      <c r="K643" s="95" t="str">
        <f t="shared" si="1034"/>
        <v>2023.04</v>
      </c>
      <c r="L643" s="101" t="s">
        <v>7</v>
      </c>
      <c r="M643" s="96" t="s">
        <v>70</v>
      </c>
      <c r="N643" s="102">
        <v>620700</v>
      </c>
      <c r="O643" s="97">
        <f t="shared" si="1040"/>
        <v>80691</v>
      </c>
      <c r="P643" s="104">
        <v>174</v>
      </c>
      <c r="Q643" s="104">
        <v>150</v>
      </c>
      <c r="R643" s="215">
        <f t="shared" si="1041"/>
        <v>0.86206896551724133</v>
      </c>
      <c r="S643" s="105">
        <f t="shared" si="1042"/>
        <v>535086</v>
      </c>
      <c r="T643" s="98">
        <f t="shared" si="1043"/>
        <v>69561</v>
      </c>
      <c r="U643" s="70">
        <f t="shared" si="1044"/>
        <v>3.3332777782391076E-7</v>
      </c>
      <c r="V643" s="140">
        <v>0.13</v>
      </c>
      <c r="W643" s="209" t="s">
        <v>290</v>
      </c>
      <c r="X643" s="17">
        <v>44953</v>
      </c>
      <c r="Y643" s="12" t="s">
        <v>66</v>
      </c>
      <c r="Z643" s="12"/>
      <c r="AA643" s="12"/>
    </row>
    <row r="644" spans="1:31" s="3" customFormat="1" ht="14.45" customHeight="1" x14ac:dyDescent="0.25">
      <c r="A644" s="141">
        <v>3</v>
      </c>
      <c r="B644" s="99" t="s">
        <v>260</v>
      </c>
      <c r="C644" s="95" t="str">
        <f>VLOOKUP($F644,Admin!$D$11:$F$19,2,FALSE)</f>
        <v>Kísérleti fejlesztés</v>
      </c>
      <c r="D644" s="138" t="s">
        <v>123</v>
      </c>
      <c r="E644" s="95" t="str">
        <f>VLOOKUP($F644,Admin!$D$11:$F$19,3,FALSE)</f>
        <v>54. Bérköltség - technikus segédszemélyzet</v>
      </c>
      <c r="F644" s="139" t="s">
        <v>215</v>
      </c>
      <c r="G644" s="100" t="s">
        <v>179</v>
      </c>
      <c r="H644" s="100" t="s">
        <v>229</v>
      </c>
      <c r="I644" s="139" t="s">
        <v>68</v>
      </c>
      <c r="J644" s="100" t="s">
        <v>53</v>
      </c>
      <c r="K644" s="95" t="str">
        <f t="shared" si="1012"/>
        <v>2022.11</v>
      </c>
      <c r="L644" s="101" t="s">
        <v>6</v>
      </c>
      <c r="M644" s="96" t="s">
        <v>75</v>
      </c>
      <c r="N644" s="102">
        <v>450000</v>
      </c>
      <c r="O644" s="97">
        <v>32500</v>
      </c>
      <c r="P644" s="104">
        <v>130</v>
      </c>
      <c r="Q644" s="104">
        <v>38</v>
      </c>
      <c r="R644" s="215">
        <f t="shared" si="1024"/>
        <v>0.29230769230769232</v>
      </c>
      <c r="S644" s="105">
        <f t="shared" si="1025"/>
        <v>131538</v>
      </c>
      <c r="T644" s="98">
        <v>9500</v>
      </c>
      <c r="U644" s="70">
        <f t="shared" si="1027"/>
        <v>1.0256410256648252E-6</v>
      </c>
      <c r="V644" s="140">
        <v>0.13</v>
      </c>
      <c r="W644" s="209" t="s">
        <v>293</v>
      </c>
      <c r="X644" s="17">
        <v>44854</v>
      </c>
      <c r="Y644" s="12" t="s">
        <v>66</v>
      </c>
      <c r="Z644" s="12"/>
      <c r="AA644" s="12"/>
      <c r="AB644" s="3">
        <v>1</v>
      </c>
    </row>
    <row r="645" spans="1:31" s="3" customFormat="1" ht="14.45" customHeight="1" x14ac:dyDescent="0.25">
      <c r="A645" s="141">
        <v>3</v>
      </c>
      <c r="B645" s="99" t="s">
        <v>260</v>
      </c>
      <c r="C645" s="95" t="str">
        <f>VLOOKUP($F645,Admin!$D$11:$F$19,2,FALSE)</f>
        <v>Kísérleti fejlesztés</v>
      </c>
      <c r="D645" s="138" t="s">
        <v>123</v>
      </c>
      <c r="E645" s="95" t="str">
        <f>VLOOKUP($F645,Admin!$D$11:$F$19,3,FALSE)</f>
        <v>54. Bérköltség - technikus segédszemélyzet</v>
      </c>
      <c r="F645" s="139" t="s">
        <v>215</v>
      </c>
      <c r="G645" s="100" t="s">
        <v>179</v>
      </c>
      <c r="H645" s="100" t="s">
        <v>229</v>
      </c>
      <c r="I645" s="139" t="s">
        <v>68</v>
      </c>
      <c r="J645" s="100" t="s">
        <v>54</v>
      </c>
      <c r="K645" s="95" t="str">
        <f t="shared" si="1012"/>
        <v>2022.12</v>
      </c>
      <c r="L645" s="101" t="s">
        <v>6</v>
      </c>
      <c r="M645" s="96" t="s">
        <v>75</v>
      </c>
      <c r="N645" s="102">
        <v>449999</v>
      </c>
      <c r="O645" s="97">
        <v>32842</v>
      </c>
      <c r="P645" s="104">
        <v>130</v>
      </c>
      <c r="Q645" s="104">
        <v>38</v>
      </c>
      <c r="R645" s="215">
        <f t="shared" ref="R645:R646" si="1045">Q645/P645</f>
        <v>0.29230769230769232</v>
      </c>
      <c r="S645" s="105">
        <f t="shared" ref="S645:S646" si="1046">ROUND(N645*Q645/P645,0)</f>
        <v>131538</v>
      </c>
      <c r="T645" s="98">
        <v>9600</v>
      </c>
      <c r="U645" s="70">
        <f t="shared" ref="U645:U646" si="1047">Q645/P645-S645/N645</f>
        <v>3.7606921177157915E-7</v>
      </c>
      <c r="V645" s="140">
        <v>0.13</v>
      </c>
      <c r="W645" s="209" t="s">
        <v>293</v>
      </c>
      <c r="X645" s="17">
        <v>44854</v>
      </c>
      <c r="Y645" s="12" t="s">
        <v>66</v>
      </c>
      <c r="Z645" s="12"/>
      <c r="AA645" s="12"/>
      <c r="AB645" s="3">
        <v>1</v>
      </c>
      <c r="AC645" s="204" t="s">
        <v>315</v>
      </c>
      <c r="AD645" s="204" t="s">
        <v>315</v>
      </c>
      <c r="AE645" s="204" t="s">
        <v>315</v>
      </c>
    </row>
    <row r="646" spans="1:31" s="3" customFormat="1" ht="14.45" customHeight="1" x14ac:dyDescent="0.25">
      <c r="A646" s="141">
        <v>3</v>
      </c>
      <c r="B646" s="99" t="s">
        <v>260</v>
      </c>
      <c r="C646" s="95" t="str">
        <f>VLOOKUP($F646,Admin!$D$11:$F$19,2,FALSE)</f>
        <v>Kísérleti fejlesztés</v>
      </c>
      <c r="D646" s="138" t="s">
        <v>123</v>
      </c>
      <c r="E646" s="95" t="str">
        <f>VLOOKUP($F646,Admin!$D$11:$F$19,3,FALSE)</f>
        <v>54. Bérköltség - technikus segédszemélyzet</v>
      </c>
      <c r="F646" s="139" t="s">
        <v>215</v>
      </c>
      <c r="G646" s="100" t="s">
        <v>179</v>
      </c>
      <c r="H646" s="100" t="s">
        <v>229</v>
      </c>
      <c r="I646" s="139" t="s">
        <v>68</v>
      </c>
      <c r="J646" s="100" t="s">
        <v>257</v>
      </c>
      <c r="K646" s="95" t="str">
        <f t="shared" si="1012"/>
        <v>2023.01</v>
      </c>
      <c r="L646" s="101" t="s">
        <v>6</v>
      </c>
      <c r="M646" s="96" t="s">
        <v>75</v>
      </c>
      <c r="N646" s="102">
        <v>450000</v>
      </c>
      <c r="O646" s="97">
        <v>28340</v>
      </c>
      <c r="P646" s="104">
        <v>130</v>
      </c>
      <c r="Q646" s="104">
        <v>38</v>
      </c>
      <c r="R646" s="215">
        <f t="shared" si="1045"/>
        <v>0.29230769230769232</v>
      </c>
      <c r="S646" s="105">
        <f t="shared" si="1046"/>
        <v>131538</v>
      </c>
      <c r="T646" s="98">
        <v>8284</v>
      </c>
      <c r="U646" s="70">
        <f t="shared" si="1047"/>
        <v>1.0256410256648252E-6</v>
      </c>
      <c r="V646" s="140">
        <v>0.13</v>
      </c>
      <c r="W646" s="209" t="s">
        <v>293</v>
      </c>
      <c r="X646" s="17">
        <v>44854</v>
      </c>
      <c r="Y646" s="12" t="s">
        <v>66</v>
      </c>
      <c r="Z646" s="12"/>
      <c r="AA646" s="12"/>
      <c r="AB646" s="3">
        <v>1</v>
      </c>
      <c r="AC646" s="204" t="s">
        <v>315</v>
      </c>
      <c r="AD646" s="216">
        <v>0</v>
      </c>
      <c r="AE646" s="216">
        <v>0</v>
      </c>
    </row>
    <row r="647" spans="1:31" s="3" customFormat="1" ht="14.45" customHeight="1" x14ac:dyDescent="0.25">
      <c r="A647" s="141"/>
      <c r="B647" s="99" t="s">
        <v>260</v>
      </c>
      <c r="C647" s="95" t="str">
        <f>VLOOKUP($F647,Admin!$D$11:$F$19,2,FALSE)</f>
        <v>Kísérleti fejlesztés</v>
      </c>
      <c r="D647" s="138" t="s">
        <v>123</v>
      </c>
      <c r="E647" s="95" t="str">
        <f>VLOOKUP($F647,Admin!$D$11:$F$19,3,FALSE)</f>
        <v>54. Bérköltség - technikus segédszemélyzet</v>
      </c>
      <c r="F647" s="139" t="s">
        <v>215</v>
      </c>
      <c r="G647" s="100" t="s">
        <v>179</v>
      </c>
      <c r="H647" s="100" t="s">
        <v>229</v>
      </c>
      <c r="I647" s="139" t="s">
        <v>68</v>
      </c>
      <c r="J647" s="100" t="s">
        <v>295</v>
      </c>
      <c r="K647" s="95" t="str">
        <f t="shared" ref="K647:K649" si="1048">J647</f>
        <v>2023.02</v>
      </c>
      <c r="L647" s="101" t="s">
        <v>6</v>
      </c>
      <c r="M647" s="96" t="s">
        <v>75</v>
      </c>
      <c r="N647" s="102">
        <v>430000</v>
      </c>
      <c r="O647" s="97">
        <v>25740</v>
      </c>
      <c r="P647" s="104">
        <v>130</v>
      </c>
      <c r="Q647" s="104">
        <v>38</v>
      </c>
      <c r="R647" s="215">
        <f t="shared" ref="R647" si="1049">Q647/P647</f>
        <v>0.29230769230769232</v>
      </c>
      <c r="S647" s="105">
        <f t="shared" ref="S647" si="1050">ROUND(N647*Q647/P647,0)</f>
        <v>125692</v>
      </c>
      <c r="T647" s="98">
        <v>7524</v>
      </c>
      <c r="U647" s="70">
        <f t="shared" ref="U647" si="1051">Q647/P647-S647/N647</f>
        <v>7.1556350628165788E-7</v>
      </c>
      <c r="V647" s="140">
        <v>0.13</v>
      </c>
      <c r="W647" s="209" t="s">
        <v>293</v>
      </c>
      <c r="X647" s="17">
        <v>44945</v>
      </c>
      <c r="Y647" s="12" t="s">
        <v>66</v>
      </c>
      <c r="Z647" s="12"/>
      <c r="AA647" s="12"/>
      <c r="AB647" s="3">
        <v>1</v>
      </c>
      <c r="AC647" s="3" t="s">
        <v>315</v>
      </c>
      <c r="AD647" s="3">
        <v>0</v>
      </c>
      <c r="AE647" s="3">
        <v>0</v>
      </c>
    </row>
    <row r="648" spans="1:31" s="3" customFormat="1" ht="14.45" customHeight="1" x14ac:dyDescent="0.25">
      <c r="A648" s="141"/>
      <c r="B648" s="99" t="s">
        <v>260</v>
      </c>
      <c r="C648" s="95" t="str">
        <f>VLOOKUP($F648,Admin!$D$11:$F$19,2,FALSE)</f>
        <v>Kísérleti fejlesztés</v>
      </c>
      <c r="D648" s="138" t="s">
        <v>123</v>
      </c>
      <c r="E648" s="95" t="str">
        <f>VLOOKUP($F648,Admin!$D$11:$F$19,3,FALSE)</f>
        <v>54. Bérköltség - technikus segédszemélyzet</v>
      </c>
      <c r="F648" s="139" t="s">
        <v>215</v>
      </c>
      <c r="G648" s="100" t="s">
        <v>179</v>
      </c>
      <c r="H648" s="100" t="s">
        <v>229</v>
      </c>
      <c r="I648" s="139" t="s">
        <v>68</v>
      </c>
      <c r="J648" s="100" t="s">
        <v>296</v>
      </c>
      <c r="K648" s="95" t="str">
        <f t="shared" si="1048"/>
        <v>2023.03</v>
      </c>
      <c r="L648" s="101" t="s">
        <v>6</v>
      </c>
      <c r="M648" s="96" t="s">
        <v>75</v>
      </c>
      <c r="N648" s="102">
        <v>430000</v>
      </c>
      <c r="O648" s="97">
        <v>25740</v>
      </c>
      <c r="P648" s="104">
        <v>130</v>
      </c>
      <c r="Q648" s="104">
        <v>38</v>
      </c>
      <c r="R648" s="215">
        <f t="shared" ref="R648:R649" si="1052">Q648/P648</f>
        <v>0.29230769230769232</v>
      </c>
      <c r="S648" s="105">
        <f t="shared" ref="S648:S649" si="1053">ROUND(N648*Q648/P648,0)</f>
        <v>125692</v>
      </c>
      <c r="T648" s="98">
        <v>7524</v>
      </c>
      <c r="U648" s="70">
        <f t="shared" ref="U648:U649" si="1054">Q648/P648-S648/N648</f>
        <v>7.1556350628165788E-7</v>
      </c>
      <c r="V648" s="140">
        <v>0.13</v>
      </c>
      <c r="W648" s="209" t="s">
        <v>293</v>
      </c>
      <c r="X648" s="17">
        <v>44945</v>
      </c>
      <c r="Y648" s="12" t="s">
        <v>66</v>
      </c>
      <c r="Z648" s="12"/>
      <c r="AA648" s="12"/>
      <c r="AB648" s="3">
        <v>1</v>
      </c>
      <c r="AC648" s="3" t="s">
        <v>315</v>
      </c>
      <c r="AD648" s="3">
        <v>0</v>
      </c>
      <c r="AE648" s="3">
        <v>0</v>
      </c>
    </row>
    <row r="649" spans="1:31" s="3" customFormat="1" ht="14.45" customHeight="1" x14ac:dyDescent="0.25">
      <c r="A649" s="141"/>
      <c r="B649" s="99" t="s">
        <v>260</v>
      </c>
      <c r="C649" s="95" t="str">
        <f>VLOOKUP($F649,Admin!$D$11:$F$19,2,FALSE)</f>
        <v>Kísérleti fejlesztés</v>
      </c>
      <c r="D649" s="138" t="s">
        <v>123</v>
      </c>
      <c r="E649" s="95" t="str">
        <f>VLOOKUP($F649,Admin!$D$11:$F$19,3,FALSE)</f>
        <v>54. Bérköltség - technikus segédszemélyzet</v>
      </c>
      <c r="F649" s="139" t="s">
        <v>215</v>
      </c>
      <c r="G649" s="100" t="s">
        <v>179</v>
      </c>
      <c r="H649" s="100" t="s">
        <v>229</v>
      </c>
      <c r="I649" s="139" t="s">
        <v>68</v>
      </c>
      <c r="J649" s="100" t="s">
        <v>297</v>
      </c>
      <c r="K649" s="95" t="str">
        <f t="shared" si="1048"/>
        <v>2023.04</v>
      </c>
      <c r="L649" s="101" t="s">
        <v>7</v>
      </c>
      <c r="M649" s="96" t="s">
        <v>75</v>
      </c>
      <c r="N649" s="102">
        <v>430000</v>
      </c>
      <c r="O649" s="97">
        <f t="shared" ref="O649" si="1055">ROUND(N649*V649,0)</f>
        <v>55900</v>
      </c>
      <c r="P649" s="104">
        <v>130</v>
      </c>
      <c r="Q649" s="104">
        <v>38</v>
      </c>
      <c r="R649" s="215">
        <f t="shared" si="1052"/>
        <v>0.29230769230769232</v>
      </c>
      <c r="S649" s="105">
        <f t="shared" si="1053"/>
        <v>125692</v>
      </c>
      <c r="T649" s="98">
        <f t="shared" ref="T649" si="1056">ROUND(S649*V649,0)</f>
        <v>16340</v>
      </c>
      <c r="U649" s="70">
        <f t="shared" si="1054"/>
        <v>7.1556350628165788E-7</v>
      </c>
      <c r="V649" s="140">
        <v>0.13</v>
      </c>
      <c r="W649" s="209" t="s">
        <v>293</v>
      </c>
      <c r="X649" s="17">
        <v>44945</v>
      </c>
      <c r="Y649" s="12" t="s">
        <v>66</v>
      </c>
      <c r="Z649" s="12"/>
      <c r="AA649" s="12"/>
    </row>
    <row r="650" spans="1:31" s="3" customFormat="1" ht="14.45" customHeight="1" x14ac:dyDescent="0.25">
      <c r="A650" s="141">
        <v>3</v>
      </c>
      <c r="B650" s="99" t="s">
        <v>259</v>
      </c>
      <c r="C650" s="95" t="str">
        <f>VLOOKUP($F650,Admin!$D$11:$F$19,2,FALSE)</f>
        <v>Kísérleti fejlesztés</v>
      </c>
      <c r="D650" s="138" t="s">
        <v>123</v>
      </c>
      <c r="E650" s="95" t="str">
        <f>VLOOKUP($F650,Admin!$D$11:$F$19,3,FALSE)</f>
        <v>54. Bérköltség - Kutató-fejlesztő munkatárs</v>
      </c>
      <c r="F650" s="139" t="s">
        <v>213</v>
      </c>
      <c r="G650" s="100" t="s">
        <v>179</v>
      </c>
      <c r="H650" s="100" t="s">
        <v>229</v>
      </c>
      <c r="I650" s="139" t="str">
        <f>VLOOKUP($F650,Admin!$D$11:$G$19,4,FALSE)</f>
        <v>K+F munkatárs</v>
      </c>
      <c r="J650" s="100" t="s">
        <v>53</v>
      </c>
      <c r="K650" s="95" t="str">
        <f t="shared" ref="K650" si="1057">J650</f>
        <v>2022.11</v>
      </c>
      <c r="L650" s="101" t="s">
        <v>6</v>
      </c>
      <c r="M650" s="96" t="s">
        <v>70</v>
      </c>
      <c r="N650" s="102">
        <v>300000</v>
      </c>
      <c r="O650" s="97">
        <v>13000</v>
      </c>
      <c r="P650" s="104">
        <v>87</v>
      </c>
      <c r="Q650" s="104">
        <v>87</v>
      </c>
      <c r="R650" s="215">
        <f t="shared" ref="R650" si="1058">Q650/P650</f>
        <v>1</v>
      </c>
      <c r="S650" s="105">
        <f t="shared" ref="S650" si="1059">ROUND(N650*Q650/P650,0)</f>
        <v>300000</v>
      </c>
      <c r="T650" s="98">
        <v>13000</v>
      </c>
      <c r="U650" s="70">
        <f t="shared" ref="U650" si="1060">Q650/P650-S650/N650</f>
        <v>0</v>
      </c>
      <c r="V650" s="140">
        <v>0.13</v>
      </c>
      <c r="W650" s="209" t="s">
        <v>294</v>
      </c>
      <c r="X650" s="17">
        <v>44849</v>
      </c>
      <c r="Y650" s="12" t="s">
        <v>66</v>
      </c>
      <c r="Z650" s="12"/>
      <c r="AA650" s="12"/>
      <c r="AB650" s="3">
        <v>1</v>
      </c>
    </row>
    <row r="651" spans="1:31" s="3" customFormat="1" ht="14.45" customHeight="1" x14ac:dyDescent="0.25">
      <c r="A651" s="141">
        <v>3</v>
      </c>
      <c r="B651" s="99" t="s">
        <v>259</v>
      </c>
      <c r="C651" s="95" t="str">
        <f>VLOOKUP($F651,Admin!$D$11:$F$19,2,FALSE)</f>
        <v>Kísérleti fejlesztés</v>
      </c>
      <c r="D651" s="138" t="s">
        <v>123</v>
      </c>
      <c r="E651" s="95" t="str">
        <f>VLOOKUP($F651,Admin!$D$11:$F$19,3,FALSE)</f>
        <v>54. Bérköltség - Kutató-fejlesztő munkatárs</v>
      </c>
      <c r="F651" s="139" t="s">
        <v>213</v>
      </c>
      <c r="G651" s="100" t="s">
        <v>179</v>
      </c>
      <c r="H651" s="100" t="s">
        <v>229</v>
      </c>
      <c r="I651" s="139" t="str">
        <f>VLOOKUP($F651,Admin!$D$11:$G$19,4,FALSE)</f>
        <v>K+F munkatárs</v>
      </c>
      <c r="J651" s="100" t="s">
        <v>54</v>
      </c>
      <c r="K651" s="95" t="str">
        <f t="shared" ref="K651:K652" si="1061">J651</f>
        <v>2022.12</v>
      </c>
      <c r="L651" s="101" t="s">
        <v>6</v>
      </c>
      <c r="M651" s="96" t="s">
        <v>70</v>
      </c>
      <c r="N651" s="102">
        <v>300000</v>
      </c>
      <c r="O651" s="97">
        <v>13510</v>
      </c>
      <c r="P651" s="104">
        <v>87</v>
      </c>
      <c r="Q651" s="104">
        <v>87</v>
      </c>
      <c r="R651" s="215">
        <f t="shared" ref="R651:R652" si="1062">Q651/P651</f>
        <v>1</v>
      </c>
      <c r="S651" s="105">
        <f t="shared" ref="S651:S652" si="1063">ROUND(N651*Q651/P651,0)</f>
        <v>300000</v>
      </c>
      <c r="T651" s="98">
        <v>13510</v>
      </c>
      <c r="U651" s="70">
        <f t="shared" ref="U651:U652" si="1064">Q651/P651-S651/N651</f>
        <v>0</v>
      </c>
      <c r="V651" s="140">
        <v>0.13</v>
      </c>
      <c r="W651" s="209" t="s">
        <v>294</v>
      </c>
      <c r="X651" s="17">
        <v>44849</v>
      </c>
      <c r="Y651" s="12" t="s">
        <v>66</v>
      </c>
      <c r="Z651" s="12"/>
      <c r="AA651" s="12"/>
      <c r="AB651" s="3">
        <v>1</v>
      </c>
      <c r="AC651" s="204" t="s">
        <v>315</v>
      </c>
      <c r="AD651" s="204" t="s">
        <v>315</v>
      </c>
      <c r="AE651" s="204" t="s">
        <v>315</v>
      </c>
    </row>
    <row r="652" spans="1:31" s="3" customFormat="1" ht="14.45" customHeight="1" x14ac:dyDescent="0.25">
      <c r="A652" s="141">
        <v>3</v>
      </c>
      <c r="B652" s="99" t="s">
        <v>259</v>
      </c>
      <c r="C652" s="95" t="str">
        <f>VLOOKUP($F652,Admin!$D$11:$F$19,2,FALSE)</f>
        <v>Kísérleti fejlesztés</v>
      </c>
      <c r="D652" s="138" t="s">
        <v>123</v>
      </c>
      <c r="E652" s="95" t="str">
        <f>VLOOKUP($F652,Admin!$D$11:$F$19,3,FALSE)</f>
        <v>54. Bérköltség - Kutató-fejlesztő munkatárs</v>
      </c>
      <c r="F652" s="139" t="s">
        <v>213</v>
      </c>
      <c r="G652" s="100" t="s">
        <v>179</v>
      </c>
      <c r="H652" s="100" t="s">
        <v>229</v>
      </c>
      <c r="I652" s="139" t="str">
        <f>VLOOKUP($F652,Admin!$D$11:$G$19,4,FALSE)</f>
        <v>K+F munkatárs</v>
      </c>
      <c r="J652" s="100" t="s">
        <v>257</v>
      </c>
      <c r="K652" s="95" t="str">
        <f t="shared" si="1061"/>
        <v>2023.01</v>
      </c>
      <c r="L652" s="101" t="s">
        <v>6</v>
      </c>
      <c r="M652" s="96" t="s">
        <v>70</v>
      </c>
      <c r="N652" s="102">
        <v>300000</v>
      </c>
      <c r="O652" s="97">
        <v>8840</v>
      </c>
      <c r="P652" s="104">
        <v>87</v>
      </c>
      <c r="Q652" s="104">
        <v>87</v>
      </c>
      <c r="R652" s="215">
        <f t="shared" si="1062"/>
        <v>1</v>
      </c>
      <c r="S652" s="105">
        <f t="shared" si="1063"/>
        <v>300000</v>
      </c>
      <c r="T652" s="98">
        <v>8840</v>
      </c>
      <c r="U652" s="70">
        <f t="shared" si="1064"/>
        <v>0</v>
      </c>
      <c r="V652" s="140">
        <v>0.13</v>
      </c>
      <c r="W652" s="209" t="s">
        <v>294</v>
      </c>
      <c r="X652" s="17">
        <v>44849</v>
      </c>
      <c r="Y652" s="12" t="s">
        <v>66</v>
      </c>
      <c r="Z652" s="12"/>
      <c r="AA652" s="12"/>
      <c r="AB652" s="3">
        <v>1</v>
      </c>
      <c r="AC652" s="204" t="s">
        <v>315</v>
      </c>
      <c r="AD652" s="216">
        <v>0</v>
      </c>
      <c r="AE652" s="216">
        <v>0</v>
      </c>
    </row>
    <row r="653" spans="1:31" s="3" customFormat="1" ht="14.45" customHeight="1" x14ac:dyDescent="0.25">
      <c r="A653" s="141"/>
      <c r="B653" s="99" t="s">
        <v>259</v>
      </c>
      <c r="C653" s="95" t="str">
        <f>VLOOKUP($F653,Admin!$D$11:$F$19,2,FALSE)</f>
        <v>Kísérleti fejlesztés</v>
      </c>
      <c r="D653" s="138" t="s">
        <v>123</v>
      </c>
      <c r="E653" s="95" t="str">
        <f>VLOOKUP($F653,Admin!$D$11:$F$19,3,FALSE)</f>
        <v>54. Bérköltség - Kutató-fejlesztő munkatárs</v>
      </c>
      <c r="F653" s="139" t="s">
        <v>213</v>
      </c>
      <c r="G653" s="100" t="s">
        <v>179</v>
      </c>
      <c r="H653" s="100" t="s">
        <v>229</v>
      </c>
      <c r="I653" s="139" t="str">
        <f>VLOOKUP($F653,Admin!$D$11:$G$19,4,FALSE)</f>
        <v>K+F munkatárs</v>
      </c>
      <c r="J653" s="100" t="s">
        <v>295</v>
      </c>
      <c r="K653" s="95" t="str">
        <f t="shared" ref="K653:K655" si="1065">J653</f>
        <v>2023.02</v>
      </c>
      <c r="L653" s="101" t="s">
        <v>6</v>
      </c>
      <c r="M653" s="96" t="s">
        <v>70</v>
      </c>
      <c r="N653" s="102">
        <v>300000</v>
      </c>
      <c r="O653" s="97">
        <v>8840</v>
      </c>
      <c r="P653" s="104">
        <v>87</v>
      </c>
      <c r="Q653" s="104">
        <v>87</v>
      </c>
      <c r="R653" s="215">
        <f t="shared" ref="R653" si="1066">Q653/P653</f>
        <v>1</v>
      </c>
      <c r="S653" s="105">
        <f t="shared" ref="S653" si="1067">ROUND(N653*Q653/P653,0)</f>
        <v>300000</v>
      </c>
      <c r="T653" s="98">
        <v>8840</v>
      </c>
      <c r="U653" s="70">
        <f t="shared" ref="U653" si="1068">Q653/P653-S653/N653</f>
        <v>0</v>
      </c>
      <c r="V653" s="140">
        <v>0.13</v>
      </c>
      <c r="W653" s="209" t="s">
        <v>294</v>
      </c>
      <c r="X653" s="17">
        <v>44938</v>
      </c>
      <c r="Y653" s="12" t="s">
        <v>66</v>
      </c>
      <c r="Z653" s="12"/>
      <c r="AA653" s="12"/>
      <c r="AB653" s="3">
        <v>1</v>
      </c>
      <c r="AC653" s="3" t="s">
        <v>315</v>
      </c>
      <c r="AD653" s="3">
        <v>0</v>
      </c>
      <c r="AE653" s="3">
        <v>0</v>
      </c>
    </row>
    <row r="654" spans="1:31" s="3" customFormat="1" ht="14.45" customHeight="1" x14ac:dyDescent="0.25">
      <c r="A654" s="141"/>
      <c r="B654" s="99" t="s">
        <v>259</v>
      </c>
      <c r="C654" s="95" t="str">
        <f>VLOOKUP($F654,Admin!$D$11:$F$19,2,FALSE)</f>
        <v>Kísérleti fejlesztés</v>
      </c>
      <c r="D654" s="138" t="s">
        <v>123</v>
      </c>
      <c r="E654" s="95" t="str">
        <f>VLOOKUP($F654,Admin!$D$11:$F$19,3,FALSE)</f>
        <v>54. Bérköltség - Kutató-fejlesztő munkatárs</v>
      </c>
      <c r="F654" s="139" t="s">
        <v>213</v>
      </c>
      <c r="G654" s="100" t="s">
        <v>179</v>
      </c>
      <c r="H654" s="100" t="s">
        <v>229</v>
      </c>
      <c r="I654" s="139" t="str">
        <f>VLOOKUP($F654,Admin!$D$11:$G$19,4,FALSE)</f>
        <v>K+F munkatárs</v>
      </c>
      <c r="J654" s="100" t="s">
        <v>296</v>
      </c>
      <c r="K654" s="95" t="str">
        <f t="shared" si="1065"/>
        <v>2023.03</v>
      </c>
      <c r="L654" s="101" t="s">
        <v>6</v>
      </c>
      <c r="M654" s="96" t="s">
        <v>70</v>
      </c>
      <c r="N654" s="102">
        <v>300000</v>
      </c>
      <c r="O654" s="97">
        <v>8840</v>
      </c>
      <c r="P654" s="104">
        <v>87</v>
      </c>
      <c r="Q654" s="104">
        <v>87</v>
      </c>
      <c r="R654" s="215">
        <f t="shared" ref="R654:R655" si="1069">Q654/P654</f>
        <v>1</v>
      </c>
      <c r="S654" s="105">
        <f t="shared" ref="S654:S655" si="1070">ROUND(N654*Q654/P654,0)</f>
        <v>300000</v>
      </c>
      <c r="T654" s="98">
        <v>8840</v>
      </c>
      <c r="U654" s="70">
        <f t="shared" ref="U654:U655" si="1071">Q654/P654-S654/N654</f>
        <v>0</v>
      </c>
      <c r="V654" s="140">
        <v>0.13</v>
      </c>
      <c r="W654" s="209" t="s">
        <v>294</v>
      </c>
      <c r="X654" s="17">
        <v>44938</v>
      </c>
      <c r="Y654" s="12" t="s">
        <v>66</v>
      </c>
      <c r="Z654" s="12"/>
      <c r="AA654" s="12"/>
      <c r="AB654" s="3">
        <v>1</v>
      </c>
      <c r="AC654" s="3" t="s">
        <v>315</v>
      </c>
      <c r="AD654" s="3">
        <v>0</v>
      </c>
      <c r="AE654" s="3">
        <v>0</v>
      </c>
    </row>
    <row r="655" spans="1:31" s="3" customFormat="1" ht="14.45" customHeight="1" x14ac:dyDescent="0.25">
      <c r="A655" s="141"/>
      <c r="B655" s="99" t="s">
        <v>259</v>
      </c>
      <c r="C655" s="95" t="str">
        <f>VLOOKUP($F655,Admin!$D$11:$F$19,2,FALSE)</f>
        <v>Kísérleti fejlesztés</v>
      </c>
      <c r="D655" s="138" t="s">
        <v>123</v>
      </c>
      <c r="E655" s="95" t="str">
        <f>VLOOKUP($F655,Admin!$D$11:$F$19,3,FALSE)</f>
        <v>54. Bérköltség - Kutató-fejlesztő munkatárs</v>
      </c>
      <c r="F655" s="139" t="s">
        <v>213</v>
      </c>
      <c r="G655" s="100" t="s">
        <v>179</v>
      </c>
      <c r="H655" s="100" t="s">
        <v>229</v>
      </c>
      <c r="I655" s="139" t="str">
        <f>VLOOKUP($F655,Admin!$D$11:$G$19,4,FALSE)</f>
        <v>K+F munkatárs</v>
      </c>
      <c r="J655" s="100" t="s">
        <v>297</v>
      </c>
      <c r="K655" s="95" t="str">
        <f t="shared" si="1065"/>
        <v>2023.04</v>
      </c>
      <c r="L655" s="101" t="s">
        <v>7</v>
      </c>
      <c r="M655" s="96" t="s">
        <v>70</v>
      </c>
      <c r="N655" s="102">
        <v>300000</v>
      </c>
      <c r="O655" s="97">
        <f t="shared" ref="O655" si="1072">ROUND(N655*V655,0)</f>
        <v>39000</v>
      </c>
      <c r="P655" s="104">
        <v>87</v>
      </c>
      <c r="Q655" s="104">
        <v>87</v>
      </c>
      <c r="R655" s="215">
        <f t="shared" si="1069"/>
        <v>1</v>
      </c>
      <c r="S655" s="105">
        <f t="shared" si="1070"/>
        <v>300000</v>
      </c>
      <c r="T655" s="98">
        <f t="shared" ref="T655" si="1073">ROUND(S655*V655,0)</f>
        <v>39000</v>
      </c>
      <c r="U655" s="70">
        <f t="shared" si="1071"/>
        <v>0</v>
      </c>
      <c r="V655" s="140">
        <v>0.13</v>
      </c>
      <c r="W655" s="209" t="s">
        <v>294</v>
      </c>
      <c r="X655" s="17">
        <v>44938</v>
      </c>
      <c r="Y655" s="12" t="s">
        <v>66</v>
      </c>
      <c r="Z655" s="12"/>
      <c r="AA655" s="12"/>
    </row>
    <row r="656" spans="1:31" s="3" customFormat="1" ht="14.45" customHeight="1" x14ac:dyDescent="0.25">
      <c r="A656" s="141">
        <v>1</v>
      </c>
      <c r="B656" s="99" t="s">
        <v>200</v>
      </c>
      <c r="C656" s="95" t="str">
        <f>VLOOKUP($F656,Admin!$D$11:$F$19,2,FALSE)</f>
        <v>Koordináció</v>
      </c>
      <c r="D656" s="138" t="s">
        <v>123</v>
      </c>
      <c r="E656" s="95" t="str">
        <f>VLOOKUP($F656,Admin!$D$11:$F$19,3,FALSE)</f>
        <v>54. Bérköltség - Projektmenedzser</v>
      </c>
      <c r="F656" s="139" t="s">
        <v>173</v>
      </c>
      <c r="G656" s="100" t="s">
        <v>181</v>
      </c>
      <c r="H656" s="100" t="s">
        <v>143</v>
      </c>
      <c r="I656" s="139" t="str">
        <f>VLOOKUP($F656,Admin!$D$11:$G$19,4,FALSE)</f>
        <v>Projektmenedzsment</v>
      </c>
      <c r="J656" s="100" t="s">
        <v>223</v>
      </c>
      <c r="K656" s="95" t="str">
        <f t="shared" si="807"/>
        <v>2020.08</v>
      </c>
      <c r="L656" s="101" t="s">
        <v>6</v>
      </c>
      <c r="M656" s="96" t="s">
        <v>70</v>
      </c>
      <c r="N656" s="103">
        <v>729500</v>
      </c>
      <c r="O656" s="97">
        <f t="shared" si="808"/>
        <v>113073</v>
      </c>
      <c r="P656" s="104">
        <v>174</v>
      </c>
      <c r="Q656" s="104">
        <v>16</v>
      </c>
      <c r="R656" s="215">
        <f t="shared" si="805"/>
        <v>9.1954022988505746E-2</v>
      </c>
      <c r="S656" s="105">
        <f t="shared" si="967"/>
        <v>67080</v>
      </c>
      <c r="T656" s="98">
        <f t="shared" si="809"/>
        <v>10397</v>
      </c>
      <c r="U656" s="70">
        <f t="shared" si="806"/>
        <v>6.3025375592051791E-7</v>
      </c>
      <c r="V656" s="181">
        <v>0.155</v>
      </c>
      <c r="W656" s="210"/>
      <c r="X656" s="17">
        <v>44026</v>
      </c>
      <c r="Y656" s="12" t="s">
        <v>66</v>
      </c>
      <c r="Z656" s="12"/>
      <c r="AA656" s="12"/>
      <c r="AB656" s="3">
        <v>2</v>
      </c>
    </row>
    <row r="657" spans="1:28" s="3" customFormat="1" ht="14.45" customHeight="1" x14ac:dyDescent="0.25">
      <c r="A657" s="141">
        <v>1</v>
      </c>
      <c r="B657" s="99" t="s">
        <v>200</v>
      </c>
      <c r="C657" s="95" t="str">
        <f>VLOOKUP($F657,Admin!$D$11:$F$19,2,FALSE)</f>
        <v>Koordináció</v>
      </c>
      <c r="D657" s="138" t="s">
        <v>123</v>
      </c>
      <c r="E657" s="95" t="str">
        <f>VLOOKUP($F657,Admin!$D$11:$F$19,3,FALSE)</f>
        <v>54. Bérköltség - Projektmenedzser</v>
      </c>
      <c r="F657" s="139" t="s">
        <v>173</v>
      </c>
      <c r="G657" s="100" t="s">
        <v>181</v>
      </c>
      <c r="H657" s="100" t="s">
        <v>143</v>
      </c>
      <c r="I657" s="139" t="str">
        <f>VLOOKUP($F657,Admin!$D$11:$G$19,4,FALSE)</f>
        <v>Projektmenedzsment</v>
      </c>
      <c r="J657" s="100" t="s">
        <v>224</v>
      </c>
      <c r="K657" s="95" t="str">
        <f t="shared" si="807"/>
        <v>2020.09</v>
      </c>
      <c r="L657" s="101" t="s">
        <v>6</v>
      </c>
      <c r="M657" s="96" t="s">
        <v>70</v>
      </c>
      <c r="N657" s="103">
        <v>729500</v>
      </c>
      <c r="O657" s="97">
        <f t="shared" si="808"/>
        <v>113073</v>
      </c>
      <c r="P657" s="104">
        <v>174</v>
      </c>
      <c r="Q657" s="104">
        <v>16</v>
      </c>
      <c r="R657" s="215">
        <f t="shared" si="805"/>
        <v>9.1954022988505746E-2</v>
      </c>
      <c r="S657" s="105">
        <f t="shared" si="967"/>
        <v>67080</v>
      </c>
      <c r="T657" s="98">
        <f t="shared" si="809"/>
        <v>10397</v>
      </c>
      <c r="U657" s="70">
        <f t="shared" si="806"/>
        <v>6.3025375592051791E-7</v>
      </c>
      <c r="V657" s="181">
        <v>0.155</v>
      </c>
      <c r="W657" s="210"/>
      <c r="X657" s="17">
        <v>44026</v>
      </c>
      <c r="Y657" s="12" t="s">
        <v>66</v>
      </c>
      <c r="Z657" s="12"/>
      <c r="AA657" s="12"/>
      <c r="AB657" s="3">
        <v>2</v>
      </c>
    </row>
    <row r="658" spans="1:28" s="3" customFormat="1" ht="14.45" customHeight="1" x14ac:dyDescent="0.25">
      <c r="A658" s="141">
        <v>1</v>
      </c>
      <c r="B658" s="99" t="s">
        <v>200</v>
      </c>
      <c r="C658" s="95" t="str">
        <f>VLOOKUP($F658,Admin!$D$11:$F$19,2,FALSE)</f>
        <v>Koordináció</v>
      </c>
      <c r="D658" s="138" t="s">
        <v>123</v>
      </c>
      <c r="E658" s="95" t="str">
        <f>VLOOKUP($F658,Admin!$D$11:$F$19,3,FALSE)</f>
        <v>54. Bérköltség - Projektmenedzser</v>
      </c>
      <c r="F658" s="139" t="s">
        <v>173</v>
      </c>
      <c r="G658" s="100" t="s">
        <v>181</v>
      </c>
      <c r="H658" s="100" t="s">
        <v>143</v>
      </c>
      <c r="I658" s="139" t="str">
        <f>VLOOKUP($F658,Admin!$D$11:$G$19,4,FALSE)</f>
        <v>Projektmenedzsment</v>
      </c>
      <c r="J658" s="100" t="s">
        <v>225</v>
      </c>
      <c r="K658" s="95" t="str">
        <f t="shared" si="807"/>
        <v>2020.10</v>
      </c>
      <c r="L658" s="101" t="s">
        <v>6</v>
      </c>
      <c r="M658" s="96" t="s">
        <v>70</v>
      </c>
      <c r="N658" s="103">
        <v>729500</v>
      </c>
      <c r="O658" s="97">
        <f t="shared" si="808"/>
        <v>113073</v>
      </c>
      <c r="P658" s="104">
        <v>174</v>
      </c>
      <c r="Q658" s="104">
        <v>16</v>
      </c>
      <c r="R658" s="215">
        <f t="shared" si="805"/>
        <v>9.1954022988505746E-2</v>
      </c>
      <c r="S658" s="105">
        <f t="shared" si="967"/>
        <v>67080</v>
      </c>
      <c r="T658" s="98">
        <f t="shared" si="809"/>
        <v>10397</v>
      </c>
      <c r="U658" s="70">
        <f t="shared" si="806"/>
        <v>6.3025375592051791E-7</v>
      </c>
      <c r="V658" s="181">
        <v>0.155</v>
      </c>
      <c r="W658" s="210"/>
      <c r="X658" s="17">
        <v>44026</v>
      </c>
      <c r="Y658" s="12" t="s">
        <v>66</v>
      </c>
      <c r="Z658" s="12"/>
      <c r="AA658" s="12"/>
      <c r="AB658" s="3">
        <v>2</v>
      </c>
    </row>
    <row r="659" spans="1:28" s="3" customFormat="1" ht="14.45" customHeight="1" x14ac:dyDescent="0.25">
      <c r="A659" s="141">
        <v>1</v>
      </c>
      <c r="B659" s="99" t="s">
        <v>200</v>
      </c>
      <c r="C659" s="95" t="str">
        <f>VLOOKUP($F659,Admin!$D$11:$F$19,2,FALSE)</f>
        <v>Koordináció</v>
      </c>
      <c r="D659" s="138" t="s">
        <v>123</v>
      </c>
      <c r="E659" s="95" t="str">
        <f>VLOOKUP($F659,Admin!$D$11:$F$19,3,FALSE)</f>
        <v>54. Bérköltség - Projektmenedzser</v>
      </c>
      <c r="F659" s="139" t="s">
        <v>173</v>
      </c>
      <c r="G659" s="100" t="s">
        <v>181</v>
      </c>
      <c r="H659" s="100" t="s">
        <v>143</v>
      </c>
      <c r="I659" s="139" t="str">
        <f>VLOOKUP($F659,Admin!$D$11:$G$19,4,FALSE)</f>
        <v>Projektmenedzsment</v>
      </c>
      <c r="J659" s="100" t="s">
        <v>226</v>
      </c>
      <c r="K659" s="95" t="str">
        <f t="shared" si="807"/>
        <v>2020.11</v>
      </c>
      <c r="L659" s="101" t="s">
        <v>6</v>
      </c>
      <c r="M659" s="96" t="s">
        <v>70</v>
      </c>
      <c r="N659" s="103">
        <v>729500</v>
      </c>
      <c r="O659" s="97">
        <f t="shared" si="808"/>
        <v>113073</v>
      </c>
      <c r="P659" s="104">
        <v>174</v>
      </c>
      <c r="Q659" s="104">
        <v>16</v>
      </c>
      <c r="R659" s="215">
        <f t="shared" si="805"/>
        <v>9.1954022988505746E-2</v>
      </c>
      <c r="S659" s="105">
        <f t="shared" si="967"/>
        <v>67080</v>
      </c>
      <c r="T659" s="98">
        <f t="shared" si="809"/>
        <v>10397</v>
      </c>
      <c r="U659" s="70">
        <f t="shared" si="806"/>
        <v>6.3025375592051791E-7</v>
      </c>
      <c r="V659" s="181">
        <v>0.155</v>
      </c>
      <c r="W659" s="210"/>
      <c r="X659" s="17">
        <v>44026</v>
      </c>
      <c r="Y659" s="12" t="s">
        <v>66</v>
      </c>
      <c r="Z659" s="12"/>
      <c r="AA659" s="12"/>
      <c r="AB659" s="3">
        <v>2</v>
      </c>
    </row>
    <row r="660" spans="1:28" s="3" customFormat="1" ht="14.45" customHeight="1" x14ac:dyDescent="0.25">
      <c r="A660" s="141">
        <v>1</v>
      </c>
      <c r="B660" s="99" t="s">
        <v>200</v>
      </c>
      <c r="C660" s="95" t="str">
        <f>VLOOKUP($F660,Admin!$D$11:$F$19,2,FALSE)</f>
        <v>Koordináció</v>
      </c>
      <c r="D660" s="138" t="s">
        <v>123</v>
      </c>
      <c r="E660" s="95" t="str">
        <f>VLOOKUP($F660,Admin!$D$11:$F$19,3,FALSE)</f>
        <v>54. Bérköltség - Projektmenedzser</v>
      </c>
      <c r="F660" s="139" t="s">
        <v>173</v>
      </c>
      <c r="G660" s="100" t="s">
        <v>181</v>
      </c>
      <c r="H660" s="100" t="s">
        <v>143</v>
      </c>
      <c r="I660" s="139" t="str">
        <f>VLOOKUP($F660,Admin!$D$11:$G$19,4,FALSE)</f>
        <v>Projektmenedzsment</v>
      </c>
      <c r="J660" s="100" t="s">
        <v>30</v>
      </c>
      <c r="K660" s="95" t="str">
        <f t="shared" si="807"/>
        <v>2020.12</v>
      </c>
      <c r="L660" s="101" t="s">
        <v>6</v>
      </c>
      <c r="M660" s="96" t="s">
        <v>70</v>
      </c>
      <c r="N660" s="103">
        <v>729500</v>
      </c>
      <c r="O660" s="97">
        <f t="shared" si="808"/>
        <v>113073</v>
      </c>
      <c r="P660" s="104">
        <v>174</v>
      </c>
      <c r="Q660" s="104">
        <v>14</v>
      </c>
      <c r="R660" s="215">
        <f t="shared" si="805"/>
        <v>8.0459770114942528E-2</v>
      </c>
      <c r="S660" s="105">
        <f t="shared" si="967"/>
        <v>58695</v>
      </c>
      <c r="T660" s="98">
        <f t="shared" si="809"/>
        <v>9098</v>
      </c>
      <c r="U660" s="70">
        <f t="shared" si="806"/>
        <v>5.51472036425249E-7</v>
      </c>
      <c r="V660" s="181">
        <v>0.155</v>
      </c>
      <c r="W660" s="210"/>
      <c r="X660" s="17">
        <v>44183</v>
      </c>
      <c r="Y660" s="12" t="s">
        <v>66</v>
      </c>
      <c r="Z660" s="12"/>
      <c r="AA660" s="12"/>
      <c r="AB660" s="3">
        <v>2</v>
      </c>
    </row>
    <row r="661" spans="1:28" s="3" customFormat="1" ht="14.45" customHeight="1" x14ac:dyDescent="0.25">
      <c r="A661" s="141">
        <v>1</v>
      </c>
      <c r="B661" s="99" t="s">
        <v>200</v>
      </c>
      <c r="C661" s="95" t="str">
        <f>VLOOKUP($F661,Admin!$D$11:$F$19,2,FALSE)</f>
        <v>Koordináció</v>
      </c>
      <c r="D661" s="138" t="s">
        <v>123</v>
      </c>
      <c r="E661" s="95" t="str">
        <f>VLOOKUP($F661,Admin!$D$11:$F$19,3,FALSE)</f>
        <v>54. Bérköltség - Projektmenedzser</v>
      </c>
      <c r="F661" s="139" t="s">
        <v>173</v>
      </c>
      <c r="G661" s="100" t="s">
        <v>181</v>
      </c>
      <c r="H661" s="100" t="s">
        <v>143</v>
      </c>
      <c r="I661" s="139" t="str">
        <f>VLOOKUP($F661,Admin!$D$11:$G$19,4,FALSE)</f>
        <v>Projektmenedzsment</v>
      </c>
      <c r="J661" s="100" t="s">
        <v>31</v>
      </c>
      <c r="K661" s="95" t="str">
        <f t="shared" si="807"/>
        <v>2021.01</v>
      </c>
      <c r="L661" s="101" t="s">
        <v>6</v>
      </c>
      <c r="M661" s="96" t="s">
        <v>70</v>
      </c>
      <c r="N661" s="103">
        <v>729500</v>
      </c>
      <c r="O661" s="97">
        <f t="shared" si="808"/>
        <v>113073</v>
      </c>
      <c r="P661" s="104">
        <v>174</v>
      </c>
      <c r="Q661" s="104">
        <v>14</v>
      </c>
      <c r="R661" s="215">
        <f t="shared" si="805"/>
        <v>8.0459770114942528E-2</v>
      </c>
      <c r="S661" s="105">
        <f t="shared" si="967"/>
        <v>58695</v>
      </c>
      <c r="T661" s="98">
        <f t="shared" si="809"/>
        <v>9098</v>
      </c>
      <c r="U661" s="70">
        <f t="shared" si="806"/>
        <v>5.51472036425249E-7</v>
      </c>
      <c r="V661" s="181">
        <v>0.155</v>
      </c>
      <c r="W661" s="210"/>
      <c r="X661" s="17">
        <v>44188</v>
      </c>
      <c r="Y661" s="12" t="s">
        <v>66</v>
      </c>
      <c r="Z661" s="12"/>
      <c r="AA661" s="12"/>
      <c r="AB661" s="3">
        <v>2</v>
      </c>
    </row>
    <row r="662" spans="1:28" s="3" customFormat="1" ht="14.45" customHeight="1" x14ac:dyDescent="0.25">
      <c r="A662" s="141">
        <v>2</v>
      </c>
      <c r="B662" s="99" t="s">
        <v>200</v>
      </c>
      <c r="C662" s="95" t="str">
        <f>VLOOKUP($F662,Admin!$D$11:$F$19,2,FALSE)</f>
        <v>Koordináció</v>
      </c>
      <c r="D662" s="138" t="s">
        <v>123</v>
      </c>
      <c r="E662" s="95" t="str">
        <f>VLOOKUP($F662,Admin!$D$11:$F$19,3,FALSE)</f>
        <v>54. Bérköltség - Projektmenedzser</v>
      </c>
      <c r="F662" s="139" t="s">
        <v>173</v>
      </c>
      <c r="G662" s="100" t="s">
        <v>181</v>
      </c>
      <c r="H662" s="100" t="s">
        <v>143</v>
      </c>
      <c r="I662" s="139" t="str">
        <f>VLOOKUP($F662,Admin!$D$11:$G$19,4,FALSE)</f>
        <v>Projektmenedzsment</v>
      </c>
      <c r="J662" s="100" t="s">
        <v>32</v>
      </c>
      <c r="K662" s="95" t="str">
        <f t="shared" si="807"/>
        <v>2021.02</v>
      </c>
      <c r="L662" s="101" t="s">
        <v>6</v>
      </c>
      <c r="M662" s="96" t="s">
        <v>70</v>
      </c>
      <c r="N662" s="103">
        <v>729500</v>
      </c>
      <c r="O662" s="97">
        <f t="shared" si="808"/>
        <v>113073</v>
      </c>
      <c r="P662" s="104">
        <v>174</v>
      </c>
      <c r="Q662" s="104">
        <v>14</v>
      </c>
      <c r="R662" s="215">
        <f t="shared" si="805"/>
        <v>8.0459770114942528E-2</v>
      </c>
      <c r="S662" s="105">
        <f t="shared" si="967"/>
        <v>58695</v>
      </c>
      <c r="T662" s="98">
        <f t="shared" si="809"/>
        <v>9098</v>
      </c>
      <c r="U662" s="70">
        <f t="shared" si="806"/>
        <v>5.51472036425249E-7</v>
      </c>
      <c r="V662" s="181">
        <v>0.155</v>
      </c>
      <c r="W662" s="210"/>
      <c r="X662" s="17">
        <v>44188</v>
      </c>
      <c r="Y662" s="12" t="s">
        <v>66</v>
      </c>
      <c r="Z662" s="12"/>
      <c r="AA662" s="12"/>
      <c r="AB662" s="3">
        <v>2</v>
      </c>
    </row>
    <row r="663" spans="1:28" s="3" customFormat="1" ht="14.45" customHeight="1" x14ac:dyDescent="0.25">
      <c r="A663" s="141">
        <v>2</v>
      </c>
      <c r="B663" s="99" t="s">
        <v>200</v>
      </c>
      <c r="C663" s="95" t="str">
        <f>VLOOKUP($F663,Admin!$D$11:$F$19,2,FALSE)</f>
        <v>Koordináció</v>
      </c>
      <c r="D663" s="138" t="s">
        <v>123</v>
      </c>
      <c r="E663" s="95" t="str">
        <f>VLOOKUP($F663,Admin!$D$11:$F$19,3,FALSE)</f>
        <v>54. Bérköltség - Projektmenedzser</v>
      </c>
      <c r="F663" s="139" t="s">
        <v>173</v>
      </c>
      <c r="G663" s="100" t="s">
        <v>181</v>
      </c>
      <c r="H663" s="100" t="s">
        <v>143</v>
      </c>
      <c r="I663" s="139" t="str">
        <f>VLOOKUP($F663,Admin!$D$11:$G$19,4,FALSE)</f>
        <v>Projektmenedzsment</v>
      </c>
      <c r="J663" s="100" t="s">
        <v>33</v>
      </c>
      <c r="K663" s="95" t="str">
        <f t="shared" si="807"/>
        <v>2021.03</v>
      </c>
      <c r="L663" s="101" t="s">
        <v>6</v>
      </c>
      <c r="M663" s="96" t="s">
        <v>70</v>
      </c>
      <c r="N663" s="103">
        <v>729500</v>
      </c>
      <c r="O663" s="97">
        <f t="shared" si="808"/>
        <v>113073</v>
      </c>
      <c r="P663" s="104">
        <v>174</v>
      </c>
      <c r="Q663" s="104">
        <v>14</v>
      </c>
      <c r="R663" s="215">
        <f t="shared" si="805"/>
        <v>8.0459770114942528E-2</v>
      </c>
      <c r="S663" s="105">
        <f t="shared" si="967"/>
        <v>58695</v>
      </c>
      <c r="T663" s="98">
        <f t="shared" si="809"/>
        <v>9098</v>
      </c>
      <c r="U663" s="70">
        <f t="shared" si="806"/>
        <v>5.51472036425249E-7</v>
      </c>
      <c r="V663" s="181">
        <v>0.155</v>
      </c>
      <c r="W663" s="210"/>
      <c r="X663" s="17">
        <v>44188</v>
      </c>
      <c r="Y663" s="12" t="s">
        <v>66</v>
      </c>
      <c r="Z663" s="12"/>
      <c r="AA663" s="12"/>
      <c r="AB663" s="3">
        <v>2</v>
      </c>
    </row>
    <row r="664" spans="1:28" s="3" customFormat="1" ht="14.45" customHeight="1" x14ac:dyDescent="0.25">
      <c r="A664" s="141">
        <v>2</v>
      </c>
      <c r="B664" s="99" t="s">
        <v>200</v>
      </c>
      <c r="C664" s="95" t="str">
        <f>VLOOKUP($F664,Admin!$D$11:$F$19,2,FALSE)</f>
        <v>Koordináció</v>
      </c>
      <c r="D664" s="138" t="s">
        <v>123</v>
      </c>
      <c r="E664" s="95" t="str">
        <f>VLOOKUP($F664,Admin!$D$11:$F$19,3,FALSE)</f>
        <v>54. Bérköltség - Projektmenedzser</v>
      </c>
      <c r="F664" s="139" t="s">
        <v>173</v>
      </c>
      <c r="G664" s="100" t="s">
        <v>181</v>
      </c>
      <c r="H664" s="100" t="s">
        <v>143</v>
      </c>
      <c r="I664" s="139" t="str">
        <f>VLOOKUP($F664,Admin!$D$11:$G$19,4,FALSE)</f>
        <v>Projektmenedzsment</v>
      </c>
      <c r="J664" s="100" t="s">
        <v>34</v>
      </c>
      <c r="K664" s="95" t="str">
        <f t="shared" si="807"/>
        <v>2021.04</v>
      </c>
      <c r="L664" s="101" t="s">
        <v>6</v>
      </c>
      <c r="M664" s="96" t="s">
        <v>70</v>
      </c>
      <c r="N664" s="103">
        <v>729500</v>
      </c>
      <c r="O664" s="97">
        <f t="shared" si="808"/>
        <v>113073</v>
      </c>
      <c r="P664" s="104">
        <v>174</v>
      </c>
      <c r="Q664" s="104">
        <v>14</v>
      </c>
      <c r="R664" s="215">
        <f t="shared" si="805"/>
        <v>8.0459770114942528E-2</v>
      </c>
      <c r="S664" s="105">
        <f t="shared" si="967"/>
        <v>58695</v>
      </c>
      <c r="T664" s="98">
        <f t="shared" si="809"/>
        <v>9098</v>
      </c>
      <c r="U664" s="70">
        <f t="shared" si="806"/>
        <v>5.51472036425249E-7</v>
      </c>
      <c r="V664" s="181">
        <v>0.155</v>
      </c>
      <c r="W664" s="210"/>
      <c r="X664" s="17">
        <v>44188</v>
      </c>
      <c r="Y664" s="12" t="s">
        <v>66</v>
      </c>
      <c r="Z664" s="12"/>
      <c r="AA664" s="12"/>
      <c r="AB664" s="3">
        <v>2</v>
      </c>
    </row>
    <row r="665" spans="1:28" s="3" customFormat="1" ht="14.45" customHeight="1" x14ac:dyDescent="0.25">
      <c r="A665" s="141">
        <v>2</v>
      </c>
      <c r="B665" s="99" t="s">
        <v>200</v>
      </c>
      <c r="C665" s="95" t="str">
        <f>VLOOKUP($F665,Admin!$D$11:$F$19,2,FALSE)</f>
        <v>Koordináció</v>
      </c>
      <c r="D665" s="138" t="s">
        <v>123</v>
      </c>
      <c r="E665" s="95" t="str">
        <f>VLOOKUP($F665,Admin!$D$11:$F$19,3,FALSE)</f>
        <v>54. Bérköltség - Projektmenedzser</v>
      </c>
      <c r="F665" s="139" t="s">
        <v>173</v>
      </c>
      <c r="G665" s="100" t="s">
        <v>181</v>
      </c>
      <c r="H665" s="100" t="s">
        <v>143</v>
      </c>
      <c r="I665" s="139" t="str">
        <f>VLOOKUP($F665,Admin!$D$11:$G$19,4,FALSE)</f>
        <v>Projektmenedzsment</v>
      </c>
      <c r="J665" s="100" t="s">
        <v>35</v>
      </c>
      <c r="K665" s="95" t="str">
        <f t="shared" si="807"/>
        <v>2021.05</v>
      </c>
      <c r="L665" s="101" t="s">
        <v>6</v>
      </c>
      <c r="M665" s="96" t="s">
        <v>70</v>
      </c>
      <c r="N665" s="103">
        <v>729500</v>
      </c>
      <c r="O665" s="97">
        <f t="shared" si="808"/>
        <v>113073</v>
      </c>
      <c r="P665" s="104">
        <v>174</v>
      </c>
      <c r="Q665" s="104">
        <v>14</v>
      </c>
      <c r="R665" s="215">
        <f t="shared" si="805"/>
        <v>8.0459770114942528E-2</v>
      </c>
      <c r="S665" s="105">
        <f t="shared" si="967"/>
        <v>58695</v>
      </c>
      <c r="T665" s="98">
        <f t="shared" si="809"/>
        <v>9098</v>
      </c>
      <c r="U665" s="70">
        <f t="shared" si="806"/>
        <v>5.51472036425249E-7</v>
      </c>
      <c r="V665" s="181">
        <v>0.155</v>
      </c>
      <c r="W665" s="210"/>
      <c r="X665" s="17">
        <v>44188</v>
      </c>
      <c r="Y665" s="12" t="s">
        <v>66</v>
      </c>
      <c r="Z665" s="12"/>
      <c r="AA665" s="12"/>
      <c r="AB665" s="3">
        <v>2</v>
      </c>
    </row>
    <row r="666" spans="1:28" s="3" customFormat="1" ht="14.45" customHeight="1" x14ac:dyDescent="0.25">
      <c r="A666" s="141">
        <v>2</v>
      </c>
      <c r="B666" s="99" t="s">
        <v>200</v>
      </c>
      <c r="C666" s="95" t="str">
        <f>VLOOKUP($F666,Admin!$D$11:$F$19,2,FALSE)</f>
        <v>Koordináció</v>
      </c>
      <c r="D666" s="138" t="s">
        <v>123</v>
      </c>
      <c r="E666" s="95" t="str">
        <f>VLOOKUP($F666,Admin!$D$11:$F$19,3,FALSE)</f>
        <v>54. Bérköltség - Projektmenedzser</v>
      </c>
      <c r="F666" s="139" t="s">
        <v>173</v>
      </c>
      <c r="G666" s="100" t="s">
        <v>181</v>
      </c>
      <c r="H666" s="100" t="s">
        <v>233</v>
      </c>
      <c r="I666" s="139" t="str">
        <f>VLOOKUP($F666,Admin!$D$11:$G$19,4,FALSE)</f>
        <v>Projektmenedzsment</v>
      </c>
      <c r="J666" s="100" t="s">
        <v>36</v>
      </c>
      <c r="K666" s="95" t="str">
        <f t="shared" si="807"/>
        <v>2021.06</v>
      </c>
      <c r="L666" s="101" t="s">
        <v>6</v>
      </c>
      <c r="M666" s="96" t="s">
        <v>70</v>
      </c>
      <c r="N666" s="103">
        <v>729500</v>
      </c>
      <c r="O666" s="97">
        <f t="shared" si="808"/>
        <v>113073</v>
      </c>
      <c r="P666" s="104">
        <v>174</v>
      </c>
      <c r="Q666" s="104">
        <v>14</v>
      </c>
      <c r="R666" s="215">
        <f t="shared" si="805"/>
        <v>8.0459770114942528E-2</v>
      </c>
      <c r="S666" s="105">
        <f t="shared" si="967"/>
        <v>58695</v>
      </c>
      <c r="T666" s="98">
        <f t="shared" si="809"/>
        <v>9098</v>
      </c>
      <c r="U666" s="70">
        <f t="shared" si="806"/>
        <v>5.51472036425249E-7</v>
      </c>
      <c r="V666" s="181">
        <v>0.155</v>
      </c>
      <c r="W666" s="210"/>
      <c r="X666" s="17">
        <v>44344</v>
      </c>
      <c r="Y666" s="12" t="s">
        <v>66</v>
      </c>
      <c r="Z666" s="12"/>
      <c r="AA666" s="12"/>
      <c r="AB666" s="3">
        <v>1</v>
      </c>
    </row>
    <row r="667" spans="1:28" s="3" customFormat="1" ht="14.45" customHeight="1" x14ac:dyDescent="0.25">
      <c r="A667" s="141">
        <v>2</v>
      </c>
      <c r="B667" s="99" t="s">
        <v>200</v>
      </c>
      <c r="C667" s="95" t="str">
        <f>VLOOKUP($F667,Admin!$D$11:$F$19,2,FALSE)</f>
        <v>Koordináció</v>
      </c>
      <c r="D667" s="138" t="s">
        <v>123</v>
      </c>
      <c r="E667" s="95" t="str">
        <f>VLOOKUP($F667,Admin!$D$11:$F$19,3,FALSE)</f>
        <v>54. Bérköltség - Projektmenedzser</v>
      </c>
      <c r="F667" s="139" t="s">
        <v>173</v>
      </c>
      <c r="G667" s="100" t="s">
        <v>181</v>
      </c>
      <c r="H667" s="100" t="s">
        <v>233</v>
      </c>
      <c r="I667" s="139" t="str">
        <f>VLOOKUP($F667,Admin!$D$11:$G$19,4,FALSE)</f>
        <v>Projektmenedzsment</v>
      </c>
      <c r="J667" s="100" t="s">
        <v>37</v>
      </c>
      <c r="K667" s="95" t="str">
        <f t="shared" si="807"/>
        <v>2021.07</v>
      </c>
      <c r="L667" s="101" t="s">
        <v>6</v>
      </c>
      <c r="M667" s="96" t="s">
        <v>70</v>
      </c>
      <c r="N667" s="103">
        <v>729500</v>
      </c>
      <c r="O667" s="97">
        <f t="shared" si="808"/>
        <v>113073</v>
      </c>
      <c r="P667" s="104">
        <v>174</v>
      </c>
      <c r="Q667" s="104">
        <v>14</v>
      </c>
      <c r="R667" s="215">
        <f t="shared" si="805"/>
        <v>8.0459770114942528E-2</v>
      </c>
      <c r="S667" s="105">
        <f t="shared" si="967"/>
        <v>58695</v>
      </c>
      <c r="T667" s="98">
        <f t="shared" si="809"/>
        <v>9098</v>
      </c>
      <c r="U667" s="70">
        <f t="shared" si="806"/>
        <v>5.51472036425249E-7</v>
      </c>
      <c r="V667" s="181">
        <v>0.155</v>
      </c>
      <c r="W667" s="210"/>
      <c r="X667" s="17">
        <v>44365</v>
      </c>
      <c r="Y667" s="12" t="s">
        <v>66</v>
      </c>
      <c r="Z667" s="12"/>
      <c r="AA667" s="12"/>
      <c r="AB667" s="3">
        <v>1</v>
      </c>
    </row>
    <row r="668" spans="1:28" s="3" customFormat="1" ht="14.45" customHeight="1" x14ac:dyDescent="0.25">
      <c r="A668" s="141">
        <v>2</v>
      </c>
      <c r="B668" s="99" t="s">
        <v>200</v>
      </c>
      <c r="C668" s="95" t="str">
        <f>VLOOKUP($F668,Admin!$D$11:$F$19,2,FALSE)</f>
        <v>Koordináció</v>
      </c>
      <c r="D668" s="138" t="s">
        <v>123</v>
      </c>
      <c r="E668" s="95" t="str">
        <f>VLOOKUP($F668,Admin!$D$11:$F$19,3,FALSE)</f>
        <v>54. Bérköltség - Projektmenedzser</v>
      </c>
      <c r="F668" s="139" t="s">
        <v>173</v>
      </c>
      <c r="G668" s="100" t="s">
        <v>181</v>
      </c>
      <c r="H668" s="100" t="s">
        <v>233</v>
      </c>
      <c r="I668" s="139" t="str">
        <f>VLOOKUP($F668,Admin!$D$11:$G$19,4,FALSE)</f>
        <v>Projektmenedzsment</v>
      </c>
      <c r="J668" s="100" t="s">
        <v>38</v>
      </c>
      <c r="K668" s="95" t="str">
        <f t="shared" si="807"/>
        <v>2021.08</v>
      </c>
      <c r="L668" s="101" t="s">
        <v>6</v>
      </c>
      <c r="M668" s="96" t="s">
        <v>70</v>
      </c>
      <c r="N668" s="103">
        <v>729500</v>
      </c>
      <c r="O668" s="97">
        <f t="shared" si="808"/>
        <v>113073</v>
      </c>
      <c r="P668" s="104">
        <v>174</v>
      </c>
      <c r="Q668" s="104">
        <v>14</v>
      </c>
      <c r="R668" s="215">
        <f t="shared" si="805"/>
        <v>8.0459770114942528E-2</v>
      </c>
      <c r="S668" s="105">
        <f t="shared" si="967"/>
        <v>58695</v>
      </c>
      <c r="T668" s="98">
        <f t="shared" si="809"/>
        <v>9098</v>
      </c>
      <c r="U668" s="70">
        <f t="shared" si="806"/>
        <v>5.51472036425249E-7</v>
      </c>
      <c r="V668" s="181">
        <v>0.155</v>
      </c>
      <c r="W668" s="210"/>
      <c r="X668" s="17">
        <v>44365</v>
      </c>
      <c r="Y668" s="12" t="s">
        <v>66</v>
      </c>
      <c r="Z668" s="12"/>
      <c r="AA668" s="12"/>
      <c r="AB668" s="3">
        <v>1</v>
      </c>
    </row>
    <row r="669" spans="1:28" s="3" customFormat="1" ht="14.45" customHeight="1" x14ac:dyDescent="0.25">
      <c r="A669" s="141">
        <v>2</v>
      </c>
      <c r="B669" s="99" t="s">
        <v>200</v>
      </c>
      <c r="C669" s="95" t="str">
        <f>VLOOKUP($F669,Admin!$D$11:$F$19,2,FALSE)</f>
        <v>Koordináció</v>
      </c>
      <c r="D669" s="138" t="s">
        <v>123</v>
      </c>
      <c r="E669" s="95" t="str">
        <f>VLOOKUP($F669,Admin!$D$11:$F$19,3,FALSE)</f>
        <v>54. Bérköltség - Projektmenedzser</v>
      </c>
      <c r="F669" s="139" t="s">
        <v>173</v>
      </c>
      <c r="G669" s="100" t="s">
        <v>181</v>
      </c>
      <c r="H669" s="100" t="s">
        <v>233</v>
      </c>
      <c r="I669" s="139" t="str">
        <f>VLOOKUP($F669,Admin!$D$11:$G$19,4,FALSE)</f>
        <v>Projektmenedzsment</v>
      </c>
      <c r="J669" s="100" t="s">
        <v>39</v>
      </c>
      <c r="K669" s="95" t="str">
        <f t="shared" si="807"/>
        <v>2021.09</v>
      </c>
      <c r="L669" s="101" t="s">
        <v>6</v>
      </c>
      <c r="M669" s="96" t="s">
        <v>70</v>
      </c>
      <c r="N669" s="103">
        <v>729500</v>
      </c>
      <c r="O669" s="97">
        <f t="shared" si="808"/>
        <v>113073</v>
      </c>
      <c r="P669" s="104">
        <v>174</v>
      </c>
      <c r="Q669" s="104">
        <v>14</v>
      </c>
      <c r="R669" s="215">
        <f t="shared" ref="R669" si="1074">Q669/P669</f>
        <v>8.0459770114942528E-2</v>
      </c>
      <c r="S669" s="105">
        <f t="shared" si="967"/>
        <v>58695</v>
      </c>
      <c r="T669" s="98">
        <f t="shared" si="809"/>
        <v>9098</v>
      </c>
      <c r="U669" s="70">
        <f t="shared" si="806"/>
        <v>5.51472036425249E-7</v>
      </c>
      <c r="V669" s="181">
        <v>0.155</v>
      </c>
      <c r="W669" s="210"/>
      <c r="X669" s="17">
        <v>44365</v>
      </c>
      <c r="Y669" s="12" t="s">
        <v>66</v>
      </c>
      <c r="Z669" s="12"/>
      <c r="AA669" s="12"/>
      <c r="AB669" s="3">
        <v>1</v>
      </c>
    </row>
    <row r="670" spans="1:28" s="3" customFormat="1" ht="14.45" customHeight="1" x14ac:dyDescent="0.25">
      <c r="A670" s="141"/>
      <c r="B670" s="99"/>
      <c r="C670" s="95"/>
      <c r="D670" s="138"/>
      <c r="E670" s="95"/>
      <c r="F670" s="135"/>
      <c r="G670" s="100"/>
      <c r="H670" s="100"/>
      <c r="I670" s="139"/>
      <c r="J670" s="100"/>
      <c r="K670" s="95"/>
      <c r="L670" s="101"/>
      <c r="M670" s="96"/>
      <c r="N670" s="102"/>
      <c r="O670" s="97"/>
      <c r="P670" s="104"/>
      <c r="Q670" s="104"/>
      <c r="R670" s="104"/>
      <c r="S670" s="105"/>
      <c r="T670" s="98"/>
      <c r="U670" s="70"/>
      <c r="V670" s="140"/>
      <c r="W670" s="209"/>
      <c r="X670" s="17"/>
      <c r="Y670" s="12"/>
      <c r="Z670" s="12"/>
      <c r="AA670" s="12"/>
    </row>
    <row r="671" spans="1:28" s="3" customFormat="1" ht="14.45" customHeight="1" x14ac:dyDescent="0.25">
      <c r="A671" s="141"/>
      <c r="B671" s="99"/>
      <c r="C671" s="95"/>
      <c r="D671" s="138"/>
      <c r="E671" s="95"/>
      <c r="F671" s="135"/>
      <c r="G671" s="100"/>
      <c r="H671" s="100"/>
      <c r="I671" s="139"/>
      <c r="J671" s="100"/>
      <c r="K671" s="95"/>
      <c r="L671" s="101"/>
      <c r="M671" s="96"/>
      <c r="N671" s="102"/>
      <c r="O671" s="97"/>
      <c r="P671" s="104"/>
      <c r="Q671" s="104"/>
      <c r="R671" s="104"/>
      <c r="S671" s="105"/>
      <c r="T671" s="98"/>
      <c r="U671" s="70"/>
      <c r="V671" s="140"/>
      <c r="W671" s="209"/>
      <c r="X671" s="17"/>
      <c r="Y671" s="12"/>
      <c r="Z671" s="12"/>
      <c r="AA671" s="12"/>
    </row>
    <row r="672" spans="1:28" s="3" customFormat="1" ht="14.45" customHeight="1" x14ac:dyDescent="0.25">
      <c r="A672" s="141"/>
      <c r="B672" s="99"/>
      <c r="C672" s="95"/>
      <c r="D672" s="138"/>
      <c r="E672" s="95"/>
      <c r="F672" s="135"/>
      <c r="G672" s="100"/>
      <c r="H672" s="100"/>
      <c r="I672" s="139"/>
      <c r="J672" s="100"/>
      <c r="K672" s="95"/>
      <c r="L672" s="101"/>
      <c r="M672" s="96"/>
      <c r="N672" s="102"/>
      <c r="O672" s="97"/>
      <c r="P672" s="104"/>
      <c r="Q672" s="104"/>
      <c r="R672" s="104"/>
      <c r="S672" s="105"/>
      <c r="T672" s="98"/>
      <c r="U672" s="70"/>
      <c r="V672" s="140"/>
      <c r="W672" s="209"/>
      <c r="X672" s="17"/>
      <c r="Y672" s="12"/>
      <c r="Z672" s="12"/>
      <c r="AA672" s="12"/>
    </row>
    <row r="673" spans="1:27" s="3" customFormat="1" ht="14.45" customHeight="1" x14ac:dyDescent="0.25">
      <c r="A673" s="141"/>
      <c r="B673" s="99"/>
      <c r="C673" s="95"/>
      <c r="D673" s="138"/>
      <c r="E673" s="95"/>
      <c r="F673" s="135"/>
      <c r="G673" s="100"/>
      <c r="H673" s="100"/>
      <c r="I673" s="139"/>
      <c r="J673" s="100"/>
      <c r="K673" s="95"/>
      <c r="L673" s="101"/>
      <c r="M673" s="96"/>
      <c r="N673" s="102"/>
      <c r="O673" s="97"/>
      <c r="P673" s="104"/>
      <c r="Q673" s="104"/>
      <c r="R673" s="104"/>
      <c r="S673" s="105"/>
      <c r="T673" s="98"/>
      <c r="U673" s="70"/>
      <c r="V673" s="140"/>
      <c r="W673" s="209"/>
      <c r="X673" s="17"/>
      <c r="Y673" s="12"/>
      <c r="Z673" s="12"/>
      <c r="AA673" s="12"/>
    </row>
    <row r="674" spans="1:27" s="3" customFormat="1" ht="14.45" customHeight="1" x14ac:dyDescent="0.25">
      <c r="A674" s="141"/>
      <c r="B674" s="99"/>
      <c r="C674" s="95"/>
      <c r="D674" s="138"/>
      <c r="E674" s="95"/>
      <c r="F674" s="135"/>
      <c r="G674" s="100"/>
      <c r="H674" s="100"/>
      <c r="I674" s="139"/>
      <c r="J674" s="100"/>
      <c r="K674" s="95"/>
      <c r="L674" s="101"/>
      <c r="M674" s="96"/>
      <c r="N674" s="102"/>
      <c r="O674" s="97"/>
      <c r="P674" s="104"/>
      <c r="Q674" s="104"/>
      <c r="R674" s="104"/>
      <c r="S674" s="105"/>
      <c r="T674" s="98"/>
      <c r="U674" s="70"/>
      <c r="V674" s="140"/>
      <c r="W674" s="209"/>
      <c r="X674" s="17"/>
      <c r="Y674" s="12"/>
      <c r="Z674" s="12"/>
      <c r="AA674" s="12"/>
    </row>
    <row r="675" spans="1:27" s="3" customFormat="1" ht="14.45" customHeight="1" x14ac:dyDescent="0.25">
      <c r="A675" s="141"/>
      <c r="B675" s="99"/>
      <c r="C675" s="95"/>
      <c r="D675" s="138"/>
      <c r="E675" s="95"/>
      <c r="F675" s="135"/>
      <c r="G675" s="100"/>
      <c r="H675" s="100"/>
      <c r="I675" s="139"/>
      <c r="J675" s="100"/>
      <c r="K675" s="95"/>
      <c r="L675" s="101"/>
      <c r="M675" s="96"/>
      <c r="N675" s="102"/>
      <c r="O675" s="97"/>
      <c r="P675" s="104"/>
      <c r="Q675" s="104"/>
      <c r="R675" s="104"/>
      <c r="S675" s="105"/>
      <c r="T675" s="98"/>
      <c r="U675" s="70"/>
      <c r="V675" s="140"/>
      <c r="W675" s="209"/>
      <c r="X675" s="17"/>
      <c r="Y675" s="12"/>
      <c r="Z675" s="12"/>
      <c r="AA675" s="12"/>
    </row>
    <row r="676" spans="1:27" s="3" customFormat="1" ht="14.45" customHeight="1" x14ac:dyDescent="0.25">
      <c r="A676" s="141"/>
      <c r="B676" s="99"/>
      <c r="C676" s="95"/>
      <c r="D676" s="138"/>
      <c r="E676" s="95"/>
      <c r="F676" s="135"/>
      <c r="G676" s="100"/>
      <c r="H676" s="100"/>
      <c r="I676" s="139"/>
      <c r="J676" s="100"/>
      <c r="K676" s="95"/>
      <c r="L676" s="101"/>
      <c r="M676" s="96"/>
      <c r="N676" s="102"/>
      <c r="O676" s="97"/>
      <c r="P676" s="104"/>
      <c r="Q676" s="104"/>
      <c r="R676" s="104"/>
      <c r="S676" s="105"/>
      <c r="T676" s="98"/>
      <c r="U676" s="70"/>
      <c r="V676" s="140"/>
      <c r="W676" s="209"/>
      <c r="X676" s="17"/>
      <c r="Y676" s="12"/>
      <c r="Z676" s="12"/>
      <c r="AA676" s="12"/>
    </row>
    <row r="677" spans="1:27" s="3" customFormat="1" ht="14.45" customHeight="1" x14ac:dyDescent="0.25">
      <c r="A677" s="141"/>
      <c r="B677" s="99"/>
      <c r="C677" s="95"/>
      <c r="D677" s="138"/>
      <c r="E677" s="95"/>
      <c r="F677" s="135"/>
      <c r="G677" s="100"/>
      <c r="H677" s="100"/>
      <c r="I677" s="139"/>
      <c r="J677" s="100"/>
      <c r="K677" s="95"/>
      <c r="L677" s="101"/>
      <c r="M677" s="96"/>
      <c r="N677" s="102"/>
      <c r="O677" s="97"/>
      <c r="P677" s="104"/>
      <c r="Q677" s="104"/>
      <c r="R677" s="104"/>
      <c r="S677" s="105"/>
      <c r="T677" s="98"/>
      <c r="U677" s="70"/>
      <c r="V677" s="140"/>
      <c r="W677" s="209"/>
      <c r="X677" s="17"/>
      <c r="Y677" s="12"/>
      <c r="Z677" s="12"/>
      <c r="AA677" s="12"/>
    </row>
    <row r="678" spans="1:27" s="3" customFormat="1" ht="14.45" customHeight="1" x14ac:dyDescent="0.25">
      <c r="A678" s="141"/>
      <c r="B678" s="99"/>
      <c r="C678" s="95"/>
      <c r="D678" s="138"/>
      <c r="E678" s="95"/>
      <c r="F678" s="135"/>
      <c r="G678" s="100"/>
      <c r="H678" s="100"/>
      <c r="I678" s="139"/>
      <c r="J678" s="100"/>
      <c r="K678" s="95"/>
      <c r="L678" s="101"/>
      <c r="M678" s="96"/>
      <c r="N678" s="102"/>
      <c r="O678" s="97"/>
      <c r="P678" s="104"/>
      <c r="Q678" s="104"/>
      <c r="R678" s="104"/>
      <c r="S678" s="105"/>
      <c r="T678" s="98"/>
      <c r="U678" s="70"/>
      <c r="V678" s="140"/>
      <c r="W678" s="209"/>
      <c r="X678" s="17"/>
      <c r="Y678" s="12"/>
      <c r="Z678" s="12"/>
      <c r="AA678" s="12"/>
    </row>
    <row r="679" spans="1:27" s="3" customFormat="1" ht="14.45" customHeight="1" x14ac:dyDescent="0.25">
      <c r="A679" s="141"/>
      <c r="B679" s="99"/>
      <c r="C679" s="135"/>
      <c r="D679" s="138"/>
      <c r="E679" s="135"/>
      <c r="F679" s="135"/>
      <c r="G679" s="100"/>
      <c r="H679" s="100"/>
      <c r="I679" s="101"/>
      <c r="J679" s="100"/>
      <c r="K679" s="100"/>
      <c r="L679" s="101"/>
      <c r="M679" s="99"/>
      <c r="N679" s="102"/>
      <c r="O679" s="103"/>
      <c r="P679" s="104"/>
      <c r="Q679" s="104"/>
      <c r="R679" s="104"/>
      <c r="S679" s="105"/>
      <c r="T679" s="106"/>
      <c r="U679" s="70"/>
      <c r="V679" s="57"/>
      <c r="W679" s="209"/>
      <c r="X679" s="17"/>
      <c r="Y679" s="12"/>
      <c r="Z679" s="12"/>
      <c r="AA679" s="12"/>
    </row>
    <row r="680" spans="1:27" ht="14.45" customHeight="1" x14ac:dyDescent="0.25">
      <c r="A680" s="51"/>
      <c r="B680" s="99"/>
      <c r="C680" s="135"/>
      <c r="D680" s="138"/>
      <c r="E680" s="135"/>
      <c r="F680" s="135"/>
      <c r="G680" s="100"/>
      <c r="H680" s="100"/>
      <c r="I680" s="107"/>
      <c r="J680" s="100"/>
      <c r="K680" s="100"/>
      <c r="L680" s="101"/>
      <c r="M680" s="99"/>
      <c r="N680" s="103"/>
      <c r="O680" s="103"/>
      <c r="P680" s="104"/>
      <c r="Q680" s="104"/>
      <c r="R680" s="104"/>
      <c r="S680" s="105"/>
      <c r="T680" s="106"/>
      <c r="U680" s="70"/>
      <c r="V680" s="58"/>
      <c r="W680" s="210"/>
      <c r="X680" s="12"/>
      <c r="Y680" s="12"/>
      <c r="Z680" s="12"/>
      <c r="AA680" s="12"/>
    </row>
    <row r="681" spans="1:27" ht="14.45" customHeight="1" x14ac:dyDescent="0.25">
      <c r="A681" s="142"/>
      <c r="B681" s="87" t="s">
        <v>25</v>
      </c>
      <c r="C681" s="136"/>
      <c r="D681" s="136"/>
      <c r="E681" s="136"/>
      <c r="F681" s="136"/>
      <c r="G681" s="88"/>
      <c r="H681" s="88"/>
      <c r="I681" s="89"/>
      <c r="J681" s="88"/>
      <c r="K681" s="88"/>
      <c r="L681" s="90"/>
      <c r="M681" s="87"/>
      <c r="N681" s="91"/>
      <c r="O681" s="91"/>
      <c r="P681" s="92"/>
      <c r="Q681" s="92"/>
      <c r="R681" s="92"/>
      <c r="S681" s="93"/>
      <c r="T681" s="94"/>
      <c r="U681" s="71"/>
      <c r="V681" s="59"/>
      <c r="W681" s="212"/>
      <c r="X681" s="19"/>
      <c r="Y681" s="19"/>
      <c r="Z681" s="19"/>
      <c r="AA681" s="19"/>
    </row>
    <row r="682" spans="1:27" ht="14.45" customHeight="1" x14ac:dyDescent="0.25">
      <c r="A682" s="51"/>
      <c r="B682" s="99"/>
      <c r="C682" s="135"/>
      <c r="D682" s="138"/>
      <c r="E682" s="135"/>
      <c r="F682" s="135"/>
      <c r="G682" s="100"/>
      <c r="H682" s="100"/>
      <c r="I682" s="107"/>
      <c r="J682" s="100"/>
      <c r="K682" s="100"/>
      <c r="L682" s="101"/>
      <c r="M682" s="99"/>
      <c r="N682" s="103"/>
      <c r="O682" s="103"/>
      <c r="P682" s="104"/>
      <c r="Q682" s="104"/>
      <c r="R682" s="104"/>
      <c r="S682" s="105"/>
      <c r="T682" s="106"/>
      <c r="U682" s="72"/>
      <c r="V682" s="58"/>
      <c r="W682" s="210"/>
      <c r="X682" s="12"/>
      <c r="Y682" s="12"/>
      <c r="Z682" s="12"/>
      <c r="AA682" s="12"/>
    </row>
    <row r="683" spans="1:27" ht="14.45" customHeight="1" x14ac:dyDescent="0.25">
      <c r="A683" s="51"/>
      <c r="B683" s="99"/>
      <c r="C683" s="135"/>
      <c r="D683" s="138"/>
      <c r="E683" s="135"/>
      <c r="F683" s="135"/>
      <c r="G683" s="100"/>
      <c r="H683" s="100"/>
      <c r="I683" s="107"/>
      <c r="J683" s="100"/>
      <c r="K683" s="100"/>
      <c r="L683" s="101"/>
      <c r="M683" s="99"/>
      <c r="N683" s="102"/>
      <c r="O683" s="103">
        <f>ROUND(N683*0.9*V683,0)</f>
        <v>0</v>
      </c>
      <c r="P683" s="104" t="s">
        <v>20</v>
      </c>
      <c r="Q683" s="104" t="s">
        <v>20</v>
      </c>
      <c r="R683" s="104"/>
      <c r="S683" s="105"/>
      <c r="T683" s="106">
        <f>ROUND(S683*0.9*V683,0)</f>
        <v>0</v>
      </c>
      <c r="U683" s="72"/>
      <c r="V683" s="57"/>
      <c r="W683" s="209"/>
      <c r="X683" s="17"/>
      <c r="Y683" s="12"/>
      <c r="Z683" s="12"/>
      <c r="AA683" s="12"/>
    </row>
    <row r="684" spans="1:27" ht="14.45" customHeight="1" x14ac:dyDescent="0.25">
      <c r="A684" s="51"/>
      <c r="B684" s="99"/>
      <c r="C684" s="135"/>
      <c r="D684" s="138"/>
      <c r="E684" s="135"/>
      <c r="F684" s="135"/>
      <c r="G684" s="100"/>
      <c r="H684" s="100"/>
      <c r="I684" s="107"/>
      <c r="J684" s="100"/>
      <c r="K684" s="100"/>
      <c r="L684" s="101"/>
      <c r="M684" s="99"/>
      <c r="N684" s="102"/>
      <c r="O684" s="103"/>
      <c r="P684" s="104"/>
      <c r="Q684" s="104"/>
      <c r="R684" s="104"/>
      <c r="S684" s="105"/>
      <c r="T684" s="106"/>
      <c r="U684" s="72"/>
      <c r="V684" s="58"/>
      <c r="W684" s="210"/>
      <c r="X684" s="12"/>
      <c r="Y684" s="12"/>
      <c r="Z684" s="12"/>
      <c r="AA684" s="12"/>
    </row>
    <row r="685" spans="1:27" s="3" customFormat="1" ht="15" customHeight="1" x14ac:dyDescent="0.25">
      <c r="A685" s="141"/>
      <c r="B685" s="99"/>
      <c r="C685" s="135"/>
      <c r="D685" s="138"/>
      <c r="E685" s="135"/>
      <c r="F685" s="135"/>
      <c r="G685" s="100"/>
      <c r="H685" s="100"/>
      <c r="I685" s="107"/>
      <c r="J685" s="100"/>
      <c r="K685" s="100"/>
      <c r="L685" s="101"/>
      <c r="M685" s="99"/>
      <c r="N685" s="103"/>
      <c r="O685" s="103"/>
      <c r="P685" s="104"/>
      <c r="Q685" s="104"/>
      <c r="R685" s="104"/>
      <c r="S685" s="105"/>
      <c r="T685" s="106"/>
      <c r="U685" s="72"/>
      <c r="V685" s="58"/>
      <c r="W685" s="210"/>
      <c r="X685" s="12"/>
      <c r="Y685" s="12"/>
      <c r="Z685" s="12"/>
      <c r="AA685" s="12"/>
    </row>
    <row r="686" spans="1:27" ht="15" customHeight="1" x14ac:dyDescent="0.25">
      <c r="A686" s="51"/>
      <c r="B686" s="108"/>
      <c r="C686" s="137"/>
      <c r="D686" s="137"/>
      <c r="E686" s="137"/>
      <c r="F686" s="137"/>
      <c r="G686" s="109"/>
      <c r="H686" s="109"/>
      <c r="I686" s="110"/>
      <c r="J686" s="109"/>
      <c r="K686" s="109"/>
      <c r="L686" s="108"/>
      <c r="M686" s="108"/>
      <c r="N686" s="111"/>
      <c r="O686" s="111"/>
      <c r="P686" s="112"/>
      <c r="Q686" s="112"/>
      <c r="R686" s="112"/>
      <c r="S686" s="113"/>
      <c r="T686" s="114"/>
      <c r="U686" s="73"/>
      <c r="V686" s="60"/>
      <c r="W686" s="213"/>
      <c r="X686" s="16"/>
      <c r="Y686" s="16"/>
      <c r="Z686" s="16"/>
      <c r="AA686" s="16"/>
    </row>
    <row r="687" spans="1:27" ht="15.75" thickBot="1" x14ac:dyDescent="0.3">
      <c r="A687" s="143"/>
      <c r="B687" s="115" t="s">
        <v>2</v>
      </c>
      <c r="C687" s="116"/>
      <c r="D687" s="116"/>
      <c r="E687" s="116"/>
      <c r="F687" s="116"/>
      <c r="G687" s="116"/>
      <c r="H687" s="116"/>
      <c r="I687" s="116"/>
      <c r="J687" s="117"/>
      <c r="K687" s="117"/>
      <c r="L687" s="118"/>
      <c r="M687" s="118"/>
      <c r="N687" s="119"/>
      <c r="O687" s="119"/>
      <c r="P687" s="120"/>
      <c r="Q687" s="121"/>
      <c r="R687" s="121"/>
      <c r="S687" s="122">
        <f>SUBTOTAL(109,S6:S686)</f>
        <v>192810993</v>
      </c>
      <c r="T687" s="123">
        <f>SUBTOTAL(109,T6:T686)</f>
        <v>26971629</v>
      </c>
      <c r="U687" s="74"/>
      <c r="V687" s="14"/>
      <c r="W687" s="214"/>
      <c r="X687" s="7"/>
      <c r="Y687" s="7"/>
      <c r="Z687" s="7"/>
      <c r="AA687" s="7"/>
    </row>
    <row r="689" spans="17:20" ht="14.45" customHeight="1" x14ac:dyDescent="0.25">
      <c r="Q689" s="4"/>
      <c r="R689" s="4"/>
      <c r="S689"/>
      <c r="T689"/>
    </row>
  </sheetData>
  <autoFilter ref="A5:AU678" xr:uid="{00000000-0001-0000-0100-000000000000}"/>
  <sortState xmlns:xlrd2="http://schemas.microsoft.com/office/spreadsheetml/2017/richdata2" ref="B6:BF678">
    <sortCondition ref="B6:B678"/>
    <sortCondition ref="J6:J678"/>
  </sortState>
  <dataConsolidate/>
  <customSheetViews>
    <customSheetView guid="{B3053EE5-F487-4331-B4B6-28A1F2EF1617}" filter="1" showAutoFilter="1" hiddenRows="1" hiddenColumns="1">
      <pane ySplit="4" topLeftCell="A5" activePane="bottomLeft" state="frozen"/>
      <selection pane="bottomLeft" activeCell="H77" sqref="H77"/>
      <pageMargins left="0.70866141732283472" right="0.70866141732283472" top="0.35433070866141736" bottom="0.74803149606299213" header="0.31496062992125984" footer="0.31496062992125984"/>
      <pageSetup paperSize="9" scale="53" orientation="portrait" r:id="rId1"/>
      <autoFilter ref="A4:AV400" xr:uid="{F0369B1F-B921-4DAE-8690-5999A54B939E}">
        <filterColumn colId="6">
          <filters>
            <filter val="2019.06"/>
            <filter val="2019.07"/>
            <filter val="2019.08"/>
            <filter val="2019.09"/>
            <filter val="2019.10"/>
          </filters>
        </filterColumn>
        <filterColumn colId="8">
          <filters>
            <filter val="Bér"/>
          </filters>
        </filterColumn>
        <filterColumn colId="19">
          <filters>
            <filter val="i"/>
          </filters>
        </filterColumn>
        <filterColumn colId="22">
          <filters blank="1"/>
        </filterColumn>
      </autoFilter>
    </customSheetView>
  </customSheetViews>
  <mergeCells count="3">
    <mergeCell ref="B2:J2"/>
    <mergeCell ref="I3:I4"/>
    <mergeCell ref="R3:R4"/>
  </mergeCells>
  <phoneticPr fontId="53" type="noConversion"/>
  <dataValidations count="1">
    <dataValidation type="list" allowBlank="1" showInputMessage="1" showErrorMessage="1" sqref="B65877:H65884 M681:M686 B65895:H65895 X686:AA686 B65886:H65893" xr:uid="{00000000-0002-0000-0100-000001000000}">
      <formula1>#REF!</formula1>
    </dataValidation>
  </dataValidations>
  <pageMargins left="0.70866141732283472" right="0.70866141732283472" top="0.35433070866141736" bottom="0.74803149606299213" header="0.31496062992125984" footer="0.31496062992125984"/>
  <pageSetup paperSize="9" scale="53" orientation="portrait" r:id="rId2"/>
  <legacyDrawing r:id="rId3"/>
  <extLst>
    <ext xmlns:x14="http://schemas.microsoft.com/office/spreadsheetml/2009/9/main" uri="{CCE6A557-97BC-4b89-ADB6-D9C93CAAB3DF}">
      <x14:dataValidations xmlns:xm="http://schemas.microsoft.com/office/excel/2006/main" count="6">
        <x14:dataValidation type="list" allowBlank="1" showInputMessage="1" showErrorMessage="1" xr:uid="{2703BDF1-0961-423A-8B58-24F6D3FE671C}">
          <x14:formula1>
            <xm:f>Hónapok!$A$1:$A$40</xm:f>
          </x14:formula1>
          <xm:sqref>J6:J104 J106:J376 J378:J686</xm:sqref>
        </x14:dataValidation>
        <x14:dataValidation type="list" allowBlank="1" showInputMessage="1" showErrorMessage="1" xr:uid="{00000000-0002-0000-0100-000008000000}">
          <x14:formula1>
            <xm:f>Admin!$C$3:$C$5</xm:f>
          </x14:formula1>
          <xm:sqref>M6:M680</xm:sqref>
        </x14:dataValidation>
        <x14:dataValidation type="list" allowBlank="1" showInputMessage="1" showErrorMessage="1" xr:uid="{DA6F52FF-A84C-431F-B404-C1EFCD40024D}">
          <x14:formula1>
            <xm:f>Admin!$B$11</xm:f>
          </x14:formula1>
          <xm:sqref>D6:D686</xm:sqref>
        </x14:dataValidation>
        <x14:dataValidation type="list" allowBlank="1" showInputMessage="1" showErrorMessage="1" xr:uid="{27E66B6A-EDE4-49C3-B1FD-AE5A9CDCF5D0}">
          <x14:formula1>
            <xm:f>Admin!$A$2:$A$4</xm:f>
          </x14:formula1>
          <xm:sqref>G6:G686</xm:sqref>
        </x14:dataValidation>
        <x14:dataValidation type="list" allowBlank="1" showInputMessage="1" showErrorMessage="1" xr:uid="{181F3288-0917-488B-AF31-AE9DB62116A4}">
          <x14:formula1>
            <xm:f>Admin!$A$6:$A$7</xm:f>
          </x14:formula1>
          <xm:sqref>L6:L686</xm:sqref>
        </x14:dataValidation>
        <x14:dataValidation type="list" allowBlank="1" showInputMessage="1" showErrorMessage="1" xr:uid="{43215EFD-5DBC-4369-BE88-50E8AD6AA40A}">
          <x14:formula1>
            <xm:f>Admin!$D$11:$D$15</xm:f>
          </x14:formula1>
          <xm:sqref>F6:F686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Munka3"/>
  <dimension ref="A1:D40"/>
  <sheetViews>
    <sheetView topLeftCell="A7" workbookViewId="0">
      <selection activeCell="A39" sqref="A39:A40"/>
    </sheetView>
  </sheetViews>
  <sheetFormatPr defaultRowHeight="15" x14ac:dyDescent="0.25"/>
  <cols>
    <col min="3" max="4" width="10.140625" bestFit="1" customWidth="1"/>
  </cols>
  <sheetData>
    <row r="1" spans="1:4" x14ac:dyDescent="0.25">
      <c r="A1" t="s">
        <v>216</v>
      </c>
      <c r="C1" s="144"/>
      <c r="D1" s="144"/>
    </row>
    <row r="2" spans="1:4" x14ac:dyDescent="0.25">
      <c r="A2" t="s">
        <v>217</v>
      </c>
      <c r="C2" s="144"/>
      <c r="D2" s="144"/>
    </row>
    <row r="3" spans="1:4" x14ac:dyDescent="0.25">
      <c r="A3" t="s">
        <v>218</v>
      </c>
      <c r="C3" s="144"/>
      <c r="D3" s="144"/>
    </row>
    <row r="4" spans="1:4" x14ac:dyDescent="0.25">
      <c r="A4" t="s">
        <v>219</v>
      </c>
      <c r="C4" s="144"/>
      <c r="D4" s="144"/>
    </row>
    <row r="5" spans="1:4" x14ac:dyDescent="0.25">
      <c r="A5" t="s">
        <v>220</v>
      </c>
      <c r="C5" s="144"/>
      <c r="D5" s="144"/>
    </row>
    <row r="6" spans="1:4" x14ac:dyDescent="0.25">
      <c r="A6" t="s">
        <v>221</v>
      </c>
      <c r="C6" s="144"/>
      <c r="D6" s="144"/>
    </row>
    <row r="7" spans="1:4" x14ac:dyDescent="0.25">
      <c r="A7" t="s">
        <v>222</v>
      </c>
      <c r="C7" s="144"/>
      <c r="D7" s="144"/>
    </row>
    <row r="8" spans="1:4" x14ac:dyDescent="0.25">
      <c r="A8" t="s">
        <v>223</v>
      </c>
      <c r="C8" s="144"/>
      <c r="D8" s="144"/>
    </row>
    <row r="9" spans="1:4" x14ac:dyDescent="0.25">
      <c r="A9" t="s">
        <v>224</v>
      </c>
      <c r="C9" s="144"/>
      <c r="D9" s="144"/>
    </row>
    <row r="10" spans="1:4" x14ac:dyDescent="0.25">
      <c r="A10" t="s">
        <v>225</v>
      </c>
      <c r="C10" s="144"/>
      <c r="D10" s="144"/>
    </row>
    <row r="11" spans="1:4" x14ac:dyDescent="0.25">
      <c r="A11" t="s">
        <v>226</v>
      </c>
      <c r="C11" s="144"/>
      <c r="D11" s="144"/>
    </row>
    <row r="12" spans="1:4" x14ac:dyDescent="0.25">
      <c r="A12" t="s">
        <v>30</v>
      </c>
      <c r="C12" s="144"/>
      <c r="D12" s="144"/>
    </row>
    <row r="13" spans="1:4" x14ac:dyDescent="0.25">
      <c r="A13" t="s">
        <v>31</v>
      </c>
      <c r="C13" s="144"/>
      <c r="D13" s="144"/>
    </row>
    <row r="14" spans="1:4" x14ac:dyDescent="0.25">
      <c r="A14" t="s">
        <v>32</v>
      </c>
      <c r="C14" s="144"/>
      <c r="D14" s="144"/>
    </row>
    <row r="15" spans="1:4" x14ac:dyDescent="0.25">
      <c r="A15" t="s">
        <v>33</v>
      </c>
      <c r="C15" s="144"/>
      <c r="D15" s="144"/>
    </row>
    <row r="16" spans="1:4" x14ac:dyDescent="0.25">
      <c r="A16" t="s">
        <v>34</v>
      </c>
      <c r="C16" s="144"/>
      <c r="D16" s="144"/>
    </row>
    <row r="17" spans="1:4" x14ac:dyDescent="0.25">
      <c r="A17" t="s">
        <v>35</v>
      </c>
      <c r="C17" s="144"/>
      <c r="D17" s="144"/>
    </row>
    <row r="18" spans="1:4" x14ac:dyDescent="0.25">
      <c r="A18" t="s">
        <v>36</v>
      </c>
      <c r="C18" s="144"/>
      <c r="D18" s="144"/>
    </row>
    <row r="19" spans="1:4" x14ac:dyDescent="0.25">
      <c r="A19" t="s">
        <v>37</v>
      </c>
      <c r="C19" s="144"/>
      <c r="D19" s="144"/>
    </row>
    <row r="20" spans="1:4" x14ac:dyDescent="0.25">
      <c r="A20" t="s">
        <v>38</v>
      </c>
      <c r="C20" s="144"/>
      <c r="D20" s="144"/>
    </row>
    <row r="21" spans="1:4" x14ac:dyDescent="0.25">
      <c r="A21" t="s">
        <v>39</v>
      </c>
      <c r="C21" s="144"/>
      <c r="D21" s="144"/>
    </row>
    <row r="22" spans="1:4" x14ac:dyDescent="0.25">
      <c r="A22" t="s">
        <v>40</v>
      </c>
      <c r="C22" s="144"/>
      <c r="D22" s="144"/>
    </row>
    <row r="23" spans="1:4" x14ac:dyDescent="0.25">
      <c r="A23" t="s">
        <v>41</v>
      </c>
      <c r="C23" s="144"/>
      <c r="D23" s="144"/>
    </row>
    <row r="24" spans="1:4" x14ac:dyDescent="0.25">
      <c r="A24" t="s">
        <v>42</v>
      </c>
      <c r="C24" s="144"/>
      <c r="D24" s="144"/>
    </row>
    <row r="25" spans="1:4" x14ac:dyDescent="0.25">
      <c r="A25" t="s">
        <v>43</v>
      </c>
      <c r="C25" s="144"/>
      <c r="D25" s="144"/>
    </row>
    <row r="26" spans="1:4" x14ac:dyDescent="0.25">
      <c r="A26" s="41" t="s">
        <v>44</v>
      </c>
      <c r="C26" s="144"/>
      <c r="D26" s="144"/>
    </row>
    <row r="27" spans="1:4" x14ac:dyDescent="0.25">
      <c r="A27" s="42" t="s">
        <v>45</v>
      </c>
      <c r="C27" s="144"/>
      <c r="D27" s="144"/>
    </row>
    <row r="28" spans="1:4" x14ac:dyDescent="0.25">
      <c r="A28" s="41" t="s">
        <v>46</v>
      </c>
      <c r="C28" s="144"/>
      <c r="D28" s="144"/>
    </row>
    <row r="29" spans="1:4" x14ac:dyDescent="0.25">
      <c r="A29" s="42" t="s">
        <v>47</v>
      </c>
      <c r="C29" s="144"/>
      <c r="D29" s="144"/>
    </row>
    <row r="30" spans="1:4" x14ac:dyDescent="0.25">
      <c r="A30" s="41" t="s">
        <v>48</v>
      </c>
      <c r="C30" s="144"/>
      <c r="D30" s="144"/>
    </row>
    <row r="31" spans="1:4" x14ac:dyDescent="0.25">
      <c r="A31" s="42" t="s">
        <v>49</v>
      </c>
      <c r="C31" s="144"/>
      <c r="D31" s="144"/>
    </row>
    <row r="32" spans="1:4" x14ac:dyDescent="0.25">
      <c r="A32" s="41" t="s">
        <v>50</v>
      </c>
      <c r="C32" s="144"/>
      <c r="D32" s="144"/>
    </row>
    <row r="33" spans="1:4" x14ac:dyDescent="0.25">
      <c r="A33" s="42" t="s">
        <v>51</v>
      </c>
      <c r="C33" s="144"/>
      <c r="D33" s="144"/>
    </row>
    <row r="34" spans="1:4" x14ac:dyDescent="0.25">
      <c r="A34" s="41" t="s">
        <v>52</v>
      </c>
      <c r="C34" s="144"/>
      <c r="D34" s="144"/>
    </row>
    <row r="35" spans="1:4" x14ac:dyDescent="0.25">
      <c r="A35" s="42" t="s">
        <v>53</v>
      </c>
      <c r="C35" s="144"/>
      <c r="D35" s="144"/>
    </row>
    <row r="36" spans="1:4" x14ac:dyDescent="0.25">
      <c r="A36" s="41" t="s">
        <v>54</v>
      </c>
      <c r="C36" s="144"/>
      <c r="D36" s="144"/>
    </row>
    <row r="37" spans="1:4" x14ac:dyDescent="0.25">
      <c r="A37" s="41" t="s">
        <v>257</v>
      </c>
      <c r="C37" s="144"/>
      <c r="D37" s="144"/>
    </row>
    <row r="38" spans="1:4" x14ac:dyDescent="0.25">
      <c r="A38" s="41" t="s">
        <v>295</v>
      </c>
      <c r="C38" s="144"/>
      <c r="D38" s="144"/>
    </row>
    <row r="39" spans="1:4" x14ac:dyDescent="0.25">
      <c r="A39" s="41" t="s">
        <v>296</v>
      </c>
      <c r="C39" s="144"/>
      <c r="D39" s="144"/>
    </row>
    <row r="40" spans="1:4" x14ac:dyDescent="0.25">
      <c r="A40" s="41" t="s">
        <v>297</v>
      </c>
      <c r="C40" s="144"/>
      <c r="D40" s="144"/>
    </row>
  </sheetData>
  <customSheetViews>
    <customSheetView guid="{B3053EE5-F487-4331-B4B6-28A1F2EF1617}">
      <selection activeCell="A7" sqref="A7:A13"/>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Munka4"/>
  <dimension ref="A1:AB11"/>
  <sheetViews>
    <sheetView topLeftCell="B1" workbookViewId="0">
      <selection activeCell="S4" sqref="S4"/>
    </sheetView>
  </sheetViews>
  <sheetFormatPr defaultColWidth="30.7109375" defaultRowHeight="15" x14ac:dyDescent="0.25"/>
  <cols>
    <col min="5" max="5" width="40.42578125" customWidth="1"/>
    <col min="6" max="6" width="30.7109375" customWidth="1"/>
    <col min="8" max="18" width="0" hidden="1" customWidth="1"/>
  </cols>
  <sheetData>
    <row r="1" spans="1:28" x14ac:dyDescent="0.25">
      <c r="A1" s="170" t="s">
        <v>98</v>
      </c>
      <c r="B1" s="170" t="s">
        <v>99</v>
      </c>
      <c r="C1" s="170" t="s">
        <v>55</v>
      </c>
      <c r="D1" s="170" t="s">
        <v>72</v>
      </c>
      <c r="E1" s="170" t="s">
        <v>4</v>
      </c>
      <c r="F1" s="170" t="s">
        <v>73</v>
      </c>
      <c r="G1" s="170" t="s">
        <v>100</v>
      </c>
      <c r="H1" s="170" t="s">
        <v>101</v>
      </c>
      <c r="I1" s="170" t="s">
        <v>102</v>
      </c>
      <c r="J1" s="170" t="s">
        <v>103</v>
      </c>
      <c r="K1" s="170" t="s">
        <v>104</v>
      </c>
      <c r="L1" s="170" t="s">
        <v>105</v>
      </c>
      <c r="M1" s="170" t="s">
        <v>106</v>
      </c>
      <c r="N1" s="170" t="s">
        <v>107</v>
      </c>
      <c r="O1" s="170" t="s">
        <v>108</v>
      </c>
      <c r="P1" s="170" t="s">
        <v>109</v>
      </c>
      <c r="Q1" s="170" t="s">
        <v>110</v>
      </c>
      <c r="R1" s="170" t="s">
        <v>111</v>
      </c>
      <c r="S1" s="170" t="s">
        <v>112</v>
      </c>
      <c r="T1" s="170" t="s">
        <v>113</v>
      </c>
      <c r="U1" s="170" t="s">
        <v>114</v>
      </c>
      <c r="V1" s="170" t="s">
        <v>115</v>
      </c>
      <c r="W1" s="170" t="s">
        <v>116</v>
      </c>
      <c r="X1" s="170" t="s">
        <v>117</v>
      </c>
      <c r="Y1" s="170" t="s">
        <v>118</v>
      </c>
      <c r="Z1" s="170" t="s">
        <v>119</v>
      </c>
      <c r="AA1" s="170" t="s">
        <v>120</v>
      </c>
      <c r="AB1" s="170" t="s">
        <v>121</v>
      </c>
    </row>
    <row r="2" spans="1:28" x14ac:dyDescent="0.25">
      <c r="A2" s="126"/>
      <c r="B2" s="126" t="s">
        <v>122</v>
      </c>
      <c r="C2" s="126" t="s">
        <v>166</v>
      </c>
      <c r="D2" s="126" t="s">
        <v>123</v>
      </c>
      <c r="E2" s="126" t="s">
        <v>124</v>
      </c>
      <c r="F2" s="126" t="s">
        <v>167</v>
      </c>
      <c r="G2" s="126" t="s">
        <v>125</v>
      </c>
      <c r="H2" s="126" t="s">
        <v>126</v>
      </c>
      <c r="I2" s="126" t="s">
        <v>127</v>
      </c>
      <c r="J2" s="126" t="s">
        <v>128</v>
      </c>
      <c r="K2" s="126"/>
      <c r="L2" s="127">
        <v>21953807</v>
      </c>
      <c r="M2" s="127">
        <v>0</v>
      </c>
      <c r="N2" s="127">
        <v>21953807</v>
      </c>
      <c r="O2" s="127">
        <v>1</v>
      </c>
      <c r="P2" s="127">
        <v>21953807</v>
      </c>
      <c r="Q2" s="127">
        <v>0</v>
      </c>
      <c r="R2" s="127">
        <v>21953807</v>
      </c>
      <c r="S2" s="127">
        <v>21953807</v>
      </c>
      <c r="T2" s="127">
        <v>0</v>
      </c>
      <c r="U2" s="127">
        <v>100</v>
      </c>
      <c r="V2" s="127">
        <v>21953807</v>
      </c>
      <c r="W2" s="126"/>
      <c r="X2" s="126"/>
      <c r="Y2" s="126" t="s">
        <v>168</v>
      </c>
      <c r="Z2" s="126"/>
      <c r="AA2" s="126"/>
      <c r="AB2" s="126"/>
    </row>
    <row r="3" spans="1:28" x14ac:dyDescent="0.25">
      <c r="A3" s="124"/>
      <c r="B3" s="124" t="s">
        <v>122</v>
      </c>
      <c r="C3" s="124" t="s">
        <v>169</v>
      </c>
      <c r="D3" s="124" t="s">
        <v>123</v>
      </c>
      <c r="E3" s="124" t="s">
        <v>124</v>
      </c>
      <c r="F3" s="124" t="s">
        <v>167</v>
      </c>
      <c r="G3" s="124" t="s">
        <v>125</v>
      </c>
      <c r="H3" s="124" t="s">
        <v>126</v>
      </c>
      <c r="I3" s="124" t="s">
        <v>127</v>
      </c>
      <c r="J3" s="124" t="s">
        <v>128</v>
      </c>
      <c r="K3" s="124"/>
      <c r="L3" s="125">
        <v>152338726</v>
      </c>
      <c r="M3" s="125">
        <v>0</v>
      </c>
      <c r="N3" s="125">
        <v>152338726</v>
      </c>
      <c r="O3" s="125">
        <v>1</v>
      </c>
      <c r="P3" s="125">
        <v>152338726</v>
      </c>
      <c r="Q3" s="125">
        <v>0</v>
      </c>
      <c r="R3" s="125">
        <v>152338726</v>
      </c>
      <c r="S3" s="125">
        <v>152338726</v>
      </c>
      <c r="T3" s="125">
        <v>0</v>
      </c>
      <c r="U3" s="125">
        <v>100</v>
      </c>
      <c r="V3" s="125">
        <v>152338726</v>
      </c>
      <c r="W3" s="124"/>
      <c r="X3" s="124"/>
      <c r="Y3" s="124" t="s">
        <v>170</v>
      </c>
      <c r="Z3" s="124"/>
      <c r="AA3" s="124"/>
      <c r="AB3" s="124"/>
    </row>
    <row r="4" spans="1:28" x14ac:dyDescent="0.25">
      <c r="A4" s="126"/>
      <c r="B4" s="126" t="s">
        <v>122</v>
      </c>
      <c r="C4" s="126" t="s">
        <v>166</v>
      </c>
      <c r="D4" s="126" t="s">
        <v>123</v>
      </c>
      <c r="E4" s="126" t="s">
        <v>124</v>
      </c>
      <c r="F4" s="126" t="s">
        <v>171</v>
      </c>
      <c r="G4" s="126" t="s">
        <v>125</v>
      </c>
      <c r="H4" s="126" t="s">
        <v>126</v>
      </c>
      <c r="I4" s="126" t="s">
        <v>127</v>
      </c>
      <c r="J4" s="126" t="s">
        <v>128</v>
      </c>
      <c r="K4" s="126"/>
      <c r="L4" s="127">
        <v>3968286</v>
      </c>
      <c r="M4" s="127">
        <v>0</v>
      </c>
      <c r="N4" s="127">
        <v>3968286</v>
      </c>
      <c r="O4" s="127">
        <v>1</v>
      </c>
      <c r="P4" s="127">
        <v>3968286</v>
      </c>
      <c r="Q4" s="127">
        <v>0</v>
      </c>
      <c r="R4" s="127">
        <v>3968286</v>
      </c>
      <c r="S4" s="127">
        <v>3968286</v>
      </c>
      <c r="T4" s="127">
        <v>0</v>
      </c>
      <c r="U4" s="127">
        <v>100</v>
      </c>
      <c r="V4" s="127">
        <v>3968286</v>
      </c>
      <c r="W4" s="126"/>
      <c r="X4" s="126"/>
      <c r="Y4" s="126" t="s">
        <v>172</v>
      </c>
      <c r="Z4" s="126"/>
      <c r="AA4" s="126"/>
      <c r="AB4" s="126"/>
    </row>
    <row r="5" spans="1:28" x14ac:dyDescent="0.25">
      <c r="A5" s="124"/>
      <c r="B5" s="124" t="s">
        <v>122</v>
      </c>
      <c r="C5" s="124" t="s">
        <v>129</v>
      </c>
      <c r="D5" s="124" t="s">
        <v>123</v>
      </c>
      <c r="E5" s="124" t="s">
        <v>130</v>
      </c>
      <c r="F5" s="124" t="s">
        <v>173</v>
      </c>
      <c r="G5" s="124" t="s">
        <v>125</v>
      </c>
      <c r="H5" s="124" t="s">
        <v>126</v>
      </c>
      <c r="I5" s="124" t="s">
        <v>127</v>
      </c>
      <c r="J5" s="124" t="s">
        <v>128</v>
      </c>
      <c r="K5" s="124"/>
      <c r="L5" s="125">
        <v>170000</v>
      </c>
      <c r="M5" s="125">
        <v>0</v>
      </c>
      <c r="N5" s="125">
        <v>170000</v>
      </c>
      <c r="O5" s="125">
        <v>36</v>
      </c>
      <c r="P5" s="125">
        <v>6120000</v>
      </c>
      <c r="Q5" s="125">
        <v>0</v>
      </c>
      <c r="R5" s="125">
        <v>6120000</v>
      </c>
      <c r="S5" s="125">
        <v>6120000</v>
      </c>
      <c r="T5" s="125">
        <v>0</v>
      </c>
      <c r="U5" s="125">
        <v>100</v>
      </c>
      <c r="V5" s="125">
        <v>6120000</v>
      </c>
      <c r="W5" s="124"/>
      <c r="X5" s="124"/>
      <c r="Y5" s="124" t="s">
        <v>174</v>
      </c>
      <c r="Z5" s="124"/>
      <c r="AA5" s="124"/>
      <c r="AB5" s="124"/>
    </row>
    <row r="6" spans="1:28" x14ac:dyDescent="0.25">
      <c r="A6" s="126"/>
      <c r="B6" s="126" t="s">
        <v>122</v>
      </c>
      <c r="C6" s="126" t="s">
        <v>169</v>
      </c>
      <c r="D6" s="126" t="s">
        <v>123</v>
      </c>
      <c r="E6" s="126" t="s">
        <v>131</v>
      </c>
      <c r="F6" s="126" t="s">
        <v>171</v>
      </c>
      <c r="G6" s="126" t="s">
        <v>125</v>
      </c>
      <c r="H6" s="126" t="s">
        <v>126</v>
      </c>
      <c r="I6" s="126" t="s">
        <v>127</v>
      </c>
      <c r="J6" s="126" t="s">
        <v>128</v>
      </c>
      <c r="K6" s="126"/>
      <c r="L6" s="127">
        <v>157500</v>
      </c>
      <c r="M6" s="127">
        <v>0</v>
      </c>
      <c r="N6" s="127">
        <v>157500</v>
      </c>
      <c r="O6" s="127">
        <v>36</v>
      </c>
      <c r="P6" s="127">
        <v>5670000</v>
      </c>
      <c r="Q6" s="127">
        <v>0</v>
      </c>
      <c r="R6" s="127">
        <v>5670000</v>
      </c>
      <c r="S6" s="127">
        <v>5670000</v>
      </c>
      <c r="T6" s="127">
        <v>0</v>
      </c>
      <c r="U6" s="127">
        <v>100</v>
      </c>
      <c r="V6" s="127">
        <v>5670000</v>
      </c>
      <c r="W6" s="126"/>
      <c r="X6" s="126"/>
      <c r="Y6" s="126" t="s">
        <v>175</v>
      </c>
      <c r="Z6" s="126"/>
      <c r="AA6" s="126"/>
      <c r="AB6" s="126"/>
    </row>
    <row r="7" spans="1:28" x14ac:dyDescent="0.25">
      <c r="A7" s="124"/>
      <c r="B7" s="124" t="s">
        <v>122</v>
      </c>
      <c r="C7" s="124" t="s">
        <v>169</v>
      </c>
      <c r="D7" s="124" t="s">
        <v>132</v>
      </c>
      <c r="E7" s="124" t="s">
        <v>133</v>
      </c>
      <c r="F7" s="124" t="s">
        <v>176</v>
      </c>
      <c r="G7" s="124" t="s">
        <v>125</v>
      </c>
      <c r="H7" s="124" t="s">
        <v>126</v>
      </c>
      <c r="I7" s="124" t="s">
        <v>127</v>
      </c>
      <c r="J7" s="124" t="s">
        <v>128</v>
      </c>
      <c r="K7" s="124"/>
      <c r="L7" s="125">
        <v>23612502</v>
      </c>
      <c r="M7" s="125">
        <v>0</v>
      </c>
      <c r="N7" s="125">
        <v>23612502</v>
      </c>
      <c r="O7" s="125">
        <v>1</v>
      </c>
      <c r="P7" s="125">
        <v>23612502</v>
      </c>
      <c r="Q7" s="125">
        <v>0</v>
      </c>
      <c r="R7" s="125">
        <v>23612502</v>
      </c>
      <c r="S7" s="125">
        <v>23612502</v>
      </c>
      <c r="T7" s="125">
        <v>0</v>
      </c>
      <c r="U7" s="125">
        <v>100</v>
      </c>
      <c r="V7" s="125">
        <v>23612502</v>
      </c>
      <c r="W7" s="124"/>
      <c r="X7" s="124"/>
      <c r="Y7" s="124" t="s">
        <v>170</v>
      </c>
      <c r="Z7" s="124"/>
      <c r="AA7" s="124"/>
      <c r="AB7" s="124"/>
    </row>
    <row r="8" spans="1:28" x14ac:dyDescent="0.25">
      <c r="A8" s="126"/>
      <c r="B8" s="126" t="s">
        <v>122</v>
      </c>
      <c r="C8" s="126" t="s">
        <v>166</v>
      </c>
      <c r="D8" s="126" t="s">
        <v>132</v>
      </c>
      <c r="E8" s="126" t="s">
        <v>133</v>
      </c>
      <c r="F8" s="126" t="s">
        <v>176</v>
      </c>
      <c r="G8" s="126" t="s">
        <v>125</v>
      </c>
      <c r="H8" s="126" t="s">
        <v>126</v>
      </c>
      <c r="I8" s="126" t="s">
        <v>127</v>
      </c>
      <c r="J8" s="126" t="s">
        <v>128</v>
      </c>
      <c r="K8" s="126"/>
      <c r="L8" s="127">
        <v>3402840</v>
      </c>
      <c r="M8" s="127">
        <v>0</v>
      </c>
      <c r="N8" s="127">
        <v>3402840</v>
      </c>
      <c r="O8" s="127">
        <v>1</v>
      </c>
      <c r="P8" s="127">
        <v>3402840</v>
      </c>
      <c r="Q8" s="127">
        <v>0</v>
      </c>
      <c r="R8" s="127">
        <v>3402840</v>
      </c>
      <c r="S8" s="127">
        <v>3402840</v>
      </c>
      <c r="T8" s="127">
        <v>0</v>
      </c>
      <c r="U8" s="127">
        <v>100</v>
      </c>
      <c r="V8" s="127">
        <v>3402840</v>
      </c>
      <c r="W8" s="126"/>
      <c r="X8" s="126"/>
      <c r="Y8" s="126" t="s">
        <v>168</v>
      </c>
      <c r="Z8" s="126"/>
      <c r="AA8" s="126"/>
      <c r="AB8" s="126"/>
    </row>
    <row r="9" spans="1:28" x14ac:dyDescent="0.25">
      <c r="A9" s="124"/>
      <c r="B9" s="124" t="s">
        <v>122</v>
      </c>
      <c r="C9" s="124" t="s">
        <v>129</v>
      </c>
      <c r="D9" s="124" t="s">
        <v>132</v>
      </c>
      <c r="E9" s="124" t="s">
        <v>134</v>
      </c>
      <c r="F9" s="124" t="s">
        <v>177</v>
      </c>
      <c r="G9" s="124" t="s">
        <v>125</v>
      </c>
      <c r="H9" s="124" t="s">
        <v>126</v>
      </c>
      <c r="I9" s="124" t="s">
        <v>127</v>
      </c>
      <c r="J9" s="124" t="s">
        <v>128</v>
      </c>
      <c r="K9" s="124"/>
      <c r="L9" s="125">
        <v>29750</v>
      </c>
      <c r="M9" s="125">
        <v>0</v>
      </c>
      <c r="N9" s="125">
        <v>29750</v>
      </c>
      <c r="O9" s="125">
        <v>36</v>
      </c>
      <c r="P9" s="125">
        <v>1071000</v>
      </c>
      <c r="Q9" s="125">
        <v>0</v>
      </c>
      <c r="R9" s="125">
        <v>1071000</v>
      </c>
      <c r="S9" s="125">
        <v>1071000</v>
      </c>
      <c r="T9" s="125">
        <v>0</v>
      </c>
      <c r="U9" s="125">
        <v>100</v>
      </c>
      <c r="V9" s="125">
        <v>1071000</v>
      </c>
      <c r="W9" s="124"/>
      <c r="X9" s="124"/>
      <c r="Y9" s="124" t="s">
        <v>174</v>
      </c>
      <c r="Z9" s="124"/>
      <c r="AA9" s="124"/>
      <c r="AB9" s="124"/>
    </row>
    <row r="10" spans="1:28" x14ac:dyDescent="0.25">
      <c r="A10" s="126"/>
      <c r="B10" s="126" t="s">
        <v>122</v>
      </c>
      <c r="C10" s="126" t="s">
        <v>169</v>
      </c>
      <c r="D10" s="126" t="s">
        <v>132</v>
      </c>
      <c r="E10" s="126" t="s">
        <v>135</v>
      </c>
      <c r="F10" s="126" t="s">
        <v>178</v>
      </c>
      <c r="G10" s="126" t="s">
        <v>125</v>
      </c>
      <c r="H10" s="126" t="s">
        <v>126</v>
      </c>
      <c r="I10" s="126" t="s">
        <v>127</v>
      </c>
      <c r="J10" s="126" t="s">
        <v>128</v>
      </c>
      <c r="K10" s="126"/>
      <c r="L10" s="127">
        <v>27563</v>
      </c>
      <c r="M10" s="127">
        <v>0</v>
      </c>
      <c r="N10" s="127">
        <v>27563</v>
      </c>
      <c r="O10" s="127">
        <v>36</v>
      </c>
      <c r="P10" s="127">
        <v>992268</v>
      </c>
      <c r="Q10" s="127">
        <v>0</v>
      </c>
      <c r="R10" s="127">
        <v>992268</v>
      </c>
      <c r="S10" s="127">
        <v>992268</v>
      </c>
      <c r="T10" s="127">
        <v>0</v>
      </c>
      <c r="U10" s="127">
        <v>100</v>
      </c>
      <c r="V10" s="127">
        <v>992268</v>
      </c>
      <c r="W10" s="126"/>
      <c r="X10" s="126"/>
      <c r="Y10" s="126" t="s">
        <v>175</v>
      </c>
      <c r="Z10" s="126"/>
      <c r="AA10" s="126"/>
      <c r="AB10" s="126"/>
    </row>
    <row r="11" spans="1:28" x14ac:dyDescent="0.25">
      <c r="A11" s="124"/>
      <c r="B11" s="124" t="s">
        <v>122</v>
      </c>
      <c r="C11" s="124" t="s">
        <v>166</v>
      </c>
      <c r="D11" s="124" t="s">
        <v>132</v>
      </c>
      <c r="E11" s="124" t="s">
        <v>135</v>
      </c>
      <c r="F11" s="124" t="s">
        <v>178</v>
      </c>
      <c r="G11" s="124" t="s">
        <v>125</v>
      </c>
      <c r="H11" s="124" t="s">
        <v>126</v>
      </c>
      <c r="I11" s="124" t="s">
        <v>127</v>
      </c>
      <c r="J11" s="124" t="s">
        <v>128</v>
      </c>
      <c r="K11" s="124"/>
      <c r="L11" s="125">
        <v>619107</v>
      </c>
      <c r="M11" s="125">
        <v>0</v>
      </c>
      <c r="N11" s="125">
        <v>619107</v>
      </c>
      <c r="O11" s="125">
        <v>1</v>
      </c>
      <c r="P11" s="125">
        <v>619107</v>
      </c>
      <c r="Q11" s="125">
        <v>0</v>
      </c>
      <c r="R11" s="125">
        <v>619107</v>
      </c>
      <c r="S11" s="125">
        <v>619107</v>
      </c>
      <c r="T11" s="125">
        <v>0</v>
      </c>
      <c r="U11" s="125">
        <v>100</v>
      </c>
      <c r="V11" s="125">
        <v>619107</v>
      </c>
      <c r="W11" s="124"/>
      <c r="X11" s="124"/>
      <c r="Y11" s="124" t="s">
        <v>172</v>
      </c>
      <c r="Z11" s="124"/>
      <c r="AA11" s="124"/>
      <c r="AB11" s="12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C12F8-6F3A-49C6-938E-25A33CC13B66}">
  <sheetPr codeName="Munka5"/>
  <dimension ref="A1:F26"/>
  <sheetViews>
    <sheetView workbookViewId="0">
      <selection activeCell="K30" sqref="K30"/>
    </sheetView>
  </sheetViews>
  <sheetFormatPr defaultRowHeight="15" x14ac:dyDescent="0.25"/>
  <cols>
    <col min="2" max="2" width="10.140625" bestFit="1" customWidth="1"/>
    <col min="5" max="5" width="10.140625" bestFit="1" customWidth="1"/>
    <col min="6" max="6" width="15.140625" bestFit="1" customWidth="1"/>
  </cols>
  <sheetData>
    <row r="1" spans="1:6" x14ac:dyDescent="0.25">
      <c r="A1" t="s">
        <v>147</v>
      </c>
      <c r="E1" s="144">
        <v>43672</v>
      </c>
    </row>
    <row r="2" spans="1:6" x14ac:dyDescent="0.25">
      <c r="A2" t="s">
        <v>148</v>
      </c>
      <c r="E2" t="s">
        <v>201</v>
      </c>
    </row>
    <row r="3" spans="1:6" x14ac:dyDescent="0.25">
      <c r="A3" t="s">
        <v>149</v>
      </c>
      <c r="E3" t="s">
        <v>202</v>
      </c>
    </row>
    <row r="4" spans="1:6" x14ac:dyDescent="0.25">
      <c r="A4" s="145" t="s">
        <v>150</v>
      </c>
    </row>
    <row r="5" spans="1:6" x14ac:dyDescent="0.25">
      <c r="B5" t="s">
        <v>151</v>
      </c>
      <c r="F5" s="146">
        <v>2000000</v>
      </c>
    </row>
    <row r="6" spans="1:6" x14ac:dyDescent="0.25">
      <c r="B6" t="s">
        <v>152</v>
      </c>
      <c r="F6" s="146">
        <v>800000</v>
      </c>
    </row>
    <row r="7" spans="1:6" x14ac:dyDescent="0.25">
      <c r="B7" t="s">
        <v>130</v>
      </c>
      <c r="F7" s="146">
        <v>900000</v>
      </c>
    </row>
    <row r="8" spans="1:6" x14ac:dyDescent="0.25">
      <c r="B8" t="s">
        <v>153</v>
      </c>
      <c r="F8" s="146">
        <v>700000</v>
      </c>
    </row>
    <row r="10" spans="1:6" x14ac:dyDescent="0.25">
      <c r="A10" t="s">
        <v>154</v>
      </c>
    </row>
    <row r="11" spans="1:6" x14ac:dyDescent="0.25">
      <c r="A11" t="s">
        <v>155</v>
      </c>
    </row>
    <row r="12" spans="1:6" x14ac:dyDescent="0.25">
      <c r="A12" t="s">
        <v>156</v>
      </c>
    </row>
    <row r="13" spans="1:6" x14ac:dyDescent="0.25">
      <c r="A13" t="s">
        <v>203</v>
      </c>
    </row>
    <row r="14" spans="1:6" x14ac:dyDescent="0.25">
      <c r="A14" t="s">
        <v>204</v>
      </c>
    </row>
    <row r="15" spans="1:6" x14ac:dyDescent="0.25">
      <c r="A15" t="s">
        <v>205</v>
      </c>
    </row>
    <row r="16" spans="1:6" x14ac:dyDescent="0.25">
      <c r="A16" t="s">
        <v>157</v>
      </c>
    </row>
    <row r="17" spans="1:2" x14ac:dyDescent="0.25">
      <c r="A17" t="s">
        <v>158</v>
      </c>
    </row>
    <row r="18" spans="1:2" x14ac:dyDescent="0.25">
      <c r="A18" t="s">
        <v>159</v>
      </c>
    </row>
    <row r="19" spans="1:2" x14ac:dyDescent="0.25">
      <c r="A19" t="s">
        <v>160</v>
      </c>
    </row>
    <row r="20" spans="1:2" x14ac:dyDescent="0.25">
      <c r="A20" t="s">
        <v>161</v>
      </c>
    </row>
    <row r="21" spans="1:2" x14ac:dyDescent="0.25">
      <c r="A21" t="s">
        <v>162</v>
      </c>
    </row>
    <row r="23" spans="1:2" x14ac:dyDescent="0.25">
      <c r="A23" s="145" t="s">
        <v>163</v>
      </c>
    </row>
    <row r="24" spans="1:2" x14ac:dyDescent="0.25">
      <c r="B24" s="144">
        <v>44227</v>
      </c>
    </row>
    <row r="25" spans="1:2" x14ac:dyDescent="0.25">
      <c r="B25" s="144">
        <v>44592</v>
      </c>
    </row>
    <row r="26" spans="1:2" x14ac:dyDescent="0.25">
      <c r="B26" s="144">
        <v>44926</v>
      </c>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Munka6"/>
  <dimension ref="A1:G15"/>
  <sheetViews>
    <sheetView workbookViewId="0">
      <selection activeCell="C8" sqref="C8"/>
    </sheetView>
  </sheetViews>
  <sheetFormatPr defaultRowHeight="15" x14ac:dyDescent="0.25"/>
  <cols>
    <col min="1" max="1" width="27.42578125" customWidth="1"/>
    <col min="2" max="2" width="46.7109375" customWidth="1"/>
    <col min="3" max="3" width="36.5703125" customWidth="1"/>
    <col min="4" max="4" width="55" customWidth="1"/>
    <col min="5" max="5" width="30.140625" customWidth="1"/>
    <col min="6" max="6" width="34" customWidth="1"/>
    <col min="7" max="7" width="19.5703125" customWidth="1"/>
  </cols>
  <sheetData>
    <row r="1" spans="1:7" x14ac:dyDescent="0.25">
      <c r="A1" s="133" t="s">
        <v>136</v>
      </c>
    </row>
    <row r="2" spans="1:7" ht="15.75" thickBot="1" x14ac:dyDescent="0.3">
      <c r="A2" s="182" t="s">
        <v>179</v>
      </c>
    </row>
    <row r="3" spans="1:7" s="5" customFormat="1" ht="18.75" customHeight="1" x14ac:dyDescent="0.25">
      <c r="A3" s="182" t="s">
        <v>180</v>
      </c>
      <c r="B3" s="131" t="s">
        <v>76</v>
      </c>
      <c r="C3" s="64" t="s">
        <v>70</v>
      </c>
    </row>
    <row r="4" spans="1:7" s="5" customFormat="1" ht="18.75" customHeight="1" thickBot="1" x14ac:dyDescent="0.3">
      <c r="A4" s="134" t="s">
        <v>181</v>
      </c>
      <c r="B4" s="132" t="s">
        <v>68</v>
      </c>
      <c r="C4" s="65" t="s">
        <v>12</v>
      </c>
    </row>
    <row r="5" spans="1:7" s="5" customFormat="1" ht="18.75" customHeight="1" thickBot="1" x14ac:dyDescent="0.3">
      <c r="B5" s="62" t="s">
        <v>69</v>
      </c>
      <c r="C5" s="66" t="s">
        <v>75</v>
      </c>
    </row>
    <row r="6" spans="1:7" s="5" customFormat="1" ht="18.75" customHeight="1" x14ac:dyDescent="0.25">
      <c r="A6" s="133" t="s">
        <v>6</v>
      </c>
      <c r="B6" s="62" t="s">
        <v>77</v>
      </c>
    </row>
    <row r="7" spans="1:7" s="5" customFormat="1" ht="18.75" customHeight="1" thickBot="1" x14ac:dyDescent="0.3">
      <c r="A7" s="134" t="s">
        <v>7</v>
      </c>
      <c r="B7" s="63" t="s">
        <v>78</v>
      </c>
    </row>
    <row r="8" spans="1:7" s="5" customFormat="1" ht="18.75" customHeight="1" x14ac:dyDescent="0.25"/>
    <row r="10" spans="1:7" ht="15.75" thickBot="1" x14ac:dyDescent="0.3">
      <c r="A10" s="130"/>
      <c r="B10" s="130" t="s">
        <v>72</v>
      </c>
      <c r="C10" s="130"/>
      <c r="D10" s="130" t="s">
        <v>73</v>
      </c>
      <c r="E10" s="130" t="s">
        <v>55</v>
      </c>
      <c r="F10" s="130" t="s">
        <v>4</v>
      </c>
      <c r="G10" s="130" t="s">
        <v>165</v>
      </c>
    </row>
    <row r="11" spans="1:7" ht="15.75" thickBot="1" x14ac:dyDescent="0.3">
      <c r="B11" t="s">
        <v>123</v>
      </c>
      <c r="D11" t="s">
        <v>212</v>
      </c>
      <c r="E11" s="126" t="s">
        <v>166</v>
      </c>
      <c r="F11" s="126" t="s">
        <v>124</v>
      </c>
      <c r="G11" s="131" t="s">
        <v>76</v>
      </c>
    </row>
    <row r="12" spans="1:7" x14ac:dyDescent="0.25">
      <c r="D12" t="s">
        <v>213</v>
      </c>
      <c r="E12" s="124" t="s">
        <v>169</v>
      </c>
      <c r="F12" s="124" t="s">
        <v>124</v>
      </c>
      <c r="G12" s="131" t="s">
        <v>76</v>
      </c>
    </row>
    <row r="13" spans="1:7" x14ac:dyDescent="0.25">
      <c r="D13" t="s">
        <v>214</v>
      </c>
      <c r="E13" s="126" t="s">
        <v>166</v>
      </c>
      <c r="F13" s="126" t="s">
        <v>131</v>
      </c>
      <c r="G13" s="132" t="s">
        <v>68</v>
      </c>
    </row>
    <row r="14" spans="1:7" x14ac:dyDescent="0.25">
      <c r="D14" t="s">
        <v>215</v>
      </c>
      <c r="E14" s="124" t="s">
        <v>169</v>
      </c>
      <c r="F14" s="126" t="s">
        <v>131</v>
      </c>
      <c r="G14" s="132" t="s">
        <v>68</v>
      </c>
    </row>
    <row r="15" spans="1:7" x14ac:dyDescent="0.25">
      <c r="D15" s="124" t="s">
        <v>173</v>
      </c>
      <c r="E15" s="124" t="s">
        <v>129</v>
      </c>
      <c r="F15" s="124" t="s">
        <v>130</v>
      </c>
      <c r="G15" s="62" t="s">
        <v>77</v>
      </c>
    </row>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C17BC-E4D8-4FBB-AB2F-47C15E1C8061}">
  <sheetPr codeName="Munka7"/>
  <dimension ref="A1:AE14"/>
  <sheetViews>
    <sheetView workbookViewId="0">
      <selection activeCell="W14" sqref="W14"/>
    </sheetView>
  </sheetViews>
  <sheetFormatPr defaultRowHeight="15" x14ac:dyDescent="0.25"/>
  <cols>
    <col min="1" max="1" width="26.42578125" bestFit="1" customWidth="1"/>
    <col min="2" max="2" width="14.85546875" bestFit="1" customWidth="1"/>
    <col min="3" max="3" width="16.7109375" bestFit="1" customWidth="1"/>
    <col min="4" max="4" width="27.28515625" bestFit="1" customWidth="1"/>
    <col min="5" max="5" width="7.5703125" bestFit="1" customWidth="1"/>
    <col min="6" max="6" width="7.85546875" bestFit="1" customWidth="1"/>
    <col min="7" max="7" width="6.42578125" bestFit="1" customWidth="1"/>
    <col min="8" max="8" width="12.140625" bestFit="1" customWidth="1"/>
    <col min="9" max="9" width="6.42578125" bestFit="1" customWidth="1"/>
    <col min="10" max="11" width="4" bestFit="1" customWidth="1"/>
    <col min="12" max="12" width="9.5703125" bestFit="1" customWidth="1"/>
    <col min="13" max="13" width="12.5703125" customWidth="1"/>
    <col min="14" max="14" width="9.85546875" bestFit="1" customWidth="1"/>
    <col min="15" max="15" width="6.85546875" bestFit="1" customWidth="1"/>
    <col min="16" max="16" width="10.140625" bestFit="1" customWidth="1"/>
    <col min="17" max="17" width="6.42578125" bestFit="1" customWidth="1"/>
    <col min="18" max="18" width="1.5703125" bestFit="1" customWidth="1"/>
    <col min="19" max="19" width="11" bestFit="1" customWidth="1"/>
    <col min="20" max="20" width="12.28515625" customWidth="1"/>
    <col min="21" max="21" width="10.7109375" bestFit="1" customWidth="1"/>
    <col min="22" max="22" width="13.7109375" bestFit="1" customWidth="1"/>
    <col min="23" max="23" width="13" customWidth="1"/>
    <col min="24" max="24" width="11.140625" customWidth="1"/>
  </cols>
  <sheetData>
    <row r="1" spans="1:31" ht="18.75" customHeight="1" x14ac:dyDescent="0.25">
      <c r="A1" s="171" t="s">
        <v>22</v>
      </c>
      <c r="B1" s="172" t="s">
        <v>323</v>
      </c>
      <c r="C1" s="171" t="s">
        <v>324</v>
      </c>
      <c r="D1" s="172" t="s">
        <v>92</v>
      </c>
      <c r="E1" s="172" t="s">
        <v>206</v>
      </c>
      <c r="F1" s="172" t="s">
        <v>7</v>
      </c>
      <c r="G1" s="173" t="s">
        <v>15</v>
      </c>
      <c r="H1" s="174" t="s">
        <v>207</v>
      </c>
      <c r="I1" s="175"/>
      <c r="J1" s="176" t="s">
        <v>17</v>
      </c>
      <c r="K1" s="177" t="s">
        <v>17</v>
      </c>
      <c r="L1" s="176" t="s">
        <v>16</v>
      </c>
      <c r="M1" s="176" t="s">
        <v>19</v>
      </c>
      <c r="N1" s="178" t="s">
        <v>58</v>
      </c>
      <c r="O1" s="179" t="s">
        <v>29</v>
      </c>
      <c r="P1" s="32" t="s">
        <v>21</v>
      </c>
      <c r="Q1" s="27" t="s">
        <v>15</v>
      </c>
      <c r="R1" s="30"/>
      <c r="S1" s="27" t="s">
        <v>28</v>
      </c>
      <c r="T1" t="s">
        <v>146</v>
      </c>
    </row>
    <row r="2" spans="1:31" s="3" customFormat="1" ht="14.45" customHeight="1" x14ac:dyDescent="0.25">
      <c r="A2" s="99" t="s">
        <v>189</v>
      </c>
      <c r="B2" s="100" t="s">
        <v>179</v>
      </c>
      <c r="C2" s="100" t="s">
        <v>208</v>
      </c>
      <c r="D2" s="101" t="s">
        <v>209</v>
      </c>
      <c r="E2" s="100" t="s">
        <v>32</v>
      </c>
      <c r="F2" s="101" t="s">
        <v>6</v>
      </c>
      <c r="G2" s="99" t="s">
        <v>210</v>
      </c>
      <c r="H2" s="102">
        <v>300000</v>
      </c>
      <c r="I2" s="103">
        <f t="shared" ref="I2:I3" si="0">ROUND(H2*O2,0)</f>
        <v>46500</v>
      </c>
      <c r="J2" s="104">
        <v>174</v>
      </c>
      <c r="K2" s="104">
        <v>154</v>
      </c>
      <c r="L2" s="105">
        <f t="shared" ref="L2:L3" si="1">ROUND(H2*K2/J2,0)</f>
        <v>265517</v>
      </c>
      <c r="M2" s="105">
        <f t="shared" ref="M2:M3" si="2">ROUND(L2*O2,0)</f>
        <v>41155</v>
      </c>
      <c r="N2" s="180">
        <f t="shared" ref="N2:N3" si="3">K2/J2-L2/H2</f>
        <v>8.0459770113172624E-7</v>
      </c>
      <c r="O2" s="181">
        <v>0.155</v>
      </c>
      <c r="P2" s="17">
        <v>44174</v>
      </c>
      <c r="Q2" s="12" t="s">
        <v>66</v>
      </c>
      <c r="R2" s="12" t="s">
        <v>66</v>
      </c>
      <c r="S2" s="12"/>
      <c r="T2" s="3">
        <v>1</v>
      </c>
      <c r="U2" s="3" t="s">
        <v>211</v>
      </c>
    </row>
    <row r="3" spans="1:31" s="3" customFormat="1" ht="14.45" customHeight="1" x14ac:dyDescent="0.25">
      <c r="A3" s="99" t="s">
        <v>189</v>
      </c>
      <c r="B3" s="100" t="s">
        <v>179</v>
      </c>
      <c r="C3" s="100" t="s">
        <v>208</v>
      </c>
      <c r="D3" s="101" t="s">
        <v>209</v>
      </c>
      <c r="E3" s="100" t="s">
        <v>33</v>
      </c>
      <c r="F3" s="101" t="s">
        <v>6</v>
      </c>
      <c r="G3" s="99" t="s">
        <v>210</v>
      </c>
      <c r="H3" s="102">
        <v>300000</v>
      </c>
      <c r="I3" s="103">
        <f t="shared" si="0"/>
        <v>46500</v>
      </c>
      <c r="J3" s="104">
        <v>174</v>
      </c>
      <c r="K3" s="104">
        <v>154</v>
      </c>
      <c r="L3" s="105">
        <f t="shared" si="1"/>
        <v>265517</v>
      </c>
      <c r="M3" s="105">
        <f t="shared" si="2"/>
        <v>41155</v>
      </c>
      <c r="N3" s="180">
        <f t="shared" si="3"/>
        <v>8.0459770113172624E-7</v>
      </c>
      <c r="O3" s="181">
        <v>0.155</v>
      </c>
      <c r="P3" s="17">
        <v>44174</v>
      </c>
      <c r="Q3" s="12" t="s">
        <v>66</v>
      </c>
      <c r="R3" s="12" t="s">
        <v>66</v>
      </c>
      <c r="S3" s="12"/>
      <c r="T3" s="3">
        <v>1</v>
      </c>
      <c r="U3" s="3" t="s">
        <v>211</v>
      </c>
    </row>
    <row r="4" spans="1:31" x14ac:dyDescent="0.25">
      <c r="A4" s="99" t="s">
        <v>182</v>
      </c>
      <c r="B4" s="100" t="s">
        <v>179</v>
      </c>
      <c r="C4" s="100" t="s">
        <v>228</v>
      </c>
      <c r="D4" s="139" t="s">
        <v>76</v>
      </c>
      <c r="E4" s="100" t="s">
        <v>219</v>
      </c>
      <c r="F4" s="101" t="s">
        <v>6</v>
      </c>
      <c r="G4" s="96" t="s">
        <v>70</v>
      </c>
      <c r="H4" s="102">
        <v>571000</v>
      </c>
      <c r="I4" s="97">
        <v>99925</v>
      </c>
      <c r="J4" s="104">
        <v>174</v>
      </c>
      <c r="K4" s="104">
        <v>59</v>
      </c>
      <c r="L4" s="183">
        <v>13563</v>
      </c>
      <c r="M4" s="183">
        <v>2373</v>
      </c>
      <c r="T4" s="3">
        <v>1</v>
      </c>
      <c r="U4" s="183">
        <v>193615</v>
      </c>
      <c r="V4" s="98">
        <v>33883</v>
      </c>
      <c r="W4" s="37">
        <v>207178</v>
      </c>
      <c r="X4" s="37">
        <v>36256</v>
      </c>
    </row>
    <row r="5" spans="1:31" x14ac:dyDescent="0.25">
      <c r="A5" s="99" t="s">
        <v>182</v>
      </c>
      <c r="B5" s="100" t="s">
        <v>179</v>
      </c>
      <c r="C5" s="100" t="s">
        <v>228</v>
      </c>
      <c r="D5" s="139" t="s">
        <v>76</v>
      </c>
      <c r="E5" s="100" t="s">
        <v>220</v>
      </c>
      <c r="F5" s="101" t="s">
        <v>6</v>
      </c>
      <c r="G5" s="96" t="s">
        <v>70</v>
      </c>
      <c r="H5" s="102">
        <v>571000</v>
      </c>
      <c r="I5" s="97">
        <v>99925</v>
      </c>
      <c r="J5" s="104">
        <v>174</v>
      </c>
      <c r="K5" s="104">
        <v>59</v>
      </c>
      <c r="L5" s="183">
        <v>13563</v>
      </c>
      <c r="M5" s="183">
        <v>2373</v>
      </c>
      <c r="T5" s="3">
        <v>1</v>
      </c>
      <c r="U5" s="183">
        <v>193615</v>
      </c>
      <c r="V5" s="98">
        <v>33883</v>
      </c>
      <c r="W5" s="37">
        <v>207178</v>
      </c>
      <c r="X5" s="37">
        <v>36256</v>
      </c>
    </row>
    <row r="6" spans="1:31" x14ac:dyDescent="0.25">
      <c r="A6" s="99" t="s">
        <v>182</v>
      </c>
      <c r="B6" s="100" t="s">
        <v>179</v>
      </c>
      <c r="C6" s="100" t="s">
        <v>228</v>
      </c>
      <c r="D6" s="139" t="s">
        <v>76</v>
      </c>
      <c r="E6" s="100" t="s">
        <v>221</v>
      </c>
      <c r="F6" s="101" t="s">
        <v>6</v>
      </c>
      <c r="G6" s="96" t="s">
        <v>70</v>
      </c>
      <c r="H6" s="102">
        <v>571000</v>
      </c>
      <c r="I6" s="97">
        <v>99925</v>
      </c>
      <c r="J6" s="104">
        <v>174</v>
      </c>
      <c r="K6" s="104">
        <v>158</v>
      </c>
      <c r="L6" s="183">
        <v>36322</v>
      </c>
      <c r="M6" s="183">
        <v>6357</v>
      </c>
      <c r="T6" s="3">
        <v>1</v>
      </c>
      <c r="U6" s="183">
        <v>518494</v>
      </c>
      <c r="V6" s="98">
        <v>90736</v>
      </c>
      <c r="W6" s="37">
        <v>554816</v>
      </c>
      <c r="X6" s="37">
        <v>97093</v>
      </c>
    </row>
    <row r="7" spans="1:31" x14ac:dyDescent="0.25">
      <c r="A7" s="99" t="s">
        <v>182</v>
      </c>
      <c r="B7" s="100" t="s">
        <v>179</v>
      </c>
      <c r="C7" s="100" t="s">
        <v>228</v>
      </c>
      <c r="D7" s="139" t="s">
        <v>76</v>
      </c>
      <c r="E7" s="100" t="s">
        <v>222</v>
      </c>
      <c r="F7" s="101" t="s">
        <v>6</v>
      </c>
      <c r="G7" s="96" t="s">
        <v>70</v>
      </c>
      <c r="H7" s="102">
        <v>571000</v>
      </c>
      <c r="I7" s="97">
        <v>88505</v>
      </c>
      <c r="J7" s="104">
        <v>174</v>
      </c>
      <c r="K7" s="104">
        <v>158</v>
      </c>
      <c r="L7" s="183">
        <v>36322</v>
      </c>
      <c r="M7" s="183">
        <v>16726</v>
      </c>
      <c r="T7" s="3">
        <v>1</v>
      </c>
      <c r="U7" s="183">
        <v>518494</v>
      </c>
      <c r="V7" s="98">
        <v>80367</v>
      </c>
      <c r="W7" s="37">
        <v>554816</v>
      </c>
      <c r="X7" s="37">
        <v>97093</v>
      </c>
    </row>
    <row r="8" spans="1:31" x14ac:dyDescent="0.25">
      <c r="A8" s="99" t="s">
        <v>182</v>
      </c>
      <c r="B8" s="100" t="s">
        <v>179</v>
      </c>
      <c r="C8" s="100" t="s">
        <v>228</v>
      </c>
      <c r="D8" s="139" t="s">
        <v>76</v>
      </c>
      <c r="E8" s="100" t="s">
        <v>223</v>
      </c>
      <c r="F8" s="101" t="s">
        <v>6</v>
      </c>
      <c r="G8" s="96" t="s">
        <v>70</v>
      </c>
      <c r="H8" s="102">
        <v>571000</v>
      </c>
      <c r="I8" s="97">
        <v>88505</v>
      </c>
      <c r="J8" s="104">
        <v>174</v>
      </c>
      <c r="K8" s="104">
        <v>158</v>
      </c>
      <c r="L8" s="183">
        <v>36322</v>
      </c>
      <c r="M8" s="183">
        <v>16726</v>
      </c>
      <c r="T8" s="3">
        <v>1</v>
      </c>
      <c r="U8" s="183">
        <v>518494</v>
      </c>
      <c r="V8" s="98">
        <v>80367</v>
      </c>
      <c r="W8" s="37">
        <v>554816</v>
      </c>
      <c r="X8" s="37">
        <v>97093</v>
      </c>
    </row>
    <row r="9" spans="1:31" x14ac:dyDescent="0.25">
      <c r="A9" s="99" t="s">
        <v>182</v>
      </c>
      <c r="B9" s="100" t="s">
        <v>179</v>
      </c>
      <c r="C9" s="100" t="s">
        <v>228</v>
      </c>
      <c r="D9" s="139" t="s">
        <v>76</v>
      </c>
      <c r="E9" s="100" t="s">
        <v>224</v>
      </c>
      <c r="F9" s="101" t="s">
        <v>6</v>
      </c>
      <c r="G9" s="96" t="s">
        <v>70</v>
      </c>
      <c r="H9" s="102">
        <v>571000</v>
      </c>
      <c r="I9" s="97">
        <v>88505</v>
      </c>
      <c r="J9" s="104">
        <v>174</v>
      </c>
      <c r="K9" s="104">
        <v>158</v>
      </c>
      <c r="L9" s="183">
        <v>36322</v>
      </c>
      <c r="M9" s="183">
        <v>16726</v>
      </c>
      <c r="T9" s="3">
        <v>1</v>
      </c>
      <c r="U9" s="183">
        <v>518494</v>
      </c>
      <c r="V9" s="98">
        <v>80367</v>
      </c>
      <c r="W9" s="37">
        <v>554816</v>
      </c>
      <c r="X9" s="37">
        <v>97093</v>
      </c>
    </row>
    <row r="10" spans="1:31" x14ac:dyDescent="0.25">
      <c r="A10" s="99" t="s">
        <v>186</v>
      </c>
      <c r="B10" s="100" t="s">
        <v>179</v>
      </c>
      <c r="C10" s="100" t="s">
        <v>231</v>
      </c>
      <c r="D10" s="139" t="s">
        <v>68</v>
      </c>
      <c r="E10" s="100" t="s">
        <v>224</v>
      </c>
      <c r="F10" s="101" t="s">
        <v>6</v>
      </c>
      <c r="G10" s="96" t="s">
        <v>70</v>
      </c>
      <c r="H10" s="102">
        <v>323600</v>
      </c>
      <c r="I10" s="97">
        <v>50158</v>
      </c>
      <c r="J10" s="104">
        <v>174</v>
      </c>
      <c r="K10" s="104">
        <v>174</v>
      </c>
      <c r="L10" s="183">
        <v>10000</v>
      </c>
      <c r="M10" s="183">
        <v>1550</v>
      </c>
      <c r="T10" s="3">
        <v>1</v>
      </c>
      <c r="U10" s="183">
        <v>323600</v>
      </c>
      <c r="V10" s="98">
        <v>50158</v>
      </c>
      <c r="W10" s="37">
        <v>333600</v>
      </c>
      <c r="X10" s="37">
        <v>51708</v>
      </c>
    </row>
    <row r="11" spans="1:31" x14ac:dyDescent="0.25">
      <c r="A11" s="99" t="s">
        <v>140</v>
      </c>
      <c r="B11" s="100" t="s">
        <v>180</v>
      </c>
      <c r="C11" s="100" t="s">
        <v>141</v>
      </c>
      <c r="D11" s="139" t="s">
        <v>76</v>
      </c>
      <c r="E11" s="100" t="s">
        <v>224</v>
      </c>
      <c r="F11" s="101" t="s">
        <v>6</v>
      </c>
      <c r="G11" s="96" t="s">
        <v>70</v>
      </c>
      <c r="H11" s="102">
        <v>1098100</v>
      </c>
      <c r="I11" s="97">
        <v>170206</v>
      </c>
      <c r="J11" s="104">
        <v>174</v>
      </c>
      <c r="K11" s="104">
        <v>49</v>
      </c>
      <c r="L11" s="183">
        <v>11264</v>
      </c>
      <c r="M11" s="183">
        <v>1746</v>
      </c>
      <c r="T11" s="3">
        <v>1</v>
      </c>
      <c r="U11" s="183">
        <v>309235</v>
      </c>
      <c r="V11" s="98">
        <v>47931</v>
      </c>
      <c r="W11" s="37">
        <v>320499</v>
      </c>
      <c r="X11" s="37">
        <v>49677</v>
      </c>
    </row>
    <row r="12" spans="1:31" x14ac:dyDescent="0.25">
      <c r="A12" s="220" t="s">
        <v>325</v>
      </c>
    </row>
    <row r="14" spans="1:31" s="3" customFormat="1" ht="14.45" customHeight="1" x14ac:dyDescent="0.25">
      <c r="A14" s="141"/>
      <c r="B14" s="99" t="s">
        <v>321</v>
      </c>
      <c r="C14" s="95" t="str">
        <f>VLOOKUP($F14,Admin!$D$11:$F$19,2,FALSE)</f>
        <v>Koordináció</v>
      </c>
      <c r="D14" s="138" t="s">
        <v>123</v>
      </c>
      <c r="E14" s="95" t="str">
        <f>VLOOKUP($F14,Admin!$D$11:$F$19,3,FALSE)</f>
        <v>54. Bérköltség - Projektmenedzser</v>
      </c>
      <c r="F14" s="139" t="s">
        <v>173</v>
      </c>
      <c r="G14" s="100" t="s">
        <v>181</v>
      </c>
      <c r="H14" s="100" t="s">
        <v>320</v>
      </c>
      <c r="I14" s="139" t="str">
        <f>VLOOKUP($F14,Admin!$D$11:$G$19,4,FALSE)</f>
        <v>Projektmenedzsment</v>
      </c>
      <c r="J14" s="100" t="s">
        <v>296</v>
      </c>
      <c r="K14" s="95" t="str">
        <f t="shared" ref="K14" si="4">J14</f>
        <v>2023.03</v>
      </c>
      <c r="L14" s="101" t="s">
        <v>6</v>
      </c>
      <c r="M14" s="96" t="s">
        <v>70</v>
      </c>
      <c r="N14" s="103">
        <v>840000</v>
      </c>
      <c r="O14" s="97">
        <f t="shared" ref="O14" si="5">ROUND(N14*V14,0)</f>
        <v>109200</v>
      </c>
      <c r="P14" s="104">
        <v>174</v>
      </c>
      <c r="Q14" s="104">
        <v>4</v>
      </c>
      <c r="R14" s="215">
        <f t="shared" ref="R14" si="6">Q14/P14</f>
        <v>2.2988505747126436E-2</v>
      </c>
      <c r="S14" s="105">
        <f t="shared" ref="S14" si="7">ROUND(N14*Q14/P14,0)</f>
        <v>19310</v>
      </c>
      <c r="T14" s="98">
        <f t="shared" ref="T14" si="8">ROUND(S14*V14,0)</f>
        <v>2510</v>
      </c>
      <c r="U14" s="70">
        <f t="shared" ref="U14" si="9">Q14/P14-S14/N14</f>
        <v>4.1050903119843607E-7</v>
      </c>
      <c r="V14" s="140">
        <v>0.13</v>
      </c>
      <c r="W14" s="221" t="s">
        <v>327</v>
      </c>
      <c r="X14" s="17"/>
      <c r="Y14" s="12"/>
      <c r="Z14" s="12"/>
      <c r="AA14" s="12"/>
      <c r="AB14" s="3">
        <v>2</v>
      </c>
      <c r="AC14" s="3" t="s">
        <v>315</v>
      </c>
      <c r="AD14" s="3">
        <v>0</v>
      </c>
      <c r="AE14" s="3">
        <v>0</v>
      </c>
    </row>
  </sheetData>
  <dataValidations count="5">
    <dataValidation type="list" allowBlank="1" showInputMessage="1" showErrorMessage="1" sqref="F2:F3" xr:uid="{B3FA674E-C4B2-40CF-AC43-C3DC96387EB0}">
      <formula1>$F$236:$F$237</formula1>
    </dataValidation>
    <dataValidation type="list" allowBlank="1" showInputMessage="1" showErrorMessage="1" sqref="B2:B3" xr:uid="{7AD86356-92CD-4798-9E2B-694CDE428632}">
      <formula1>$B$236:$B$238</formula1>
    </dataValidation>
    <dataValidation type="list" allowBlank="1" showInputMessage="1" showErrorMessage="1" sqref="E2:E3" xr:uid="{3BC68A43-A2B2-46A4-A2CB-F7A0ECBE4F1C}">
      <formula1>$E$236:$E$271</formula1>
    </dataValidation>
    <dataValidation type="list" allowBlank="1" showInputMessage="1" showErrorMessage="1" sqref="G2:G3" xr:uid="{BF1600B6-4D28-4812-8D70-6AC4F991B729}">
      <formula1>$G$236:$G$238</formula1>
    </dataValidation>
    <dataValidation type="list" allowBlank="1" showInputMessage="1" showErrorMessage="1" sqref="D2:D3" xr:uid="{B12C2C49-5615-4D70-A494-A5D79B419462}">
      <formula1>$D$236:$D$240</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6">
        <x14:dataValidation type="list" allowBlank="1" showInputMessage="1" showErrorMessage="1" xr:uid="{6FA1C652-8095-4614-B57C-26391E98C982}">
          <x14:formula1>
            <xm:f>Admin!$A$6:$A$7</xm:f>
          </x14:formula1>
          <xm:sqref>F4:F11 L14</xm:sqref>
        </x14:dataValidation>
        <x14:dataValidation type="list" allowBlank="1" showInputMessage="1" showErrorMessage="1" xr:uid="{3E9387C0-4948-4115-8F52-839829B37696}">
          <x14:formula1>
            <xm:f>Admin!$A$2:$A$4</xm:f>
          </x14:formula1>
          <xm:sqref>B4:B11 G14</xm:sqref>
        </x14:dataValidation>
        <x14:dataValidation type="list" allowBlank="1" showInputMessage="1" showErrorMessage="1" xr:uid="{14A86185-4DDA-4F30-8729-D2181383C991}">
          <x14:formula1>
            <xm:f>Admin!$C$3:$C$5</xm:f>
          </x14:formula1>
          <xm:sqref>G4:G11 M14</xm:sqref>
        </x14:dataValidation>
        <x14:dataValidation type="list" allowBlank="1" showInputMessage="1" showErrorMessage="1" xr:uid="{01667ECD-1667-4F74-B4F9-5FE3F466452C}">
          <x14:formula1>
            <xm:f>Hónapok!$A$1:$A$40</xm:f>
          </x14:formula1>
          <xm:sqref>E4:E11 J14</xm:sqref>
        </x14:dataValidation>
        <x14:dataValidation type="list" allowBlank="1" showInputMessage="1" showErrorMessage="1" xr:uid="{383A0001-A616-4554-AF3B-4B61D4C70886}">
          <x14:formula1>
            <xm:f>Admin!$D$11:$D$15</xm:f>
          </x14:formula1>
          <xm:sqref>F14</xm:sqref>
        </x14:dataValidation>
        <x14:dataValidation type="list" allowBlank="1" showInputMessage="1" showErrorMessage="1" xr:uid="{D7FBC3CF-FA43-41FF-B9BD-DD112C238D93}">
          <x14:formula1>
            <xm:f>Admin!$B$11</xm:f>
          </x14:formula1>
          <xm:sqref>D14</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551F0-3E40-46A6-86B6-0961C62A9B2A}">
  <dimension ref="A1:E62"/>
  <sheetViews>
    <sheetView workbookViewId="0">
      <selection activeCell="I14" sqref="I14"/>
    </sheetView>
  </sheetViews>
  <sheetFormatPr defaultRowHeight="15" x14ac:dyDescent="0.25"/>
  <cols>
    <col min="1" max="3" width="20" customWidth="1"/>
    <col min="4" max="4" width="15.28515625" customWidth="1"/>
    <col min="5" max="5" width="15.42578125" customWidth="1"/>
  </cols>
  <sheetData>
    <row r="1" spans="1:5" x14ac:dyDescent="0.25">
      <c r="A1" s="195" t="s">
        <v>298</v>
      </c>
      <c r="B1" s="195" t="s">
        <v>299</v>
      </c>
      <c r="C1" s="195" t="s">
        <v>300</v>
      </c>
      <c r="D1" s="195" t="s">
        <v>210</v>
      </c>
      <c r="E1" s="195" t="s">
        <v>301</v>
      </c>
    </row>
    <row r="2" spans="1:5" x14ac:dyDescent="0.25">
      <c r="A2" s="218" t="s">
        <v>238</v>
      </c>
      <c r="B2" s="196" t="s">
        <v>268</v>
      </c>
      <c r="C2" s="197" t="s">
        <v>231</v>
      </c>
      <c r="D2" s="198">
        <v>520000</v>
      </c>
      <c r="E2" s="198">
        <v>67600</v>
      </c>
    </row>
    <row r="3" spans="1:5" x14ac:dyDescent="0.25">
      <c r="A3" s="218" t="s">
        <v>302</v>
      </c>
      <c r="B3" s="196" t="s">
        <v>291</v>
      </c>
      <c r="C3" s="197" t="s">
        <v>142</v>
      </c>
      <c r="D3" s="198">
        <v>466900</v>
      </c>
      <c r="E3" s="198">
        <v>60697</v>
      </c>
    </row>
    <row r="4" spans="1:5" x14ac:dyDescent="0.25">
      <c r="A4" s="218" t="s">
        <v>184</v>
      </c>
      <c r="B4" s="196" t="s">
        <v>269</v>
      </c>
      <c r="C4" s="197" t="s">
        <v>229</v>
      </c>
      <c r="D4" s="198">
        <v>340000</v>
      </c>
      <c r="E4" s="198">
        <v>44200</v>
      </c>
    </row>
    <row r="5" spans="1:5" x14ac:dyDescent="0.25">
      <c r="A5" s="218" t="s">
        <v>239</v>
      </c>
      <c r="B5" s="196" t="s">
        <v>270</v>
      </c>
      <c r="C5" s="197" t="s">
        <v>141</v>
      </c>
      <c r="D5" s="198">
        <v>540768</v>
      </c>
      <c r="E5" s="198">
        <v>89323</v>
      </c>
    </row>
    <row r="6" spans="1:5" x14ac:dyDescent="0.25">
      <c r="A6" s="218" t="s">
        <v>303</v>
      </c>
      <c r="B6" s="196" t="s">
        <v>266</v>
      </c>
      <c r="C6" s="197" t="s">
        <v>141</v>
      </c>
      <c r="D6" s="198">
        <v>807099</v>
      </c>
      <c r="E6" s="198">
        <v>104923</v>
      </c>
    </row>
    <row r="7" spans="1:5" x14ac:dyDescent="0.25">
      <c r="A7" s="196" t="s">
        <v>304</v>
      </c>
      <c r="B7" s="196" t="s">
        <v>267</v>
      </c>
      <c r="C7" s="197" t="s">
        <v>141</v>
      </c>
      <c r="D7" s="198">
        <v>477000</v>
      </c>
      <c r="E7" s="198">
        <v>62010</v>
      </c>
    </row>
    <row r="8" spans="1:5" x14ac:dyDescent="0.25">
      <c r="A8" s="199" t="s">
        <v>305</v>
      </c>
      <c r="B8" s="200" t="s">
        <v>271</v>
      </c>
      <c r="C8" s="197" t="s">
        <v>262</v>
      </c>
      <c r="D8" s="198">
        <v>763200</v>
      </c>
      <c r="E8" s="198">
        <v>99216</v>
      </c>
    </row>
    <row r="9" spans="1:5" x14ac:dyDescent="0.25">
      <c r="A9" s="218" t="s">
        <v>306</v>
      </c>
      <c r="B9" s="196" t="s">
        <v>274</v>
      </c>
      <c r="C9" s="197" t="s">
        <v>141</v>
      </c>
      <c r="D9" s="198">
        <v>891000</v>
      </c>
      <c r="E9" s="198">
        <v>115830</v>
      </c>
    </row>
    <row r="10" spans="1:5" x14ac:dyDescent="0.25">
      <c r="A10" s="218" t="s">
        <v>307</v>
      </c>
      <c r="B10" s="196" t="s">
        <v>292</v>
      </c>
      <c r="C10" s="197" t="s">
        <v>248</v>
      </c>
      <c r="D10" s="198">
        <v>1180000</v>
      </c>
      <c r="E10" s="198">
        <v>153400</v>
      </c>
    </row>
    <row r="11" spans="1:5" x14ac:dyDescent="0.25">
      <c r="A11" s="218" t="s">
        <v>308</v>
      </c>
      <c r="B11" s="196" t="s">
        <v>282</v>
      </c>
      <c r="C11" s="197" t="s">
        <v>232</v>
      </c>
      <c r="D11" s="198">
        <v>805600</v>
      </c>
      <c r="E11" s="198">
        <v>104728</v>
      </c>
    </row>
    <row r="12" spans="1:5" x14ac:dyDescent="0.25">
      <c r="A12" s="218" t="s">
        <v>309</v>
      </c>
      <c r="B12" s="196" t="s">
        <v>287</v>
      </c>
      <c r="C12" s="197" t="s">
        <v>228</v>
      </c>
      <c r="D12" s="198">
        <v>1469000</v>
      </c>
      <c r="E12" s="198">
        <v>190970</v>
      </c>
    </row>
    <row r="13" spans="1:5" x14ac:dyDescent="0.25">
      <c r="A13" s="218" t="s">
        <v>310</v>
      </c>
      <c r="B13" s="196" t="s">
        <v>289</v>
      </c>
      <c r="C13" s="197" t="s">
        <v>141</v>
      </c>
      <c r="D13" s="198">
        <v>1837900</v>
      </c>
      <c r="E13" s="198">
        <v>238927</v>
      </c>
    </row>
    <row r="14" spans="1:5" x14ac:dyDescent="0.25">
      <c r="A14" s="218" t="s">
        <v>311</v>
      </c>
      <c r="B14" s="196" t="s">
        <v>290</v>
      </c>
      <c r="C14" s="197" t="s">
        <v>141</v>
      </c>
      <c r="D14" s="198">
        <v>617034</v>
      </c>
      <c r="E14" s="198">
        <v>80215</v>
      </c>
    </row>
    <row r="15" spans="1:5" x14ac:dyDescent="0.25">
      <c r="A15" s="218" t="s">
        <v>188</v>
      </c>
      <c r="B15" s="196" t="s">
        <v>273</v>
      </c>
      <c r="C15" s="197" t="s">
        <v>141</v>
      </c>
      <c r="D15" s="198">
        <v>1065100</v>
      </c>
      <c r="E15" s="198">
        <v>138463</v>
      </c>
    </row>
    <row r="16" spans="1:5" x14ac:dyDescent="0.25">
      <c r="A16" s="218" t="s">
        <v>261</v>
      </c>
      <c r="B16" s="196" t="s">
        <v>275</v>
      </c>
      <c r="C16" s="197" t="s">
        <v>229</v>
      </c>
      <c r="D16" s="198">
        <v>200000</v>
      </c>
      <c r="E16" s="198">
        <v>26000</v>
      </c>
    </row>
    <row r="17" spans="1:5" x14ac:dyDescent="0.25">
      <c r="A17" s="218" t="s">
        <v>258</v>
      </c>
      <c r="B17" s="196" t="s">
        <v>276</v>
      </c>
      <c r="C17" s="197" t="s">
        <v>228</v>
      </c>
      <c r="D17" s="198">
        <v>250000</v>
      </c>
      <c r="E17" s="198">
        <v>32500</v>
      </c>
    </row>
    <row r="18" spans="1:5" x14ac:dyDescent="0.25">
      <c r="A18" s="218" t="s">
        <v>253</v>
      </c>
      <c r="B18" s="196" t="s">
        <v>278</v>
      </c>
      <c r="C18" s="197" t="s">
        <v>262</v>
      </c>
      <c r="D18" s="198">
        <v>550000</v>
      </c>
      <c r="E18" s="198">
        <v>71500</v>
      </c>
    </row>
    <row r="19" spans="1:5" x14ac:dyDescent="0.25">
      <c r="A19" s="218" t="s">
        <v>191</v>
      </c>
      <c r="B19" s="196" t="s">
        <v>279</v>
      </c>
      <c r="C19" s="197" t="s">
        <v>208</v>
      </c>
      <c r="D19" s="198">
        <v>599500</v>
      </c>
      <c r="E19" s="198">
        <v>77935</v>
      </c>
    </row>
    <row r="20" spans="1:5" x14ac:dyDescent="0.25">
      <c r="A20" s="218" t="s">
        <v>192</v>
      </c>
      <c r="B20" s="196" t="s">
        <v>280</v>
      </c>
      <c r="C20" s="197" t="s">
        <v>144</v>
      </c>
      <c r="D20" s="198">
        <v>518845</v>
      </c>
      <c r="E20" s="198">
        <v>73359</v>
      </c>
    </row>
    <row r="21" spans="1:5" x14ac:dyDescent="0.25">
      <c r="A21" s="218" t="s">
        <v>193</v>
      </c>
      <c r="B21" s="196" t="s">
        <v>281</v>
      </c>
      <c r="C21" s="197" t="s">
        <v>228</v>
      </c>
      <c r="D21" s="198">
        <v>900000</v>
      </c>
      <c r="E21" s="198">
        <v>117000</v>
      </c>
    </row>
    <row r="22" spans="1:5" x14ac:dyDescent="0.25">
      <c r="A22" s="218" t="s">
        <v>196</v>
      </c>
      <c r="B22" s="196" t="s">
        <v>283</v>
      </c>
      <c r="C22" s="197" t="s">
        <v>320</v>
      </c>
      <c r="D22" s="198">
        <v>320000</v>
      </c>
      <c r="E22" s="198">
        <v>41600</v>
      </c>
    </row>
    <row r="23" spans="1:5" x14ac:dyDescent="0.25">
      <c r="A23" s="218" t="s">
        <v>139</v>
      </c>
      <c r="B23" s="196" t="s">
        <v>284</v>
      </c>
      <c r="C23" s="197" t="s">
        <v>144</v>
      </c>
      <c r="D23" s="198">
        <v>495600</v>
      </c>
      <c r="E23" s="198">
        <v>64428</v>
      </c>
    </row>
    <row r="24" spans="1:5" x14ac:dyDescent="0.25">
      <c r="A24" s="218" t="s">
        <v>198</v>
      </c>
      <c r="B24" s="196" t="s">
        <v>285</v>
      </c>
      <c r="C24" s="197" t="s">
        <v>141</v>
      </c>
      <c r="D24" s="198">
        <v>689000</v>
      </c>
      <c r="E24" s="198">
        <v>89570</v>
      </c>
    </row>
    <row r="25" spans="1:5" x14ac:dyDescent="0.25">
      <c r="A25" s="218" t="s">
        <v>321</v>
      </c>
      <c r="B25" s="196" t="s">
        <v>322</v>
      </c>
      <c r="C25" s="197" t="s">
        <v>320</v>
      </c>
      <c r="D25" s="198">
        <v>840000</v>
      </c>
      <c r="E25" s="198">
        <v>109200</v>
      </c>
    </row>
    <row r="26" spans="1:5" x14ac:dyDescent="0.25">
      <c r="A26" s="218" t="s">
        <v>256</v>
      </c>
      <c r="B26" s="196" t="s">
        <v>286</v>
      </c>
      <c r="C26" s="197" t="s">
        <v>263</v>
      </c>
      <c r="D26" s="198">
        <v>172500</v>
      </c>
      <c r="E26" s="198">
        <v>22425</v>
      </c>
    </row>
    <row r="27" spans="1:5" x14ac:dyDescent="0.25">
      <c r="A27" s="218" t="s">
        <v>252</v>
      </c>
      <c r="B27" s="196" t="s">
        <v>288</v>
      </c>
      <c r="C27" s="197" t="s">
        <v>248</v>
      </c>
      <c r="D27" s="198">
        <v>819000</v>
      </c>
      <c r="E27" s="198">
        <v>106470</v>
      </c>
    </row>
    <row r="28" spans="1:5" x14ac:dyDescent="0.25">
      <c r="A28" s="218" t="s">
        <v>312</v>
      </c>
      <c r="B28" s="196" t="s">
        <v>293</v>
      </c>
      <c r="C28" s="197" t="s">
        <v>229</v>
      </c>
      <c r="D28" s="198">
        <v>430000</v>
      </c>
      <c r="E28" s="198">
        <v>25740</v>
      </c>
    </row>
    <row r="29" spans="1:5" x14ac:dyDescent="0.25">
      <c r="A29" s="218" t="s">
        <v>313</v>
      </c>
      <c r="B29" s="196" t="s">
        <v>294</v>
      </c>
      <c r="C29" s="197" t="s">
        <v>229</v>
      </c>
      <c r="D29" s="198">
        <v>300000</v>
      </c>
      <c r="E29" s="198">
        <v>8840</v>
      </c>
    </row>
    <row r="30" spans="1:5" x14ac:dyDescent="0.25">
      <c r="A30" s="218" t="s">
        <v>317</v>
      </c>
      <c r="B30" s="196" t="s">
        <v>318</v>
      </c>
      <c r="C30" s="197" t="s">
        <v>228</v>
      </c>
      <c r="D30" s="198">
        <v>250000</v>
      </c>
      <c r="E30" s="198">
        <v>32500</v>
      </c>
    </row>
    <row r="31" spans="1:5" x14ac:dyDescent="0.25">
      <c r="A31" s="199" t="s">
        <v>326</v>
      </c>
      <c r="B31" s="200" t="s">
        <v>319</v>
      </c>
      <c r="C31" s="197" t="s">
        <v>228</v>
      </c>
      <c r="D31" s="198">
        <v>1161000</v>
      </c>
      <c r="E31" s="198">
        <v>299000</v>
      </c>
    </row>
    <row r="32" spans="1:5" x14ac:dyDescent="0.25">
      <c r="A32" s="196"/>
      <c r="B32" s="196"/>
      <c r="C32" s="197"/>
      <c r="D32" s="198"/>
      <c r="E32" s="198"/>
    </row>
    <row r="33" spans="1:5" x14ac:dyDescent="0.25">
      <c r="A33" s="199"/>
      <c r="B33" s="200"/>
      <c r="C33" s="197"/>
      <c r="D33" s="198"/>
      <c r="E33" s="198"/>
    </row>
    <row r="34" spans="1:5" x14ac:dyDescent="0.25">
      <c r="A34" s="196"/>
      <c r="B34" s="196"/>
      <c r="C34" s="197"/>
      <c r="D34" s="198"/>
      <c r="E34" s="198"/>
    </row>
    <row r="35" spans="1:5" x14ac:dyDescent="0.25">
      <c r="A35" s="199"/>
      <c r="B35" s="200"/>
      <c r="C35" s="197"/>
      <c r="D35" s="198"/>
      <c r="E35" s="198"/>
    </row>
    <row r="36" spans="1:5" x14ac:dyDescent="0.25">
      <c r="A36" s="196"/>
      <c r="B36" s="196"/>
      <c r="C36" s="197"/>
      <c r="D36" s="198"/>
      <c r="E36" s="198"/>
    </row>
    <row r="37" spans="1:5" x14ac:dyDescent="0.25">
      <c r="A37" s="199"/>
      <c r="B37" s="200"/>
      <c r="C37" s="197"/>
      <c r="D37" s="198"/>
      <c r="E37" s="198"/>
    </row>
    <row r="38" spans="1:5" x14ac:dyDescent="0.25">
      <c r="A38" s="196"/>
      <c r="B38" s="196"/>
      <c r="C38" s="197"/>
      <c r="D38" s="198"/>
      <c r="E38" s="198"/>
    </row>
    <row r="39" spans="1:5" x14ac:dyDescent="0.25">
      <c r="A39" s="199"/>
      <c r="B39" s="200"/>
      <c r="C39" s="197"/>
      <c r="D39" s="198"/>
      <c r="E39" s="198"/>
    </row>
    <row r="40" spans="1:5" x14ac:dyDescent="0.25">
      <c r="A40" s="196"/>
      <c r="B40" s="196"/>
      <c r="C40" s="197"/>
      <c r="D40" s="198"/>
      <c r="E40" s="198"/>
    </row>
    <row r="41" spans="1:5" x14ac:dyDescent="0.25">
      <c r="A41" s="199"/>
      <c r="B41" s="200"/>
      <c r="C41" s="197"/>
      <c r="D41" s="198"/>
      <c r="E41" s="198"/>
    </row>
    <row r="42" spans="1:5" x14ac:dyDescent="0.25">
      <c r="A42" s="196"/>
      <c r="B42" s="196"/>
      <c r="C42" s="197"/>
      <c r="D42" s="198"/>
      <c r="E42" s="198"/>
    </row>
    <row r="43" spans="1:5" x14ac:dyDescent="0.25">
      <c r="A43" s="199"/>
      <c r="B43" s="200"/>
      <c r="C43" s="197"/>
      <c r="D43" s="198"/>
      <c r="E43" s="198"/>
    </row>
    <row r="44" spans="1:5" x14ac:dyDescent="0.25">
      <c r="A44" s="196"/>
      <c r="B44" s="196"/>
      <c r="C44" s="197"/>
      <c r="D44" s="198"/>
      <c r="E44" s="198"/>
    </row>
    <row r="45" spans="1:5" x14ac:dyDescent="0.25">
      <c r="A45" s="199"/>
      <c r="B45" s="200"/>
      <c r="C45" s="197"/>
      <c r="D45" s="198"/>
      <c r="E45" s="198"/>
    </row>
    <row r="46" spans="1:5" x14ac:dyDescent="0.25">
      <c r="A46" s="196"/>
      <c r="B46" s="196"/>
      <c r="C46" s="197"/>
      <c r="D46" s="198"/>
      <c r="E46" s="198"/>
    </row>
    <row r="47" spans="1:5" x14ac:dyDescent="0.25">
      <c r="A47" s="199"/>
      <c r="B47" s="200"/>
      <c r="C47" s="197"/>
      <c r="D47" s="198"/>
      <c r="E47" s="198"/>
    </row>
    <row r="48" spans="1:5" x14ac:dyDescent="0.25">
      <c r="A48" s="196"/>
      <c r="B48" s="196"/>
      <c r="C48" s="197"/>
      <c r="D48" s="198"/>
      <c r="E48" s="198"/>
    </row>
    <row r="49" spans="1:5" x14ac:dyDescent="0.25">
      <c r="A49" s="200"/>
      <c r="B49" s="200"/>
      <c r="C49" s="197"/>
      <c r="D49" s="198"/>
      <c r="E49" s="198"/>
    </row>
    <row r="50" spans="1:5" x14ac:dyDescent="0.25">
      <c r="A50" s="199"/>
      <c r="B50" s="200"/>
      <c r="C50" s="197"/>
      <c r="D50" s="198"/>
      <c r="E50" s="198"/>
    </row>
    <row r="51" spans="1:5" x14ac:dyDescent="0.25">
      <c r="A51" s="196"/>
      <c r="B51" s="196"/>
      <c r="C51" s="197"/>
      <c r="D51" s="198"/>
      <c r="E51" s="198"/>
    </row>
    <row r="52" spans="1:5" x14ac:dyDescent="0.25">
      <c r="A52" s="199"/>
      <c r="B52" s="200"/>
      <c r="C52" s="197"/>
      <c r="D52" s="198"/>
      <c r="E52" s="198"/>
    </row>
    <row r="53" spans="1:5" x14ac:dyDescent="0.25">
      <c r="A53" s="196"/>
      <c r="B53" s="196"/>
      <c r="C53" s="197"/>
      <c r="D53" s="198"/>
      <c r="E53" s="198"/>
    </row>
    <row r="54" spans="1:5" x14ac:dyDescent="0.25">
      <c r="A54" s="199"/>
      <c r="B54" s="200"/>
      <c r="C54" s="197"/>
      <c r="D54" s="198"/>
      <c r="E54" s="198"/>
    </row>
    <row r="55" spans="1:5" x14ac:dyDescent="0.25">
      <c r="A55" s="196"/>
      <c r="B55" s="196"/>
      <c r="C55" s="197"/>
      <c r="D55" s="198"/>
      <c r="E55" s="198"/>
    </row>
    <row r="56" spans="1:5" x14ac:dyDescent="0.25">
      <c r="A56" s="199"/>
      <c r="B56" s="200"/>
      <c r="C56" s="197"/>
      <c r="D56" s="198"/>
      <c r="E56" s="198"/>
    </row>
    <row r="57" spans="1:5" x14ac:dyDescent="0.25">
      <c r="A57" s="196"/>
      <c r="B57" s="196"/>
      <c r="C57" s="197"/>
      <c r="D57" s="198"/>
      <c r="E57" s="198"/>
    </row>
    <row r="58" spans="1:5" x14ac:dyDescent="0.25">
      <c r="A58" s="199"/>
      <c r="B58" s="200"/>
      <c r="C58" s="197"/>
      <c r="D58" s="198"/>
      <c r="E58" s="198"/>
    </row>
    <row r="59" spans="1:5" x14ac:dyDescent="0.25">
      <c r="A59" s="196"/>
      <c r="B59" s="196"/>
      <c r="C59" s="197"/>
      <c r="D59" s="198"/>
      <c r="E59" s="198"/>
    </row>
    <row r="60" spans="1:5" x14ac:dyDescent="0.25">
      <c r="A60" s="199"/>
      <c r="B60" s="200"/>
      <c r="C60" s="197"/>
      <c r="D60" s="198"/>
      <c r="E60" s="198"/>
    </row>
    <row r="61" spans="1:5" x14ac:dyDescent="0.25">
      <c r="A61" s="196"/>
      <c r="B61" s="196"/>
      <c r="C61" s="197"/>
      <c r="D61" s="198"/>
      <c r="E61" s="198"/>
    </row>
    <row r="62" spans="1:5" x14ac:dyDescent="0.25">
      <c r="A62" s="199"/>
      <c r="B62" s="200"/>
      <c r="C62" s="197"/>
      <c r="D62" s="198"/>
      <c r="E62" s="198"/>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8</vt:i4>
      </vt:variant>
    </vt:vector>
  </HeadingPairs>
  <TitlesOfParts>
    <vt:vector size="8" baseType="lpstr">
      <vt:lpstr>Terv-tény</vt:lpstr>
      <vt:lpstr>Bérköltség</vt:lpstr>
      <vt:lpstr>Hónapok</vt:lpstr>
      <vt:lpstr>EPTK költségvetés export fájl</vt:lpstr>
      <vt:lpstr>Információk</vt:lpstr>
      <vt:lpstr>Admin</vt:lpstr>
      <vt:lpstr>Átvezetések</vt:lpstr>
      <vt:lpstr>Havi béradatok</vt:lpstr>
    </vt:vector>
  </TitlesOfParts>
  <Company>Pannon Egyetem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Aporfiné Nagy Andrea</dc:creator>
  <cp:lastModifiedBy>Domján Gábor</cp:lastModifiedBy>
  <cp:lastPrinted>2020-02-13T08:37:49Z</cp:lastPrinted>
  <dcterms:created xsi:type="dcterms:W3CDTF">2012-04-12T14:47:49Z</dcterms:created>
  <dcterms:modified xsi:type="dcterms:W3CDTF">2023-05-05T07:25:01Z</dcterms:modified>
</cp:coreProperties>
</file>